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1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390032\projects\interfaccia_iml\"/>
    </mc:Choice>
  </mc:AlternateContent>
  <xr:revisionPtr revIDLastSave="0" documentId="13_ncr:1_{6BFFE6B1-12E1-453A-819F-97E638194C05}" xr6:coauthVersionLast="36" xr6:coauthVersionMax="47" xr10:uidLastSave="{00000000-0000-0000-0000-000000000000}"/>
  <bookViews>
    <workbookView xWindow="11910" yWindow="1040" windowWidth="17460" windowHeight="12560" tabRatio="922" firstSheet="1" activeTab="4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est" sheetId="68" r:id="rId5"/>
    <sheet name="TradesBond" sheetId="12" r:id="rId6"/>
    <sheet name="TradesEquity" sheetId="11" r:id="rId7"/>
    <sheet name="PosAggregate" sheetId="2" r:id="rId8"/>
    <sheet name="MIFID" sheetId="60" r:id="rId9"/>
    <sheet name="Order_template" sheetId="54" r:id="rId10"/>
    <sheet name="CashFlow" sheetId="17" r:id="rId11"/>
    <sheet name="Sub-Red" sheetId="63" r:id="rId12"/>
    <sheet name="Cash Mgmt" sheetId="49" r:id="rId13"/>
    <sheet name="Dvd" sheetId="50" r:id="rId14"/>
    <sheet name="Forward" sheetId="48" r:id="rId15"/>
    <sheet name="Curr" sheetId="44" r:id="rId16"/>
    <sheet name="ShrsOrdReg" sheetId="34" r:id="rId17"/>
    <sheet name="BondOrdReg" sheetId="36" r:id="rId18"/>
    <sheet name="FundOrdReg" sheetId="37" r:id="rId19"/>
    <sheet name="TradesFundETF" sheetId="23" r:id="rId20"/>
    <sheet name="POSIMS" sheetId="61" r:id="rId21"/>
    <sheet name="POSNAV" sheetId="62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Conf" sheetId="35" r:id="rId28"/>
    <sheet name="sample" sheetId="57" r:id="rId29"/>
    <sheet name="Sheet1" sheetId="67" r:id="rId30"/>
  </sheets>
  <functionGroups builtInGroupCount="19"/>
  <externalReferences>
    <externalReference r:id="rId31"/>
  </externalReferences>
  <definedNames>
    <definedName name="_FilterDatabase" localSheetId="13" hidden="1">Dvd!$AA$12:$AC$62</definedName>
    <definedName name="_FilterDatabase" localSheetId="7" hidden="1">PosAggregate!$A$12:$CO$62</definedName>
    <definedName name="_FilterDatabase" localSheetId="21" hidden="1">POSNAV!$A$1:$P$1</definedName>
    <definedName name="_FilterDatabase" localSheetId="3" hidden="1">'Pre-check SELL'!$B$43:$C$52</definedName>
    <definedName name="_FilterDatabase" localSheetId="6" hidden="1">TradesEquity!$A$10:$XFC$717</definedName>
    <definedName name="_filtro" localSheetId="7" hidden="1">PosAggregate!$A$12:$CO$44</definedName>
    <definedName name="_filtro" localSheetId="6" hidden="1">TradesEquity!$A$10:$BC$428</definedName>
    <definedName name="AsiaExposure" localSheetId="7">PosAggregate!$AX$18</definedName>
    <definedName name="BrokerList" localSheetId="12">OFFSET([1]Broker_List!$A$14,1,0,COUNTA([1]Broker_List!$A:$A)-1,1)</definedName>
    <definedName name="BrokerList" localSheetId="13">OFFSET([1]Broker_List!$A$14,1,0,COUNTA([1]Broker_List!$A:$A)-1,1)</definedName>
    <definedName name="BrokerList" localSheetId="14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7">PosAggregate!$AT$9</definedName>
    <definedName name="fundMktVal" localSheetId="2">'Pre-Check BUY'!$K$10</definedName>
    <definedName name="FX_Rates">Order_template!$AV$20:$AX$29</definedName>
    <definedName name="trade_Type" localSheetId="2">'Pre-Check BUY'!$B$9</definedName>
    <definedName name="user_id" localSheetId="9">Order_template!$Z$10</definedName>
  </definedNames>
  <calcPr calcId="191029"/>
  <pivotCaches>
    <pivotCache cacheId="0" r:id="rId32"/>
    <pivotCache cacheId="1" r:id="rId33"/>
    <pivotCache cacheId="2" r:id="rId34"/>
    <pivotCache cacheId="3" r:id="rId35"/>
    <pivotCache cacheId="4" r:id="rId36"/>
    <pivotCache cacheId="5" r:id="rId37"/>
    <pivotCache cacheId="6" r:id="rId38"/>
    <pivotCache cacheId="7" r:id="rId39"/>
    <pivotCache cacheId="8" r:id="rId40"/>
    <pivotCache cacheId="9" r:id="rId41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53" i="61" l="1"/>
  <c r="D54" i="61"/>
  <c r="D55" i="61"/>
  <c r="D56" i="61"/>
  <c r="D57" i="61"/>
  <c r="D58" i="61"/>
  <c r="D59" i="61"/>
  <c r="D60" i="61"/>
  <c r="D61" i="61"/>
  <c r="D62" i="61"/>
  <c r="D63" i="61"/>
  <c r="D64" i="61"/>
  <c r="D65" i="61"/>
  <c r="D66" i="61"/>
  <c r="D67" i="61"/>
  <c r="D68" i="61"/>
  <c r="D69" i="61"/>
  <c r="D70" i="61"/>
  <c r="D71" i="61"/>
  <c r="D72" i="61"/>
  <c r="D73" i="61"/>
  <c r="D74" i="61"/>
  <c r="D75" i="61"/>
  <c r="D76" i="61"/>
  <c r="D77" i="61"/>
  <c r="D78" i="61"/>
  <c r="D79" i="61"/>
  <c r="D80" i="61"/>
  <c r="D81" i="61"/>
  <c r="D82" i="61"/>
  <c r="D83" i="61"/>
  <c r="D84" i="61"/>
  <c r="D85" i="61"/>
  <c r="D86" i="61"/>
  <c r="D87" i="61"/>
  <c r="D88" i="61"/>
  <c r="D89" i="61"/>
  <c r="D90" i="61"/>
  <c r="D91" i="61"/>
  <c r="D92" i="61"/>
  <c r="D93" i="61"/>
  <c r="D94" i="61"/>
  <c r="D95" i="61"/>
  <c r="D96" i="61"/>
  <c r="D97" i="61"/>
  <c r="D98" i="61"/>
  <c r="D99" i="61"/>
  <c r="D100" i="61"/>
  <c r="D101" i="61"/>
  <c r="D102" i="61"/>
  <c r="D103" i="61"/>
  <c r="D104" i="61"/>
  <c r="D105" i="61"/>
  <c r="D106" i="61"/>
  <c r="D107" i="61"/>
  <c r="D108" i="61"/>
  <c r="D109" i="61"/>
  <c r="D110" i="61"/>
  <c r="D111" i="61"/>
  <c r="D112" i="61"/>
  <c r="D113" i="61"/>
  <c r="D114" i="61"/>
  <c r="D115" i="61"/>
  <c r="D116" i="61"/>
  <c r="D117" i="61"/>
  <c r="D118" i="61"/>
  <c r="D119" i="61"/>
  <c r="D120" i="61"/>
  <c r="D121" i="61"/>
  <c r="D122" i="61"/>
  <c r="D123" i="61"/>
  <c r="D124" i="61"/>
  <c r="D125" i="61"/>
  <c r="D126" i="61"/>
  <c r="D127" i="61"/>
  <c r="D128" i="61"/>
  <c r="D129" i="61"/>
  <c r="D130" i="61"/>
  <c r="D131" i="61"/>
  <c r="D132" i="61"/>
  <c r="D133" i="61"/>
  <c r="D134" i="61"/>
  <c r="D135" i="61"/>
  <c r="D136" i="61"/>
  <c r="D137" i="61"/>
  <c r="D138" i="61"/>
  <c r="D139" i="61"/>
  <c r="D140" i="61"/>
  <c r="D141" i="61"/>
  <c r="D142" i="61"/>
  <c r="D143" i="61"/>
  <c r="D144" i="61"/>
  <c r="D145" i="61"/>
  <c r="D146" i="61"/>
  <c r="D147" i="61"/>
  <c r="C53" i="61"/>
  <c r="C54" i="61"/>
  <c r="C55" i="61"/>
  <c r="C56" i="61"/>
  <c r="C57" i="61"/>
  <c r="C58" i="61"/>
  <c r="C59" i="61"/>
  <c r="C60" i="61"/>
  <c r="C61" i="61"/>
  <c r="C62" i="61"/>
  <c r="C63" i="61"/>
  <c r="C64" i="61"/>
  <c r="C65" i="61"/>
  <c r="C66" i="61"/>
  <c r="C67" i="61"/>
  <c r="C68" i="61"/>
  <c r="C69" i="61"/>
  <c r="C70" i="61"/>
  <c r="C71" i="61"/>
  <c r="C72" i="61"/>
  <c r="C73" i="61"/>
  <c r="C74" i="61"/>
  <c r="C75" i="61"/>
  <c r="C76" i="61"/>
  <c r="C77" i="61"/>
  <c r="C78" i="61"/>
  <c r="C79" i="61"/>
  <c r="C82" i="61"/>
  <c r="C83" i="61"/>
  <c r="C84" i="61"/>
  <c r="C85" i="61"/>
  <c r="C86" i="61"/>
  <c r="C87" i="61"/>
  <c r="C88" i="61"/>
  <c r="C89" i="61"/>
  <c r="C90" i="61"/>
  <c r="C91" i="61"/>
  <c r="C92" i="61"/>
  <c r="C93" i="61"/>
  <c r="C94" i="61"/>
  <c r="C95" i="61"/>
  <c r="C96" i="61"/>
  <c r="C97" i="61"/>
  <c r="C98" i="61"/>
  <c r="C99" i="61"/>
  <c r="C100" i="61"/>
  <c r="C101" i="61"/>
  <c r="C102" i="61"/>
  <c r="C103" i="61"/>
  <c r="C104" i="61"/>
  <c r="C105" i="61"/>
  <c r="C106" i="61"/>
  <c r="C107" i="61"/>
  <c r="C108" i="61"/>
  <c r="C109" i="61"/>
  <c r="C110" i="61"/>
  <c r="C111" i="61"/>
  <c r="C112" i="61"/>
  <c r="C113" i="61"/>
  <c r="C114" i="61"/>
  <c r="C115" i="61"/>
  <c r="C116" i="61"/>
  <c r="C117" i="61"/>
  <c r="C118" i="61"/>
  <c r="C119" i="61"/>
  <c r="C120" i="61"/>
  <c r="C121" i="61"/>
  <c r="C122" i="61"/>
  <c r="C123" i="61"/>
  <c r="C124" i="61"/>
  <c r="C125" i="61"/>
  <c r="C126" i="61"/>
  <c r="C127" i="61"/>
  <c r="C128" i="61"/>
  <c r="C129" i="61"/>
  <c r="C130" i="61"/>
  <c r="C131" i="61"/>
  <c r="C133" i="61"/>
  <c r="C134" i="61"/>
  <c r="C135" i="61"/>
  <c r="C136" i="61"/>
  <c r="C137" i="61"/>
  <c r="C138" i="61"/>
  <c r="C139" i="61"/>
  <c r="C140" i="61"/>
  <c r="C141" i="61"/>
  <c r="C142" i="61"/>
  <c r="C143" i="61"/>
  <c r="C144" i="61"/>
  <c r="C145" i="61"/>
  <c r="C146" i="61"/>
  <c r="C147" i="61"/>
  <c r="A4" i="61"/>
  <c r="A5" i="61"/>
  <c r="A6" i="61"/>
  <c r="A7" i="61"/>
  <c r="A8" i="61"/>
  <c r="A9" i="61"/>
  <c r="A10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39" i="61"/>
  <c r="A40" i="61"/>
  <c r="A41" i="61"/>
  <c r="A42" i="61"/>
  <c r="A43" i="61"/>
  <c r="A44" i="61"/>
  <c r="A45" i="61"/>
  <c r="A46" i="61"/>
  <c r="A47" i="61"/>
  <c r="A48" i="61"/>
  <c r="A49" i="61"/>
  <c r="A50" i="61"/>
  <c r="A51" i="61"/>
  <c r="A52" i="61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A68" i="61"/>
  <c r="A69" i="61"/>
  <c r="A70" i="61"/>
  <c r="A71" i="61"/>
  <c r="A72" i="61"/>
  <c r="A73" i="61"/>
  <c r="A74" i="61"/>
  <c r="A75" i="61"/>
  <c r="A76" i="61"/>
  <c r="A77" i="61"/>
  <c r="A78" i="61"/>
  <c r="A79" i="61"/>
  <c r="A80" i="61"/>
  <c r="A81" i="61"/>
  <c r="A82" i="61"/>
  <c r="A83" i="61"/>
  <c r="A84" i="61"/>
  <c r="A85" i="61"/>
  <c r="A86" i="61"/>
  <c r="A87" i="61"/>
  <c r="A88" i="61"/>
  <c r="A89" i="61"/>
  <c r="A90" i="61"/>
  <c r="A91" i="61"/>
  <c r="A92" i="61"/>
  <c r="A93" i="61"/>
  <c r="A94" i="61"/>
  <c r="A95" i="61"/>
  <c r="A96" i="61"/>
  <c r="A97" i="61"/>
  <c r="A98" i="61"/>
  <c r="A99" i="61"/>
  <c r="A100" i="61"/>
  <c r="A101" i="61"/>
  <c r="A102" i="61"/>
  <c r="A103" i="61"/>
  <c r="A104" i="61"/>
  <c r="A105" i="61"/>
  <c r="A106" i="61"/>
  <c r="A107" i="61"/>
  <c r="A108" i="61"/>
  <c r="A109" i="61"/>
  <c r="A110" i="61"/>
  <c r="A111" i="61"/>
  <c r="A112" i="61"/>
  <c r="A113" i="61"/>
  <c r="A114" i="61"/>
  <c r="A115" i="61"/>
  <c r="A116" i="61"/>
  <c r="A117" i="61"/>
  <c r="A118" i="61"/>
  <c r="A119" i="61"/>
  <c r="A120" i="61"/>
  <c r="A121" i="61"/>
  <c r="A122" i="61"/>
  <c r="A123" i="61"/>
  <c r="A124" i="61"/>
  <c r="A125" i="61"/>
  <c r="A126" i="61"/>
  <c r="A127" i="61"/>
  <c r="A128" i="61"/>
  <c r="A129" i="61"/>
  <c r="A130" i="61"/>
  <c r="A131" i="61"/>
  <c r="A132" i="61"/>
  <c r="A133" i="61"/>
  <c r="A134" i="61"/>
  <c r="A135" i="61"/>
  <c r="A136" i="61"/>
  <c r="A137" i="61"/>
  <c r="A138" i="61"/>
  <c r="A139" i="61"/>
  <c r="A140" i="61"/>
  <c r="A141" i="61"/>
  <c r="A142" i="61"/>
  <c r="A143" i="61"/>
  <c r="A144" i="61"/>
  <c r="A145" i="61"/>
  <c r="A146" i="61"/>
  <c r="A147" i="61"/>
  <c r="A3" i="68"/>
  <c r="A1" i="68"/>
  <c r="E237" i="60" l="1"/>
  <c r="E235" i="60"/>
  <c r="E236" i="60"/>
  <c r="B25" i="17"/>
  <c r="E234" i="60"/>
  <c r="E233" i="60"/>
  <c r="C217" i="49"/>
  <c r="E232" i="60"/>
  <c r="AJ89" i="2"/>
  <c r="D217" i="49" l="1"/>
  <c r="E217" i="49" s="1"/>
  <c r="E230" i="60"/>
  <c r="E231" i="60"/>
  <c r="H166" i="49" l="1"/>
  <c r="J166" i="49" s="1"/>
  <c r="E228" i="60" l="1"/>
  <c r="A266" i="65"/>
  <c r="A267" i="65" s="1"/>
  <c r="A268" i="65" s="1"/>
  <c r="A269" i="65" s="1"/>
  <c r="A270" i="65" s="1"/>
  <c r="A548" i="11"/>
  <c r="A549" i="11" s="1"/>
  <c r="A545" i="11"/>
  <c r="A546" i="11" s="1"/>
  <c r="A547" i="11" s="1"/>
  <c r="E227" i="60"/>
  <c r="E225" i="60"/>
  <c r="E226" i="60"/>
  <c r="E224" i="60"/>
  <c r="H195" i="48" l="1"/>
  <c r="H194" i="48"/>
  <c r="H191" i="48"/>
  <c r="H190" i="48"/>
  <c r="H186" i="48"/>
  <c r="H183" i="48"/>
  <c r="H182" i="48"/>
  <c r="E223" i="60" l="1"/>
  <c r="E222" i="60" l="1"/>
  <c r="C12" i="49"/>
  <c r="E221" i="60"/>
  <c r="E220" i="60"/>
  <c r="E219" i="60"/>
  <c r="E218" i="60"/>
  <c r="E217" i="60"/>
  <c r="E216" i="60"/>
  <c r="E215" i="60" l="1"/>
  <c r="E214" i="60" l="1"/>
  <c r="B53" i="61" l="1"/>
  <c r="B54" i="61"/>
  <c r="B55" i="61"/>
  <c r="B56" i="61"/>
  <c r="B57" i="61"/>
  <c r="B58" i="61"/>
  <c r="B59" i="61"/>
  <c r="B60" i="61"/>
  <c r="B61" i="61"/>
  <c r="B62" i="61"/>
  <c r="B63" i="61"/>
  <c r="B64" i="61"/>
  <c r="B65" i="61"/>
  <c r="B66" i="61"/>
  <c r="B67" i="61"/>
  <c r="B68" i="61"/>
  <c r="B69" i="61"/>
  <c r="B70" i="61"/>
  <c r="B71" i="61"/>
  <c r="B72" i="61"/>
  <c r="B73" i="61"/>
  <c r="B74" i="61"/>
  <c r="B75" i="61"/>
  <c r="B76" i="61"/>
  <c r="B77" i="61"/>
  <c r="B78" i="61"/>
  <c r="B79" i="61"/>
  <c r="B80" i="61"/>
  <c r="B81" i="61"/>
  <c r="B82" i="61"/>
  <c r="B83" i="61"/>
  <c r="B84" i="61"/>
  <c r="B85" i="61"/>
  <c r="B86" i="61"/>
  <c r="B87" i="61"/>
  <c r="B88" i="61"/>
  <c r="B89" i="61"/>
  <c r="B90" i="61"/>
  <c r="B91" i="61"/>
  <c r="B92" i="61"/>
  <c r="B93" i="61"/>
  <c r="B94" i="61"/>
  <c r="B95" i="61"/>
  <c r="B96" i="61"/>
  <c r="B97" i="61"/>
  <c r="B98" i="61"/>
  <c r="B99" i="61"/>
  <c r="B100" i="61"/>
  <c r="B101" i="61"/>
  <c r="B102" i="61"/>
  <c r="B103" i="61"/>
  <c r="B104" i="61"/>
  <c r="B105" i="61"/>
  <c r="B106" i="61"/>
  <c r="B107" i="61"/>
  <c r="B108" i="61"/>
  <c r="B109" i="61"/>
  <c r="B110" i="61"/>
  <c r="B111" i="61"/>
  <c r="B112" i="61"/>
  <c r="B113" i="61"/>
  <c r="B114" i="61"/>
  <c r="B115" i="61"/>
  <c r="B116" i="61"/>
  <c r="B117" i="61"/>
  <c r="B118" i="61"/>
  <c r="B119" i="61"/>
  <c r="B120" i="61"/>
  <c r="B121" i="61"/>
  <c r="B122" i="61"/>
  <c r="B123" i="61"/>
  <c r="B124" i="61"/>
  <c r="B125" i="61"/>
  <c r="B126" i="61"/>
  <c r="B127" i="61"/>
  <c r="B128" i="61"/>
  <c r="B129" i="61"/>
  <c r="B130" i="61"/>
  <c r="B131" i="61"/>
  <c r="B132" i="61"/>
  <c r="B133" i="61"/>
  <c r="B134" i="61"/>
  <c r="B135" i="61"/>
  <c r="B136" i="61"/>
  <c r="B137" i="61"/>
  <c r="B138" i="61"/>
  <c r="B139" i="61"/>
  <c r="B140" i="61"/>
  <c r="B141" i="61"/>
  <c r="B142" i="61"/>
  <c r="B143" i="61"/>
  <c r="B144" i="61"/>
  <c r="B145" i="61"/>
  <c r="B146" i="61"/>
  <c r="B147" i="61"/>
  <c r="E213" i="60"/>
  <c r="A51" i="62" l="1"/>
  <c r="E212" i="60"/>
  <c r="E211" i="60" l="1"/>
  <c r="AJ62" i="2"/>
  <c r="C62" i="2"/>
  <c r="E62" i="2"/>
  <c r="AM62" i="2"/>
  <c r="AL62" i="2"/>
  <c r="M62" i="2"/>
  <c r="AK62" i="2" l="1"/>
  <c r="T62" i="2"/>
  <c r="X62" i="2"/>
  <c r="A261" i="65"/>
  <c r="A262" i="65" s="1"/>
  <c r="D62" i="2"/>
  <c r="N62" i="2"/>
  <c r="AN62" i="2" l="1"/>
  <c r="AG62" i="2"/>
  <c r="AF62" i="2"/>
  <c r="F62" i="2"/>
  <c r="AL523" i="11"/>
  <c r="AM523" i="11"/>
  <c r="AL524" i="11"/>
  <c r="AM524" i="11"/>
  <c r="AL534" i="11"/>
  <c r="AM534" i="11"/>
  <c r="B7" i="24"/>
  <c r="E210" i="60"/>
  <c r="E17" i="49"/>
  <c r="D16" i="17"/>
  <c r="C61" i="2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Y11" i="2"/>
  <c r="E209" i="60"/>
  <c r="E208" i="60"/>
  <c r="Y56" i="2"/>
  <c r="Y36" i="2"/>
  <c r="Y41" i="2"/>
  <c r="Y39" i="2"/>
  <c r="Y43" i="2"/>
  <c r="Y26" i="2"/>
  <c r="Y31" i="2"/>
  <c r="Y57" i="2"/>
  <c r="Y30" i="2"/>
  <c r="Y18" i="2"/>
  <c r="Y37" i="2"/>
  <c r="Y53" i="2"/>
  <c r="Y61" i="2"/>
  <c r="Y28" i="2"/>
  <c r="Y46" i="2"/>
  <c r="Y35" i="2"/>
  <c r="Y25" i="2"/>
  <c r="Y16" i="2"/>
  <c r="Y47" i="2"/>
  <c r="Y42" i="2"/>
  <c r="Y54" i="2"/>
  <c r="Y52" i="2"/>
  <c r="Y51" i="2"/>
  <c r="Y33" i="2"/>
  <c r="Y32" i="2"/>
  <c r="Y45" i="2"/>
  <c r="Y17" i="2"/>
  <c r="Y21" i="2"/>
  <c r="Y24" i="2"/>
  <c r="Y22" i="2"/>
  <c r="Y20" i="2"/>
  <c r="Y44" i="2"/>
  <c r="Y13" i="2"/>
  <c r="Y29" i="2"/>
  <c r="Y34" i="2"/>
  <c r="Y19" i="2"/>
  <c r="Y62" i="2"/>
  <c r="Y14" i="2"/>
  <c r="Y55" i="2"/>
  <c r="Y60" i="2"/>
  <c r="Y27" i="2"/>
  <c r="Y40" i="2"/>
  <c r="Y23" i="2"/>
  <c r="Y50" i="2"/>
  <c r="Y49" i="2"/>
  <c r="G62" i="2"/>
  <c r="Y15" i="2"/>
  <c r="Y38" i="2"/>
  <c r="Y58" i="2"/>
  <c r="Y59" i="2"/>
  <c r="Y48" i="2"/>
  <c r="C17" i="61" l="1"/>
  <c r="C12" i="61"/>
  <c r="C8" i="61"/>
  <c r="C20" i="61"/>
  <c r="C25" i="61"/>
  <c r="C24" i="61"/>
  <c r="C27" i="61"/>
  <c r="C9" i="61"/>
  <c r="C22" i="61"/>
  <c r="C41" i="61"/>
  <c r="C18" i="61"/>
  <c r="C15" i="61"/>
  <c r="C47" i="61"/>
  <c r="C7" i="61"/>
  <c r="C13" i="61"/>
  <c r="C39" i="61"/>
  <c r="C34" i="61"/>
  <c r="C19" i="61"/>
  <c r="C29" i="61"/>
  <c r="C30" i="61"/>
  <c r="C28" i="61"/>
  <c r="C40" i="61"/>
  <c r="C37" i="61"/>
  <c r="C49" i="61"/>
  <c r="C16" i="61"/>
  <c r="C14" i="61"/>
  <c r="C42" i="61"/>
  <c r="C4" i="61"/>
  <c r="C46" i="61"/>
  <c r="C31" i="61"/>
  <c r="C44" i="61"/>
  <c r="C26" i="61"/>
  <c r="C10" i="61"/>
  <c r="C50" i="61"/>
  <c r="C52" i="61"/>
  <c r="C51" i="61"/>
  <c r="C5" i="61"/>
  <c r="C23" i="61"/>
  <c r="C32" i="61"/>
  <c r="C6" i="61"/>
  <c r="C43" i="61"/>
  <c r="C33" i="61"/>
  <c r="C38" i="61"/>
  <c r="C11" i="61"/>
  <c r="C45" i="61"/>
  <c r="C48" i="61"/>
  <c r="C21" i="61"/>
  <c r="C36" i="61"/>
  <c r="C35" i="61"/>
  <c r="AA62" i="2"/>
  <c r="H62" i="2"/>
  <c r="I62" i="2" s="1"/>
  <c r="C159" i="49"/>
  <c r="D164" i="49" s="1"/>
  <c r="E164" i="49" s="1"/>
  <c r="E207" i="60"/>
  <c r="F164" i="49" l="1"/>
  <c r="B8" i="25"/>
  <c r="E206" i="60"/>
  <c r="N534" i="11"/>
  <c r="D534" i="11"/>
  <c r="AC13" i="50"/>
  <c r="AC12" i="50"/>
  <c r="AB12" i="50"/>
  <c r="AA12" i="50"/>
  <c r="S63" i="50"/>
  <c r="S64" i="50"/>
  <c r="S65" i="50"/>
  <c r="S66" i="50"/>
  <c r="S67" i="50"/>
  <c r="S68" i="50"/>
  <c r="S69" i="50"/>
  <c r="S70" i="50"/>
  <c r="S71" i="50"/>
  <c r="S72" i="50"/>
  <c r="S73" i="50"/>
  <c r="S74" i="50"/>
  <c r="S75" i="50"/>
  <c r="S76" i="50"/>
  <c r="S77" i="50"/>
  <c r="S78" i="50"/>
  <c r="S79" i="50"/>
  <c r="S80" i="50"/>
  <c r="S81" i="50"/>
  <c r="S82" i="50"/>
  <c r="S83" i="50"/>
  <c r="S84" i="50"/>
  <c r="S85" i="50"/>
  <c r="S86" i="50"/>
  <c r="S87" i="50"/>
  <c r="S88" i="50"/>
  <c r="S89" i="50"/>
  <c r="S90" i="50"/>
  <c r="S91" i="50"/>
  <c r="S92" i="50"/>
  <c r="S93" i="50"/>
  <c r="S94" i="50"/>
  <c r="S95" i="50"/>
  <c r="S96" i="50"/>
  <c r="S97" i="50"/>
  <c r="S98" i="50"/>
  <c r="S99" i="50"/>
  <c r="S100" i="50"/>
  <c r="B9" i="50"/>
  <c r="X14" i="50"/>
  <c r="E205" i="60" l="1"/>
  <c r="E204" i="60" l="1"/>
  <c r="A235" i="65" l="1"/>
  <c r="A233" i="65"/>
  <c r="A225" i="65"/>
  <c r="A206" i="65"/>
  <c r="A207" i="65" s="1"/>
  <c r="A192" i="65"/>
  <c r="A191" i="65"/>
  <c r="A125" i="65"/>
  <c r="A57" i="65"/>
  <c r="AP54" i="65"/>
  <c r="AO54" i="65"/>
  <c r="AL54" i="65"/>
  <c r="AI54" i="65"/>
  <c r="AE54" i="65"/>
  <c r="AF54" i="65" s="1"/>
  <c r="AG54" i="65" s="1"/>
  <c r="AH54" i="65" s="1"/>
  <c r="J54" i="65"/>
  <c r="I54" i="65"/>
  <c r="H54" i="65"/>
  <c r="F54" i="65"/>
  <c r="AP53" i="65"/>
  <c r="AO53" i="65"/>
  <c r="AL53" i="65"/>
  <c r="AI53" i="65"/>
  <c r="AE53" i="65"/>
  <c r="AF53" i="65" s="1"/>
  <c r="AG53" i="65" s="1"/>
  <c r="AH53" i="65" s="1"/>
  <c r="J53" i="65"/>
  <c r="I53" i="65"/>
  <c r="H53" i="65"/>
  <c r="F53" i="65"/>
  <c r="BK52" i="65"/>
  <c r="BJ52" i="65"/>
  <c r="BI52" i="65"/>
  <c r="BC52" i="65"/>
  <c r="BB52" i="65"/>
  <c r="BA52" i="65"/>
  <c r="AZ52" i="65"/>
  <c r="AP52" i="65"/>
  <c r="AO52" i="65"/>
  <c r="AL52" i="65"/>
  <c r="AI52" i="65"/>
  <c r="AE52" i="65"/>
  <c r="AF52" i="65" s="1"/>
  <c r="AG52" i="65" s="1"/>
  <c r="AH52" i="65" s="1"/>
  <c r="J52" i="65"/>
  <c r="I52" i="65"/>
  <c r="H52" i="65"/>
  <c r="F52" i="65"/>
  <c r="AP51" i="65"/>
  <c r="AO51" i="65"/>
  <c r="AL51" i="65"/>
  <c r="AI51" i="65"/>
  <c r="AE51" i="65"/>
  <c r="AF51" i="65" s="1"/>
  <c r="AG51" i="65" s="1"/>
  <c r="AH51" i="65" s="1"/>
  <c r="J51" i="65"/>
  <c r="I51" i="65"/>
  <c r="H51" i="65"/>
  <c r="F51" i="65"/>
  <c r="AP50" i="65"/>
  <c r="AO50" i="65"/>
  <c r="AL50" i="65"/>
  <c r="AI50" i="65"/>
  <c r="AE50" i="65"/>
  <c r="AF50" i="65" s="1"/>
  <c r="AG50" i="65" s="1"/>
  <c r="AH50" i="65" s="1"/>
  <c r="J50" i="65"/>
  <c r="I50" i="65"/>
  <c r="H50" i="65"/>
  <c r="F50" i="65"/>
  <c r="AP49" i="65"/>
  <c r="AO49" i="65"/>
  <c r="AL49" i="65"/>
  <c r="AI49" i="65"/>
  <c r="AE49" i="65"/>
  <c r="AF49" i="65" s="1"/>
  <c r="AG49" i="65" s="1"/>
  <c r="AH49" i="65" s="1"/>
  <c r="J49" i="65"/>
  <c r="I49" i="65"/>
  <c r="H49" i="65"/>
  <c r="F49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E34" i="65"/>
  <c r="AF34" i="65" s="1"/>
  <c r="AG34" i="65" s="1"/>
  <c r="AH34" i="65" s="1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E20" i="65"/>
  <c r="AF20" i="65" s="1"/>
  <c r="AG20" i="65" s="1"/>
  <c r="AH20" i="65" s="1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E17" i="65"/>
  <c r="AF17" i="65" s="1"/>
  <c r="AG17" i="65" s="1"/>
  <c r="AH17" i="65" s="1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E13" i="65"/>
  <c r="AF13" i="65" s="1"/>
  <c r="AG13" i="65" s="1"/>
  <c r="AH13" i="65" s="1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I717" i="11"/>
  <c r="A193" i="65" l="1"/>
  <c r="A226" i="65"/>
  <c r="A126" i="65"/>
  <c r="A58" i="65"/>
  <c r="A208" i="65"/>
  <c r="A227" i="65"/>
  <c r="D717" i="11"/>
  <c r="N716" i="11"/>
  <c r="X716" i="11" s="1"/>
  <c r="J716" i="11"/>
  <c r="A194" i="65" l="1"/>
  <c r="A209" i="65"/>
  <c r="A228" i="65"/>
  <c r="A127" i="65"/>
  <c r="A59" i="65"/>
  <c r="R716" i="11"/>
  <c r="T716" i="11" s="1"/>
  <c r="E716" i="11"/>
  <c r="A195" i="65" l="1"/>
  <c r="A128" i="65"/>
  <c r="A60" i="65"/>
  <c r="A210" i="65"/>
  <c r="AA716" i="11"/>
  <c r="D716" i="11"/>
  <c r="F716" i="11" s="1"/>
  <c r="N715" i="11"/>
  <c r="X715" i="11" s="1"/>
  <c r="J715" i="11"/>
  <c r="I716" i="11"/>
  <c r="A196" i="65" l="1"/>
  <c r="A129" i="65"/>
  <c r="A211" i="65"/>
  <c r="R715" i="11"/>
  <c r="T715" i="11" s="1"/>
  <c r="Z716" i="11"/>
  <c r="AB716" i="11"/>
  <c r="E715" i="11"/>
  <c r="A197" i="65" l="1"/>
  <c r="A212" i="65"/>
  <c r="A130" i="65"/>
  <c r="AA715" i="11"/>
  <c r="AC716" i="11"/>
  <c r="AF716" i="11"/>
  <c r="AD716" i="11"/>
  <c r="AE716" i="11"/>
  <c r="D715" i="11"/>
  <c r="F715" i="11" s="1"/>
  <c r="N714" i="11"/>
  <c r="X714" i="11" s="1"/>
  <c r="I715" i="11"/>
  <c r="J714" i="11"/>
  <c r="A198" i="65" l="1"/>
  <c r="A213" i="65"/>
  <c r="A131" i="65"/>
  <c r="R714" i="11"/>
  <c r="T714" i="11" s="1"/>
  <c r="AB715" i="11"/>
  <c r="Z715" i="11"/>
  <c r="E714" i="11"/>
  <c r="A199" i="65" l="1"/>
  <c r="A132" i="65"/>
  <c r="A214" i="65"/>
  <c r="AA714" i="11"/>
  <c r="AF715" i="11"/>
  <c r="AE715" i="11"/>
  <c r="AD715" i="11"/>
  <c r="AC715" i="11"/>
  <c r="D714" i="11"/>
  <c r="F714" i="11" s="1"/>
  <c r="N713" i="11"/>
  <c r="R713" i="11" s="1"/>
  <c r="T713" i="11" s="1"/>
  <c r="I714" i="11"/>
  <c r="J713" i="11"/>
  <c r="A200" i="65" l="1"/>
  <c r="A133" i="65"/>
  <c r="A215" i="65"/>
  <c r="X713" i="11"/>
  <c r="AB714" i="11"/>
  <c r="Z714" i="11"/>
  <c r="E713" i="11"/>
  <c r="A201" i="65" l="1"/>
  <c r="A134" i="65"/>
  <c r="AA713" i="11"/>
  <c r="AF714" i="11"/>
  <c r="AD714" i="11"/>
  <c r="AE714" i="11"/>
  <c r="AC714" i="11"/>
  <c r="D713" i="11"/>
  <c r="F713" i="11" s="1"/>
  <c r="N712" i="11"/>
  <c r="X712" i="11" s="1"/>
  <c r="I713" i="11"/>
  <c r="J712" i="11"/>
  <c r="A202" i="65" l="1"/>
  <c r="A135" i="65"/>
  <c r="R712" i="11"/>
  <c r="T712" i="11" s="1"/>
  <c r="AB713" i="11"/>
  <c r="Z713" i="11"/>
  <c r="E712" i="11"/>
  <c r="A203" i="65" l="1"/>
  <c r="A136" i="65"/>
  <c r="AA712" i="11"/>
  <c r="AF713" i="11"/>
  <c r="AE713" i="11"/>
  <c r="AD713" i="11"/>
  <c r="AC713" i="11"/>
  <c r="D712" i="11"/>
  <c r="F712" i="11" s="1"/>
  <c r="N711" i="11"/>
  <c r="X711" i="11" s="1"/>
  <c r="J711" i="11"/>
  <c r="I712" i="11"/>
  <c r="A204" i="65" l="1"/>
  <c r="A137" i="65"/>
  <c r="R711" i="11"/>
  <c r="T711" i="11" s="1"/>
  <c r="AB712" i="11"/>
  <c r="Z712" i="11"/>
  <c r="E711" i="11"/>
  <c r="A138" i="65" l="1"/>
  <c r="AA711" i="11"/>
  <c r="AF712" i="11"/>
  <c r="AC712" i="11"/>
  <c r="AD712" i="11"/>
  <c r="AE712" i="11"/>
  <c r="D711" i="11"/>
  <c r="F711" i="11" s="1"/>
  <c r="N710" i="11"/>
  <c r="X710" i="11" s="1"/>
  <c r="I711" i="11"/>
  <c r="J710" i="11"/>
  <c r="A139" i="65" l="1"/>
  <c r="R710" i="11"/>
  <c r="T710" i="11" s="1"/>
  <c r="AB711" i="11"/>
  <c r="Z711" i="11"/>
  <c r="E710" i="11"/>
  <c r="A140" i="65" l="1"/>
  <c r="AA710" i="11"/>
  <c r="AE711" i="11"/>
  <c r="AD711" i="11"/>
  <c r="AF711" i="11"/>
  <c r="AC711" i="11"/>
  <c r="D710" i="11"/>
  <c r="F710" i="11" s="1"/>
  <c r="N709" i="11"/>
  <c r="X709" i="11" s="1"/>
  <c r="I710" i="11"/>
  <c r="J709" i="11"/>
  <c r="A141" i="65" l="1"/>
  <c r="R709" i="11"/>
  <c r="T709" i="11" s="1"/>
  <c r="AB710" i="11"/>
  <c r="Z710" i="11"/>
  <c r="E709" i="11"/>
  <c r="A142" i="65" l="1"/>
  <c r="AA709" i="11"/>
  <c r="AE710" i="11"/>
  <c r="AD710" i="11"/>
  <c r="AF710" i="11"/>
  <c r="AC710" i="11"/>
  <c r="D709" i="11"/>
  <c r="F709" i="11" s="1"/>
  <c r="N708" i="11"/>
  <c r="X708" i="11" s="1"/>
  <c r="J708" i="11"/>
  <c r="I709" i="11"/>
  <c r="A143" i="65" l="1"/>
  <c r="R708" i="11"/>
  <c r="T708" i="11" s="1"/>
  <c r="AB709" i="11"/>
  <c r="Z709" i="11"/>
  <c r="E708" i="11"/>
  <c r="AA708" i="11" l="1"/>
  <c r="AF709" i="11"/>
  <c r="AC709" i="11"/>
  <c r="AE709" i="11"/>
  <c r="AD709" i="11"/>
  <c r="D708" i="11"/>
  <c r="F708" i="11" s="1"/>
  <c r="N707" i="11"/>
  <c r="R707" i="11" s="1"/>
  <c r="T707" i="11" s="1"/>
  <c r="I708" i="11"/>
  <c r="J707" i="11"/>
  <c r="X707" i="11" l="1"/>
  <c r="AB708" i="11"/>
  <c r="Z708" i="11"/>
  <c r="E707" i="11"/>
  <c r="AA707" i="11" l="1"/>
  <c r="AE708" i="11"/>
  <c r="AC708" i="11"/>
  <c r="AD708" i="11"/>
  <c r="AF708" i="11"/>
  <c r="D707" i="11"/>
  <c r="F707" i="11" s="1"/>
  <c r="N706" i="11"/>
  <c r="X706" i="11" s="1"/>
  <c r="I707" i="11"/>
  <c r="J706" i="11"/>
  <c r="R706" i="11" l="1"/>
  <c r="T706" i="11" s="1"/>
  <c r="AB707" i="11"/>
  <c r="Z707" i="11"/>
  <c r="E706" i="11"/>
  <c r="AA706" i="11" l="1"/>
  <c r="AF707" i="11"/>
  <c r="AE707" i="11"/>
  <c r="AD707" i="11"/>
  <c r="AC707" i="11"/>
  <c r="D706" i="11"/>
  <c r="F706" i="11" s="1"/>
  <c r="N705" i="11"/>
  <c r="X705" i="11" s="1"/>
  <c r="I706" i="11"/>
  <c r="J705" i="11"/>
  <c r="R705" i="11" l="1"/>
  <c r="T705" i="11" s="1"/>
  <c r="AB706" i="11"/>
  <c r="Z706" i="11"/>
  <c r="E705" i="11"/>
  <c r="AA705" i="11" l="1"/>
  <c r="AF706" i="11"/>
  <c r="AD706" i="11"/>
  <c r="AC706" i="11"/>
  <c r="AE706" i="11"/>
  <c r="D705" i="11"/>
  <c r="F705" i="11" s="1"/>
  <c r="N704" i="11"/>
  <c r="X704" i="11" s="1"/>
  <c r="I705" i="11"/>
  <c r="J704" i="11"/>
  <c r="R704" i="11" l="1"/>
  <c r="T704" i="11" s="1"/>
  <c r="AB705" i="11"/>
  <c r="Z705" i="11"/>
  <c r="E704" i="11"/>
  <c r="AA704" i="11" l="1"/>
  <c r="AF705" i="11"/>
  <c r="AE705" i="11"/>
  <c r="AC705" i="11"/>
  <c r="AD705" i="11"/>
  <c r="D704" i="11"/>
  <c r="F704" i="11" s="1"/>
  <c r="N703" i="11"/>
  <c r="R703" i="11" s="1"/>
  <c r="T703" i="11" s="1"/>
  <c r="I704" i="11"/>
  <c r="J703" i="11"/>
  <c r="X703" i="11" l="1"/>
  <c r="AB704" i="11"/>
  <c r="Z704" i="11"/>
  <c r="E703" i="11"/>
  <c r="AA703" i="11" l="1"/>
  <c r="AF704" i="11"/>
  <c r="AC704" i="11"/>
  <c r="AE704" i="11"/>
  <c r="AD704" i="11"/>
  <c r="D703" i="11"/>
  <c r="F703" i="11" s="1"/>
  <c r="N702" i="11"/>
  <c r="R702" i="11" s="1"/>
  <c r="T702" i="11" s="1"/>
  <c r="J702" i="11"/>
  <c r="I703" i="11"/>
  <c r="X702" i="11" l="1"/>
  <c r="AB703" i="11"/>
  <c r="Z703" i="11"/>
  <c r="E702" i="11"/>
  <c r="AA702" i="11" l="1"/>
  <c r="AF703" i="11"/>
  <c r="AC703" i="11"/>
  <c r="AE703" i="11"/>
  <c r="AD703" i="11"/>
  <c r="D702" i="11"/>
  <c r="F702" i="11" s="1"/>
  <c r="N701" i="11"/>
  <c r="X701" i="11" s="1"/>
  <c r="J701" i="11"/>
  <c r="I702" i="11"/>
  <c r="R701" i="11" l="1"/>
  <c r="T701" i="11" s="1"/>
  <c r="AB702" i="11"/>
  <c r="Z702" i="11"/>
  <c r="E701" i="11"/>
  <c r="AA701" i="11" l="1"/>
  <c r="AF702" i="11"/>
  <c r="AE702" i="11"/>
  <c r="AC702" i="11"/>
  <c r="AD702" i="11"/>
  <c r="D701" i="11"/>
  <c r="F701" i="11" s="1"/>
  <c r="N700" i="11"/>
  <c r="X700" i="11" s="1"/>
  <c r="I701" i="11"/>
  <c r="J700" i="11"/>
  <c r="R700" i="11" l="1"/>
  <c r="T700" i="11" s="1"/>
  <c r="AB701" i="11"/>
  <c r="Z701" i="11"/>
  <c r="E700" i="11"/>
  <c r="AA700" i="11" l="1"/>
  <c r="AE701" i="11"/>
  <c r="AC701" i="11"/>
  <c r="AF701" i="11"/>
  <c r="AD701" i="11"/>
  <c r="D700" i="11"/>
  <c r="F700" i="11" s="1"/>
  <c r="N699" i="11"/>
  <c r="X699" i="11" s="1"/>
  <c r="I700" i="11"/>
  <c r="J699" i="11"/>
  <c r="R699" i="11" l="1"/>
  <c r="T699" i="11" s="1"/>
  <c r="AB700" i="11"/>
  <c r="Z700" i="11"/>
  <c r="E699" i="11"/>
  <c r="AA699" i="11" l="1"/>
  <c r="AD700" i="11"/>
  <c r="AF700" i="11"/>
  <c r="AC700" i="11"/>
  <c r="AE700" i="11"/>
  <c r="D699" i="11"/>
  <c r="F699" i="11" s="1"/>
  <c r="N698" i="11"/>
  <c r="X698" i="11" s="1"/>
  <c r="I699" i="11"/>
  <c r="J698" i="11"/>
  <c r="R698" i="11" l="1"/>
  <c r="T698" i="11" s="1"/>
  <c r="AB699" i="11"/>
  <c r="Z699" i="11"/>
  <c r="E698" i="11"/>
  <c r="AA698" i="11" l="1"/>
  <c r="AF699" i="11"/>
  <c r="AC699" i="11"/>
  <c r="AE699" i="11"/>
  <c r="AD699" i="11"/>
  <c r="D698" i="11"/>
  <c r="F698" i="11" s="1"/>
  <c r="N697" i="11"/>
  <c r="R697" i="11" s="1"/>
  <c r="T697" i="11" s="1"/>
  <c r="I698" i="11"/>
  <c r="J697" i="11"/>
  <c r="X697" i="11" l="1"/>
  <c r="AB698" i="11"/>
  <c r="Z698" i="11"/>
  <c r="E697" i="11"/>
  <c r="AA697" i="11" l="1"/>
  <c r="AF698" i="11"/>
  <c r="AD698" i="11"/>
  <c r="AE698" i="11"/>
  <c r="AC698" i="11"/>
  <c r="D697" i="11"/>
  <c r="F697" i="11" s="1"/>
  <c r="N696" i="11"/>
  <c r="X696" i="11" s="1"/>
  <c r="I697" i="11"/>
  <c r="J696" i="11"/>
  <c r="R696" i="11" l="1"/>
  <c r="T696" i="11" s="1"/>
  <c r="AB697" i="11"/>
  <c r="Z697" i="11"/>
  <c r="E696" i="11"/>
  <c r="AA696" i="11" l="1"/>
  <c r="AE697" i="11"/>
  <c r="AC697" i="11"/>
  <c r="AF697" i="11"/>
  <c r="AD697" i="11"/>
  <c r="D696" i="11"/>
  <c r="F696" i="11" s="1"/>
  <c r="N695" i="11"/>
  <c r="X695" i="11" s="1"/>
  <c r="I696" i="11"/>
  <c r="J695" i="11"/>
  <c r="R695" i="11" l="1"/>
  <c r="T695" i="11" s="1"/>
  <c r="AB696" i="11"/>
  <c r="Z696" i="11"/>
  <c r="E695" i="11"/>
  <c r="AA695" i="11" l="1"/>
  <c r="AD696" i="11"/>
  <c r="AC696" i="11"/>
  <c r="AE696" i="11"/>
  <c r="AF696" i="11"/>
  <c r="D695" i="11"/>
  <c r="F695" i="11" s="1"/>
  <c r="N694" i="11"/>
  <c r="X694" i="11" s="1"/>
  <c r="I695" i="11"/>
  <c r="J694" i="11"/>
  <c r="R694" i="11" l="1"/>
  <c r="T694" i="11" s="1"/>
  <c r="AB695" i="11"/>
  <c r="Z695" i="11"/>
  <c r="E694" i="11"/>
  <c r="AA694" i="11" l="1"/>
  <c r="AF695" i="11"/>
  <c r="AD695" i="11"/>
  <c r="AE695" i="11"/>
  <c r="AC695" i="11"/>
  <c r="D694" i="11"/>
  <c r="F694" i="11" s="1"/>
  <c r="N693" i="11"/>
  <c r="X693" i="11" s="1"/>
  <c r="J693" i="11"/>
  <c r="I694" i="11"/>
  <c r="R693" i="11" l="1"/>
  <c r="T693" i="11" s="1"/>
  <c r="AB694" i="11"/>
  <c r="Z694" i="11"/>
  <c r="E693" i="11"/>
  <c r="AA693" i="11" l="1"/>
  <c r="AE694" i="11"/>
  <c r="AC694" i="11"/>
  <c r="AF694" i="11"/>
  <c r="AD694" i="11"/>
  <c r="D693" i="11"/>
  <c r="F693" i="11" s="1"/>
  <c r="N692" i="11"/>
  <c r="X692" i="11" s="1"/>
  <c r="J692" i="11"/>
  <c r="I693" i="11"/>
  <c r="R692" i="11" l="1"/>
  <c r="T692" i="11" s="1"/>
  <c r="AB693" i="11"/>
  <c r="Z693" i="11"/>
  <c r="E692" i="11"/>
  <c r="AA692" i="11" l="1"/>
  <c r="AF693" i="11"/>
  <c r="AC693" i="11"/>
  <c r="AD693" i="11"/>
  <c r="AE693" i="11"/>
  <c r="D692" i="11"/>
  <c r="F692" i="11" s="1"/>
  <c r="N691" i="11"/>
  <c r="R691" i="11" s="1"/>
  <c r="T691" i="11" s="1"/>
  <c r="I692" i="11"/>
  <c r="J691" i="11"/>
  <c r="X691" i="11" l="1"/>
  <c r="AB692" i="11"/>
  <c r="Z692" i="11"/>
  <c r="E691" i="11"/>
  <c r="AA691" i="11" l="1"/>
  <c r="AC692" i="11"/>
  <c r="AE692" i="11"/>
  <c r="AN692" i="11"/>
  <c r="AD692" i="11"/>
  <c r="AF692" i="11"/>
  <c r="D691" i="11"/>
  <c r="F691" i="11" s="1"/>
  <c r="N690" i="11"/>
  <c r="R690" i="11" s="1"/>
  <c r="T690" i="11" s="1"/>
  <c r="I691" i="11"/>
  <c r="J690" i="11"/>
  <c r="X690" i="11" l="1"/>
  <c r="AB691" i="11"/>
  <c r="Z691" i="11"/>
  <c r="E690" i="11"/>
  <c r="AA690" i="11" l="1"/>
  <c r="AC691" i="11"/>
  <c r="AN691" i="11"/>
  <c r="AF691" i="11"/>
  <c r="AD691" i="11"/>
  <c r="AE691" i="11"/>
  <c r="D690" i="11"/>
  <c r="F690" i="11" s="1"/>
  <c r="N689" i="11"/>
  <c r="X689" i="11" s="1"/>
  <c r="I690" i="11"/>
  <c r="J689" i="11"/>
  <c r="R689" i="11" l="1"/>
  <c r="T689" i="11" s="1"/>
  <c r="AB690" i="11"/>
  <c r="Z690" i="11"/>
  <c r="E689" i="11"/>
  <c r="AA689" i="11" l="1"/>
  <c r="AD690" i="11"/>
  <c r="AC690" i="11"/>
  <c r="AF690" i="11"/>
  <c r="AN690" i="11"/>
  <c r="AE690" i="11"/>
  <c r="D689" i="11"/>
  <c r="F689" i="11" s="1"/>
  <c r="N688" i="11"/>
  <c r="X688" i="11" s="1"/>
  <c r="I689" i="11"/>
  <c r="J688" i="11"/>
  <c r="R688" i="11" l="1"/>
  <c r="T688" i="11" s="1"/>
  <c r="AB689" i="11"/>
  <c r="Z689" i="11"/>
  <c r="E688" i="11"/>
  <c r="AA688" i="11" l="1"/>
  <c r="AD689" i="11"/>
  <c r="AC689" i="11"/>
  <c r="AN689" i="11"/>
  <c r="AE689" i="11"/>
  <c r="AF689" i="11"/>
  <c r="D688" i="11"/>
  <c r="F688" i="11" s="1"/>
  <c r="N687" i="11"/>
  <c r="R687" i="11" s="1"/>
  <c r="T687" i="11" s="1"/>
  <c r="I688" i="11"/>
  <c r="J687" i="11"/>
  <c r="X687" i="11" l="1"/>
  <c r="AB688" i="11"/>
  <c r="Z688" i="11"/>
  <c r="E687" i="11"/>
  <c r="AA687" i="11" l="1"/>
  <c r="AD688" i="11"/>
  <c r="AC688" i="11"/>
  <c r="AN688" i="11"/>
  <c r="AE688" i="11"/>
  <c r="AF688" i="11"/>
  <c r="D687" i="11"/>
  <c r="F687" i="11" s="1"/>
  <c r="N686" i="11"/>
  <c r="X686" i="11" s="1"/>
  <c r="I687" i="11"/>
  <c r="J686" i="11"/>
  <c r="AB687" i="11" l="1"/>
  <c r="Z687" i="11"/>
  <c r="R686" i="11"/>
  <c r="T686" i="11" s="1"/>
  <c r="E686" i="11"/>
  <c r="AA686" i="11" l="1"/>
  <c r="AD687" i="11"/>
  <c r="AC687" i="11"/>
  <c r="AN687" i="11"/>
  <c r="AE687" i="11"/>
  <c r="AF687" i="11"/>
  <c r="D686" i="11"/>
  <c r="F686" i="11" s="1"/>
  <c r="N685" i="11"/>
  <c r="R685" i="11" s="1"/>
  <c r="T685" i="11" s="1"/>
  <c r="I686" i="11"/>
  <c r="J685" i="11"/>
  <c r="X685" i="11" l="1"/>
  <c r="AB686" i="11"/>
  <c r="Z686" i="11"/>
  <c r="E685" i="11"/>
  <c r="AA685" i="11" l="1"/>
  <c r="AD686" i="11"/>
  <c r="AC686" i="11"/>
  <c r="AN686" i="11"/>
  <c r="AF686" i="11"/>
  <c r="AE686" i="11"/>
  <c r="D685" i="11"/>
  <c r="F685" i="11" s="1"/>
  <c r="N684" i="11"/>
  <c r="R684" i="11" s="1"/>
  <c r="T684" i="11" s="1"/>
  <c r="I685" i="11"/>
  <c r="J684" i="11"/>
  <c r="X684" i="11" l="1"/>
  <c r="AB685" i="11"/>
  <c r="Z685" i="11"/>
  <c r="E684" i="11"/>
  <c r="AA684" i="11" l="1"/>
  <c r="AD685" i="11"/>
  <c r="AC685" i="11"/>
  <c r="AF685" i="11"/>
  <c r="AN685" i="11"/>
  <c r="AE685" i="11"/>
  <c r="D684" i="11"/>
  <c r="F684" i="11" s="1"/>
  <c r="N683" i="11"/>
  <c r="X683" i="11" s="1"/>
  <c r="I684" i="11"/>
  <c r="J683" i="11"/>
  <c r="R683" i="11" l="1"/>
  <c r="T683" i="11" s="1"/>
  <c r="Z684" i="11"/>
  <c r="AB684" i="11"/>
  <c r="E683" i="11"/>
  <c r="AA683" i="11" l="1"/>
  <c r="AD684" i="11"/>
  <c r="AC684" i="11"/>
  <c r="AN684" i="11"/>
  <c r="AF684" i="11"/>
  <c r="AE684" i="11"/>
  <c r="D683" i="11"/>
  <c r="F683" i="11" s="1"/>
  <c r="N682" i="11"/>
  <c r="X682" i="11" s="1"/>
  <c r="J682" i="11"/>
  <c r="I683" i="11"/>
  <c r="R682" i="11" l="1"/>
  <c r="T682" i="11" s="1"/>
  <c r="AB683" i="11"/>
  <c r="Z683" i="11"/>
  <c r="E682" i="11"/>
  <c r="AA682" i="11" l="1"/>
  <c r="AD683" i="11"/>
  <c r="AC683" i="11"/>
  <c r="AF683" i="11"/>
  <c r="AE683" i="11"/>
  <c r="AN683" i="11"/>
  <c r="D682" i="11"/>
  <c r="F682" i="11" s="1"/>
  <c r="N681" i="11"/>
  <c r="X681" i="11" s="1"/>
  <c r="J681" i="11"/>
  <c r="I682" i="11"/>
  <c r="R681" i="11" l="1"/>
  <c r="T681" i="11" s="1"/>
  <c r="Z682" i="11"/>
  <c r="AB682" i="11"/>
  <c r="E681" i="11"/>
  <c r="AA681" i="11" l="1"/>
  <c r="AD682" i="11"/>
  <c r="AF682" i="11"/>
  <c r="AC682" i="11"/>
  <c r="AE682" i="11"/>
  <c r="AN682" i="11"/>
  <c r="D681" i="11"/>
  <c r="F681" i="11" s="1"/>
  <c r="N680" i="11"/>
  <c r="R680" i="11" s="1"/>
  <c r="T680" i="11" s="1"/>
  <c r="I681" i="11"/>
  <c r="J680" i="11"/>
  <c r="X680" i="11" l="1"/>
  <c r="AB681" i="11"/>
  <c r="Z681" i="11"/>
  <c r="E680" i="11"/>
  <c r="AA680" i="11" l="1"/>
  <c r="AD681" i="11"/>
  <c r="AC681" i="11"/>
  <c r="AE681" i="11"/>
  <c r="AF681" i="11"/>
  <c r="AN681" i="11"/>
  <c r="D680" i="11"/>
  <c r="F680" i="11" s="1"/>
  <c r="N679" i="11"/>
  <c r="X679" i="11" s="1"/>
  <c r="I680" i="11"/>
  <c r="J679" i="11"/>
  <c r="R679" i="11" l="1"/>
  <c r="T679" i="11" s="1"/>
  <c r="AB680" i="11"/>
  <c r="Z680" i="11"/>
  <c r="E679" i="11"/>
  <c r="AA679" i="11" l="1"/>
  <c r="AD680" i="11"/>
  <c r="AC680" i="11"/>
  <c r="AE680" i="11"/>
  <c r="AN680" i="11"/>
  <c r="AF680" i="11"/>
  <c r="D679" i="11"/>
  <c r="F679" i="11" s="1"/>
  <c r="N678" i="11"/>
  <c r="X678" i="11" s="1"/>
  <c r="J678" i="11"/>
  <c r="I679" i="11"/>
  <c r="R678" i="11" l="1"/>
  <c r="T678" i="11" s="1"/>
  <c r="AB679" i="11"/>
  <c r="Z679" i="11"/>
  <c r="E678" i="11"/>
  <c r="AA678" i="11" l="1"/>
  <c r="AD679" i="11"/>
  <c r="AC679" i="11"/>
  <c r="AN679" i="11"/>
  <c r="AF679" i="11"/>
  <c r="AE679" i="11"/>
  <c r="D678" i="11"/>
  <c r="F678" i="11" s="1"/>
  <c r="N677" i="11"/>
  <c r="X677" i="11" s="1"/>
  <c r="J677" i="11"/>
  <c r="I678" i="11"/>
  <c r="R677" i="11" l="1"/>
  <c r="T677" i="11" s="1"/>
  <c r="AB678" i="11"/>
  <c r="Z678" i="11"/>
  <c r="E677" i="11"/>
  <c r="AA677" i="11" l="1"/>
  <c r="AD678" i="11"/>
  <c r="AC678" i="11"/>
  <c r="AN678" i="11"/>
  <c r="AF678" i="11"/>
  <c r="AE678" i="11"/>
  <c r="D677" i="11"/>
  <c r="F677" i="11" s="1"/>
  <c r="N676" i="11"/>
  <c r="X676" i="11" s="1"/>
  <c r="I677" i="11"/>
  <c r="J676" i="11"/>
  <c r="R676" i="11" l="1"/>
  <c r="T676" i="11" s="1"/>
  <c r="AB677" i="11"/>
  <c r="Z677" i="11"/>
  <c r="E676" i="11"/>
  <c r="AA676" i="11" l="1"/>
  <c r="AD677" i="11"/>
  <c r="AC677" i="11"/>
  <c r="AF677" i="11"/>
  <c r="AE677" i="11"/>
  <c r="AN677" i="11"/>
  <c r="D676" i="11"/>
  <c r="F676" i="11" s="1"/>
  <c r="N675" i="11"/>
  <c r="X675" i="11" s="1"/>
  <c r="I676" i="11"/>
  <c r="J675" i="11"/>
  <c r="R675" i="11" l="1"/>
  <c r="T675" i="11" s="1"/>
  <c r="AB676" i="11"/>
  <c r="Z676" i="11"/>
  <c r="E675" i="11"/>
  <c r="AA675" i="11" l="1"/>
  <c r="AD676" i="11"/>
  <c r="AC676" i="11"/>
  <c r="AF676" i="11"/>
  <c r="AN676" i="11"/>
  <c r="AE676" i="11"/>
  <c r="D675" i="11"/>
  <c r="F675" i="11" s="1"/>
  <c r="N674" i="11"/>
  <c r="X674" i="11" s="1"/>
  <c r="J674" i="11"/>
  <c r="I675" i="11"/>
  <c r="R674" i="11" l="1"/>
  <c r="T674" i="11" s="1"/>
  <c r="AB675" i="11"/>
  <c r="Z675" i="11"/>
  <c r="E674" i="11"/>
  <c r="AA674" i="11" l="1"/>
  <c r="AD675" i="11"/>
  <c r="AC675" i="11"/>
  <c r="AN675" i="11"/>
  <c r="AE675" i="11"/>
  <c r="AF675" i="11"/>
  <c r="D674" i="11"/>
  <c r="F674" i="11" s="1"/>
  <c r="N673" i="11"/>
  <c r="X673" i="11" s="1"/>
  <c r="J673" i="11"/>
  <c r="I674" i="11"/>
  <c r="R673" i="11" l="1"/>
  <c r="T673" i="11" s="1"/>
  <c r="AB674" i="11"/>
  <c r="Z674" i="11"/>
  <c r="E673" i="11"/>
  <c r="AA673" i="11" l="1"/>
  <c r="AD674" i="11"/>
  <c r="AN674" i="11"/>
  <c r="AE674" i="11"/>
  <c r="AC674" i="11"/>
  <c r="AF674" i="11"/>
  <c r="D673" i="11"/>
  <c r="F673" i="11" s="1"/>
  <c r="N672" i="11"/>
  <c r="X672" i="11" s="1"/>
  <c r="J672" i="11"/>
  <c r="I673" i="11"/>
  <c r="R672" i="11" l="1"/>
  <c r="T672" i="11" s="1"/>
  <c r="AB673" i="11"/>
  <c r="Z673" i="11"/>
  <c r="E672" i="11"/>
  <c r="AA672" i="11" l="1"/>
  <c r="AD673" i="11"/>
  <c r="AC673" i="11"/>
  <c r="AF673" i="11"/>
  <c r="AN673" i="11"/>
  <c r="AE673" i="11"/>
  <c r="D672" i="11"/>
  <c r="F672" i="11" s="1"/>
  <c r="N671" i="11"/>
  <c r="R671" i="11" s="1"/>
  <c r="T671" i="11" s="1"/>
  <c r="I672" i="11"/>
  <c r="J671" i="11"/>
  <c r="X671" i="11" l="1"/>
  <c r="AB672" i="11"/>
  <c r="Z672" i="11"/>
  <c r="E671" i="11"/>
  <c r="AA671" i="11" l="1"/>
  <c r="AD672" i="11"/>
  <c r="AC672" i="11"/>
  <c r="AF672" i="11"/>
  <c r="AN672" i="11"/>
  <c r="AE672" i="11"/>
  <c r="D671" i="11"/>
  <c r="F671" i="11" s="1"/>
  <c r="N670" i="11"/>
  <c r="R670" i="11" s="1"/>
  <c r="T670" i="11" s="1"/>
  <c r="J670" i="11"/>
  <c r="I671" i="11"/>
  <c r="X670" i="11" l="1"/>
  <c r="AB671" i="11"/>
  <c r="Z671" i="11"/>
  <c r="E670" i="11"/>
  <c r="AA670" i="11" l="1"/>
  <c r="AD671" i="11"/>
  <c r="AC671" i="11"/>
  <c r="AN671" i="11"/>
  <c r="AE671" i="11"/>
  <c r="AF671" i="11"/>
  <c r="D670" i="11"/>
  <c r="F670" i="11" s="1"/>
  <c r="N669" i="11"/>
  <c r="X669" i="11" s="1"/>
  <c r="I670" i="11"/>
  <c r="J669" i="11"/>
  <c r="R669" i="11" l="1"/>
  <c r="T669" i="11" s="1"/>
  <c r="AB670" i="11"/>
  <c r="Z670" i="11"/>
  <c r="E669" i="11"/>
  <c r="AA669" i="11" l="1"/>
  <c r="AD670" i="11"/>
  <c r="AC670" i="11"/>
  <c r="AN670" i="11"/>
  <c r="AE670" i="11"/>
  <c r="AF670" i="11"/>
  <c r="D669" i="11"/>
  <c r="F669" i="11" s="1"/>
  <c r="N668" i="11"/>
  <c r="X668" i="11" s="1"/>
  <c r="I669" i="11"/>
  <c r="J668" i="11"/>
  <c r="R668" i="11" l="1"/>
  <c r="T668" i="11" s="1"/>
  <c r="AB669" i="11"/>
  <c r="Z669" i="11"/>
  <c r="E668" i="11"/>
  <c r="AA668" i="11" l="1"/>
  <c r="AD669" i="11"/>
  <c r="AC669" i="11"/>
  <c r="AN669" i="11"/>
  <c r="AF669" i="11"/>
  <c r="AE669" i="11"/>
  <c r="D668" i="11"/>
  <c r="F668" i="11" s="1"/>
  <c r="N667" i="11"/>
  <c r="R667" i="11" s="1"/>
  <c r="T667" i="11" s="1"/>
  <c r="I668" i="11"/>
  <c r="J667" i="11"/>
  <c r="X667" i="11" l="1"/>
  <c r="Z668" i="11"/>
  <c r="AB668" i="11"/>
  <c r="E667" i="11"/>
  <c r="AA667" i="11" l="1"/>
  <c r="AD668" i="11"/>
  <c r="AC668" i="11"/>
  <c r="AF668" i="11"/>
  <c r="AE668" i="11"/>
  <c r="AN668" i="11"/>
  <c r="D667" i="11"/>
  <c r="F667" i="11" s="1"/>
  <c r="N666" i="11"/>
  <c r="X666" i="11" s="1"/>
  <c r="J666" i="11"/>
  <c r="I667" i="11"/>
  <c r="R666" i="11" l="1"/>
  <c r="T666" i="11" s="1"/>
  <c r="AB667" i="11"/>
  <c r="Z667" i="11"/>
  <c r="E666" i="11"/>
  <c r="AA666" i="11" l="1"/>
  <c r="AD667" i="11"/>
  <c r="AC667" i="11"/>
  <c r="AF667" i="11"/>
  <c r="AN667" i="11"/>
  <c r="AE667" i="11"/>
  <c r="D666" i="11"/>
  <c r="F666" i="11" s="1"/>
  <c r="N665" i="11"/>
  <c r="X665" i="11" s="1"/>
  <c r="I666" i="11"/>
  <c r="J665" i="11"/>
  <c r="R665" i="11" l="1"/>
  <c r="T665" i="11" s="1"/>
  <c r="Z666" i="11"/>
  <c r="AB666" i="11"/>
  <c r="E665" i="11"/>
  <c r="AA665" i="11" l="1"/>
  <c r="AD666" i="11"/>
  <c r="AC666" i="11"/>
  <c r="AF666" i="11"/>
  <c r="AE666" i="11"/>
  <c r="AN666" i="11"/>
  <c r="D665" i="11"/>
  <c r="F665" i="11" s="1"/>
  <c r="N664" i="11"/>
  <c r="R664" i="11" s="1"/>
  <c r="T664" i="11" s="1"/>
  <c r="I665" i="11"/>
  <c r="J664" i="11"/>
  <c r="X664" i="11" l="1"/>
  <c r="AB665" i="11"/>
  <c r="Z665" i="11"/>
  <c r="E664" i="11"/>
  <c r="AA664" i="11" l="1"/>
  <c r="AD665" i="11"/>
  <c r="AC665" i="11"/>
  <c r="AE665" i="11"/>
  <c r="AN665" i="11"/>
  <c r="AF665" i="11"/>
  <c r="D664" i="11"/>
  <c r="F664" i="11" s="1"/>
  <c r="N663" i="11"/>
  <c r="R663" i="11" s="1"/>
  <c r="T663" i="11" s="1"/>
  <c r="I664" i="11"/>
  <c r="J663" i="11"/>
  <c r="X663" i="11" l="1"/>
  <c r="AB664" i="11"/>
  <c r="Z664" i="11"/>
  <c r="E663" i="11"/>
  <c r="AA663" i="11" l="1"/>
  <c r="AD664" i="11"/>
  <c r="AN664" i="11"/>
  <c r="AF664" i="11"/>
  <c r="AC664" i="11"/>
  <c r="AE664" i="11"/>
  <c r="D663" i="11"/>
  <c r="F663" i="11" s="1"/>
  <c r="N662" i="11"/>
  <c r="X662" i="11" s="1"/>
  <c r="I663" i="11"/>
  <c r="J662" i="11"/>
  <c r="R662" i="11" l="1"/>
  <c r="T662" i="11" s="1"/>
  <c r="AB663" i="11"/>
  <c r="Z663" i="11"/>
  <c r="E662" i="11"/>
  <c r="AA662" i="11" l="1"/>
  <c r="AD663" i="11"/>
  <c r="AC663" i="11"/>
  <c r="AF663" i="11"/>
  <c r="AE663" i="11"/>
  <c r="AN663" i="11"/>
  <c r="D662" i="11"/>
  <c r="F662" i="11" s="1"/>
  <c r="N661" i="11"/>
  <c r="X661" i="11" s="1"/>
  <c r="I662" i="11"/>
  <c r="J661" i="11"/>
  <c r="R661" i="11" l="1"/>
  <c r="T661" i="11" s="1"/>
  <c r="AB662" i="11"/>
  <c r="Z662" i="11"/>
  <c r="E661" i="11"/>
  <c r="AA661" i="11" l="1"/>
  <c r="AD662" i="11"/>
  <c r="AC662" i="11"/>
  <c r="AN662" i="11"/>
  <c r="AF662" i="11"/>
  <c r="AE662" i="11"/>
  <c r="D661" i="11"/>
  <c r="F661" i="11" s="1"/>
  <c r="N660" i="11"/>
  <c r="X660" i="11" s="1"/>
  <c r="J660" i="11"/>
  <c r="I661" i="11"/>
  <c r="R660" i="11" l="1"/>
  <c r="T660" i="11" s="1"/>
  <c r="AB661" i="11"/>
  <c r="Z661" i="11"/>
  <c r="E660" i="11"/>
  <c r="AA660" i="11" l="1"/>
  <c r="AD661" i="11"/>
  <c r="AC661" i="11"/>
  <c r="AN661" i="11"/>
  <c r="AF661" i="11"/>
  <c r="AE661" i="11"/>
  <c r="D660" i="11"/>
  <c r="F660" i="11" s="1"/>
  <c r="N659" i="11"/>
  <c r="R659" i="11" s="1"/>
  <c r="T659" i="11" s="1"/>
  <c r="I660" i="11"/>
  <c r="J659" i="11"/>
  <c r="X659" i="11" l="1"/>
  <c r="AB660" i="11"/>
  <c r="Z660" i="11"/>
  <c r="E659" i="11"/>
  <c r="AA659" i="11" l="1"/>
  <c r="AD660" i="11"/>
  <c r="AC660" i="11"/>
  <c r="AN660" i="11"/>
  <c r="AE660" i="11"/>
  <c r="AF660" i="11"/>
  <c r="D659" i="11"/>
  <c r="F659" i="11" s="1"/>
  <c r="N658" i="11"/>
  <c r="X658" i="11" s="1"/>
  <c r="J658" i="11"/>
  <c r="I659" i="11"/>
  <c r="R658" i="11" l="1"/>
  <c r="T658" i="11" s="1"/>
  <c r="AB659" i="11"/>
  <c r="Z659" i="11"/>
  <c r="E658" i="11"/>
  <c r="AA658" i="11" l="1"/>
  <c r="AD659" i="11"/>
  <c r="AC659" i="11"/>
  <c r="AN659" i="11"/>
  <c r="AE659" i="11"/>
  <c r="AF659" i="11"/>
  <c r="D658" i="11"/>
  <c r="F658" i="11" s="1"/>
  <c r="N657" i="11"/>
  <c r="X657" i="11" s="1"/>
  <c r="J657" i="11"/>
  <c r="I658" i="11"/>
  <c r="R657" i="11" l="1"/>
  <c r="T657" i="11" s="1"/>
  <c r="AB658" i="11"/>
  <c r="Z658" i="11"/>
  <c r="E657" i="11"/>
  <c r="AA657" i="11" l="1"/>
  <c r="AD658" i="11"/>
  <c r="AC658" i="11"/>
  <c r="AN658" i="11"/>
  <c r="AF658" i="11"/>
  <c r="AE658" i="11"/>
  <c r="D657" i="11"/>
  <c r="F657" i="11" s="1"/>
  <c r="N656" i="11"/>
  <c r="X656" i="11" s="1"/>
  <c r="J656" i="11"/>
  <c r="I657" i="11"/>
  <c r="R656" i="11" l="1"/>
  <c r="T656" i="11" s="1"/>
  <c r="Z657" i="11"/>
  <c r="AB657" i="11"/>
  <c r="E656" i="11"/>
  <c r="AA656" i="11" l="1"/>
  <c r="AD657" i="11"/>
  <c r="AN657" i="11"/>
  <c r="AF657" i="11"/>
  <c r="AE657" i="11"/>
  <c r="AC657" i="11"/>
  <c r="D656" i="11"/>
  <c r="F656" i="11" s="1"/>
  <c r="N655" i="11"/>
  <c r="X655" i="11" s="1"/>
  <c r="J655" i="11"/>
  <c r="I656" i="11"/>
  <c r="R655" i="11" l="1"/>
  <c r="T655" i="11" s="1"/>
  <c r="AB656" i="11"/>
  <c r="Z656" i="11"/>
  <c r="E655" i="11"/>
  <c r="AA655" i="11" l="1"/>
  <c r="AD656" i="11"/>
  <c r="AC656" i="11"/>
  <c r="AN656" i="11"/>
  <c r="AF656" i="11"/>
  <c r="AE656" i="11"/>
  <c r="D655" i="11"/>
  <c r="F655" i="11" s="1"/>
  <c r="N654" i="11"/>
  <c r="X654" i="11" s="1"/>
  <c r="I655" i="11"/>
  <c r="J654" i="11"/>
  <c r="R654" i="11" l="1"/>
  <c r="T654" i="11" s="1"/>
  <c r="AB655" i="11"/>
  <c r="Z655" i="11"/>
  <c r="E654" i="11"/>
  <c r="AA654" i="11" l="1"/>
  <c r="AD655" i="11"/>
  <c r="AC655" i="11"/>
  <c r="AF655" i="11"/>
  <c r="AE655" i="11"/>
  <c r="AN655" i="11"/>
  <c r="D654" i="11"/>
  <c r="F654" i="11" s="1"/>
  <c r="N653" i="11"/>
  <c r="X653" i="11" s="1"/>
  <c r="I654" i="11"/>
  <c r="J653" i="11"/>
  <c r="R653" i="11" l="1"/>
  <c r="T653" i="11" s="1"/>
  <c r="Z654" i="11"/>
  <c r="AB654" i="11"/>
  <c r="E653" i="11"/>
  <c r="AA653" i="11" l="1"/>
  <c r="AD654" i="11"/>
  <c r="AC654" i="11"/>
  <c r="AF654" i="11"/>
  <c r="AE654" i="11"/>
  <c r="AN654" i="11"/>
  <c r="D653" i="11"/>
  <c r="F653" i="11" s="1"/>
  <c r="N652" i="11"/>
  <c r="R652" i="11" s="1"/>
  <c r="T652" i="11" s="1"/>
  <c r="I653" i="11"/>
  <c r="J652" i="11"/>
  <c r="X652" i="11" l="1"/>
  <c r="Z653" i="11"/>
  <c r="AB653" i="11"/>
  <c r="E652" i="11"/>
  <c r="AA652" i="11" l="1"/>
  <c r="AD653" i="11"/>
  <c r="AC653" i="11"/>
  <c r="AF653" i="11"/>
  <c r="AN653" i="11"/>
  <c r="AE653" i="11"/>
  <c r="D652" i="11"/>
  <c r="F652" i="11" s="1"/>
  <c r="N651" i="11"/>
  <c r="X651" i="11" s="1"/>
  <c r="J651" i="11"/>
  <c r="I652" i="11"/>
  <c r="R651" i="11" l="1"/>
  <c r="T651" i="11" s="1"/>
  <c r="AB652" i="11"/>
  <c r="Z652" i="11"/>
  <c r="E651" i="11"/>
  <c r="AA651" i="11" l="1"/>
  <c r="AD652" i="11"/>
  <c r="AN652" i="11"/>
  <c r="AC652" i="11"/>
  <c r="AE652" i="11"/>
  <c r="AF652" i="11"/>
  <c r="D651" i="11"/>
  <c r="F651" i="11" s="1"/>
  <c r="N650" i="11"/>
  <c r="X650" i="11" s="1"/>
  <c r="J650" i="11"/>
  <c r="I651" i="11"/>
  <c r="R650" i="11" l="1"/>
  <c r="T650" i="11" s="1"/>
  <c r="Z651" i="11"/>
  <c r="AB651" i="11"/>
  <c r="E650" i="11"/>
  <c r="AA650" i="11" l="1"/>
  <c r="AD651" i="11"/>
  <c r="AC651" i="11"/>
  <c r="AN651" i="11"/>
  <c r="AE651" i="11"/>
  <c r="AF651" i="11"/>
  <c r="D650" i="11"/>
  <c r="F650" i="11" s="1"/>
  <c r="N649" i="11"/>
  <c r="X649" i="11" s="1"/>
  <c r="J649" i="11"/>
  <c r="I650" i="11"/>
  <c r="R649" i="11" l="1"/>
  <c r="T649" i="11" s="1"/>
  <c r="AB650" i="11"/>
  <c r="Z650" i="11"/>
  <c r="E649" i="11"/>
  <c r="AA649" i="11" l="1"/>
  <c r="AD650" i="11"/>
  <c r="AC650" i="11"/>
  <c r="AF650" i="11"/>
  <c r="AN650" i="11"/>
  <c r="AE650" i="11"/>
  <c r="D649" i="11"/>
  <c r="F649" i="11" s="1"/>
  <c r="N648" i="11"/>
  <c r="X648" i="11" s="1"/>
  <c r="I649" i="11"/>
  <c r="J648" i="11"/>
  <c r="R648" i="11" l="1"/>
  <c r="T648" i="11" s="1"/>
  <c r="AB649" i="11"/>
  <c r="Z649" i="11"/>
  <c r="E648" i="11"/>
  <c r="AA648" i="11" l="1"/>
  <c r="AD649" i="11"/>
  <c r="AC649" i="11"/>
  <c r="AN649" i="11"/>
  <c r="AE649" i="11"/>
  <c r="AF649" i="11"/>
  <c r="D648" i="11"/>
  <c r="F648" i="11" s="1"/>
  <c r="N647" i="11"/>
  <c r="X647" i="11" s="1"/>
  <c r="I648" i="11"/>
  <c r="J647" i="11"/>
  <c r="R647" i="11" l="1"/>
  <c r="T647" i="11" s="1"/>
  <c r="AB648" i="11"/>
  <c r="Z648" i="11"/>
  <c r="E647" i="11"/>
  <c r="AA647" i="11" l="1"/>
  <c r="AD648" i="11"/>
  <c r="AN648" i="11"/>
  <c r="AF648" i="11"/>
  <c r="AC648" i="11"/>
  <c r="AE648" i="11"/>
  <c r="D647" i="11"/>
  <c r="F647" i="11" s="1"/>
  <c r="N646" i="11"/>
  <c r="R646" i="11" s="1"/>
  <c r="T646" i="11" s="1"/>
  <c r="I647" i="11"/>
  <c r="J646" i="11"/>
  <c r="X646" i="11" l="1"/>
  <c r="Z647" i="11"/>
  <c r="AB647" i="11"/>
  <c r="E646" i="11"/>
  <c r="AA646" i="11" l="1"/>
  <c r="AD647" i="11"/>
  <c r="AC647" i="11"/>
  <c r="AF647" i="11"/>
  <c r="AE647" i="11"/>
  <c r="AN647" i="11"/>
  <c r="D646" i="11"/>
  <c r="F646" i="11" s="1"/>
  <c r="N645" i="11"/>
  <c r="R645" i="11" s="1"/>
  <c r="T645" i="11" s="1"/>
  <c r="I646" i="11"/>
  <c r="J645" i="11"/>
  <c r="X645" i="11" l="1"/>
  <c r="AB646" i="11"/>
  <c r="Z646" i="11"/>
  <c r="E645" i="11"/>
  <c r="AA645" i="11" l="1"/>
  <c r="AD646" i="11"/>
  <c r="AC646" i="11"/>
  <c r="AN646" i="11"/>
  <c r="AE646" i="11"/>
  <c r="AF646" i="11"/>
  <c r="D645" i="11"/>
  <c r="F645" i="11" s="1"/>
  <c r="N644" i="11"/>
  <c r="X644" i="11" s="1"/>
  <c r="I645" i="11"/>
  <c r="J644" i="11"/>
  <c r="R644" i="11" l="1"/>
  <c r="T644" i="11" s="1"/>
  <c r="Z645" i="11"/>
  <c r="AB645" i="11"/>
  <c r="E644" i="11"/>
  <c r="AA644" i="11" l="1"/>
  <c r="AD645" i="11"/>
  <c r="AC645" i="11"/>
  <c r="AF645" i="11"/>
  <c r="AE645" i="11"/>
  <c r="AN645" i="11"/>
  <c r="D644" i="11"/>
  <c r="F644" i="11" s="1"/>
  <c r="N643" i="11"/>
  <c r="R643" i="11" s="1"/>
  <c r="T643" i="11" s="1"/>
  <c r="J643" i="11"/>
  <c r="I644" i="11"/>
  <c r="X643" i="11" l="1"/>
  <c r="AB644" i="11"/>
  <c r="Z644" i="11"/>
  <c r="E643" i="11"/>
  <c r="AA643" i="11" l="1"/>
  <c r="AD644" i="11"/>
  <c r="AC644" i="11"/>
  <c r="AF644" i="11"/>
  <c r="AE644" i="11"/>
  <c r="AN644" i="11"/>
  <c r="D643" i="11"/>
  <c r="F643" i="11" s="1"/>
  <c r="N642" i="11"/>
  <c r="X642" i="11" s="1"/>
  <c r="J642" i="11"/>
  <c r="I643" i="11"/>
  <c r="R642" i="11" l="1"/>
  <c r="T642" i="11" s="1"/>
  <c r="AB643" i="11"/>
  <c r="Z643" i="11"/>
  <c r="E642" i="11"/>
  <c r="AA642" i="11" l="1"/>
  <c r="AD643" i="11"/>
  <c r="AN643" i="11"/>
  <c r="AC643" i="11"/>
  <c r="AE643" i="11"/>
  <c r="AF643" i="11"/>
  <c r="D642" i="11"/>
  <c r="F642" i="11" s="1"/>
  <c r="N641" i="11"/>
  <c r="R641" i="11" s="1"/>
  <c r="T641" i="11" s="1"/>
  <c r="J641" i="11"/>
  <c r="I642" i="11"/>
  <c r="X641" i="11" l="1"/>
  <c r="AB642" i="11"/>
  <c r="Z642" i="11"/>
  <c r="E641" i="11"/>
  <c r="AA641" i="11" l="1"/>
  <c r="AD642" i="11"/>
  <c r="AF642" i="11"/>
  <c r="AC642" i="11"/>
  <c r="AN642" i="11"/>
  <c r="AE642" i="11"/>
  <c r="D641" i="11"/>
  <c r="F641" i="11" s="1"/>
  <c r="N640" i="11"/>
  <c r="X640" i="11" s="1"/>
  <c r="J640" i="11"/>
  <c r="I641" i="11"/>
  <c r="R640" i="11" l="1"/>
  <c r="T640" i="11" s="1"/>
  <c r="AB641" i="11"/>
  <c r="Z641" i="11"/>
  <c r="E640" i="11"/>
  <c r="AA640" i="11" l="1"/>
  <c r="AD641" i="11"/>
  <c r="AC641" i="11"/>
  <c r="AN641" i="11"/>
  <c r="AF641" i="11"/>
  <c r="AE641" i="11"/>
  <c r="D640" i="11"/>
  <c r="F640" i="11" s="1"/>
  <c r="N639" i="11"/>
  <c r="R639" i="11" s="1"/>
  <c r="T639" i="11" s="1"/>
  <c r="J639" i="11"/>
  <c r="I640" i="11"/>
  <c r="X639" i="11" l="1"/>
  <c r="Z640" i="11"/>
  <c r="AB640" i="11"/>
  <c r="E639" i="11"/>
  <c r="AA639" i="11" l="1"/>
  <c r="AD640" i="11"/>
  <c r="AC640" i="11"/>
  <c r="AN640" i="11"/>
  <c r="AF640" i="11"/>
  <c r="AE640" i="11"/>
  <c r="D639" i="11"/>
  <c r="F639" i="11" s="1"/>
  <c r="N638" i="11"/>
  <c r="X638" i="11" s="1"/>
  <c r="I639" i="11"/>
  <c r="J638" i="11"/>
  <c r="R638" i="11" l="1"/>
  <c r="T638" i="11" s="1"/>
  <c r="AB639" i="11"/>
  <c r="Z639" i="11"/>
  <c r="E638" i="11"/>
  <c r="AA638" i="11" l="1"/>
  <c r="AD639" i="11"/>
  <c r="AF639" i="11"/>
  <c r="AE639" i="11"/>
  <c r="AC639" i="11"/>
  <c r="AN639" i="11"/>
  <c r="D638" i="11"/>
  <c r="F638" i="11" s="1"/>
  <c r="N637" i="11"/>
  <c r="R637" i="11" s="1"/>
  <c r="T637" i="11" s="1"/>
  <c r="I638" i="11"/>
  <c r="J637" i="11"/>
  <c r="X637" i="11" l="1"/>
  <c r="Z638" i="11"/>
  <c r="AB638" i="11"/>
  <c r="E637" i="11"/>
  <c r="AA637" i="11" l="1"/>
  <c r="AD638" i="11"/>
  <c r="AF638" i="11"/>
  <c r="AC638" i="11"/>
  <c r="AN638" i="11"/>
  <c r="AE638" i="11"/>
  <c r="D637" i="11"/>
  <c r="F637" i="11" s="1"/>
  <c r="N636" i="11"/>
  <c r="X636" i="11" s="1"/>
  <c r="I637" i="11"/>
  <c r="J636" i="11"/>
  <c r="R636" i="11" l="1"/>
  <c r="T636" i="11" s="1"/>
  <c r="Z637" i="11"/>
  <c r="AB637" i="11"/>
  <c r="E636" i="11"/>
  <c r="AA636" i="11" l="1"/>
  <c r="AD637" i="11"/>
  <c r="AC637" i="11"/>
  <c r="AN637" i="11"/>
  <c r="AF637" i="11"/>
  <c r="AE637" i="11"/>
  <c r="D636" i="11"/>
  <c r="F636" i="11" s="1"/>
  <c r="N635" i="11"/>
  <c r="X635" i="11" s="1"/>
  <c r="I636" i="11"/>
  <c r="J635" i="11"/>
  <c r="R635" i="11" l="1"/>
  <c r="T635" i="11" s="1"/>
  <c r="Z636" i="11"/>
  <c r="AB636" i="11"/>
  <c r="E635" i="11"/>
  <c r="AA635" i="11" l="1"/>
  <c r="AD636" i="11"/>
  <c r="AE636" i="11"/>
  <c r="AC636" i="11"/>
  <c r="AF636" i="11"/>
  <c r="AN636" i="11"/>
  <c r="D635" i="11"/>
  <c r="F635" i="11" s="1"/>
  <c r="N634" i="11"/>
  <c r="X634" i="11" s="1"/>
  <c r="J634" i="11"/>
  <c r="I635" i="11"/>
  <c r="R634" i="11" l="1"/>
  <c r="T634" i="11" s="1"/>
  <c r="Z635" i="11"/>
  <c r="AB635" i="11"/>
  <c r="E634" i="11"/>
  <c r="AA634" i="11" l="1"/>
  <c r="AD635" i="11"/>
  <c r="AE635" i="11"/>
  <c r="AC635" i="11"/>
  <c r="AF635" i="11"/>
  <c r="AN635" i="11"/>
  <c r="D634" i="11"/>
  <c r="F634" i="11" s="1"/>
  <c r="N633" i="11"/>
  <c r="X633" i="11" s="1"/>
  <c r="J633" i="11"/>
  <c r="I634" i="11"/>
  <c r="R633" i="11" l="1"/>
  <c r="T633" i="11" s="1"/>
  <c r="Z634" i="11"/>
  <c r="AB634" i="11"/>
  <c r="E633" i="11"/>
  <c r="AA633" i="11" l="1"/>
  <c r="AD634" i="11"/>
  <c r="AC634" i="11"/>
  <c r="AN634" i="11"/>
  <c r="AF634" i="11"/>
  <c r="AE634" i="11"/>
  <c r="D633" i="11"/>
  <c r="F633" i="11" s="1"/>
  <c r="N632" i="11"/>
  <c r="R632" i="11" s="1"/>
  <c r="T632" i="11" s="1"/>
  <c r="I633" i="11"/>
  <c r="J632" i="11"/>
  <c r="X632" i="11" l="1"/>
  <c r="Z633" i="11"/>
  <c r="AB633" i="11"/>
  <c r="E632" i="11"/>
  <c r="AA632" i="11" l="1"/>
  <c r="AD633" i="11"/>
  <c r="AC633" i="11"/>
  <c r="AN633" i="11"/>
  <c r="AF633" i="11"/>
  <c r="AE633" i="11"/>
  <c r="D632" i="11"/>
  <c r="F632" i="11" s="1"/>
  <c r="N631" i="11"/>
  <c r="X631" i="11" s="1"/>
  <c r="J631" i="11"/>
  <c r="I632" i="11"/>
  <c r="R631" i="11" l="1"/>
  <c r="T631" i="11" s="1"/>
  <c r="AB632" i="11"/>
  <c r="Z632" i="11"/>
  <c r="E631" i="11"/>
  <c r="AA631" i="11" l="1"/>
  <c r="AD632" i="11"/>
  <c r="AC632" i="11"/>
  <c r="AF632" i="11"/>
  <c r="AE632" i="11"/>
  <c r="AN632" i="11"/>
  <c r="D631" i="11"/>
  <c r="F631" i="11" s="1"/>
  <c r="N630" i="11"/>
  <c r="X630" i="11" s="1"/>
  <c r="I631" i="11"/>
  <c r="J630" i="11"/>
  <c r="R630" i="11" l="1"/>
  <c r="T630" i="11" s="1"/>
  <c r="AB631" i="11"/>
  <c r="Z631" i="11"/>
  <c r="E630" i="11"/>
  <c r="AA630" i="11" l="1"/>
  <c r="AD631" i="11"/>
  <c r="AC631" i="11"/>
  <c r="AN631" i="11"/>
  <c r="AE631" i="11"/>
  <c r="AF631" i="11"/>
  <c r="D630" i="11"/>
  <c r="F630" i="11" s="1"/>
  <c r="N629" i="11"/>
  <c r="X629" i="11" s="1"/>
  <c r="I630" i="11"/>
  <c r="J629" i="11"/>
  <c r="R629" i="11" l="1"/>
  <c r="T629" i="11" s="1"/>
  <c r="Z630" i="11"/>
  <c r="AB630" i="11"/>
  <c r="E629" i="11"/>
  <c r="AA629" i="11" l="1"/>
  <c r="AD630" i="11"/>
  <c r="AC630" i="11"/>
  <c r="AE630" i="11"/>
  <c r="AN630" i="11"/>
  <c r="AF630" i="11"/>
  <c r="D629" i="11"/>
  <c r="F629" i="11" s="1"/>
  <c r="N628" i="11"/>
  <c r="X628" i="11" s="1"/>
  <c r="I629" i="11"/>
  <c r="J628" i="11"/>
  <c r="R628" i="11" l="1"/>
  <c r="T628" i="11" s="1"/>
  <c r="AB629" i="11"/>
  <c r="Z629" i="11"/>
  <c r="E628" i="11"/>
  <c r="AA628" i="11" l="1"/>
  <c r="AD629" i="11"/>
  <c r="AC629" i="11"/>
  <c r="AE629" i="11"/>
  <c r="AN629" i="11"/>
  <c r="AF629" i="11"/>
  <c r="D628" i="11"/>
  <c r="F628" i="11" s="1"/>
  <c r="N627" i="11"/>
  <c r="X627" i="11" s="1"/>
  <c r="J627" i="11"/>
  <c r="I628" i="11"/>
  <c r="R627" i="11" l="1"/>
  <c r="T627" i="11" s="1"/>
  <c r="AB628" i="11"/>
  <c r="Z628" i="11"/>
  <c r="E627" i="11"/>
  <c r="AA627" i="11" l="1"/>
  <c r="AD628" i="11"/>
  <c r="AC628" i="11"/>
  <c r="AN628" i="11"/>
  <c r="AE628" i="11"/>
  <c r="AF628" i="11"/>
  <c r="D627" i="11"/>
  <c r="F627" i="11" s="1"/>
  <c r="N626" i="11"/>
  <c r="X626" i="11" s="1"/>
  <c r="I627" i="11"/>
  <c r="J626" i="11"/>
  <c r="AB627" i="11" l="1"/>
  <c r="Z627" i="11"/>
  <c r="R626" i="11"/>
  <c r="T626" i="11" s="1"/>
  <c r="E626" i="11"/>
  <c r="AA626" i="11" l="1"/>
  <c r="AD627" i="11"/>
  <c r="AC627" i="11"/>
  <c r="AF627" i="11"/>
  <c r="AE627" i="11"/>
  <c r="AN627" i="11"/>
  <c r="D626" i="11"/>
  <c r="F626" i="11" s="1"/>
  <c r="N625" i="11"/>
  <c r="X625" i="11" s="1"/>
  <c r="J625" i="11"/>
  <c r="I626" i="11"/>
  <c r="R625" i="11" l="1"/>
  <c r="T625" i="11" s="1"/>
  <c r="AB626" i="11"/>
  <c r="Z626" i="11"/>
  <c r="E625" i="11"/>
  <c r="AA625" i="11" l="1"/>
  <c r="AD626" i="11"/>
  <c r="AC626" i="11"/>
  <c r="AN626" i="11"/>
  <c r="AE626" i="11"/>
  <c r="AF626" i="11"/>
  <c r="D625" i="11"/>
  <c r="F625" i="11" s="1"/>
  <c r="N624" i="11"/>
  <c r="R624" i="11" s="1"/>
  <c r="T624" i="11" s="1"/>
  <c r="I625" i="11"/>
  <c r="J624" i="11"/>
  <c r="X624" i="11" l="1"/>
  <c r="AB625" i="11"/>
  <c r="Z625" i="11"/>
  <c r="E624" i="11"/>
  <c r="AA624" i="11" l="1"/>
  <c r="AD625" i="11"/>
  <c r="AC625" i="11"/>
  <c r="AF625" i="11"/>
  <c r="AE625" i="11"/>
  <c r="AN625" i="11"/>
  <c r="D624" i="11"/>
  <c r="F624" i="11" s="1"/>
  <c r="N623" i="11"/>
  <c r="X623" i="11" s="1"/>
  <c r="I624" i="11"/>
  <c r="J623" i="11"/>
  <c r="R623" i="11" l="1"/>
  <c r="T623" i="11" s="1"/>
  <c r="AB624" i="11"/>
  <c r="Z624" i="11"/>
  <c r="E623" i="11"/>
  <c r="AA623" i="11" l="1"/>
  <c r="AD624" i="11"/>
  <c r="AE624" i="11"/>
  <c r="AC624" i="11"/>
  <c r="AF624" i="11"/>
  <c r="AN624" i="11"/>
  <c r="D623" i="11"/>
  <c r="F623" i="11" s="1"/>
  <c r="N622" i="11"/>
  <c r="X622" i="11" s="1"/>
  <c r="J622" i="11"/>
  <c r="I623" i="11"/>
  <c r="R622" i="11" l="1"/>
  <c r="T622" i="11" s="1"/>
  <c r="AB623" i="11"/>
  <c r="Z623" i="11"/>
  <c r="E622" i="11"/>
  <c r="AA622" i="11" l="1"/>
  <c r="AD623" i="11"/>
  <c r="AC623" i="11"/>
  <c r="AF623" i="11"/>
  <c r="AE623" i="11"/>
  <c r="AN623" i="11"/>
  <c r="D622" i="11"/>
  <c r="F622" i="11" s="1"/>
  <c r="N621" i="11"/>
  <c r="X621" i="11" s="1"/>
  <c r="J621" i="11"/>
  <c r="I622" i="11"/>
  <c r="R621" i="11" l="1"/>
  <c r="T621" i="11" s="1"/>
  <c r="AB622" i="11"/>
  <c r="Z622" i="11"/>
  <c r="E621" i="11"/>
  <c r="AA621" i="11" l="1"/>
  <c r="AD622" i="11"/>
  <c r="AC622" i="11"/>
  <c r="AN622" i="11"/>
  <c r="AF622" i="11"/>
  <c r="AE622" i="11"/>
  <c r="D621" i="11"/>
  <c r="F621" i="11" s="1"/>
  <c r="N620" i="11"/>
  <c r="X620" i="11" s="1"/>
  <c r="I621" i="11"/>
  <c r="J620" i="11"/>
  <c r="R620" i="11" l="1"/>
  <c r="T620" i="11" s="1"/>
  <c r="Z621" i="11"/>
  <c r="AB621" i="11"/>
  <c r="E620" i="11"/>
  <c r="AA620" i="11" l="1"/>
  <c r="AD621" i="11"/>
  <c r="AC621" i="11"/>
  <c r="AF621" i="11"/>
  <c r="AN621" i="11"/>
  <c r="AE621" i="11"/>
  <c r="D620" i="11"/>
  <c r="F620" i="11" s="1"/>
  <c r="N619" i="11"/>
  <c r="X619" i="11" s="1"/>
  <c r="I620" i="11"/>
  <c r="J619" i="11"/>
  <c r="R619" i="11" l="1"/>
  <c r="T619" i="11" s="1"/>
  <c r="AB620" i="11"/>
  <c r="Z620" i="11"/>
  <c r="E619" i="11"/>
  <c r="AA619" i="11" l="1"/>
  <c r="AD620" i="11"/>
  <c r="AC620" i="11"/>
  <c r="AE620" i="11"/>
  <c r="AN620" i="11"/>
  <c r="AF620" i="11"/>
  <c r="D619" i="11"/>
  <c r="F619" i="11" s="1"/>
  <c r="N618" i="11"/>
  <c r="X618" i="11" s="1"/>
  <c r="I619" i="11"/>
  <c r="J618" i="11"/>
  <c r="R618" i="11" l="1"/>
  <c r="T618" i="11" s="1"/>
  <c r="AB619" i="11"/>
  <c r="Z619" i="11"/>
  <c r="E618" i="11"/>
  <c r="AA618" i="11" l="1"/>
  <c r="AD619" i="11"/>
  <c r="AC619" i="11"/>
  <c r="AF619" i="11"/>
  <c r="AN619" i="11"/>
  <c r="AE619" i="11"/>
  <c r="D618" i="11"/>
  <c r="F618" i="11" s="1"/>
  <c r="N617" i="11"/>
  <c r="X617" i="11" s="1"/>
  <c r="J617" i="11"/>
  <c r="I618" i="11"/>
  <c r="R617" i="11" l="1"/>
  <c r="T617" i="11" s="1"/>
  <c r="AB618" i="11"/>
  <c r="Z618" i="11"/>
  <c r="E617" i="11"/>
  <c r="AA617" i="11" l="1"/>
  <c r="AD618" i="11"/>
  <c r="AC618" i="11"/>
  <c r="AF618" i="11"/>
  <c r="AN618" i="11"/>
  <c r="AE618" i="11"/>
  <c r="D617" i="11"/>
  <c r="F617" i="11" s="1"/>
  <c r="N616" i="11"/>
  <c r="R616" i="11" s="1"/>
  <c r="T616" i="11" s="1"/>
  <c r="I617" i="11"/>
  <c r="J616" i="11"/>
  <c r="X616" i="11" l="1"/>
  <c r="AB617" i="11"/>
  <c r="Z617" i="11"/>
  <c r="E616" i="11"/>
  <c r="AA616" i="11" l="1"/>
  <c r="AD617" i="11"/>
  <c r="AC617" i="11"/>
  <c r="AE617" i="11"/>
  <c r="AN617" i="11"/>
  <c r="AF617" i="11"/>
  <c r="D616" i="11"/>
  <c r="F616" i="11" s="1"/>
  <c r="N615" i="11"/>
  <c r="X615" i="11" s="1"/>
  <c r="I616" i="11"/>
  <c r="J615" i="11"/>
  <c r="R615" i="11" l="1"/>
  <c r="T615" i="11" s="1"/>
  <c r="AB616" i="11"/>
  <c r="Z616" i="11"/>
  <c r="E615" i="11"/>
  <c r="AA615" i="11" l="1"/>
  <c r="AD616" i="11"/>
  <c r="AC616" i="11"/>
  <c r="AF616" i="11"/>
  <c r="AE616" i="11"/>
  <c r="AN616" i="11"/>
  <c r="D615" i="11"/>
  <c r="F615" i="11" s="1"/>
  <c r="N614" i="11"/>
  <c r="X614" i="11" s="1"/>
  <c r="J614" i="11"/>
  <c r="I615" i="11"/>
  <c r="R614" i="11" l="1"/>
  <c r="T614" i="11" s="1"/>
  <c r="AB615" i="11"/>
  <c r="Z615" i="11"/>
  <c r="E614" i="11"/>
  <c r="AA614" i="11" l="1"/>
  <c r="AD615" i="11"/>
  <c r="AC615" i="11"/>
  <c r="AF615" i="11"/>
  <c r="AN615" i="11"/>
  <c r="AE615" i="11"/>
  <c r="D614" i="11"/>
  <c r="F614" i="11" s="1"/>
  <c r="N613" i="11"/>
  <c r="X613" i="11" s="1"/>
  <c r="I614" i="11"/>
  <c r="J613" i="11"/>
  <c r="R613" i="11" l="1"/>
  <c r="T613" i="11" s="1"/>
  <c r="AB614" i="11"/>
  <c r="Z614" i="11"/>
  <c r="E613" i="11"/>
  <c r="AA613" i="11" l="1"/>
  <c r="AD614" i="11"/>
  <c r="AC614" i="11"/>
  <c r="AN614" i="11"/>
  <c r="AF614" i="11"/>
  <c r="AE614" i="11"/>
  <c r="D613" i="11"/>
  <c r="F613" i="11" s="1"/>
  <c r="N612" i="11"/>
  <c r="R612" i="11" s="1"/>
  <c r="T612" i="11" s="1"/>
  <c r="I613" i="11"/>
  <c r="J612" i="11"/>
  <c r="X612" i="11" l="1"/>
  <c r="AB613" i="11"/>
  <c r="Z613" i="11"/>
  <c r="E612" i="11"/>
  <c r="AA612" i="11" l="1"/>
  <c r="AD613" i="11"/>
  <c r="AC613" i="11"/>
  <c r="AN613" i="11"/>
  <c r="AF613" i="11"/>
  <c r="AE613" i="11"/>
  <c r="D612" i="11"/>
  <c r="F612" i="11" s="1"/>
  <c r="N611" i="11"/>
  <c r="X611" i="11" s="1"/>
  <c r="J611" i="11"/>
  <c r="I612" i="11"/>
  <c r="R611" i="11" l="1"/>
  <c r="T611" i="11" s="1"/>
  <c r="AB612" i="11"/>
  <c r="Z612" i="11"/>
  <c r="E611" i="11"/>
  <c r="AA611" i="11" l="1"/>
  <c r="AD612" i="11"/>
  <c r="AN612" i="11"/>
  <c r="AC612" i="11"/>
  <c r="AE612" i="11"/>
  <c r="AF612" i="11"/>
  <c r="D611" i="11"/>
  <c r="F611" i="11" s="1"/>
  <c r="N610" i="11"/>
  <c r="R610" i="11" s="1"/>
  <c r="T610" i="11" s="1"/>
  <c r="I611" i="11"/>
  <c r="J610" i="11"/>
  <c r="X610" i="11" l="1"/>
  <c r="AB611" i="11"/>
  <c r="Z611" i="11"/>
  <c r="E610" i="11"/>
  <c r="AA610" i="11" l="1"/>
  <c r="AD611" i="11"/>
  <c r="AN611" i="11"/>
  <c r="AC611" i="11"/>
  <c r="AE611" i="11"/>
  <c r="AF611" i="11"/>
  <c r="D610" i="11"/>
  <c r="F610" i="11" s="1"/>
  <c r="N609" i="11"/>
  <c r="X609" i="11" s="1"/>
  <c r="I610" i="11"/>
  <c r="J609" i="11"/>
  <c r="R609" i="11" l="1"/>
  <c r="T609" i="11" s="1"/>
  <c r="AB610" i="11"/>
  <c r="Z610" i="11"/>
  <c r="E609" i="11"/>
  <c r="AA609" i="11" l="1"/>
  <c r="AD610" i="11"/>
  <c r="AN610" i="11"/>
  <c r="AE610" i="11"/>
  <c r="AC610" i="11"/>
  <c r="AF610" i="11"/>
  <c r="D609" i="11"/>
  <c r="F609" i="11" s="1"/>
  <c r="N608" i="11"/>
  <c r="R608" i="11" s="1"/>
  <c r="T608" i="11" s="1"/>
  <c r="J608" i="11"/>
  <c r="I609" i="11"/>
  <c r="X608" i="11" l="1"/>
  <c r="AB609" i="11"/>
  <c r="Z609" i="11"/>
  <c r="E608" i="11"/>
  <c r="AA608" i="11" l="1"/>
  <c r="AD609" i="11"/>
  <c r="AC609" i="11"/>
  <c r="AF609" i="11"/>
  <c r="AN609" i="11"/>
  <c r="AE609" i="11"/>
  <c r="D608" i="11"/>
  <c r="F608" i="11" s="1"/>
  <c r="N607" i="11"/>
  <c r="X607" i="11" s="1"/>
  <c r="J607" i="11"/>
  <c r="I608" i="11"/>
  <c r="R607" i="11" l="1"/>
  <c r="T607" i="11" s="1"/>
  <c r="AB608" i="11"/>
  <c r="Z608" i="11"/>
  <c r="E607" i="11"/>
  <c r="AA607" i="11" l="1"/>
  <c r="AD608" i="11"/>
  <c r="AE608" i="11"/>
  <c r="AC608" i="11"/>
  <c r="AN608" i="11"/>
  <c r="AF608" i="11"/>
  <c r="D607" i="11"/>
  <c r="F607" i="11" s="1"/>
  <c r="N606" i="11"/>
  <c r="X606" i="11" s="1"/>
  <c r="I607" i="11"/>
  <c r="J606" i="11"/>
  <c r="R606" i="11" l="1"/>
  <c r="T606" i="11" s="1"/>
  <c r="AB607" i="11"/>
  <c r="Z607" i="11"/>
  <c r="E606" i="11"/>
  <c r="AA606" i="11" l="1"/>
  <c r="AD607" i="11"/>
  <c r="AF607" i="11"/>
  <c r="AC607" i="11"/>
  <c r="AN607" i="11"/>
  <c r="AE607" i="11"/>
  <c r="D606" i="11"/>
  <c r="F606" i="11" s="1"/>
  <c r="N605" i="11"/>
  <c r="R605" i="11" s="1"/>
  <c r="T605" i="11" s="1"/>
  <c r="I606" i="11"/>
  <c r="J605" i="11"/>
  <c r="X605" i="11" l="1"/>
  <c r="AB606" i="11"/>
  <c r="Z606" i="11"/>
  <c r="E605" i="11"/>
  <c r="AA605" i="11" l="1"/>
  <c r="AD606" i="11"/>
  <c r="AC606" i="11"/>
  <c r="AE606" i="11"/>
  <c r="AN606" i="11"/>
  <c r="AF606" i="11"/>
  <c r="D605" i="11"/>
  <c r="F605" i="11" s="1"/>
  <c r="N604" i="11"/>
  <c r="R604" i="11" s="1"/>
  <c r="T604" i="11" s="1"/>
  <c r="I605" i="11"/>
  <c r="J604" i="11"/>
  <c r="X604" i="11" l="1"/>
  <c r="AB605" i="11"/>
  <c r="Z605" i="11"/>
  <c r="E604" i="11"/>
  <c r="AA604" i="11" l="1"/>
  <c r="AD605" i="11"/>
  <c r="AN605" i="11"/>
  <c r="AC605" i="11"/>
  <c r="AE605" i="11"/>
  <c r="AF605" i="11"/>
  <c r="D604" i="11"/>
  <c r="F604" i="11" s="1"/>
  <c r="N603" i="11"/>
  <c r="X603" i="11" s="1"/>
  <c r="I604" i="11"/>
  <c r="J603" i="11"/>
  <c r="R603" i="11" l="1"/>
  <c r="T603" i="11" s="1"/>
  <c r="AB604" i="11"/>
  <c r="Z604" i="11"/>
  <c r="E603" i="11"/>
  <c r="AA603" i="11" l="1"/>
  <c r="AD604" i="11"/>
  <c r="AE604" i="11"/>
  <c r="AC604" i="11"/>
  <c r="AN604" i="11"/>
  <c r="AF604" i="11"/>
  <c r="D603" i="11"/>
  <c r="F603" i="11" s="1"/>
  <c r="N602" i="11"/>
  <c r="R602" i="11" s="1"/>
  <c r="T602" i="11" s="1"/>
  <c r="J602" i="11"/>
  <c r="I603" i="11"/>
  <c r="X602" i="11" l="1"/>
  <c r="AB603" i="11"/>
  <c r="Z603" i="11"/>
  <c r="E602" i="11"/>
  <c r="AA602" i="11" l="1"/>
  <c r="AD603" i="11"/>
  <c r="AE603" i="11"/>
  <c r="AC603" i="11"/>
  <c r="AN603" i="11"/>
  <c r="AF603" i="11"/>
  <c r="D602" i="11"/>
  <c r="F602" i="11" s="1"/>
  <c r="N601" i="11"/>
  <c r="X601" i="11" s="1"/>
  <c r="I602" i="11"/>
  <c r="J601" i="11"/>
  <c r="R601" i="11" l="1"/>
  <c r="T601" i="11" s="1"/>
  <c r="AB602" i="11"/>
  <c r="Z602" i="11"/>
  <c r="E601" i="11"/>
  <c r="AA601" i="11" l="1"/>
  <c r="AD602" i="11"/>
  <c r="AN602" i="11"/>
  <c r="AF602" i="11"/>
  <c r="AC602" i="11"/>
  <c r="AE602" i="11"/>
  <c r="D601" i="11"/>
  <c r="F601" i="11" s="1"/>
  <c r="N600" i="11"/>
  <c r="X600" i="11" s="1"/>
  <c r="J600" i="11"/>
  <c r="I601" i="11"/>
  <c r="R600" i="11" l="1"/>
  <c r="T600" i="11" s="1"/>
  <c r="AB601" i="11"/>
  <c r="Z601" i="11"/>
  <c r="E600" i="11"/>
  <c r="AA600" i="11" l="1"/>
  <c r="AD601" i="11"/>
  <c r="AC601" i="11"/>
  <c r="AN601" i="11"/>
  <c r="AE601" i="11"/>
  <c r="AF601" i="11"/>
  <c r="D600" i="11"/>
  <c r="F600" i="11" s="1"/>
  <c r="N599" i="11"/>
  <c r="X599" i="11" s="1"/>
  <c r="J599" i="11"/>
  <c r="I600" i="11"/>
  <c r="R599" i="11" l="1"/>
  <c r="T599" i="11" s="1"/>
  <c r="AB600" i="11"/>
  <c r="Z600" i="11"/>
  <c r="E599" i="11"/>
  <c r="AA599" i="11" l="1"/>
  <c r="AD600" i="11"/>
  <c r="AC600" i="11"/>
  <c r="AN600" i="11"/>
  <c r="AE600" i="11"/>
  <c r="AF600" i="11"/>
  <c r="D599" i="11"/>
  <c r="F599" i="11" s="1"/>
  <c r="N598" i="11"/>
  <c r="X598" i="11" s="1"/>
  <c r="I599" i="11"/>
  <c r="J598" i="11"/>
  <c r="R598" i="11" l="1"/>
  <c r="T598" i="11" s="1"/>
  <c r="AB599" i="11"/>
  <c r="Z599" i="11"/>
  <c r="E598" i="11"/>
  <c r="AA598" i="11" l="1"/>
  <c r="AD599" i="11"/>
  <c r="AC599" i="11"/>
  <c r="AN599" i="11"/>
  <c r="AF599" i="11"/>
  <c r="AE599" i="11"/>
  <c r="D598" i="11"/>
  <c r="F598" i="11" s="1"/>
  <c r="N597" i="11"/>
  <c r="X597" i="11" s="1"/>
  <c r="I598" i="11"/>
  <c r="J597" i="11"/>
  <c r="R597" i="11" l="1"/>
  <c r="T597" i="11" s="1"/>
  <c r="AB598" i="11"/>
  <c r="Z598" i="11"/>
  <c r="E597" i="11"/>
  <c r="AA597" i="11" l="1"/>
  <c r="AD598" i="11"/>
  <c r="AC598" i="11"/>
  <c r="AN598" i="11"/>
  <c r="AF598" i="11"/>
  <c r="AE598" i="11"/>
  <c r="D597" i="11"/>
  <c r="F597" i="11" s="1"/>
  <c r="N596" i="11"/>
  <c r="X596" i="11" s="1"/>
  <c r="I597" i="11"/>
  <c r="J596" i="11"/>
  <c r="R596" i="11" l="1"/>
  <c r="T596" i="11" s="1"/>
  <c r="AB597" i="11"/>
  <c r="Z597" i="11"/>
  <c r="E596" i="11"/>
  <c r="AA596" i="11" l="1"/>
  <c r="AD597" i="11"/>
  <c r="AC597" i="11"/>
  <c r="AF597" i="11"/>
  <c r="AN597" i="11"/>
  <c r="AE597" i="11"/>
  <c r="D596" i="11"/>
  <c r="F596" i="11" s="1"/>
  <c r="N595" i="11"/>
  <c r="X595" i="11" s="1"/>
  <c r="I596" i="11"/>
  <c r="J595" i="11"/>
  <c r="R595" i="11" l="1"/>
  <c r="T595" i="11" s="1"/>
  <c r="AB596" i="11"/>
  <c r="Z596" i="11"/>
  <c r="E595" i="11"/>
  <c r="AA595" i="11" l="1"/>
  <c r="AD596" i="11"/>
  <c r="AC596" i="11"/>
  <c r="AE596" i="11"/>
  <c r="AF596" i="11"/>
  <c r="AN596" i="11"/>
  <c r="D595" i="11"/>
  <c r="F595" i="11" s="1"/>
  <c r="N594" i="11"/>
  <c r="X594" i="11" s="1"/>
  <c r="I595" i="11"/>
  <c r="J594" i="11"/>
  <c r="AB595" i="11" l="1"/>
  <c r="Z595" i="11"/>
  <c r="R594" i="11"/>
  <c r="T594" i="11" s="1"/>
  <c r="E594" i="11"/>
  <c r="AA594" i="11" l="1"/>
  <c r="AD595" i="11"/>
  <c r="AC595" i="11"/>
  <c r="AE595" i="11"/>
  <c r="AF595" i="11"/>
  <c r="AN595" i="11"/>
  <c r="D594" i="11"/>
  <c r="F594" i="11" s="1"/>
  <c r="N593" i="11"/>
  <c r="R593" i="11" s="1"/>
  <c r="T593" i="11" s="1"/>
  <c r="I594" i="11"/>
  <c r="J593" i="11"/>
  <c r="X593" i="11" l="1"/>
  <c r="AB594" i="11"/>
  <c r="Z594" i="11"/>
  <c r="E593" i="11"/>
  <c r="AA593" i="11" l="1"/>
  <c r="AD594" i="11"/>
  <c r="AC594" i="11"/>
  <c r="AE594" i="11"/>
  <c r="AN594" i="11"/>
  <c r="AF594" i="11"/>
  <c r="D593" i="11"/>
  <c r="F593" i="11" s="1"/>
  <c r="N592" i="11"/>
  <c r="X592" i="11" s="1"/>
  <c r="J592" i="11"/>
  <c r="I593" i="11"/>
  <c r="R592" i="11" l="1"/>
  <c r="T592" i="11" s="1"/>
  <c r="AB593" i="11"/>
  <c r="Z593" i="11"/>
  <c r="E592" i="11"/>
  <c r="AA592" i="11" l="1"/>
  <c r="AD593" i="11"/>
  <c r="AC593" i="11"/>
  <c r="AN593" i="11"/>
  <c r="AF593" i="11"/>
  <c r="AE593" i="11"/>
  <c r="D592" i="11"/>
  <c r="F592" i="11" s="1"/>
  <c r="N591" i="11"/>
  <c r="X591" i="11" s="1"/>
  <c r="J591" i="11"/>
  <c r="I592" i="11"/>
  <c r="R591" i="11" l="1"/>
  <c r="T591" i="11" s="1"/>
  <c r="Z592" i="11"/>
  <c r="AB592" i="11"/>
  <c r="E591" i="11"/>
  <c r="AA591" i="11" l="1"/>
  <c r="AD592" i="11"/>
  <c r="AC592" i="11"/>
  <c r="AN592" i="11"/>
  <c r="AE592" i="11"/>
  <c r="AF592" i="11"/>
  <c r="D591" i="11"/>
  <c r="F591" i="11" s="1"/>
  <c r="N590" i="11"/>
  <c r="R590" i="11" s="1"/>
  <c r="T590" i="11" s="1"/>
  <c r="I591" i="11"/>
  <c r="J590" i="11"/>
  <c r="X590" i="11" l="1"/>
  <c r="Z591" i="11"/>
  <c r="AB591" i="11"/>
  <c r="E590" i="11"/>
  <c r="AA590" i="11" l="1"/>
  <c r="AD591" i="11"/>
  <c r="AE591" i="11"/>
  <c r="AC591" i="11"/>
  <c r="AN591" i="11"/>
  <c r="AF591" i="11"/>
  <c r="D590" i="11"/>
  <c r="F590" i="11" s="1"/>
  <c r="N589" i="11"/>
  <c r="X589" i="11" s="1"/>
  <c r="J589" i="11"/>
  <c r="I590" i="11"/>
  <c r="R589" i="11" l="1"/>
  <c r="T589" i="11" s="1"/>
  <c r="Z590" i="11"/>
  <c r="AB590" i="11"/>
  <c r="E589" i="11"/>
  <c r="AA589" i="11" l="1"/>
  <c r="AD590" i="11"/>
  <c r="AN590" i="11"/>
  <c r="AE590" i="11"/>
  <c r="AC590" i="11"/>
  <c r="AF590" i="11"/>
  <c r="D589" i="11"/>
  <c r="F589" i="11" s="1"/>
  <c r="N588" i="11"/>
  <c r="X588" i="11" s="1"/>
  <c r="I589" i="11"/>
  <c r="J588" i="11"/>
  <c r="R588" i="11" l="1"/>
  <c r="T588" i="11" s="1"/>
  <c r="AB589" i="11"/>
  <c r="Z589" i="11"/>
  <c r="E588" i="11"/>
  <c r="AA588" i="11" l="1"/>
  <c r="AD589" i="11"/>
  <c r="AE589" i="11"/>
  <c r="AC589" i="11"/>
  <c r="AF589" i="11"/>
  <c r="AN589" i="11"/>
  <c r="D588" i="11"/>
  <c r="F588" i="11" s="1"/>
  <c r="N587" i="11"/>
  <c r="X587" i="11" s="1"/>
  <c r="I588" i="11"/>
  <c r="J587" i="11"/>
  <c r="R587" i="11" l="1"/>
  <c r="T587" i="11" s="1"/>
  <c r="AB588" i="11"/>
  <c r="Z588" i="11"/>
  <c r="E587" i="11"/>
  <c r="AA587" i="11" l="1"/>
  <c r="AD588" i="11"/>
  <c r="AE588" i="11"/>
  <c r="AC588" i="11"/>
  <c r="AN588" i="11"/>
  <c r="AF588" i="11"/>
  <c r="D587" i="11"/>
  <c r="F587" i="11" s="1"/>
  <c r="N586" i="11"/>
  <c r="X586" i="11" s="1"/>
  <c r="J586" i="11"/>
  <c r="I587" i="11"/>
  <c r="R586" i="11" l="1"/>
  <c r="T586" i="11" s="1"/>
  <c r="AB587" i="11"/>
  <c r="Z587" i="11"/>
  <c r="E586" i="11"/>
  <c r="AA586" i="11" l="1"/>
  <c r="AD587" i="11"/>
  <c r="AC587" i="11"/>
  <c r="AN587" i="11"/>
  <c r="AE587" i="11"/>
  <c r="AF587" i="11"/>
  <c r="D586" i="11"/>
  <c r="F586" i="11" s="1"/>
  <c r="N585" i="11"/>
  <c r="R585" i="11" s="1"/>
  <c r="T585" i="11" s="1"/>
  <c r="J585" i="11"/>
  <c r="I586" i="11"/>
  <c r="X585" i="11" l="1"/>
  <c r="AB586" i="11"/>
  <c r="Z586" i="11"/>
  <c r="E585" i="11"/>
  <c r="AA585" i="11" l="1"/>
  <c r="AD586" i="11"/>
  <c r="AC586" i="11"/>
  <c r="AF586" i="11"/>
  <c r="AN586" i="11"/>
  <c r="AE586" i="11"/>
  <c r="D585" i="11"/>
  <c r="F585" i="11" s="1"/>
  <c r="N584" i="11"/>
  <c r="X584" i="11" s="1"/>
  <c r="J584" i="11"/>
  <c r="I585" i="11"/>
  <c r="R584" i="11" l="1"/>
  <c r="T584" i="11" s="1"/>
  <c r="AB585" i="11"/>
  <c r="Z585" i="11"/>
  <c r="E584" i="11"/>
  <c r="AA584" i="11" l="1"/>
  <c r="AD585" i="11"/>
  <c r="AC585" i="11"/>
  <c r="AN585" i="11"/>
  <c r="AF585" i="11"/>
  <c r="AE585" i="11"/>
  <c r="D584" i="11"/>
  <c r="F584" i="11" s="1"/>
  <c r="N583" i="11"/>
  <c r="X583" i="11" s="1"/>
  <c r="I584" i="11"/>
  <c r="J583" i="11"/>
  <c r="R583" i="11" l="1"/>
  <c r="T583" i="11" s="1"/>
  <c r="AB584" i="11"/>
  <c r="Z584" i="11"/>
  <c r="E583" i="11"/>
  <c r="AA583" i="11" l="1"/>
  <c r="AD584" i="11"/>
  <c r="AC584" i="11"/>
  <c r="AF584" i="11"/>
  <c r="AN584" i="11"/>
  <c r="AE584" i="11"/>
  <c r="D583" i="11"/>
  <c r="F583" i="11" s="1"/>
  <c r="N582" i="11"/>
  <c r="X582" i="11" s="1"/>
  <c r="J582" i="11"/>
  <c r="I583" i="11"/>
  <c r="R582" i="11" l="1"/>
  <c r="T582" i="11" s="1"/>
  <c r="AB583" i="11"/>
  <c r="Z583" i="11"/>
  <c r="E582" i="11"/>
  <c r="AA582" i="11" l="1"/>
  <c r="AD583" i="11"/>
  <c r="AC583" i="11"/>
  <c r="AN583" i="11"/>
  <c r="AF583" i="11"/>
  <c r="AE583" i="11"/>
  <c r="D582" i="11"/>
  <c r="F582" i="11" s="1"/>
  <c r="N581" i="11"/>
  <c r="X581" i="11" s="1"/>
  <c r="J581" i="11"/>
  <c r="I582" i="11"/>
  <c r="R581" i="11" l="1"/>
  <c r="T581" i="11" s="1"/>
  <c r="Z582" i="11"/>
  <c r="AB582" i="11"/>
  <c r="E581" i="11"/>
  <c r="AA581" i="11" l="1"/>
  <c r="AD582" i="11"/>
  <c r="AC582" i="11"/>
  <c r="AN582" i="11"/>
  <c r="AE582" i="11"/>
  <c r="AF582" i="11"/>
  <c r="D581" i="11"/>
  <c r="F581" i="11" s="1"/>
  <c r="N580" i="11"/>
  <c r="X580" i="11" s="1"/>
  <c r="I581" i="11"/>
  <c r="J580" i="11"/>
  <c r="R580" i="11" l="1"/>
  <c r="T580" i="11" s="1"/>
  <c r="AB581" i="11"/>
  <c r="Z581" i="11"/>
  <c r="E580" i="11"/>
  <c r="AA580" i="11" l="1"/>
  <c r="AD581" i="11"/>
  <c r="AC581" i="11"/>
  <c r="AF581" i="11"/>
  <c r="AN581" i="11"/>
  <c r="AE581" i="11"/>
  <c r="D580" i="11"/>
  <c r="F580" i="11" s="1"/>
  <c r="N579" i="11"/>
  <c r="X579" i="11" s="1"/>
  <c r="J579" i="11"/>
  <c r="I580" i="11"/>
  <c r="R579" i="11" l="1"/>
  <c r="T579" i="11" s="1"/>
  <c r="AB580" i="11"/>
  <c r="Z580" i="11"/>
  <c r="E579" i="11"/>
  <c r="AA579" i="11" l="1"/>
  <c r="AD580" i="11"/>
  <c r="AC580" i="11"/>
  <c r="AE580" i="11"/>
  <c r="AN580" i="11"/>
  <c r="AF580" i="11"/>
  <c r="D579" i="11"/>
  <c r="F579" i="11" s="1"/>
  <c r="N578" i="11"/>
  <c r="X578" i="11" s="1"/>
  <c r="J578" i="11"/>
  <c r="I579" i="11"/>
  <c r="R578" i="11" l="1"/>
  <c r="T578" i="11" s="1"/>
  <c r="AB579" i="11"/>
  <c r="Z579" i="11"/>
  <c r="E578" i="11"/>
  <c r="AA578" i="11" l="1"/>
  <c r="AD579" i="11"/>
  <c r="AE579" i="11"/>
  <c r="AC579" i="11"/>
  <c r="AF579" i="11"/>
  <c r="AN579" i="11"/>
  <c r="D578" i="11"/>
  <c r="F578" i="11" s="1"/>
  <c r="N577" i="11"/>
  <c r="X577" i="11" s="1"/>
  <c r="I578" i="11"/>
  <c r="J577" i="11"/>
  <c r="R577" i="11" l="1"/>
  <c r="T577" i="11" s="1"/>
  <c r="Z578" i="11"/>
  <c r="AB578" i="11"/>
  <c r="E577" i="11"/>
  <c r="AA577" i="11" l="1"/>
  <c r="AD578" i="11"/>
  <c r="AC578" i="11"/>
  <c r="AN578" i="11"/>
  <c r="AE578" i="11"/>
  <c r="AF578" i="11"/>
  <c r="D577" i="11"/>
  <c r="F577" i="11" s="1"/>
  <c r="N576" i="11"/>
  <c r="R576" i="11" s="1"/>
  <c r="T576" i="11" s="1"/>
  <c r="I577" i="11"/>
  <c r="J576" i="11"/>
  <c r="X576" i="11" l="1"/>
  <c r="AB577" i="11"/>
  <c r="Z577" i="11"/>
  <c r="E576" i="11"/>
  <c r="AA576" i="11" l="1"/>
  <c r="AD577" i="11"/>
  <c r="AN577" i="11"/>
  <c r="AC577" i="11"/>
  <c r="AF577" i="11"/>
  <c r="AE577" i="11"/>
  <c r="D576" i="11"/>
  <c r="F576" i="11" s="1"/>
  <c r="N575" i="11"/>
  <c r="X575" i="11" s="1"/>
  <c r="I576" i="11"/>
  <c r="J575" i="11"/>
  <c r="R575" i="11" l="1"/>
  <c r="T575" i="11" s="1"/>
  <c r="Z576" i="11"/>
  <c r="AB576" i="11"/>
  <c r="E575" i="11"/>
  <c r="AA575" i="11" l="1"/>
  <c r="AD576" i="11"/>
  <c r="AC576" i="11"/>
  <c r="AE576" i="11"/>
  <c r="AN576" i="11"/>
  <c r="AF576" i="11"/>
  <c r="D575" i="11"/>
  <c r="F575" i="11" s="1"/>
  <c r="N574" i="11"/>
  <c r="X574" i="11" s="1"/>
  <c r="J574" i="11"/>
  <c r="I575" i="11"/>
  <c r="R574" i="11" l="1"/>
  <c r="T574" i="11" s="1"/>
  <c r="AB575" i="11"/>
  <c r="Z575" i="11"/>
  <c r="E574" i="11"/>
  <c r="AA574" i="11" l="1"/>
  <c r="AD575" i="11"/>
  <c r="AC575" i="11"/>
  <c r="AF575" i="11"/>
  <c r="AN575" i="11"/>
  <c r="AE575" i="11"/>
  <c r="D574" i="11"/>
  <c r="F574" i="11" s="1"/>
  <c r="N573" i="11"/>
  <c r="R573" i="11" s="1"/>
  <c r="T573" i="11" s="1"/>
  <c r="I574" i="11"/>
  <c r="J573" i="11"/>
  <c r="X573" i="11" l="1"/>
  <c r="AB574" i="11"/>
  <c r="Z574" i="11"/>
  <c r="E573" i="11"/>
  <c r="AA573" i="11" l="1"/>
  <c r="AD574" i="11"/>
  <c r="AC574" i="11"/>
  <c r="AN574" i="11"/>
  <c r="AE574" i="11"/>
  <c r="AF574" i="11"/>
  <c r="D573" i="11"/>
  <c r="F573" i="11" s="1"/>
  <c r="N572" i="11"/>
  <c r="X572" i="11" s="1"/>
  <c r="I573" i="11"/>
  <c r="J572" i="11"/>
  <c r="R572" i="11" l="1"/>
  <c r="T572" i="11" s="1"/>
  <c r="AB573" i="11"/>
  <c r="Z573" i="11"/>
  <c r="E572" i="11"/>
  <c r="AA572" i="11" l="1"/>
  <c r="AD573" i="11"/>
  <c r="AC573" i="11"/>
  <c r="AN573" i="11"/>
  <c r="AE573" i="11"/>
  <c r="AF573" i="11"/>
  <c r="D572" i="11"/>
  <c r="F572" i="11" s="1"/>
  <c r="N571" i="11"/>
  <c r="X571" i="11" s="1"/>
  <c r="J571" i="11"/>
  <c r="I572" i="11"/>
  <c r="R571" i="11" l="1"/>
  <c r="T571" i="11" s="1"/>
  <c r="AB572" i="11"/>
  <c r="Z572" i="11"/>
  <c r="E571" i="11"/>
  <c r="AA571" i="11" l="1"/>
  <c r="AD572" i="11"/>
  <c r="AC572" i="11"/>
  <c r="AN572" i="11"/>
  <c r="AE572" i="11"/>
  <c r="AF572" i="11"/>
  <c r="D571" i="11"/>
  <c r="F571" i="11" s="1"/>
  <c r="N570" i="11"/>
  <c r="X570" i="11" s="1"/>
  <c r="I571" i="11"/>
  <c r="J570" i="11"/>
  <c r="R570" i="11" l="1"/>
  <c r="T570" i="11" s="1"/>
  <c r="AB571" i="11"/>
  <c r="Z571" i="11"/>
  <c r="E570" i="11"/>
  <c r="AA570" i="11" l="1"/>
  <c r="AD571" i="11"/>
  <c r="AC571" i="11"/>
  <c r="AF571" i="11"/>
  <c r="AN571" i="11"/>
  <c r="AE571" i="11"/>
  <c r="D570" i="11"/>
  <c r="F570" i="11" s="1"/>
  <c r="N569" i="11"/>
  <c r="X569" i="11" s="1"/>
  <c r="I570" i="11"/>
  <c r="J569" i="11"/>
  <c r="R569" i="11" l="1"/>
  <c r="T569" i="11" s="1"/>
  <c r="AB570" i="11"/>
  <c r="Z570" i="11"/>
  <c r="E569" i="11"/>
  <c r="AA569" i="11" l="1"/>
  <c r="AD570" i="11"/>
  <c r="AN570" i="11"/>
  <c r="AE570" i="11"/>
  <c r="AC570" i="11"/>
  <c r="AF570" i="11"/>
  <c r="D569" i="11"/>
  <c r="F569" i="11" s="1"/>
  <c r="N568" i="11"/>
  <c r="X568" i="11" s="1"/>
  <c r="I569" i="11"/>
  <c r="J568" i="11"/>
  <c r="R568" i="11" l="1"/>
  <c r="T568" i="11" s="1"/>
  <c r="AB569" i="11"/>
  <c r="Z569" i="11"/>
  <c r="E568" i="11"/>
  <c r="AA568" i="11" l="1"/>
  <c r="AD569" i="11"/>
  <c r="AC569" i="11"/>
  <c r="AN569" i="11"/>
  <c r="AF569" i="11"/>
  <c r="AE569" i="11"/>
  <c r="D568" i="11"/>
  <c r="F568" i="11" s="1"/>
  <c r="N567" i="11"/>
  <c r="X567" i="11" s="1"/>
  <c r="I568" i="11"/>
  <c r="J567" i="11"/>
  <c r="R567" i="11" l="1"/>
  <c r="T567" i="11" s="1"/>
  <c r="AB568" i="11"/>
  <c r="Z568" i="11"/>
  <c r="E567" i="11"/>
  <c r="AA567" i="11" l="1"/>
  <c r="AD568" i="11"/>
  <c r="AC568" i="11"/>
  <c r="AE568" i="11"/>
  <c r="AN568" i="11"/>
  <c r="AF568" i="11"/>
  <c r="D567" i="11"/>
  <c r="F567" i="11" s="1"/>
  <c r="N566" i="11"/>
  <c r="X566" i="11" s="1"/>
  <c r="J566" i="11"/>
  <c r="I567" i="11"/>
  <c r="R566" i="11" l="1"/>
  <c r="T566" i="11" s="1"/>
  <c r="AB567" i="11"/>
  <c r="Z567" i="11"/>
  <c r="E566" i="11"/>
  <c r="AA566" i="11" l="1"/>
  <c r="AD567" i="11"/>
  <c r="AC567" i="11"/>
  <c r="AF567" i="11"/>
  <c r="AE567" i="11"/>
  <c r="AN567" i="11"/>
  <c r="D566" i="11"/>
  <c r="F566" i="11" s="1"/>
  <c r="N565" i="11"/>
  <c r="X565" i="11" s="1"/>
  <c r="J565" i="11"/>
  <c r="I566" i="11"/>
  <c r="R565" i="11" l="1"/>
  <c r="T565" i="11" s="1"/>
  <c r="AB566" i="11"/>
  <c r="Z566" i="11"/>
  <c r="E565" i="11"/>
  <c r="AA565" i="11" l="1"/>
  <c r="AD566" i="11"/>
  <c r="AC566" i="11"/>
  <c r="AF566" i="11"/>
  <c r="AE566" i="11"/>
  <c r="AN566" i="11"/>
  <c r="D565" i="11"/>
  <c r="F565" i="11" s="1"/>
  <c r="N564" i="11"/>
  <c r="X564" i="11" s="1"/>
  <c r="J564" i="11"/>
  <c r="I565" i="11"/>
  <c r="R564" i="11" l="1"/>
  <c r="T564" i="11" s="1"/>
  <c r="AB565" i="11"/>
  <c r="Z565" i="11"/>
  <c r="E564" i="11"/>
  <c r="AA564" i="11" l="1"/>
  <c r="AD565" i="11"/>
  <c r="AC565" i="11"/>
  <c r="AN565" i="11"/>
  <c r="AF565" i="11"/>
  <c r="AE565" i="11"/>
  <c r="D564" i="11"/>
  <c r="F564" i="11" s="1"/>
  <c r="N563" i="11"/>
  <c r="X563" i="11" s="1"/>
  <c r="J563" i="11"/>
  <c r="I564" i="11"/>
  <c r="R563" i="11" l="1"/>
  <c r="T563" i="11" s="1"/>
  <c r="Z564" i="11"/>
  <c r="AB564" i="11"/>
  <c r="E563" i="11"/>
  <c r="AA563" i="11" l="1"/>
  <c r="AD564" i="11"/>
  <c r="AC564" i="11"/>
  <c r="AE564" i="11"/>
  <c r="AN564" i="11"/>
  <c r="AF564" i="11"/>
  <c r="D563" i="11"/>
  <c r="F563" i="11" s="1"/>
  <c r="N562" i="11"/>
  <c r="X562" i="11" s="1"/>
  <c r="J562" i="11"/>
  <c r="I563" i="11"/>
  <c r="R562" i="11" l="1"/>
  <c r="T562" i="11" s="1"/>
  <c r="Z563" i="11"/>
  <c r="AB563" i="11"/>
  <c r="E562" i="11"/>
  <c r="AA562" i="11" l="1"/>
  <c r="AD563" i="11"/>
  <c r="AC563" i="11"/>
  <c r="AF563" i="11"/>
  <c r="AN563" i="11"/>
  <c r="AE563" i="11"/>
  <c r="D562" i="11"/>
  <c r="F562" i="11" s="1"/>
  <c r="N561" i="11"/>
  <c r="X561" i="11" s="1"/>
  <c r="I562" i="11"/>
  <c r="J561" i="11"/>
  <c r="R561" i="11" l="1"/>
  <c r="T561" i="11" s="1"/>
  <c r="Z562" i="11"/>
  <c r="AB562" i="11"/>
  <c r="E561" i="11"/>
  <c r="AM562" i="11" l="1"/>
  <c r="AL562" i="11"/>
  <c r="AA561" i="11"/>
  <c r="AD562" i="11"/>
  <c r="AC562" i="11"/>
  <c r="AN562" i="11"/>
  <c r="AE562" i="11"/>
  <c r="AF562" i="11"/>
  <c r="D561" i="11"/>
  <c r="F561" i="11" s="1"/>
  <c r="N560" i="11"/>
  <c r="R560" i="11" s="1"/>
  <c r="T560" i="11" s="1"/>
  <c r="I561" i="11"/>
  <c r="J560" i="11"/>
  <c r="X560" i="11" l="1"/>
  <c r="AB561" i="11"/>
  <c r="Z561" i="11"/>
  <c r="E560" i="11"/>
  <c r="AL561" i="11" l="1"/>
  <c r="AM561" i="11"/>
  <c r="AA560" i="11"/>
  <c r="AD561" i="11"/>
  <c r="AE561" i="11"/>
  <c r="AC561" i="11"/>
  <c r="AN561" i="11"/>
  <c r="AF561" i="11"/>
  <c r="D560" i="11"/>
  <c r="F560" i="11" s="1"/>
  <c r="N559" i="11"/>
  <c r="R559" i="11" s="1"/>
  <c r="T559" i="11" s="1"/>
  <c r="J559" i="11"/>
  <c r="I560" i="11"/>
  <c r="X559" i="11" l="1"/>
  <c r="AB560" i="11"/>
  <c r="Z560" i="11"/>
  <c r="E559" i="11"/>
  <c r="AL560" i="11" l="1"/>
  <c r="AM560" i="11"/>
  <c r="AA559" i="11"/>
  <c r="AD560" i="11"/>
  <c r="AC560" i="11"/>
  <c r="AN560" i="11"/>
  <c r="AF560" i="11"/>
  <c r="AE560" i="11"/>
  <c r="D559" i="11"/>
  <c r="F559" i="11" s="1"/>
  <c r="N558" i="11"/>
  <c r="X558" i="11" s="1"/>
  <c r="J558" i="11"/>
  <c r="I559" i="11"/>
  <c r="R558" i="11" l="1"/>
  <c r="T558" i="11" s="1"/>
  <c r="AB559" i="11"/>
  <c r="Z559" i="11"/>
  <c r="E558" i="11"/>
  <c r="AL559" i="11" l="1"/>
  <c r="AM559" i="11"/>
  <c r="AA558" i="11"/>
  <c r="AD559" i="11"/>
  <c r="AC559" i="11"/>
  <c r="AN559" i="11"/>
  <c r="AE559" i="11"/>
  <c r="AF559" i="11"/>
  <c r="D558" i="11"/>
  <c r="F558" i="11" s="1"/>
  <c r="N557" i="11"/>
  <c r="X557" i="11" s="1"/>
  <c r="J557" i="11"/>
  <c r="I558" i="11"/>
  <c r="R557" i="11" l="1"/>
  <c r="T557" i="11" s="1"/>
  <c r="AB558" i="11"/>
  <c r="Z558" i="11"/>
  <c r="E557" i="11"/>
  <c r="AM558" i="11" l="1"/>
  <c r="AL558" i="11"/>
  <c r="AA557" i="11"/>
  <c r="AD558" i="11"/>
  <c r="AC558" i="11"/>
  <c r="AE558" i="11"/>
  <c r="AF558" i="11"/>
  <c r="AN558" i="11"/>
  <c r="D557" i="11"/>
  <c r="F557" i="11" s="1"/>
  <c r="N556" i="11"/>
  <c r="X556" i="11" s="1"/>
  <c r="I557" i="11"/>
  <c r="J556" i="11"/>
  <c r="R556" i="11" l="1"/>
  <c r="T556" i="11" s="1"/>
  <c r="Z557" i="11"/>
  <c r="AB557" i="11"/>
  <c r="E556" i="11"/>
  <c r="AM557" i="11" l="1"/>
  <c r="AL557" i="11"/>
  <c r="AA556" i="11"/>
  <c r="AD557" i="11"/>
  <c r="AC557" i="11"/>
  <c r="AN557" i="11"/>
  <c r="AE557" i="11"/>
  <c r="AF557" i="11"/>
  <c r="D556" i="11"/>
  <c r="F556" i="11" s="1"/>
  <c r="N555" i="11"/>
  <c r="X555" i="11" s="1"/>
  <c r="J555" i="11"/>
  <c r="I556" i="11"/>
  <c r="Z556" i="11" l="1"/>
  <c r="AB556" i="11"/>
  <c r="R555" i="11"/>
  <c r="T555" i="11" s="1"/>
  <c r="E555" i="11"/>
  <c r="AM556" i="11" l="1"/>
  <c r="AL556" i="11"/>
  <c r="AA555" i="11"/>
  <c r="AD556" i="11"/>
  <c r="AC556" i="11"/>
  <c r="AF556" i="11"/>
  <c r="AE556" i="11"/>
  <c r="AN556" i="11"/>
  <c r="D555" i="11"/>
  <c r="F555" i="11" s="1"/>
  <c r="N554" i="11"/>
  <c r="X554" i="11" s="1"/>
  <c r="I555" i="11"/>
  <c r="J554" i="11"/>
  <c r="R554" i="11" l="1"/>
  <c r="T554" i="11" s="1"/>
  <c r="Z555" i="11"/>
  <c r="AB555" i="11"/>
  <c r="E554" i="11"/>
  <c r="AM555" i="11" l="1"/>
  <c r="AL555" i="11"/>
  <c r="AA554" i="11"/>
  <c r="AD555" i="11"/>
  <c r="AC555" i="11"/>
  <c r="AE555" i="11"/>
  <c r="AN555" i="11"/>
  <c r="AF555" i="11"/>
  <c r="F554" i="11"/>
  <c r="N553" i="11"/>
  <c r="X553" i="11" s="1"/>
  <c r="J553" i="11"/>
  <c r="I554" i="11"/>
  <c r="R553" i="11" l="1"/>
  <c r="T553" i="11" s="1"/>
  <c r="AB554" i="11"/>
  <c r="Z554" i="11"/>
  <c r="E553" i="11"/>
  <c r="AL554" i="11" l="1"/>
  <c r="AM554" i="11"/>
  <c r="AA553" i="11"/>
  <c r="AD554" i="11"/>
  <c r="AC554" i="11"/>
  <c r="AF554" i="11"/>
  <c r="AN554" i="11"/>
  <c r="AE554" i="11"/>
  <c r="F553" i="11"/>
  <c r="N552" i="11"/>
  <c r="X552" i="11" s="1"/>
  <c r="J552" i="11"/>
  <c r="I553" i="11"/>
  <c r="R552" i="11" l="1"/>
  <c r="T552" i="11" s="1"/>
  <c r="AB553" i="11"/>
  <c r="Z553" i="11"/>
  <c r="E552" i="11"/>
  <c r="AL553" i="11" l="1"/>
  <c r="AM553" i="11"/>
  <c r="AA552" i="11"/>
  <c r="AD553" i="11"/>
  <c r="AF553" i="11"/>
  <c r="AC553" i="11"/>
  <c r="AN553" i="11"/>
  <c r="AE553" i="11"/>
  <c r="F552" i="11"/>
  <c r="N551" i="11"/>
  <c r="R551" i="11" s="1"/>
  <c r="T551" i="11" s="1"/>
  <c r="I552" i="11"/>
  <c r="J551" i="11"/>
  <c r="X551" i="11" l="1"/>
  <c r="AB552" i="11"/>
  <c r="Z552" i="11"/>
  <c r="E551" i="11"/>
  <c r="AM552" i="11" l="1"/>
  <c r="AL552" i="11"/>
  <c r="AA551" i="11"/>
  <c r="AD552" i="11"/>
  <c r="AF552" i="11"/>
  <c r="AC552" i="11"/>
  <c r="AN552" i="11"/>
  <c r="AE552" i="11"/>
  <c r="F551" i="11"/>
  <c r="N550" i="11"/>
  <c r="X550" i="11" s="1"/>
  <c r="J550" i="11"/>
  <c r="I551" i="11"/>
  <c r="R550" i="11" l="1"/>
  <c r="T550" i="11" s="1"/>
  <c r="AB551" i="11"/>
  <c r="Z551" i="11"/>
  <c r="E550" i="11"/>
  <c r="AM551" i="11" l="1"/>
  <c r="AL551" i="11"/>
  <c r="AA550" i="11"/>
  <c r="AD551" i="11"/>
  <c r="AC551" i="11"/>
  <c r="AE551" i="11"/>
  <c r="AN551" i="11"/>
  <c r="AF551" i="11"/>
  <c r="F550" i="11"/>
  <c r="N549" i="11"/>
  <c r="X549" i="11" s="1"/>
  <c r="I550" i="11"/>
  <c r="J549" i="11"/>
  <c r="R549" i="11" l="1"/>
  <c r="T549" i="11" s="1"/>
  <c r="Z550" i="11"/>
  <c r="AB550" i="11"/>
  <c r="E549" i="11"/>
  <c r="AL550" i="11" l="1"/>
  <c r="AM550" i="11"/>
  <c r="AA549" i="11"/>
  <c r="AD550" i="11"/>
  <c r="AC550" i="11"/>
  <c r="AN550" i="11"/>
  <c r="AE550" i="11"/>
  <c r="AF550" i="11"/>
  <c r="F549" i="11"/>
  <c r="N548" i="11"/>
  <c r="R548" i="11" s="1"/>
  <c r="T548" i="11" s="1"/>
  <c r="I549" i="11"/>
  <c r="J548" i="11"/>
  <c r="X548" i="11" l="1"/>
  <c r="AB549" i="11"/>
  <c r="Z549" i="11"/>
  <c r="E548" i="11"/>
  <c r="AM549" i="11" l="1"/>
  <c r="AL549" i="11"/>
  <c r="AA548" i="11"/>
  <c r="AD549" i="11"/>
  <c r="AN549" i="11"/>
  <c r="AC549" i="11"/>
  <c r="AF549" i="11"/>
  <c r="AE549" i="11"/>
  <c r="F548" i="11"/>
  <c r="N547" i="11"/>
  <c r="X547" i="11" s="1"/>
  <c r="I548" i="11"/>
  <c r="J547" i="11"/>
  <c r="R547" i="11" l="1"/>
  <c r="T547" i="11" s="1"/>
  <c r="AB548" i="11"/>
  <c r="Z548" i="11"/>
  <c r="E547" i="11"/>
  <c r="AL548" i="11" l="1"/>
  <c r="AM548" i="11"/>
  <c r="AA547" i="11"/>
  <c r="AD548" i="11"/>
  <c r="AE548" i="11"/>
  <c r="AC548" i="11"/>
  <c r="AF548" i="11"/>
  <c r="AN548" i="11"/>
  <c r="F547" i="11"/>
  <c r="N546" i="11"/>
  <c r="R546" i="11" s="1"/>
  <c r="T546" i="11" s="1"/>
  <c r="J546" i="11"/>
  <c r="I547" i="11"/>
  <c r="X546" i="11" l="1"/>
  <c r="Z547" i="11"/>
  <c r="AB547" i="11"/>
  <c r="E546" i="11"/>
  <c r="AL547" i="11" l="1"/>
  <c r="AM547" i="11"/>
  <c r="AA546" i="11"/>
  <c r="AD547" i="11"/>
  <c r="AC547" i="11"/>
  <c r="AN547" i="11"/>
  <c r="AE547" i="11"/>
  <c r="AF547" i="11"/>
  <c r="F546" i="11"/>
  <c r="N545" i="11"/>
  <c r="X545" i="11" s="1"/>
  <c r="I546" i="11"/>
  <c r="J545" i="11"/>
  <c r="R545" i="11" l="1"/>
  <c r="T545" i="11" s="1"/>
  <c r="Z546" i="11"/>
  <c r="AB546" i="11"/>
  <c r="E545" i="11"/>
  <c r="AM546" i="11" l="1"/>
  <c r="AL546" i="11"/>
  <c r="AA545" i="11"/>
  <c r="AD546" i="11"/>
  <c r="AC546" i="11"/>
  <c r="AN546" i="11"/>
  <c r="AE546" i="11"/>
  <c r="AF546" i="11"/>
  <c r="F545" i="11"/>
  <c r="N544" i="11"/>
  <c r="X544" i="11" s="1"/>
  <c r="J544" i="11"/>
  <c r="I545" i="11"/>
  <c r="R544" i="11" l="1"/>
  <c r="T544" i="11" s="1"/>
  <c r="AB545" i="11"/>
  <c r="Z545" i="11"/>
  <c r="E544" i="11"/>
  <c r="AM545" i="11" l="1"/>
  <c r="AL545" i="11"/>
  <c r="AA544" i="11"/>
  <c r="AD545" i="11"/>
  <c r="AC545" i="11"/>
  <c r="AN545" i="11"/>
  <c r="AE545" i="11"/>
  <c r="AF545" i="11"/>
  <c r="F544" i="11"/>
  <c r="N543" i="11"/>
  <c r="X543" i="11" s="1"/>
  <c r="J543" i="11"/>
  <c r="I544" i="11"/>
  <c r="R543" i="11" l="1"/>
  <c r="T543" i="11" s="1"/>
  <c r="AB544" i="11"/>
  <c r="Z544" i="11"/>
  <c r="E543" i="11"/>
  <c r="AL544" i="11" l="1"/>
  <c r="AM544" i="11"/>
  <c r="AA543" i="11"/>
  <c r="AD544" i="11"/>
  <c r="AC544" i="11"/>
  <c r="AN544" i="11"/>
  <c r="AE544" i="11"/>
  <c r="AF544" i="11"/>
  <c r="F543" i="11"/>
  <c r="N542" i="11"/>
  <c r="X542" i="11" s="1"/>
  <c r="I543" i="11"/>
  <c r="J542" i="11"/>
  <c r="R542" i="11" l="1"/>
  <c r="T542" i="11" s="1"/>
  <c r="AB543" i="11"/>
  <c r="Z543" i="11"/>
  <c r="E542" i="11"/>
  <c r="AL543" i="11" l="1"/>
  <c r="AM543" i="11"/>
  <c r="AA542" i="11"/>
  <c r="AD543" i="11"/>
  <c r="AC543" i="11"/>
  <c r="AF543" i="11"/>
  <c r="AE543" i="11"/>
  <c r="AN543" i="11"/>
  <c r="F542" i="11"/>
  <c r="N541" i="11"/>
  <c r="R541" i="11" s="1"/>
  <c r="T541" i="11" s="1"/>
  <c r="I542" i="11"/>
  <c r="J541" i="11"/>
  <c r="X541" i="11" l="1"/>
  <c r="Z542" i="11"/>
  <c r="AB542" i="11"/>
  <c r="E541" i="11"/>
  <c r="AL542" i="11" l="1"/>
  <c r="AM542" i="11"/>
  <c r="AA541" i="11"/>
  <c r="AD542" i="11"/>
  <c r="AC542" i="11"/>
  <c r="AE542" i="11"/>
  <c r="AN542" i="11"/>
  <c r="AF542" i="11"/>
  <c r="F541" i="11"/>
  <c r="N540" i="11"/>
  <c r="X540" i="11" s="1"/>
  <c r="J540" i="11"/>
  <c r="I541" i="11"/>
  <c r="R540" i="11" l="1"/>
  <c r="T540" i="11" s="1"/>
  <c r="AB541" i="11"/>
  <c r="Z541" i="11"/>
  <c r="E540" i="11"/>
  <c r="AM541" i="11" l="1"/>
  <c r="AL541" i="11"/>
  <c r="AA540" i="11"/>
  <c r="AD541" i="11"/>
  <c r="AC541" i="11"/>
  <c r="AF541" i="11"/>
  <c r="AE541" i="11"/>
  <c r="AN541" i="11"/>
  <c r="F540" i="11"/>
  <c r="N539" i="11"/>
  <c r="R539" i="11" s="1"/>
  <c r="T539" i="11" s="1"/>
  <c r="J539" i="11"/>
  <c r="I540" i="11"/>
  <c r="X539" i="11" l="1"/>
  <c r="AB540" i="11"/>
  <c r="Z540" i="11"/>
  <c r="E539" i="11"/>
  <c r="AL540" i="11" l="1"/>
  <c r="AM540" i="11"/>
  <c r="AD540" i="11"/>
  <c r="AC540" i="11"/>
  <c r="AN540" i="11"/>
  <c r="AE540" i="11"/>
  <c r="AF540" i="11"/>
  <c r="F539" i="11"/>
  <c r="N538" i="11"/>
  <c r="X538" i="11" s="1"/>
  <c r="I539" i="11"/>
  <c r="J538" i="11"/>
  <c r="R538" i="11" l="1"/>
  <c r="T538" i="11" s="1"/>
  <c r="AB539" i="11"/>
  <c r="Z539" i="11"/>
  <c r="E538" i="11"/>
  <c r="AN539" i="11" l="1"/>
  <c r="AL539" i="11"/>
  <c r="AM539" i="11"/>
  <c r="AA538" i="11"/>
  <c r="AD539" i="11"/>
  <c r="AE539" i="11"/>
  <c r="AC539" i="11"/>
  <c r="AF539" i="11"/>
  <c r="F538" i="11"/>
  <c r="N537" i="11"/>
  <c r="R537" i="11" s="1"/>
  <c r="T537" i="11" s="1"/>
  <c r="B19" i="17" s="1"/>
  <c r="J537" i="11"/>
  <c r="I538" i="11"/>
  <c r="X537" i="11" l="1"/>
  <c r="Z538" i="11"/>
  <c r="AB538" i="11"/>
  <c r="E537" i="11"/>
  <c r="AL538" i="11" l="1"/>
  <c r="AM538" i="11"/>
  <c r="AN538" i="11"/>
  <c r="AA537" i="11"/>
  <c r="AD538" i="11"/>
  <c r="AF538" i="11"/>
  <c r="AC538" i="11"/>
  <c r="AE538" i="11"/>
  <c r="D537" i="11"/>
  <c r="F537" i="11" s="1"/>
  <c r="N536" i="11"/>
  <c r="R536" i="11" s="1"/>
  <c r="T536" i="11" s="1"/>
  <c r="J536" i="11"/>
  <c r="I537" i="11"/>
  <c r="X536" i="11" l="1"/>
  <c r="Z537" i="11"/>
  <c r="AB537" i="11"/>
  <c r="E536" i="11"/>
  <c r="AL537" i="11" l="1"/>
  <c r="AM537" i="11"/>
  <c r="AA536" i="11"/>
  <c r="AD537" i="11"/>
  <c r="AC537" i="11"/>
  <c r="AE537" i="11"/>
  <c r="AN537" i="11"/>
  <c r="AF537" i="11"/>
  <c r="D536" i="11"/>
  <c r="F536" i="11" s="1"/>
  <c r="N535" i="11"/>
  <c r="X535" i="11" s="1"/>
  <c r="I536" i="11"/>
  <c r="J535" i="11"/>
  <c r="R535" i="11" l="1"/>
  <c r="T535" i="11" s="1"/>
  <c r="AB536" i="11"/>
  <c r="Z536" i="11"/>
  <c r="E535" i="11"/>
  <c r="AM536" i="11" l="1"/>
  <c r="AL536" i="11"/>
  <c r="AA535" i="11"/>
  <c r="AD536" i="11"/>
  <c r="AC536" i="11"/>
  <c r="AF536" i="11"/>
  <c r="AE536" i="11"/>
  <c r="AN536" i="11"/>
  <c r="D535" i="11"/>
  <c r="F535" i="11" s="1"/>
  <c r="I535" i="11"/>
  <c r="AB535" i="11" l="1"/>
  <c r="Z535" i="11"/>
  <c r="AL535" i="11" l="1"/>
  <c r="AM535" i="11"/>
  <c r="AD535" i="11"/>
  <c r="AN535" i="11"/>
  <c r="AC535" i="11"/>
  <c r="AF535" i="11"/>
  <c r="AE535" i="11"/>
  <c r="N533" i="11"/>
  <c r="X533" i="11" s="1"/>
  <c r="J533" i="11"/>
  <c r="R533" i="11" l="1"/>
  <c r="T533" i="11" s="1"/>
  <c r="E533" i="11"/>
  <c r="AA533" i="11" l="1"/>
  <c r="D533" i="11"/>
  <c r="F533" i="11" s="1"/>
  <c r="N532" i="11"/>
  <c r="X532" i="11" s="1"/>
  <c r="I533" i="11"/>
  <c r="J532" i="11"/>
  <c r="R532" i="11" l="1"/>
  <c r="T532" i="11" s="1"/>
  <c r="Z533" i="11"/>
  <c r="AB533" i="11"/>
  <c r="E532" i="11"/>
  <c r="AL533" i="11" l="1"/>
  <c r="AM533" i="11"/>
  <c r="AA532" i="11"/>
  <c r="AD533" i="11"/>
  <c r="AC533" i="11"/>
  <c r="AN533" i="11"/>
  <c r="AF533" i="11"/>
  <c r="AE533" i="11"/>
  <c r="D532" i="11"/>
  <c r="F532" i="11" s="1"/>
  <c r="N531" i="11"/>
  <c r="R531" i="11" s="1"/>
  <c r="T531" i="11" s="1"/>
  <c r="I532" i="11"/>
  <c r="J531" i="11"/>
  <c r="X531" i="11" l="1"/>
  <c r="AB532" i="11"/>
  <c r="Z532" i="11"/>
  <c r="E531" i="11"/>
  <c r="AL532" i="11" l="1"/>
  <c r="AM532" i="11"/>
  <c r="AA531" i="11"/>
  <c r="AD532" i="11"/>
  <c r="AC532" i="11"/>
  <c r="AE532" i="11"/>
  <c r="AF532" i="11"/>
  <c r="AN532" i="11"/>
  <c r="D531" i="11"/>
  <c r="F531" i="11" s="1"/>
  <c r="N530" i="11"/>
  <c r="X530" i="11" s="1"/>
  <c r="J530" i="11"/>
  <c r="I531" i="11"/>
  <c r="R530" i="11" l="1"/>
  <c r="T530" i="11" s="1"/>
  <c r="Z531" i="11"/>
  <c r="AB531" i="11"/>
  <c r="E530" i="11"/>
  <c r="AL531" i="11" l="1"/>
  <c r="AM531" i="11"/>
  <c r="AA530" i="11"/>
  <c r="AD531" i="11"/>
  <c r="AC531" i="11"/>
  <c r="AF531" i="11"/>
  <c r="AN531" i="11"/>
  <c r="AE531" i="11"/>
  <c r="D530" i="11"/>
  <c r="F530" i="11" s="1"/>
  <c r="N529" i="11"/>
  <c r="X529" i="11" s="1"/>
  <c r="I530" i="11"/>
  <c r="J529" i="11"/>
  <c r="R529" i="11" l="1"/>
  <c r="T529" i="11" s="1"/>
  <c r="AB530" i="11"/>
  <c r="Z530" i="11"/>
  <c r="E529" i="11"/>
  <c r="AL530" i="11" l="1"/>
  <c r="AM530" i="11"/>
  <c r="AA529" i="11"/>
  <c r="AD530" i="11"/>
  <c r="AC530" i="11"/>
  <c r="AF530" i="11"/>
  <c r="AN530" i="11"/>
  <c r="AE530" i="11"/>
  <c r="D529" i="11"/>
  <c r="F529" i="11" s="1"/>
  <c r="N528" i="11"/>
  <c r="X528" i="11" s="1"/>
  <c r="J528" i="11"/>
  <c r="I529" i="11"/>
  <c r="R528" i="11" l="1"/>
  <c r="T528" i="11" s="1"/>
  <c r="AB529" i="11"/>
  <c r="Z529" i="11"/>
  <c r="E528" i="11"/>
  <c r="AL529" i="11" l="1"/>
  <c r="AM529" i="11"/>
  <c r="AA528" i="11"/>
  <c r="AE529" i="11"/>
  <c r="AD529" i="11"/>
  <c r="AC529" i="11"/>
  <c r="AN529" i="11"/>
  <c r="AF529" i="11"/>
  <c r="D528" i="11"/>
  <c r="F528" i="11" s="1"/>
  <c r="N527" i="11"/>
  <c r="X527" i="11" s="1"/>
  <c r="J527" i="11"/>
  <c r="I528" i="11"/>
  <c r="R527" i="11" l="1"/>
  <c r="T527" i="11" s="1"/>
  <c r="AB528" i="11"/>
  <c r="Z528" i="11"/>
  <c r="E527" i="11"/>
  <c r="AM528" i="11" l="1"/>
  <c r="AL528" i="11"/>
  <c r="AA527" i="11"/>
  <c r="AE528" i="11"/>
  <c r="AD528" i="11"/>
  <c r="AC528" i="11"/>
  <c r="AN528" i="11"/>
  <c r="AF528" i="11"/>
  <c r="D527" i="11"/>
  <c r="F527" i="11" s="1"/>
  <c r="N526" i="11"/>
  <c r="X526" i="11" s="1"/>
  <c r="I527" i="11"/>
  <c r="J526" i="11"/>
  <c r="R526" i="11" l="1"/>
  <c r="T526" i="11" s="1"/>
  <c r="AB527" i="11"/>
  <c r="Z527" i="11"/>
  <c r="E526" i="11"/>
  <c r="AM527" i="11" l="1"/>
  <c r="AL527" i="11"/>
  <c r="AA526" i="11"/>
  <c r="AE527" i="11"/>
  <c r="AD527" i="11"/>
  <c r="AC527" i="11"/>
  <c r="AN527" i="11"/>
  <c r="AF527" i="11"/>
  <c r="D526" i="11"/>
  <c r="F526" i="11" s="1"/>
  <c r="N525" i="11"/>
  <c r="X525" i="11" s="1"/>
  <c r="J525" i="11"/>
  <c r="I526" i="11"/>
  <c r="R525" i="11" l="1"/>
  <c r="T525" i="11" s="1"/>
  <c r="AB526" i="11"/>
  <c r="Z526" i="11"/>
  <c r="E525" i="11"/>
  <c r="AL526" i="11" l="1"/>
  <c r="AM526" i="11"/>
  <c r="AA525" i="11"/>
  <c r="AE526" i="11"/>
  <c r="AD526" i="11"/>
  <c r="AC526" i="11"/>
  <c r="AF526" i="11"/>
  <c r="AN526" i="11"/>
  <c r="D525" i="11"/>
  <c r="F525" i="11" s="1"/>
  <c r="AN524" i="11"/>
  <c r="AF524" i="11"/>
  <c r="AE524" i="11"/>
  <c r="AD524" i="11"/>
  <c r="AC524" i="11"/>
  <c r="N524" i="11"/>
  <c r="X524" i="11" s="1"/>
  <c r="I525" i="11"/>
  <c r="J524" i="11"/>
  <c r="R524" i="11" l="1"/>
  <c r="T524" i="11" s="1"/>
  <c r="AB525" i="11"/>
  <c r="Z525" i="11"/>
  <c r="E524" i="11"/>
  <c r="AL525" i="11" l="1"/>
  <c r="AM525" i="11"/>
  <c r="AA524" i="11"/>
  <c r="Z524" i="11" s="1"/>
  <c r="AE525" i="11"/>
  <c r="AD525" i="11"/>
  <c r="AC525" i="11"/>
  <c r="AF525" i="11"/>
  <c r="AN525" i="11"/>
  <c r="D524" i="11"/>
  <c r="F524" i="11" s="1"/>
  <c r="AN523" i="11"/>
  <c r="AF523" i="11"/>
  <c r="AE523" i="11"/>
  <c r="AD523" i="11"/>
  <c r="AC523" i="11"/>
  <c r="N523" i="11"/>
  <c r="R523" i="11" s="1"/>
  <c r="T523" i="11" s="1"/>
  <c r="I524" i="11"/>
  <c r="J523" i="11"/>
  <c r="X523" i="11" l="1"/>
  <c r="E523" i="11"/>
  <c r="AA523" i="11" l="1"/>
  <c r="Z523" i="11" s="1"/>
  <c r="D523" i="11"/>
  <c r="F523" i="11" s="1"/>
  <c r="N522" i="11"/>
  <c r="X522" i="11" s="1"/>
  <c r="J522" i="11"/>
  <c r="I523" i="11"/>
  <c r="R522" i="11" l="1"/>
  <c r="T522" i="11" s="1"/>
  <c r="E522" i="11"/>
  <c r="AA522" i="11" l="1"/>
  <c r="D522" i="11"/>
  <c r="F522" i="11" s="1"/>
  <c r="N521" i="11"/>
  <c r="X521" i="11" s="1"/>
  <c r="J521" i="11"/>
  <c r="I522" i="11"/>
  <c r="R521" i="11" l="1"/>
  <c r="T521" i="11" s="1"/>
  <c r="Z522" i="11"/>
  <c r="AB522" i="11"/>
  <c r="E521" i="11"/>
  <c r="AL522" i="11" l="1"/>
  <c r="AM522" i="11"/>
  <c r="AA521" i="11"/>
  <c r="AN522" i="11"/>
  <c r="AF522" i="11"/>
  <c r="AD522" i="11"/>
  <c r="AE522" i="11"/>
  <c r="AC522" i="11"/>
  <c r="D521" i="11"/>
  <c r="F521" i="11" s="1"/>
  <c r="N520" i="11"/>
  <c r="X520" i="11" s="1"/>
  <c r="I521" i="11"/>
  <c r="J520" i="11"/>
  <c r="R520" i="11" l="1"/>
  <c r="T520" i="11" s="1"/>
  <c r="Z521" i="11"/>
  <c r="AB521" i="11"/>
  <c r="E520" i="11"/>
  <c r="AL521" i="11" l="1"/>
  <c r="AM521" i="11"/>
  <c r="AA520" i="11"/>
  <c r="AF521" i="11"/>
  <c r="AE521" i="11"/>
  <c r="AD521" i="11"/>
  <c r="AN521" i="11"/>
  <c r="AC521" i="11"/>
  <c r="D520" i="11"/>
  <c r="F520" i="11" s="1"/>
  <c r="N519" i="11"/>
  <c r="X519" i="11" s="1"/>
  <c r="J519" i="11"/>
  <c r="I520" i="11"/>
  <c r="R519" i="11" l="1"/>
  <c r="T519" i="11" s="1"/>
  <c r="Z520" i="11"/>
  <c r="AB520" i="11"/>
  <c r="E519" i="11"/>
  <c r="AL520" i="11" l="1"/>
  <c r="AM520" i="11"/>
  <c r="AA519" i="11"/>
  <c r="AE520" i="11"/>
  <c r="AD520" i="11"/>
  <c r="AC520" i="11"/>
  <c r="AF520" i="11"/>
  <c r="AN520" i="11"/>
  <c r="D519" i="11"/>
  <c r="F519" i="11" s="1"/>
  <c r="N518" i="11"/>
  <c r="R518" i="11" s="1"/>
  <c r="T518" i="11" s="1"/>
  <c r="J518" i="11"/>
  <c r="I519" i="11"/>
  <c r="X518" i="11" l="1"/>
  <c r="AB519" i="11"/>
  <c r="Z519" i="11"/>
  <c r="E518" i="11"/>
  <c r="AL519" i="11" l="1"/>
  <c r="AM519" i="11"/>
  <c r="AA518" i="11"/>
  <c r="AE519" i="11"/>
  <c r="AC519" i="11"/>
  <c r="AF519" i="11"/>
  <c r="AD519" i="11"/>
  <c r="AN519" i="11"/>
  <c r="D518" i="11"/>
  <c r="F518" i="11" s="1"/>
  <c r="N517" i="11"/>
  <c r="X517" i="11" s="1"/>
  <c r="I518" i="11"/>
  <c r="J517" i="11"/>
  <c r="R517" i="11" l="1"/>
  <c r="Z518" i="11"/>
  <c r="AB518" i="11"/>
  <c r="E517" i="11"/>
  <c r="AL518" i="11" l="1"/>
  <c r="AM518" i="11"/>
  <c r="AA517" i="11"/>
  <c r="AE518" i="11"/>
  <c r="AD518" i="11"/>
  <c r="AC518" i="11"/>
  <c r="AF518" i="11"/>
  <c r="AN518" i="11"/>
  <c r="D517" i="11"/>
  <c r="F517" i="11" s="1"/>
  <c r="N516" i="11"/>
  <c r="R516" i="11" s="1"/>
  <c r="J516" i="11"/>
  <c r="I517" i="11"/>
  <c r="X516" i="11" l="1"/>
  <c r="AB517" i="11"/>
  <c r="Z517" i="11"/>
  <c r="E516" i="11"/>
  <c r="AL517" i="11" l="1"/>
  <c r="AM517" i="11"/>
  <c r="AA516" i="11"/>
  <c r="AE517" i="11"/>
  <c r="AF517" i="11"/>
  <c r="AD517" i="11"/>
  <c r="AC517" i="11"/>
  <c r="AN517" i="11"/>
  <c r="D516" i="11"/>
  <c r="F516" i="11" s="1"/>
  <c r="N515" i="11"/>
  <c r="X515" i="11" s="1"/>
  <c r="I516" i="11"/>
  <c r="J515" i="11"/>
  <c r="R515" i="11" l="1"/>
  <c r="AB516" i="11"/>
  <c r="Z516" i="11"/>
  <c r="E515" i="11"/>
  <c r="AL516" i="11" l="1"/>
  <c r="AM516" i="11"/>
  <c r="AA515" i="11"/>
  <c r="AE516" i="11"/>
  <c r="AD516" i="11"/>
  <c r="AN516" i="11"/>
  <c r="AC516" i="11"/>
  <c r="AF516" i="11"/>
  <c r="D515" i="11"/>
  <c r="F515" i="11" s="1"/>
  <c r="N514" i="11"/>
  <c r="R514" i="11" s="1"/>
  <c r="J514" i="11"/>
  <c r="I515" i="11"/>
  <c r="X514" i="11" l="1"/>
  <c r="Z515" i="11"/>
  <c r="AB515" i="11"/>
  <c r="E514" i="11"/>
  <c r="AM515" i="11" l="1"/>
  <c r="AL515" i="11"/>
  <c r="AA514" i="11"/>
  <c r="AE515" i="11"/>
  <c r="AD515" i="11"/>
  <c r="AN515" i="11"/>
  <c r="AC515" i="11"/>
  <c r="AF515" i="11"/>
  <c r="D514" i="11"/>
  <c r="F514" i="11" s="1"/>
  <c r="N513" i="11"/>
  <c r="X513" i="11" s="1"/>
  <c r="I514" i="11"/>
  <c r="J513" i="11"/>
  <c r="R513" i="11" l="1"/>
  <c r="T513" i="11" s="1"/>
  <c r="AB514" i="11"/>
  <c r="Z514" i="11"/>
  <c r="E513" i="11"/>
  <c r="AL514" i="11" l="1"/>
  <c r="AM514" i="11"/>
  <c r="AA513" i="11"/>
  <c r="AE514" i="11"/>
  <c r="AD514" i="11"/>
  <c r="AN514" i="11"/>
  <c r="AC514" i="11"/>
  <c r="AF514" i="11"/>
  <c r="D513" i="11"/>
  <c r="F513" i="11" s="1"/>
  <c r="N512" i="11"/>
  <c r="R512" i="11" s="1"/>
  <c r="T512" i="11" s="1"/>
  <c r="I513" i="11"/>
  <c r="J512" i="11"/>
  <c r="X512" i="11" l="1"/>
  <c r="Z513" i="11"/>
  <c r="AB513" i="11"/>
  <c r="E512" i="11"/>
  <c r="AL513" i="11" l="1"/>
  <c r="AM513" i="11"/>
  <c r="AA512" i="11"/>
  <c r="AE513" i="11"/>
  <c r="AF513" i="11"/>
  <c r="AD513" i="11"/>
  <c r="AC513" i="11"/>
  <c r="AN513" i="11"/>
  <c r="D512" i="11"/>
  <c r="F512" i="11" s="1"/>
  <c r="N511" i="11"/>
  <c r="R511" i="11" s="1"/>
  <c r="T511" i="11" s="1"/>
  <c r="I512" i="11"/>
  <c r="J511" i="11"/>
  <c r="X511" i="11" l="1"/>
  <c r="AB512" i="11"/>
  <c r="Z512" i="11"/>
  <c r="E511" i="11"/>
  <c r="AM512" i="11" l="1"/>
  <c r="AL512" i="11"/>
  <c r="AA511" i="11"/>
  <c r="AE512" i="11"/>
  <c r="AD512" i="11"/>
  <c r="AC512" i="11"/>
  <c r="AF512" i="11"/>
  <c r="AN512" i="11"/>
  <c r="D511" i="11"/>
  <c r="F511" i="11" s="1"/>
  <c r="N510" i="11"/>
  <c r="X510" i="11" s="1"/>
  <c r="I511" i="11"/>
  <c r="J510" i="11"/>
  <c r="R510" i="11" l="1"/>
  <c r="T510" i="11" s="1"/>
  <c r="AB511" i="11"/>
  <c r="Z511" i="11"/>
  <c r="F510" i="11"/>
  <c r="E510" i="11"/>
  <c r="AL511" i="11" l="1"/>
  <c r="AM511" i="11"/>
  <c r="AA510" i="11"/>
  <c r="AE511" i="11"/>
  <c r="AD511" i="11"/>
  <c r="AC511" i="11"/>
  <c r="AF511" i="11"/>
  <c r="AN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N509" i="11"/>
  <c r="X509" i="11" s="1"/>
  <c r="I510" i="11"/>
  <c r="J509" i="11"/>
  <c r="R509" i="11" l="1"/>
  <c r="T509" i="11" s="1"/>
  <c r="AB510" i="11"/>
  <c r="Z510" i="11"/>
  <c r="E509" i="11"/>
  <c r="AM510" i="11" l="1"/>
  <c r="AL510" i="11"/>
  <c r="AA509" i="11"/>
  <c r="AE510" i="11"/>
  <c r="AC510" i="11"/>
  <c r="AN510" i="11"/>
  <c r="AD510" i="11"/>
  <c r="AF510" i="11"/>
  <c r="D509" i="11"/>
  <c r="F509" i="11" s="1"/>
  <c r="N508" i="11"/>
  <c r="R508" i="11" s="1"/>
  <c r="T508" i="11" s="1"/>
  <c r="J508" i="11"/>
  <c r="I509" i="11"/>
  <c r="X508" i="11" l="1"/>
  <c r="AB509" i="11"/>
  <c r="Z509" i="11"/>
  <c r="E508" i="11"/>
  <c r="AL509" i="11" l="1"/>
  <c r="AM509" i="11"/>
  <c r="AA508" i="11"/>
  <c r="AD509" i="11"/>
  <c r="AC509" i="11"/>
  <c r="AE509" i="11"/>
  <c r="AN509" i="11"/>
  <c r="AF509" i="11"/>
  <c r="D508" i="11"/>
  <c r="F508" i="11" s="1"/>
  <c r="N507" i="11"/>
  <c r="X507" i="11" s="1"/>
  <c r="I508" i="11"/>
  <c r="J507" i="11"/>
  <c r="R507" i="11" l="1"/>
  <c r="T507" i="11" s="1"/>
  <c r="AB508" i="11"/>
  <c r="Z508" i="11"/>
  <c r="E507" i="11"/>
  <c r="AL508" i="11" l="1"/>
  <c r="AM508" i="11"/>
  <c r="AA507" i="11"/>
  <c r="AD508" i="11"/>
  <c r="AC508" i="11"/>
  <c r="AF508" i="11"/>
  <c r="AN508" i="11"/>
  <c r="AE508" i="11"/>
  <c r="D507" i="11"/>
  <c r="F507" i="11" s="1"/>
  <c r="N506" i="11"/>
  <c r="X506" i="11" s="1"/>
  <c r="J506" i="11"/>
  <c r="I507" i="11"/>
  <c r="R506" i="11" l="1"/>
  <c r="T506" i="11" s="1"/>
  <c r="AB507" i="11"/>
  <c r="Z507" i="11"/>
  <c r="E506" i="11"/>
  <c r="AL507" i="11" l="1"/>
  <c r="AM507" i="11"/>
  <c r="AA506" i="11"/>
  <c r="AD507" i="11"/>
  <c r="AC507" i="11"/>
  <c r="AF507" i="11"/>
  <c r="AN507" i="11"/>
  <c r="AE507" i="11"/>
  <c r="D506" i="11"/>
  <c r="F506" i="11" s="1"/>
  <c r="N505" i="11"/>
  <c r="X505" i="11" s="1"/>
  <c r="J505" i="11"/>
  <c r="I506" i="11"/>
  <c r="R505" i="11" l="1"/>
  <c r="T505" i="11" s="1"/>
  <c r="AB506" i="11"/>
  <c r="Z506" i="11"/>
  <c r="E505" i="11"/>
  <c r="AL506" i="11" l="1"/>
  <c r="AM506" i="11"/>
  <c r="AA505" i="11"/>
  <c r="AD506" i="11"/>
  <c r="AC506" i="11"/>
  <c r="AF506" i="11"/>
  <c r="AN506" i="11"/>
  <c r="AE506" i="11"/>
  <c r="D505" i="11"/>
  <c r="F505" i="11" s="1"/>
  <c r="N504" i="11"/>
  <c r="R504" i="11" s="1"/>
  <c r="T504" i="11" s="1"/>
  <c r="I505" i="11"/>
  <c r="J504" i="11"/>
  <c r="X504" i="11" l="1"/>
  <c r="AB505" i="11"/>
  <c r="Z505" i="11"/>
  <c r="E504" i="11"/>
  <c r="AL505" i="11" l="1"/>
  <c r="AM505" i="11"/>
  <c r="AA504" i="11"/>
  <c r="AC505" i="11"/>
  <c r="AD505" i="11"/>
  <c r="AN505" i="11"/>
  <c r="AF505" i="11"/>
  <c r="AE505" i="11"/>
  <c r="D504" i="11"/>
  <c r="F504" i="11" s="1"/>
  <c r="N503" i="11"/>
  <c r="R503" i="11" s="1"/>
  <c r="T503" i="11" s="1"/>
  <c r="J503" i="11"/>
  <c r="I504" i="11"/>
  <c r="X503" i="11" l="1"/>
  <c r="AB504" i="11"/>
  <c r="Z504" i="11"/>
  <c r="E503" i="11"/>
  <c r="AL504" i="11" l="1"/>
  <c r="AM504" i="11"/>
  <c r="AA503" i="11"/>
  <c r="AD504" i="11"/>
  <c r="AC504" i="11"/>
  <c r="AF504" i="11"/>
  <c r="AN504" i="11"/>
  <c r="AE504" i="11"/>
  <c r="D503" i="11"/>
  <c r="F503" i="11" s="1"/>
  <c r="N502" i="11"/>
  <c r="R502" i="11" s="1"/>
  <c r="T502" i="11" s="1"/>
  <c r="J502" i="11"/>
  <c r="I503" i="11"/>
  <c r="X502" i="11" l="1"/>
  <c r="AB503" i="11"/>
  <c r="Z503" i="11"/>
  <c r="E502" i="11"/>
  <c r="AM503" i="11" l="1"/>
  <c r="AL503" i="11"/>
  <c r="AA502" i="11"/>
  <c r="AE503" i="11"/>
  <c r="AC503" i="11"/>
  <c r="AN503" i="11"/>
  <c r="AF503" i="11"/>
  <c r="AD503" i="11"/>
  <c r="D502" i="11"/>
  <c r="F502" i="11" s="1"/>
  <c r="N501" i="11"/>
  <c r="X501" i="11" s="1"/>
  <c r="I502" i="11"/>
  <c r="J501" i="11"/>
  <c r="R501" i="11" l="1"/>
  <c r="T501" i="11" s="1"/>
  <c r="AB502" i="11"/>
  <c r="Z502" i="11"/>
  <c r="E501" i="11"/>
  <c r="AL502" i="11" l="1"/>
  <c r="AM502" i="11"/>
  <c r="AA501" i="11"/>
  <c r="AE502" i="11"/>
  <c r="AD502" i="11"/>
  <c r="AC502" i="11"/>
  <c r="AF502" i="11"/>
  <c r="AN502" i="11"/>
  <c r="D501" i="11"/>
  <c r="F501" i="11" s="1"/>
  <c r="N500" i="11"/>
  <c r="X500" i="11" s="1"/>
  <c r="I501" i="11"/>
  <c r="J500" i="11"/>
  <c r="R500" i="11" l="1"/>
  <c r="T500" i="11" s="1"/>
  <c r="AB501" i="11"/>
  <c r="Z501" i="11"/>
  <c r="E500" i="11"/>
  <c r="AL501" i="11" l="1"/>
  <c r="AM501" i="11"/>
  <c r="AA500" i="11"/>
  <c r="AE501" i="11"/>
  <c r="AD501" i="11"/>
  <c r="AC501" i="11"/>
  <c r="AN501" i="11"/>
  <c r="AF501" i="11"/>
  <c r="D500" i="11"/>
  <c r="F500" i="11" s="1"/>
  <c r="N499" i="11"/>
  <c r="R499" i="11" s="1"/>
  <c r="T499" i="11" s="1"/>
  <c r="I500" i="11"/>
  <c r="J499" i="11"/>
  <c r="X499" i="11" l="1"/>
  <c r="AB500" i="11"/>
  <c r="Z500" i="11"/>
  <c r="E499" i="11"/>
  <c r="AL500" i="11" l="1"/>
  <c r="AM500" i="11"/>
  <c r="AA499" i="11"/>
  <c r="AE500" i="11"/>
  <c r="AC500" i="11"/>
  <c r="AN500" i="11"/>
  <c r="AD500" i="11"/>
  <c r="AF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I499" i="11"/>
  <c r="J498" i="11"/>
  <c r="R498" i="11" l="1"/>
  <c r="T498" i="11" s="1"/>
  <c r="AB499" i="11"/>
  <c r="Z499" i="11"/>
  <c r="E498" i="11"/>
  <c r="AL499" i="11" l="1"/>
  <c r="AM499" i="11"/>
  <c r="AA498" i="11"/>
  <c r="AE499" i="11"/>
  <c r="AC499" i="11"/>
  <c r="AF499" i="11"/>
  <c r="AD499" i="11"/>
  <c r="AN499" i="11"/>
  <c r="D498" i="11"/>
  <c r="F498" i="11" s="1"/>
  <c r="N497" i="11"/>
  <c r="X497" i="11" s="1"/>
  <c r="I498" i="11"/>
  <c r="J497" i="11"/>
  <c r="R497" i="11" l="1"/>
  <c r="T497" i="11" s="1"/>
  <c r="AB498" i="11"/>
  <c r="Z498" i="11"/>
  <c r="E497" i="11"/>
  <c r="AM498" i="11" l="1"/>
  <c r="AL498" i="11"/>
  <c r="AA497" i="11"/>
  <c r="AE498" i="11"/>
  <c r="AD498" i="11"/>
  <c r="AC498" i="11"/>
  <c r="AF498" i="11"/>
  <c r="AN498" i="11"/>
  <c r="D497" i="11"/>
  <c r="F497" i="11" s="1"/>
  <c r="N496" i="11"/>
  <c r="X496" i="11" s="1"/>
  <c r="J496" i="11"/>
  <c r="I497" i="11"/>
  <c r="R496" i="11" l="1"/>
  <c r="T496" i="11" s="1"/>
  <c r="AB497" i="11"/>
  <c r="Z497" i="11"/>
  <c r="E496" i="11"/>
  <c r="AL497" i="11" l="1"/>
  <c r="AM497" i="11"/>
  <c r="AA496" i="11"/>
  <c r="AD497" i="11"/>
  <c r="AC497" i="11"/>
  <c r="AN497" i="11"/>
  <c r="AE497" i="11"/>
  <c r="AF497" i="11"/>
  <c r="D496" i="11"/>
  <c r="F496" i="11" s="1"/>
  <c r="N495" i="11"/>
  <c r="R495" i="11" s="1"/>
  <c r="T495" i="11" s="1"/>
  <c r="I496" i="11"/>
  <c r="J495" i="11"/>
  <c r="X495" i="11" l="1"/>
  <c r="AB496" i="11"/>
  <c r="Z496" i="11"/>
  <c r="E495" i="11"/>
  <c r="AL496" i="11" l="1"/>
  <c r="AM496" i="11"/>
  <c r="AA495" i="11"/>
  <c r="AE496" i="11"/>
  <c r="AD496" i="11"/>
  <c r="AC496" i="11"/>
  <c r="AF496" i="11"/>
  <c r="AN496" i="11"/>
  <c r="D495" i="11"/>
  <c r="F495" i="11" s="1"/>
  <c r="N494" i="11"/>
  <c r="R494" i="11" s="1"/>
  <c r="T494" i="11" s="1"/>
  <c r="J494" i="11"/>
  <c r="I495" i="11"/>
  <c r="X494" i="11" l="1"/>
  <c r="AB495" i="11"/>
  <c r="Z495" i="11"/>
  <c r="E494" i="11"/>
  <c r="AL495" i="11" l="1"/>
  <c r="AM495" i="11"/>
  <c r="AA494" i="11"/>
  <c r="AE495" i="11"/>
  <c r="AC495" i="11"/>
  <c r="AD495" i="11"/>
  <c r="AN495" i="11"/>
  <c r="AF495" i="11"/>
  <c r="D494" i="11"/>
  <c r="F494" i="11" s="1"/>
  <c r="N493" i="11"/>
  <c r="R493" i="11" s="1"/>
  <c r="T493" i="11" s="1"/>
  <c r="J493" i="11"/>
  <c r="X493" i="11" l="1"/>
  <c r="AB494" i="11"/>
  <c r="Z494" i="11"/>
  <c r="E493" i="11"/>
  <c r="AM494" i="11" l="1"/>
  <c r="AL494" i="11"/>
  <c r="AA493" i="11"/>
  <c r="AE494" i="11"/>
  <c r="AC494" i="11"/>
  <c r="AN494" i="11"/>
  <c r="AF494" i="11"/>
  <c r="AD494" i="11"/>
  <c r="D493" i="11"/>
  <c r="F493" i="11" s="1"/>
  <c r="N492" i="11"/>
  <c r="X492" i="11" s="1"/>
  <c r="J492" i="11"/>
  <c r="E492" i="11"/>
  <c r="AA492" i="11" l="1"/>
  <c r="R492" i="11"/>
  <c r="T492" i="11" s="1"/>
  <c r="AB493" i="11"/>
  <c r="Z493" i="11"/>
  <c r="D492" i="11"/>
  <c r="A492" i="11"/>
  <c r="A493" i="11" s="1"/>
  <c r="A494" i="11" s="1"/>
  <c r="A495" i="11" s="1"/>
  <c r="A496" i="11" s="1"/>
  <c r="A497" i="11" s="1"/>
  <c r="N491" i="11"/>
  <c r="X491" i="11" s="1"/>
  <c r="E491" i="11"/>
  <c r="J491" i="11"/>
  <c r="AL493" i="11" l="1"/>
  <c r="AM493" i="11"/>
  <c r="AA491" i="11"/>
  <c r="R491" i="11"/>
  <c r="T491" i="11" s="1"/>
  <c r="AE493" i="11"/>
  <c r="AD493" i="11"/>
  <c r="AC493" i="11"/>
  <c r="AN493" i="11"/>
  <c r="AF493" i="11"/>
  <c r="AB492" i="11"/>
  <c r="Z492" i="11"/>
  <c r="D491" i="11"/>
  <c r="N490" i="11"/>
  <c r="R490" i="11" s="1"/>
  <c r="T490" i="11" s="1"/>
  <c r="J490" i="11"/>
  <c r="AL492" i="11" l="1"/>
  <c r="AM492" i="11"/>
  <c r="X490" i="11"/>
  <c r="AE492" i="11"/>
  <c r="AD492" i="11"/>
  <c r="AC492" i="11"/>
  <c r="AN492" i="11"/>
  <c r="AF492" i="11"/>
  <c r="AB491" i="11"/>
  <c r="Z491" i="11"/>
  <c r="E490" i="11"/>
  <c r="AL491" i="11" l="1"/>
  <c r="AM491" i="11"/>
  <c r="AA490" i="11"/>
  <c r="AC491" i="11"/>
  <c r="AF491" i="11"/>
  <c r="AE491" i="11"/>
  <c r="AN491" i="11"/>
  <c r="AD491" i="11"/>
  <c r="D490" i="11"/>
  <c r="F490" i="11" s="1"/>
  <c r="N489" i="11"/>
  <c r="X489" i="11" s="1"/>
  <c r="J489" i="11"/>
  <c r="R489" i="11" l="1"/>
  <c r="T489" i="11" s="1"/>
  <c r="Z490" i="11"/>
  <c r="AB490" i="11"/>
  <c r="E489" i="11"/>
  <c r="AL490" i="11" l="1"/>
  <c r="AM490" i="11"/>
  <c r="AA489" i="11"/>
  <c r="AN490" i="11"/>
  <c r="AF490" i="11"/>
  <c r="AE490" i="11"/>
  <c r="AD490" i="11"/>
  <c r="AC490" i="11"/>
  <c r="D489" i="11"/>
  <c r="F489" i="11" s="1"/>
  <c r="N488" i="11"/>
  <c r="X488" i="11" s="1"/>
  <c r="J488" i="11"/>
  <c r="R488" i="11" l="1"/>
  <c r="T488" i="11" s="1"/>
  <c r="AB489" i="11"/>
  <c r="Z489" i="11"/>
  <c r="E488" i="11"/>
  <c r="AL489" i="11" l="1"/>
  <c r="AM489" i="11"/>
  <c r="AA488" i="11"/>
  <c r="AD489" i="11"/>
  <c r="AC489" i="11"/>
  <c r="AN489" i="11"/>
  <c r="AF489" i="11"/>
  <c r="AE489" i="11"/>
  <c r="D488" i="11"/>
  <c r="F488" i="11" s="1"/>
  <c r="N487" i="11"/>
  <c r="X487" i="11" s="1"/>
  <c r="J487" i="11"/>
  <c r="E487" i="11"/>
  <c r="AA487" i="11" l="1"/>
  <c r="R487" i="11"/>
  <c r="T487" i="11" s="1"/>
  <c r="AB488" i="11"/>
  <c r="Z488" i="11"/>
  <c r="D487" i="11"/>
  <c r="N486" i="11"/>
  <c r="X486" i="11" s="1"/>
  <c r="E486" i="11"/>
  <c r="AL488" i="11" l="1"/>
  <c r="AM488" i="11"/>
  <c r="AA486" i="11"/>
  <c r="AD488" i="11"/>
  <c r="AF488" i="11"/>
  <c r="AC488" i="11"/>
  <c r="AE488" i="11"/>
  <c r="AN488" i="11"/>
  <c r="R486" i="11"/>
  <c r="AB487" i="11"/>
  <c r="Z487" i="11"/>
  <c r="D486" i="11"/>
  <c r="F486" i="11" s="1"/>
  <c r="N485" i="11"/>
  <c r="X485" i="11" s="1"/>
  <c r="E485" i="11"/>
  <c r="AL487" i="11" l="1"/>
  <c r="AM487" i="11"/>
  <c r="AA485" i="11"/>
  <c r="R485" i="11"/>
  <c r="T485" i="11" s="1"/>
  <c r="AD487" i="11"/>
  <c r="AC487" i="11"/>
  <c r="AN487" i="11"/>
  <c r="AF487" i="11"/>
  <c r="AE487" i="11"/>
  <c r="AB486" i="11"/>
  <c r="Z486" i="11"/>
  <c r="D485" i="11"/>
  <c r="F485" i="11" s="1"/>
  <c r="N484" i="11"/>
  <c r="X484" i="11" s="1"/>
  <c r="F484" i="11"/>
  <c r="E484" i="11"/>
  <c r="AM486" i="11" l="1"/>
  <c r="AL486" i="11"/>
  <c r="AA484" i="11"/>
  <c r="R484" i="11"/>
  <c r="T484" i="11" s="1"/>
  <c r="AF486" i="11"/>
  <c r="AC486" i="11"/>
  <c r="AN486" i="11"/>
  <c r="AE486" i="11"/>
  <c r="AD486" i="11"/>
  <c r="AB485" i="11"/>
  <c r="Z485" i="11"/>
  <c r="N483" i="11"/>
  <c r="R483" i="11" s="1"/>
  <c r="T483" i="11" s="1"/>
  <c r="E483" i="11"/>
  <c r="AM485" i="11" l="1"/>
  <c r="AL485" i="11"/>
  <c r="AA483" i="11"/>
  <c r="AN485" i="11"/>
  <c r="AE485" i="11"/>
  <c r="AC485" i="11"/>
  <c r="AF485" i="11"/>
  <c r="AD485" i="11"/>
  <c r="X483" i="11"/>
  <c r="AB484" i="11"/>
  <c r="Z484" i="11"/>
  <c r="D483" i="11"/>
  <c r="F483" i="11" s="1"/>
  <c r="T482" i="11"/>
  <c r="E482" i="11"/>
  <c r="AM484" i="11" l="1"/>
  <c r="AL484" i="11"/>
  <c r="AA482" i="11"/>
  <c r="AN484" i="11"/>
  <c r="AF484" i="11"/>
  <c r="AD484" i="11"/>
  <c r="AE484" i="11"/>
  <c r="AC484" i="11"/>
  <c r="AB483" i="11"/>
  <c r="Z483" i="11"/>
  <c r="N481" i="11"/>
  <c r="X481" i="11" s="1"/>
  <c r="I481" i="11"/>
  <c r="AM483" i="11" l="1"/>
  <c r="AL483" i="11"/>
  <c r="AF483" i="11"/>
  <c r="AE483" i="11"/>
  <c r="AD483" i="11"/>
  <c r="AN483" i="11"/>
  <c r="AC483" i="11"/>
  <c r="R481" i="11"/>
  <c r="T481" i="11" s="1"/>
  <c r="AB482" i="11"/>
  <c r="Z482" i="11"/>
  <c r="E481" i="11"/>
  <c r="L62" i="2" l="1"/>
  <c r="B52" i="61" s="1"/>
  <c r="AM482" i="11"/>
  <c r="AL482" i="11"/>
  <c r="AA481" i="11"/>
  <c r="AN482" i="11"/>
  <c r="AE482" i="11"/>
  <c r="AC482" i="11"/>
  <c r="AF482" i="11"/>
  <c r="AD482" i="11"/>
  <c r="D481" i="11"/>
  <c r="F481" i="11" s="1"/>
  <c r="AA480" i="11"/>
  <c r="Z480" i="11" s="1"/>
  <c r="N480" i="11"/>
  <c r="X480" i="11" s="1"/>
  <c r="D480" i="11"/>
  <c r="F480" i="11" s="1"/>
  <c r="AA479" i="11"/>
  <c r="AB479" i="11" s="1"/>
  <c r="N479" i="11"/>
  <c r="R479" i="11" s="1"/>
  <c r="T479" i="11" s="1"/>
  <c r="D479" i="11"/>
  <c r="F479" i="11" s="1"/>
  <c r="AA478" i="11"/>
  <c r="Z478" i="11" s="1"/>
  <c r="N478" i="11"/>
  <c r="R478" i="11" s="1"/>
  <c r="T478" i="11" s="1"/>
  <c r="D478" i="11"/>
  <c r="F478" i="11" s="1"/>
  <c r="AA477" i="11"/>
  <c r="N477" i="11"/>
  <c r="R477" i="11" s="1"/>
  <c r="T477" i="11" s="1"/>
  <c r="D477" i="11"/>
  <c r="F477" i="11" s="1"/>
  <c r="AA476" i="11"/>
  <c r="AB476" i="11" s="1"/>
  <c r="N476" i="11"/>
  <c r="X476" i="11" s="1"/>
  <c r="D476" i="11"/>
  <c r="F476" i="11" s="1"/>
  <c r="AA475" i="11"/>
  <c r="AB475" i="11" s="1"/>
  <c r="N475" i="11"/>
  <c r="R475" i="11" s="1"/>
  <c r="T475" i="11" s="1"/>
  <c r="D475" i="11"/>
  <c r="F475" i="11" s="1"/>
  <c r="AA474" i="11"/>
  <c r="Z474" i="11" s="1"/>
  <c r="N474" i="11"/>
  <c r="R474" i="11" s="1"/>
  <c r="D474" i="11"/>
  <c r="F474" i="11" s="1"/>
  <c r="AA473" i="11"/>
  <c r="N473" i="11"/>
  <c r="X473" i="11" s="1"/>
  <c r="D473" i="11"/>
  <c r="F473" i="11" s="1"/>
  <c r="AA472" i="11"/>
  <c r="AB472" i="11" s="1"/>
  <c r="N472" i="11"/>
  <c r="D472" i="11"/>
  <c r="F472" i="11" s="1"/>
  <c r="AA471" i="11"/>
  <c r="AB471" i="11" s="1"/>
  <c r="N471" i="11"/>
  <c r="X471" i="11" s="1"/>
  <c r="D471" i="11"/>
  <c r="F471" i="11" s="1"/>
  <c r="AA470" i="11"/>
  <c r="N470" i="11"/>
  <c r="R470" i="11" s="1"/>
  <c r="T470" i="11" s="1"/>
  <c r="D470" i="11"/>
  <c r="F470" i="11" s="1"/>
  <c r="AA469" i="11"/>
  <c r="N469" i="11"/>
  <c r="X469" i="11" s="1"/>
  <c r="D469" i="11"/>
  <c r="F469" i="11" s="1"/>
  <c r="AA468" i="11"/>
  <c r="N468" i="11"/>
  <c r="D468" i="11"/>
  <c r="F468" i="11" s="1"/>
  <c r="AA467" i="11"/>
  <c r="AB467" i="11" s="1"/>
  <c r="N467" i="11"/>
  <c r="R467" i="11" s="1"/>
  <c r="T467" i="11" s="1"/>
  <c r="D467" i="11"/>
  <c r="F467" i="11" s="1"/>
  <c r="AA466" i="11"/>
  <c r="N466" i="11"/>
  <c r="X466" i="11" s="1"/>
  <c r="D466" i="11"/>
  <c r="F466" i="11" s="1"/>
  <c r="AA465" i="11"/>
  <c r="AB465" i="11" s="1"/>
  <c r="N465" i="11"/>
  <c r="X465" i="11" s="1"/>
  <c r="D465" i="11"/>
  <c r="F465" i="11" s="1"/>
  <c r="AA464" i="11"/>
  <c r="N464" i="11"/>
  <c r="X464" i="11" s="1"/>
  <c r="D464" i="11"/>
  <c r="F464" i="11" s="1"/>
  <c r="AA463" i="11"/>
  <c r="AB463" i="11" s="1"/>
  <c r="N463" i="11"/>
  <c r="X463" i="11" s="1"/>
  <c r="D463" i="11"/>
  <c r="F463" i="11" s="1"/>
  <c r="AA462" i="11"/>
  <c r="N462" i="11"/>
  <c r="X462" i="11" s="1"/>
  <c r="D462" i="11"/>
  <c r="F462" i="11" s="1"/>
  <c r="AN461" i="11"/>
  <c r="AM461" i="11"/>
  <c r="AL461" i="11"/>
  <c r="AF461" i="11"/>
  <c r="AE461" i="11"/>
  <c r="AD461" i="11"/>
  <c r="AC461" i="11"/>
  <c r="AA461" i="11"/>
  <c r="Z461" i="11" s="1"/>
  <c r="N461" i="11"/>
  <c r="X461" i="11" s="1"/>
  <c r="D461" i="11"/>
  <c r="F461" i="11" s="1"/>
  <c r="AN460" i="11"/>
  <c r="AM460" i="11"/>
  <c r="AL460" i="11"/>
  <c r="AF460" i="11"/>
  <c r="AE460" i="11"/>
  <c r="AD460" i="11"/>
  <c r="AC460" i="11"/>
  <c r="AA460" i="11"/>
  <c r="Z460" i="11" s="1"/>
  <c r="N460" i="11"/>
  <c r="R460" i="11" s="1"/>
  <c r="T460" i="11" s="1"/>
  <c r="D460" i="11"/>
  <c r="F460" i="11" s="1"/>
  <c r="AN459" i="11"/>
  <c r="AM459" i="11"/>
  <c r="AL459" i="11"/>
  <c r="AF459" i="11"/>
  <c r="AE459" i="11"/>
  <c r="AD459" i="11"/>
  <c r="AC459" i="11"/>
  <c r="AA459" i="11"/>
  <c r="Z459" i="11" s="1"/>
  <c r="N459" i="11"/>
  <c r="X459" i="11" s="1"/>
  <c r="D459" i="11"/>
  <c r="F459" i="11" s="1"/>
  <c r="A459" i="1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A458" i="11"/>
  <c r="AB458" i="11" s="1"/>
  <c r="N458" i="11"/>
  <c r="R458" i="11" s="1"/>
  <c r="T458" i="11" s="1"/>
  <c r="D458" i="11"/>
  <c r="F458" i="11" s="1"/>
  <c r="AA457" i="11"/>
  <c r="AB457" i="11" s="1"/>
  <c r="N457" i="11"/>
  <c r="D457" i="11"/>
  <c r="F457" i="11" s="1"/>
  <c r="AA456" i="11"/>
  <c r="AB456" i="11" s="1"/>
  <c r="AM456" i="11" s="1"/>
  <c r="N456" i="11"/>
  <c r="D456" i="11"/>
  <c r="F456" i="11" s="1"/>
  <c r="AA455" i="11"/>
  <c r="N455" i="11"/>
  <c r="X455" i="11" s="1"/>
  <c r="D455" i="11"/>
  <c r="F455" i="11" s="1"/>
  <c r="AA454" i="11"/>
  <c r="Z454" i="11" s="1"/>
  <c r="N454" i="11"/>
  <c r="R454" i="11" s="1"/>
  <c r="T454" i="11" s="1"/>
  <c r="D454" i="11"/>
  <c r="F454" i="11" s="1"/>
  <c r="AA453" i="11"/>
  <c r="Z453" i="11" s="1"/>
  <c r="N453" i="11"/>
  <c r="D453" i="11"/>
  <c r="F453" i="11" s="1"/>
  <c r="AA452" i="11"/>
  <c r="N452" i="11"/>
  <c r="X452" i="11" s="1"/>
  <c r="D452" i="11"/>
  <c r="F452" i="11" s="1"/>
  <c r="AA451" i="11"/>
  <c r="AB451" i="11" s="1"/>
  <c r="R451" i="11"/>
  <c r="T451" i="11" s="1"/>
  <c r="N451" i="11"/>
  <c r="X451" i="11" s="1"/>
  <c r="D451" i="11"/>
  <c r="F451" i="11" s="1"/>
  <c r="AA450" i="11"/>
  <c r="Z450" i="11" s="1"/>
  <c r="N450" i="11"/>
  <c r="R450" i="11" s="1"/>
  <c r="T450" i="11" s="1"/>
  <c r="D450" i="11"/>
  <c r="F450" i="11" s="1"/>
  <c r="AA449" i="11"/>
  <c r="AB449" i="11" s="1"/>
  <c r="AE449" i="11" s="1"/>
  <c r="Z449" i="11"/>
  <c r="N449" i="11"/>
  <c r="X449" i="11" s="1"/>
  <c r="D449" i="11"/>
  <c r="F449" i="11" s="1"/>
  <c r="A449" i="11"/>
  <c r="AA448" i="11"/>
  <c r="N448" i="11"/>
  <c r="X448" i="11" s="1"/>
  <c r="D448" i="11"/>
  <c r="F448" i="11" s="1"/>
  <c r="AA447" i="11"/>
  <c r="Z447" i="11" s="1"/>
  <c r="N447" i="11"/>
  <c r="X447" i="11" s="1"/>
  <c r="F447" i="11"/>
  <c r="AA446" i="11"/>
  <c r="AB446" i="11" s="1"/>
  <c r="AF446" i="11" s="1"/>
  <c r="N446" i="11"/>
  <c r="F446" i="11"/>
  <c r="AA445" i="11"/>
  <c r="AB445" i="11" s="1"/>
  <c r="AC445" i="11" s="1"/>
  <c r="N445" i="11"/>
  <c r="X445" i="11" s="1"/>
  <c r="D445" i="11"/>
  <c r="F445" i="11" s="1"/>
  <c r="AB444" i="11"/>
  <c r="AE444" i="11" s="1"/>
  <c r="AA444" i="11"/>
  <c r="Z444" i="11" s="1"/>
  <c r="N444" i="11"/>
  <c r="X444" i="11" s="1"/>
  <c r="D444" i="11"/>
  <c r="F444" i="11" s="1"/>
  <c r="AA443" i="11"/>
  <c r="N443" i="11"/>
  <c r="R443" i="11" s="1"/>
  <c r="T443" i="11" s="1"/>
  <c r="D443" i="11"/>
  <c r="F443" i="11" s="1"/>
  <c r="AA442" i="11"/>
  <c r="Z442" i="11" s="1"/>
  <c r="N442" i="11"/>
  <c r="X442" i="11" s="1"/>
  <c r="D442" i="11"/>
  <c r="F442" i="11" s="1"/>
  <c r="AA441" i="11"/>
  <c r="Z441" i="11" s="1"/>
  <c r="N441" i="11"/>
  <c r="D441" i="11"/>
  <c r="F441" i="11" s="1"/>
  <c r="AA440" i="11"/>
  <c r="AB440" i="11" s="1"/>
  <c r="N440" i="11"/>
  <c r="D440" i="11"/>
  <c r="F440" i="11" s="1"/>
  <c r="AA439" i="11"/>
  <c r="N439" i="11"/>
  <c r="R439" i="11" s="1"/>
  <c r="T439" i="11" s="1"/>
  <c r="D439" i="11"/>
  <c r="F439" i="11" s="1"/>
  <c r="AA438" i="11"/>
  <c r="AB438" i="11" s="1"/>
  <c r="N438" i="11"/>
  <c r="X438" i="11" s="1"/>
  <c r="D438" i="11"/>
  <c r="F438" i="11" s="1"/>
  <c r="AA437" i="11"/>
  <c r="AB437" i="11" s="1"/>
  <c r="N437" i="11"/>
  <c r="R437" i="11" s="1"/>
  <c r="T437" i="11" s="1"/>
  <c r="D437" i="11"/>
  <c r="F437" i="11" s="1"/>
  <c r="AA436" i="11"/>
  <c r="AB436" i="11" s="1"/>
  <c r="AE436" i="11" s="1"/>
  <c r="N436" i="11"/>
  <c r="D436" i="11"/>
  <c r="F436" i="11" s="1"/>
  <c r="AB435" i="11"/>
  <c r="Z435" i="11"/>
  <c r="N435" i="11"/>
  <c r="X435" i="11" s="1"/>
  <c r="D435" i="11"/>
  <c r="F435" i="11" s="1"/>
  <c r="AA434" i="11"/>
  <c r="N434" i="11"/>
  <c r="X434" i="11" s="1"/>
  <c r="D434" i="11"/>
  <c r="F434" i="11" s="1"/>
  <c r="AA433" i="11"/>
  <c r="AB433" i="11" s="1"/>
  <c r="N433" i="11"/>
  <c r="R433" i="11" s="1"/>
  <c r="T433" i="11" s="1"/>
  <c r="D433" i="11"/>
  <c r="F433" i="11" s="1"/>
  <c r="AA432" i="11"/>
  <c r="N432" i="11"/>
  <c r="X432" i="11" s="1"/>
  <c r="D432" i="11"/>
  <c r="F432" i="11" s="1"/>
  <c r="AA431" i="11"/>
  <c r="Z431" i="11" s="1"/>
  <c r="R431" i="11"/>
  <c r="T431" i="11" s="1"/>
  <c r="N431" i="11"/>
  <c r="X431" i="11" s="1"/>
  <c r="D431" i="11"/>
  <c r="F431" i="11" s="1"/>
  <c r="AA430" i="11"/>
  <c r="N430" i="11"/>
  <c r="D430" i="11"/>
  <c r="F430" i="11" s="1"/>
  <c r="AA429" i="11"/>
  <c r="AB429" i="11" s="1"/>
  <c r="AC429" i="11" s="1"/>
  <c r="N429" i="11"/>
  <c r="X429" i="11" s="1"/>
  <c r="D429" i="11"/>
  <c r="F429" i="11" s="1"/>
  <c r="AA428" i="11"/>
  <c r="N428" i="11"/>
  <c r="X428" i="11" s="1"/>
  <c r="D428" i="11"/>
  <c r="F428" i="11" s="1"/>
  <c r="AB427" i="11"/>
  <c r="AL427" i="11" s="1"/>
  <c r="Z427" i="11"/>
  <c r="N427" i="11"/>
  <c r="X427" i="11" s="1"/>
  <c r="D427" i="11"/>
  <c r="F427" i="11" s="1"/>
  <c r="AA426" i="11"/>
  <c r="AB426" i="11" s="1"/>
  <c r="N426" i="11"/>
  <c r="D426" i="11"/>
  <c r="F426" i="11" s="1"/>
  <c r="AA425" i="11"/>
  <c r="AB425" i="11" s="1"/>
  <c r="AF425" i="11" s="1"/>
  <c r="N425" i="11"/>
  <c r="X425" i="11" s="1"/>
  <c r="D425" i="11"/>
  <c r="F425" i="11" s="1"/>
  <c r="AA424" i="11"/>
  <c r="Z424" i="11" s="1"/>
  <c r="N424" i="11"/>
  <c r="D424" i="11"/>
  <c r="F424" i="11" s="1"/>
  <c r="AA423" i="11"/>
  <c r="Z423" i="11" s="1"/>
  <c r="N423" i="11"/>
  <c r="X423" i="11" s="1"/>
  <c r="D423" i="11"/>
  <c r="F423" i="11" s="1"/>
  <c r="A423" i="1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A422" i="11"/>
  <c r="AB422" i="11" s="1"/>
  <c r="AF422" i="11" s="1"/>
  <c r="N422" i="11"/>
  <c r="D422" i="11"/>
  <c r="F422" i="11" s="1"/>
  <c r="AA421" i="11"/>
  <c r="AB421" i="11" s="1"/>
  <c r="N421" i="11"/>
  <c r="X421" i="11" s="1"/>
  <c r="D421" i="11"/>
  <c r="F421" i="11" s="1"/>
  <c r="AA420" i="11"/>
  <c r="Z420" i="11" s="1"/>
  <c r="N420" i="11"/>
  <c r="X420" i="11" s="1"/>
  <c r="D420" i="11"/>
  <c r="F420" i="11" s="1"/>
  <c r="AA419" i="11"/>
  <c r="AB419" i="11" s="1"/>
  <c r="AN419" i="11" s="1"/>
  <c r="N419" i="11"/>
  <c r="X419" i="11" s="1"/>
  <c r="D419" i="11"/>
  <c r="F419" i="11" s="1"/>
  <c r="AA418" i="11"/>
  <c r="Z418" i="11" s="1"/>
  <c r="N418" i="11"/>
  <c r="R418" i="11" s="1"/>
  <c r="T418" i="11" s="1"/>
  <c r="D418" i="11"/>
  <c r="F418" i="11" s="1"/>
  <c r="AA417" i="11"/>
  <c r="N417" i="11"/>
  <c r="R417" i="11" s="1"/>
  <c r="F417" i="11"/>
  <c r="AA416" i="11"/>
  <c r="AB416" i="11" s="1"/>
  <c r="N416" i="11"/>
  <c r="X416" i="11" s="1"/>
  <c r="D416" i="11"/>
  <c r="F416" i="11" s="1"/>
  <c r="AA415" i="11"/>
  <c r="AB415" i="11" s="1"/>
  <c r="AL415" i="11" s="1"/>
  <c r="N415" i="11"/>
  <c r="X415" i="11" s="1"/>
  <c r="D415" i="11"/>
  <c r="F415" i="11" s="1"/>
  <c r="AB414" i="11"/>
  <c r="AN414" i="11" s="1"/>
  <c r="AA414" i="11"/>
  <c r="Z414" i="11" s="1"/>
  <c r="N414" i="11"/>
  <c r="X414" i="11" s="1"/>
  <c r="D414" i="11"/>
  <c r="F414" i="11" s="1"/>
  <c r="AA413" i="11"/>
  <c r="AB413" i="11" s="1"/>
  <c r="AL413" i="11" s="1"/>
  <c r="N413" i="11"/>
  <c r="X413" i="11" s="1"/>
  <c r="D413" i="11"/>
  <c r="F413" i="11" s="1"/>
  <c r="AA412" i="11"/>
  <c r="Z412" i="11" s="1"/>
  <c r="N412" i="11"/>
  <c r="R412" i="11" s="1"/>
  <c r="T412" i="11" s="1"/>
  <c r="D412" i="11"/>
  <c r="F412" i="11" s="1"/>
  <c r="AA411" i="11"/>
  <c r="AB411" i="11" s="1"/>
  <c r="X411" i="11"/>
  <c r="N411" i="11"/>
  <c r="R411" i="11" s="1"/>
  <c r="T411" i="11" s="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N410" i="11"/>
  <c r="X410" i="11" s="1"/>
  <c r="D410" i="11"/>
  <c r="F410" i="11" s="1"/>
  <c r="AA409" i="11"/>
  <c r="AB409" i="11" s="1"/>
  <c r="AL409" i="11" s="1"/>
  <c r="N409" i="11"/>
  <c r="X409" i="11" s="1"/>
  <c r="D409" i="11"/>
  <c r="F409" i="11" s="1"/>
  <c r="AA408" i="11"/>
  <c r="N408" i="11"/>
  <c r="X408" i="11" s="1"/>
  <c r="D408" i="11"/>
  <c r="F408" i="11" s="1"/>
  <c r="AA407" i="11"/>
  <c r="Z407" i="11" s="1"/>
  <c r="N407" i="11"/>
  <c r="R407" i="11" s="1"/>
  <c r="T407" i="11" s="1"/>
  <c r="D407" i="11"/>
  <c r="F407" i="11" s="1"/>
  <c r="AA406" i="11"/>
  <c r="Z406" i="11" s="1"/>
  <c r="N406" i="11"/>
  <c r="R406" i="11" s="1"/>
  <c r="T406" i="11" s="1"/>
  <c r="D406" i="11"/>
  <c r="F406" i="11" s="1"/>
  <c r="AA405" i="11"/>
  <c r="N405" i="11"/>
  <c r="X405" i="11" s="1"/>
  <c r="D405" i="11"/>
  <c r="F405" i="11" s="1"/>
  <c r="AA404" i="11"/>
  <c r="AB404" i="11" s="1"/>
  <c r="N404" i="11"/>
  <c r="X404" i="11" s="1"/>
  <c r="D404" i="11"/>
  <c r="F404" i="11" s="1"/>
  <c r="AA403" i="11"/>
  <c r="AB403" i="11" s="1"/>
  <c r="N403" i="11"/>
  <c r="X403" i="11" s="1"/>
  <c r="D403" i="11"/>
  <c r="F403" i="11" s="1"/>
  <c r="AA402" i="11"/>
  <c r="AB402" i="11" s="1"/>
  <c r="N402" i="11"/>
  <c r="X402" i="11" s="1"/>
  <c r="D402" i="11"/>
  <c r="F402" i="11" s="1"/>
  <c r="AA401" i="11"/>
  <c r="Z401" i="11" s="1"/>
  <c r="N401" i="11"/>
  <c r="X401" i="11" s="1"/>
  <c r="D401" i="11"/>
  <c r="F401" i="11" s="1"/>
  <c r="AA400" i="11"/>
  <c r="AB400" i="11" s="1"/>
  <c r="AL400" i="11" s="1"/>
  <c r="N400" i="11"/>
  <c r="R400" i="11" s="1"/>
  <c r="T400" i="11" s="1"/>
  <c r="D400" i="11"/>
  <c r="F400" i="11" s="1"/>
  <c r="AA399" i="11"/>
  <c r="T399" i="11"/>
  <c r="N399" i="11"/>
  <c r="R399" i="11" s="1"/>
  <c r="D399" i="11"/>
  <c r="F399" i="11" s="1"/>
  <c r="AA398" i="11"/>
  <c r="AB398" i="11" s="1"/>
  <c r="AL398" i="11" s="1"/>
  <c r="N398" i="11"/>
  <c r="X398" i="11" s="1"/>
  <c r="D398" i="11"/>
  <c r="F398" i="11" s="1"/>
  <c r="AA397" i="11"/>
  <c r="Z397" i="11" s="1"/>
  <c r="N397" i="11"/>
  <c r="R397" i="11" s="1"/>
  <c r="T397" i="11" s="1"/>
  <c r="D397" i="11"/>
  <c r="F397" i="11" s="1"/>
  <c r="AA396" i="11"/>
  <c r="Z396" i="11" s="1"/>
  <c r="N396" i="11"/>
  <c r="D396" i="11"/>
  <c r="F396" i="11" s="1"/>
  <c r="AA395" i="11"/>
  <c r="AB395" i="11" s="1"/>
  <c r="AN395" i="11" s="1"/>
  <c r="N395" i="11"/>
  <c r="X395" i="11" s="1"/>
  <c r="D395" i="11"/>
  <c r="F395" i="11" s="1"/>
  <c r="AA394" i="11"/>
  <c r="AB394" i="11" s="1"/>
  <c r="AE394" i="11" s="1"/>
  <c r="N394" i="11"/>
  <c r="R394" i="11" s="1"/>
  <c r="T394" i="11" s="1"/>
  <c r="D394" i="11"/>
  <c r="F394" i="11" s="1"/>
  <c r="AA393" i="11"/>
  <c r="N393" i="11"/>
  <c r="X393" i="11" s="1"/>
  <c r="D393" i="11"/>
  <c r="F393" i="11" s="1"/>
  <c r="AA392" i="11"/>
  <c r="AB392" i="11" s="1"/>
  <c r="N392" i="11"/>
  <c r="X392" i="11" s="1"/>
  <c r="D392" i="11"/>
  <c r="F392" i="11" s="1"/>
  <c r="AA391" i="11"/>
  <c r="AB391" i="11" s="1"/>
  <c r="N391" i="11"/>
  <c r="X391" i="11" s="1"/>
  <c r="D391" i="11"/>
  <c r="F391" i="11" s="1"/>
  <c r="AA390" i="11"/>
  <c r="Z390" i="11" s="1"/>
  <c r="N390" i="11"/>
  <c r="D390" i="11"/>
  <c r="F390" i="11" s="1"/>
  <c r="AA389" i="11"/>
  <c r="Z389" i="11" s="1"/>
  <c r="N389" i="11"/>
  <c r="D389" i="11"/>
  <c r="F389" i="11" s="1"/>
  <c r="AA388" i="11"/>
  <c r="AB388" i="11" s="1"/>
  <c r="N388" i="11"/>
  <c r="R388" i="11" s="1"/>
  <c r="T388" i="11" s="1"/>
  <c r="D388" i="11"/>
  <c r="F388" i="11" s="1"/>
  <c r="AA387" i="11"/>
  <c r="AB387" i="11" s="1"/>
  <c r="AE387" i="11" s="1"/>
  <c r="N387" i="11"/>
  <c r="R387" i="11" s="1"/>
  <c r="T387" i="11" s="1"/>
  <c r="D387" i="11"/>
  <c r="F387" i="11" s="1"/>
  <c r="AA386" i="11"/>
  <c r="AB386" i="11" s="1"/>
  <c r="AE386" i="11" s="1"/>
  <c r="N386" i="11"/>
  <c r="X386" i="11" s="1"/>
  <c r="D386" i="11"/>
  <c r="F386" i="11" s="1"/>
  <c r="AA385" i="11"/>
  <c r="N385" i="11"/>
  <c r="R385" i="11" s="1"/>
  <c r="T385" i="11" s="1"/>
  <c r="D385" i="11"/>
  <c r="F385" i="11" s="1"/>
  <c r="AA384" i="11"/>
  <c r="Z384" i="11" s="1"/>
  <c r="N384" i="11"/>
  <c r="D384" i="11"/>
  <c r="F384" i="11" s="1"/>
  <c r="AA383" i="11"/>
  <c r="AB383" i="11" s="1"/>
  <c r="AL383" i="11" s="1"/>
  <c r="N383" i="11"/>
  <c r="X383" i="11" s="1"/>
  <c r="D383" i="11"/>
  <c r="F383" i="11" s="1"/>
  <c r="AA382" i="11"/>
  <c r="Z382" i="11" s="1"/>
  <c r="N382" i="11"/>
  <c r="R382" i="11" s="1"/>
  <c r="T382" i="11" s="1"/>
  <c r="D382" i="11"/>
  <c r="F382" i="11" s="1"/>
  <c r="AA381" i="11"/>
  <c r="N381" i="11"/>
  <c r="R381" i="11" s="1"/>
  <c r="T381" i="11" s="1"/>
  <c r="D381" i="11"/>
  <c r="F381" i="11" s="1"/>
  <c r="AA380" i="11"/>
  <c r="Z380" i="11" s="1"/>
  <c r="N380" i="11"/>
  <c r="D380" i="11"/>
  <c r="F380" i="11" s="1"/>
  <c r="AA379" i="11"/>
  <c r="Z379" i="11" s="1"/>
  <c r="N379" i="11"/>
  <c r="D379" i="11"/>
  <c r="F379" i="11" s="1"/>
  <c r="AA378" i="11"/>
  <c r="AB378" i="11" s="1"/>
  <c r="N378" i="11"/>
  <c r="X378" i="11" s="1"/>
  <c r="D378" i="11"/>
  <c r="F378" i="11" s="1"/>
  <c r="AA377" i="11"/>
  <c r="Z377" i="11" s="1"/>
  <c r="N377" i="11"/>
  <c r="X377" i="11" s="1"/>
  <c r="D377" i="11"/>
  <c r="F377" i="11" s="1"/>
  <c r="AA376" i="11"/>
  <c r="AB376" i="11" s="1"/>
  <c r="N376" i="11"/>
  <c r="X376" i="11" s="1"/>
  <c r="D376" i="11"/>
  <c r="F376" i="11" s="1"/>
  <c r="AA375" i="11"/>
  <c r="Z375" i="11" s="1"/>
  <c r="N375" i="11"/>
  <c r="R375" i="11" s="1"/>
  <c r="T375" i="11" s="1"/>
  <c r="D375" i="11"/>
  <c r="F375" i="11" s="1"/>
  <c r="AA374" i="11"/>
  <c r="AB374" i="11" s="1"/>
  <c r="AM374" i="11" s="1"/>
  <c r="N374" i="11"/>
  <c r="D374" i="11"/>
  <c r="F374" i="11" s="1"/>
  <c r="D373" i="11"/>
  <c r="F373" i="11" s="1"/>
  <c r="AA372" i="11"/>
  <c r="Z372" i="11" s="1"/>
  <c r="N372" i="11"/>
  <c r="R372" i="11" s="1"/>
  <c r="T372" i="11" s="1"/>
  <c r="D372" i="11"/>
  <c r="F372" i="11" s="1"/>
  <c r="AA371" i="11"/>
  <c r="Z371" i="11" s="1"/>
  <c r="N371" i="11"/>
  <c r="R371" i="11" s="1"/>
  <c r="T371" i="11" s="1"/>
  <c r="D371" i="11"/>
  <c r="F371" i="11" s="1"/>
  <c r="AA370" i="11"/>
  <c r="Z370" i="11" s="1"/>
  <c r="N370" i="11"/>
  <c r="R370" i="11" s="1"/>
  <c r="T370" i="11" s="1"/>
  <c r="D370" i="11"/>
  <c r="F370" i="11" s="1"/>
  <c r="AA369" i="11"/>
  <c r="AB369" i="11" s="1"/>
  <c r="N369" i="11"/>
  <c r="D369" i="11"/>
  <c r="F369" i="11" s="1"/>
  <c r="AA368" i="11"/>
  <c r="Z368" i="11" s="1"/>
  <c r="N368" i="11"/>
  <c r="R368" i="11" s="1"/>
  <c r="T368" i="11" s="1"/>
  <c r="D368" i="11"/>
  <c r="F368" i="11" s="1"/>
  <c r="AA367" i="11"/>
  <c r="AB367" i="11" s="1"/>
  <c r="AN367" i="11" s="1"/>
  <c r="N367" i="11"/>
  <c r="X367" i="11" s="1"/>
  <c r="D367" i="11"/>
  <c r="F367" i="11" s="1"/>
  <c r="AB366" i="11"/>
  <c r="AA366" i="11"/>
  <c r="Z366" i="11" s="1"/>
  <c r="N366" i="11"/>
  <c r="D366" i="11"/>
  <c r="F366" i="11" s="1"/>
  <c r="AA365" i="11"/>
  <c r="AB365" i="11" s="1"/>
  <c r="AM365" i="11" s="1"/>
  <c r="N365" i="1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A364" i="11"/>
  <c r="AB364" i="11" s="1"/>
  <c r="AM364" i="11" s="1"/>
  <c r="N364" i="11"/>
  <c r="D364" i="11"/>
  <c r="F364" i="11" s="1"/>
  <c r="AA363" i="11"/>
  <c r="N363" i="11"/>
  <c r="X363" i="11" s="1"/>
  <c r="D363" i="11"/>
  <c r="F363" i="11" s="1"/>
  <c r="AA362" i="11"/>
  <c r="AB362" i="11" s="1"/>
  <c r="AD362" i="11" s="1"/>
  <c r="N362" i="11"/>
  <c r="X362" i="11" s="1"/>
  <c r="D362" i="11"/>
  <c r="F362" i="11" s="1"/>
  <c r="AA361" i="11"/>
  <c r="AB361" i="11" s="1"/>
  <c r="AL361" i="11" s="1"/>
  <c r="N361" i="11"/>
  <c r="X361" i="11" s="1"/>
  <c r="D361" i="11"/>
  <c r="F361" i="11" s="1"/>
  <c r="AB360" i="11"/>
  <c r="AL360" i="11" s="1"/>
  <c r="Z360" i="11"/>
  <c r="P360" i="11"/>
  <c r="N360" i="11"/>
  <c r="R360" i="11" s="1"/>
  <c r="T360" i="11" s="1"/>
  <c r="D360" i="11"/>
  <c r="F360" i="11" s="1"/>
  <c r="AA359" i="11"/>
  <c r="AB359" i="11" s="1"/>
  <c r="AM359" i="11" s="1"/>
  <c r="N359" i="11"/>
  <c r="D359" i="11"/>
  <c r="F359" i="11" s="1"/>
  <c r="AA358" i="11"/>
  <c r="Z358" i="11" s="1"/>
  <c r="N358" i="11"/>
  <c r="X358" i="11" s="1"/>
  <c r="D358" i="11"/>
  <c r="F358" i="11" s="1"/>
  <c r="AA357" i="11"/>
  <c r="AB357" i="11" s="1"/>
  <c r="AE357" i="11" s="1"/>
  <c r="N357" i="11"/>
  <c r="D357" i="11"/>
  <c r="F357" i="11" s="1"/>
  <c r="AA356" i="11"/>
  <c r="AB356" i="11" s="1"/>
  <c r="AN356" i="11" s="1"/>
  <c r="N356" i="11"/>
  <c r="X356" i="11" s="1"/>
  <c r="D356" i="11"/>
  <c r="F356" i="11" s="1"/>
  <c r="AA355" i="11"/>
  <c r="N355" i="11"/>
  <c r="X355" i="11" s="1"/>
  <c r="D355" i="11"/>
  <c r="F355" i="11" s="1"/>
  <c r="A355" i="11"/>
  <c r="A356" i="11" s="1"/>
  <c r="A357" i="11" s="1"/>
  <c r="A358" i="11" s="1"/>
  <c r="A359" i="11" s="1"/>
  <c r="A360" i="11" s="1"/>
  <c r="A361" i="11" s="1"/>
  <c r="A362" i="11" s="1"/>
  <c r="AB354" i="11"/>
  <c r="AD354" i="11" s="1"/>
  <c r="Z354" i="11"/>
  <c r="N354" i="11"/>
  <c r="X354" i="11" s="1"/>
  <c r="D354" i="11"/>
  <c r="F354" i="11" s="1"/>
  <c r="AA353" i="11"/>
  <c r="Z353" i="11" s="1"/>
  <c r="N353" i="11"/>
  <c r="R353" i="11" s="1"/>
  <c r="T353" i="11" s="1"/>
  <c r="D353" i="11"/>
  <c r="F353" i="11" s="1"/>
  <c r="AA352" i="11"/>
  <c r="Z352" i="11" s="1"/>
  <c r="N352" i="11"/>
  <c r="D352" i="11"/>
  <c r="F352" i="11" s="1"/>
  <c r="AA351" i="11"/>
  <c r="N351" i="11"/>
  <c r="X351" i="11" s="1"/>
  <c r="D351" i="11"/>
  <c r="F351" i="11" s="1"/>
  <c r="AA350" i="11"/>
  <c r="AB350" i="11" s="1"/>
  <c r="AE350" i="11" s="1"/>
  <c r="N350" i="11"/>
  <c r="R350" i="11" s="1"/>
  <c r="T350" i="11" s="1"/>
  <c r="D350" i="11"/>
  <c r="F350" i="11" s="1"/>
  <c r="AA349" i="11"/>
  <c r="Z349" i="11" s="1"/>
  <c r="N349" i="11"/>
  <c r="X349" i="11" s="1"/>
  <c r="D349" i="11"/>
  <c r="F349" i="11" s="1"/>
  <c r="AA348" i="11"/>
  <c r="Z348" i="11" s="1"/>
  <c r="N348" i="11"/>
  <c r="R348" i="11" s="1"/>
  <c r="T348" i="11" s="1"/>
  <c r="D348" i="11"/>
  <c r="F348" i="11" s="1"/>
  <c r="AA347" i="11"/>
  <c r="AB347" i="11" s="1"/>
  <c r="AN347" i="11" s="1"/>
  <c r="N347" i="11"/>
  <c r="X347" i="11" s="1"/>
  <c r="D347" i="11"/>
  <c r="F347" i="11" s="1"/>
  <c r="AA346" i="11"/>
  <c r="Z346" i="11" s="1"/>
  <c r="N346" i="11"/>
  <c r="D346" i="11"/>
  <c r="F346" i="11" s="1"/>
  <c r="AB345" i="11"/>
  <c r="AM345" i="11" s="1"/>
  <c r="Z345" i="11"/>
  <c r="N345" i="11"/>
  <c r="X345" i="11" s="1"/>
  <c r="D345" i="11"/>
  <c r="F345" i="11" s="1"/>
  <c r="AA344" i="11"/>
  <c r="Z344" i="11" s="1"/>
  <c r="N344" i="11"/>
  <c r="R344" i="11" s="1"/>
  <c r="D344" i="11"/>
  <c r="F344" i="11" s="1"/>
  <c r="AA343" i="11"/>
  <c r="N343" i="11"/>
  <c r="X343" i="11" s="1"/>
  <c r="D343" i="11"/>
  <c r="F343" i="11" s="1"/>
  <c r="AA342" i="11"/>
  <c r="Z342" i="11" s="1"/>
  <c r="N342" i="11"/>
  <c r="R342" i="11" s="1"/>
  <c r="T342" i="11" s="1"/>
  <c r="D342" i="11"/>
  <c r="F342" i="11" s="1"/>
  <c r="AA341" i="11"/>
  <c r="AB341" i="11" s="1"/>
  <c r="AD341" i="11" s="1"/>
  <c r="N341" i="11"/>
  <c r="X341" i="11" s="1"/>
  <c r="D341" i="11"/>
  <c r="F341" i="11" s="1"/>
  <c r="AA340" i="11"/>
  <c r="AB340" i="11" s="1"/>
  <c r="AN340" i="11" s="1"/>
  <c r="N340" i="11"/>
  <c r="D340" i="11"/>
  <c r="F340" i="11" s="1"/>
  <c r="AA339" i="11"/>
  <c r="Z339" i="11" s="1"/>
  <c r="N339" i="11"/>
  <c r="R339" i="11" s="1"/>
  <c r="T339" i="11" s="1"/>
  <c r="D339" i="11"/>
  <c r="F339" i="11" s="1"/>
  <c r="AA338" i="11"/>
  <c r="N338" i="11"/>
  <c r="D338" i="11"/>
  <c r="F338" i="11" s="1"/>
  <c r="AA337" i="11"/>
  <c r="AB337" i="11" s="1"/>
  <c r="AM337" i="11" s="1"/>
  <c r="N337" i="11"/>
  <c r="X337" i="11" s="1"/>
  <c r="D337" i="11"/>
  <c r="F337" i="11" s="1"/>
  <c r="AA336" i="11"/>
  <c r="Z336" i="11" s="1"/>
  <c r="N336" i="11"/>
  <c r="R336" i="11" s="1"/>
  <c r="T336" i="11" s="1"/>
  <c r="D336" i="11"/>
  <c r="F336" i="11" s="1"/>
  <c r="AA335" i="11"/>
  <c r="AB335" i="11" s="1"/>
  <c r="AN335" i="11" s="1"/>
  <c r="N335" i="11"/>
  <c r="R335" i="11" s="1"/>
  <c r="T335" i="11" s="1"/>
  <c r="D335" i="11"/>
  <c r="F335" i="11" s="1"/>
  <c r="AA334" i="11"/>
  <c r="AB334" i="11" s="1"/>
  <c r="N334" i="11"/>
  <c r="X334" i="11" s="1"/>
  <c r="D334" i="11"/>
  <c r="F334" i="11" s="1"/>
  <c r="AA333" i="11"/>
  <c r="Z333" i="11" s="1"/>
  <c r="N333" i="11"/>
  <c r="D333" i="11"/>
  <c r="F333" i="11" s="1"/>
  <c r="AA332" i="11"/>
  <c r="Z332" i="11" s="1"/>
  <c r="N332" i="11"/>
  <c r="X332" i="11" s="1"/>
  <c r="D332" i="11"/>
  <c r="F332" i="11" s="1"/>
  <c r="AA331" i="11"/>
  <c r="AB331" i="11" s="1"/>
  <c r="N331" i="11"/>
  <c r="R331" i="11" s="1"/>
  <c r="T331" i="11" s="1"/>
  <c r="D331" i="11"/>
  <c r="F331" i="11" s="1"/>
  <c r="AN330" i="11"/>
  <c r="AM330" i="11"/>
  <c r="AL330" i="11"/>
  <c r="AF330" i="11"/>
  <c r="AE330" i="11"/>
  <c r="AD330" i="11"/>
  <c r="AC330" i="11"/>
  <c r="AA330" i="11"/>
  <c r="Z330" i="11" s="1"/>
  <c r="N330" i="11"/>
  <c r="X330" i="11" s="1"/>
  <c r="D330" i="11"/>
  <c r="F330" i="11" s="1"/>
  <c r="AB329" i="11"/>
  <c r="AM329" i="11" s="1"/>
  <c r="Z329" i="11"/>
  <c r="N329" i="11"/>
  <c r="R329" i="11" s="1"/>
  <c r="T329" i="11" s="1"/>
  <c r="D329" i="11"/>
  <c r="F329" i="11" s="1"/>
  <c r="AA328" i="11"/>
  <c r="AB328" i="11" s="1"/>
  <c r="AL328" i="11" s="1"/>
  <c r="N328" i="11"/>
  <c r="D328" i="11"/>
  <c r="F328" i="11" s="1"/>
  <c r="AA327" i="11"/>
  <c r="AB327" i="11" s="1"/>
  <c r="AF327" i="11" s="1"/>
  <c r="N327" i="11"/>
  <c r="X327" i="11" s="1"/>
  <c r="D327" i="11"/>
  <c r="F327" i="11" s="1"/>
  <c r="AA326" i="11"/>
  <c r="Z326" i="11" s="1"/>
  <c r="N326" i="11"/>
  <c r="R326" i="11" s="1"/>
  <c r="T326" i="11" s="1"/>
  <c r="D326" i="11"/>
  <c r="F326" i="11" s="1"/>
  <c r="AA325" i="11"/>
  <c r="AB325" i="11" s="1"/>
  <c r="AN325" i="11" s="1"/>
  <c r="N325" i="11"/>
  <c r="X325" i="11" s="1"/>
  <c r="D325" i="11"/>
  <c r="F325" i="11" s="1"/>
  <c r="AA324" i="11"/>
  <c r="Z324" i="11" s="1"/>
  <c r="N324" i="11"/>
  <c r="D324" i="11"/>
  <c r="F324" i="11" s="1"/>
  <c r="AA323" i="11"/>
  <c r="Z323" i="11" s="1"/>
  <c r="N323" i="11"/>
  <c r="X323" i="11" s="1"/>
  <c r="D323" i="11"/>
  <c r="F323" i="11" s="1"/>
  <c r="AA322" i="11"/>
  <c r="N322" i="11"/>
  <c r="X322" i="11" s="1"/>
  <c r="D322" i="11"/>
  <c r="F322" i="11" s="1"/>
  <c r="AA321" i="11"/>
  <c r="N321" i="11"/>
  <c r="X321" i="11" s="1"/>
  <c r="D321" i="11"/>
  <c r="F321" i="11" s="1"/>
  <c r="AA320" i="11"/>
  <c r="AB320" i="11" s="1"/>
  <c r="AL320" i="11" s="1"/>
  <c r="N320" i="11"/>
  <c r="R320" i="11" s="1"/>
  <c r="T320" i="11" s="1"/>
  <c r="D320" i="11"/>
  <c r="F320" i="11" s="1"/>
  <c r="AA319" i="11"/>
  <c r="AB319" i="11" s="1"/>
  <c r="AC319" i="11" s="1"/>
  <c r="N319" i="11"/>
  <c r="D319" i="11"/>
  <c r="F319" i="11" s="1"/>
  <c r="AA318" i="11"/>
  <c r="Z318" i="11" s="1"/>
  <c r="N318" i="11"/>
  <c r="D318" i="11"/>
  <c r="F318" i="11" s="1"/>
  <c r="AA317" i="11"/>
  <c r="N317" i="11"/>
  <c r="D317" i="11"/>
  <c r="F317" i="11" s="1"/>
  <c r="AA316" i="11"/>
  <c r="N316" i="11"/>
  <c r="R316" i="11" s="1"/>
  <c r="T316" i="11" s="1"/>
  <c r="D316" i="11"/>
  <c r="F316" i="11" s="1"/>
  <c r="AA315" i="11"/>
  <c r="N315" i="11"/>
  <c r="X315" i="11" s="1"/>
  <c r="D315" i="11"/>
  <c r="F315" i="11" s="1"/>
  <c r="AA314" i="11"/>
  <c r="N314" i="11"/>
  <c r="R314" i="11" s="1"/>
  <c r="T314" i="11" s="1"/>
  <c r="D314" i="11"/>
  <c r="F314" i="11" s="1"/>
  <c r="AA313" i="11"/>
  <c r="Z313" i="11" s="1"/>
  <c r="N313" i="11"/>
  <c r="R313" i="11" s="1"/>
  <c r="T313" i="11" s="1"/>
  <c r="D313" i="11"/>
  <c r="F313" i="11" s="1"/>
  <c r="AA312" i="11"/>
  <c r="Z312" i="11" s="1"/>
  <c r="N312" i="11"/>
  <c r="X312" i="11" s="1"/>
  <c r="D312" i="11"/>
  <c r="F312" i="11" s="1"/>
  <c r="AA311" i="11"/>
  <c r="Z311" i="11" s="1"/>
  <c r="N311" i="11"/>
  <c r="D311" i="11"/>
  <c r="F311" i="11" s="1"/>
  <c r="AN310" i="11"/>
  <c r="AM310" i="11"/>
  <c r="AL310" i="11"/>
  <c r="AC310" i="11"/>
  <c r="N310" i="11"/>
  <c r="R310" i="11" s="1"/>
  <c r="T310" i="11" s="1"/>
  <c r="D310" i="11"/>
  <c r="F310" i="11" s="1"/>
  <c r="AA309" i="11"/>
  <c r="Y309" i="11"/>
  <c r="N309" i="11"/>
  <c r="D309" i="11"/>
  <c r="F309" i="11" s="1"/>
  <c r="AA308" i="11"/>
  <c r="Y308" i="11"/>
  <c r="N308" i="11"/>
  <c r="R308" i="11" s="1"/>
  <c r="T308" i="11" s="1"/>
  <c r="D308" i="11"/>
  <c r="F308" i="11" s="1"/>
  <c r="AA307" i="11"/>
  <c r="Y307" i="11"/>
  <c r="N307" i="11"/>
  <c r="D307" i="11"/>
  <c r="F307" i="11" s="1"/>
  <c r="AA306" i="11"/>
  <c r="AB306" i="11" s="1"/>
  <c r="AL306" i="11" s="1"/>
  <c r="Y306" i="11"/>
  <c r="N306" i="11"/>
  <c r="R306" i="11" s="1"/>
  <c r="T306" i="11" s="1"/>
  <c r="D306" i="11"/>
  <c r="F306" i="11" s="1"/>
  <c r="AA305" i="11"/>
  <c r="Y305" i="11"/>
  <c r="N305" i="11"/>
  <c r="D305" i="11"/>
  <c r="F305" i="11" s="1"/>
  <c r="AA304" i="11"/>
  <c r="AB304" i="11" s="1"/>
  <c r="AN304" i="11" s="1"/>
  <c r="Y304" i="11"/>
  <c r="N304" i="11"/>
  <c r="R304" i="11" s="1"/>
  <c r="T304" i="11" s="1"/>
  <c r="D304" i="11"/>
  <c r="F304" i="11" s="1"/>
  <c r="AA303" i="11"/>
  <c r="N303" i="11"/>
  <c r="R303" i="11" s="1"/>
  <c r="T303" i="11" s="1"/>
  <c r="D303" i="11"/>
  <c r="F303" i="11" s="1"/>
  <c r="AB302" i="11"/>
  <c r="Z302" i="11"/>
  <c r="Y302" i="11"/>
  <c r="N302" i="11"/>
  <c r="X302" i="11" s="1"/>
  <c r="D302" i="11"/>
  <c r="F302" i="11" s="1"/>
  <c r="AA301" i="11"/>
  <c r="Z301" i="11" s="1"/>
  <c r="Y301" i="11"/>
  <c r="N301" i="11"/>
  <c r="D301" i="11"/>
  <c r="F301" i="11" s="1"/>
  <c r="AA300" i="11"/>
  <c r="Y300" i="11"/>
  <c r="N300" i="11"/>
  <c r="R300" i="11" s="1"/>
  <c r="T300" i="11" s="1"/>
  <c r="D300" i="11"/>
  <c r="F300" i="11" s="1"/>
  <c r="AA299" i="11"/>
  <c r="Z299" i="11" s="1"/>
  <c r="Y299" i="11"/>
  <c r="N299" i="11"/>
  <c r="D299" i="11"/>
  <c r="F299" i="11" s="1"/>
  <c r="N298" i="11"/>
  <c r="R298" i="11" s="1"/>
  <c r="T298" i="11" s="1"/>
  <c r="D298" i="11"/>
  <c r="F298" i="11" s="1"/>
  <c r="N297" i="11"/>
  <c r="R297" i="11" s="1"/>
  <c r="T297" i="11" s="1"/>
  <c r="D297" i="11"/>
  <c r="F297" i="11" s="1"/>
  <c r="AA296" i="11"/>
  <c r="Y296" i="11"/>
  <c r="N296" i="11"/>
  <c r="D296" i="11"/>
  <c r="F296" i="11" s="1"/>
  <c r="N295" i="11"/>
  <c r="X295" i="11" s="1"/>
  <c r="D295" i="11"/>
  <c r="F295" i="11" s="1"/>
  <c r="AA294" i="11"/>
  <c r="AB294" i="11" s="1"/>
  <c r="Y294" i="11"/>
  <c r="N294" i="11"/>
  <c r="R294" i="11" s="1"/>
  <c r="T294" i="11" s="1"/>
  <c r="D294" i="11"/>
  <c r="F294" i="11" s="1"/>
  <c r="AA293" i="11"/>
  <c r="AB293" i="11" s="1"/>
  <c r="Y293" i="11"/>
  <c r="N293" i="11"/>
  <c r="D293" i="11"/>
  <c r="F293" i="11" s="1"/>
  <c r="AA292" i="11"/>
  <c r="AB292" i="11" s="1"/>
  <c r="Y292" i="11"/>
  <c r="N292" i="11"/>
  <c r="X292" i="11" s="1"/>
  <c r="D292" i="11"/>
  <c r="F292" i="11" s="1"/>
  <c r="AA291" i="11"/>
  <c r="Z291" i="11" s="1"/>
  <c r="Y291" i="11"/>
  <c r="N291" i="11"/>
  <c r="X291" i="11" s="1"/>
  <c r="D291" i="11"/>
  <c r="F291" i="11" s="1"/>
  <c r="AA290" i="11"/>
  <c r="Z290" i="11" s="1"/>
  <c r="Y290" i="11"/>
  <c r="N290" i="11"/>
  <c r="X290" i="11" s="1"/>
  <c r="D290" i="11"/>
  <c r="F290" i="11" s="1"/>
  <c r="AA289" i="11"/>
  <c r="Z289" i="11" s="1"/>
  <c r="Y289" i="11"/>
  <c r="N289" i="11"/>
  <c r="X289" i="11" s="1"/>
  <c r="D289" i="11"/>
  <c r="F289" i="11" s="1"/>
  <c r="AA288" i="11"/>
  <c r="AB288" i="11" s="1"/>
  <c r="Y288" i="11"/>
  <c r="N288" i="11"/>
  <c r="X288" i="11" s="1"/>
  <c r="D288" i="11"/>
  <c r="F288" i="11" s="1"/>
  <c r="AA287" i="11"/>
  <c r="Z287" i="11" s="1"/>
  <c r="Y287" i="11"/>
  <c r="N287" i="11"/>
  <c r="R287" i="11" s="1"/>
  <c r="T287" i="11" s="1"/>
  <c r="D287" i="11"/>
  <c r="F287" i="11" s="1"/>
  <c r="AA286" i="11"/>
  <c r="AB286" i="11" s="1"/>
  <c r="AD286" i="11" s="1"/>
  <c r="Y286" i="11"/>
  <c r="N286" i="11"/>
  <c r="X286" i="11" s="1"/>
  <c r="D286" i="11"/>
  <c r="F286" i="11" s="1"/>
  <c r="AA285" i="11"/>
  <c r="AB285" i="11" s="1"/>
  <c r="AF285" i="11" s="1"/>
  <c r="Y285" i="11"/>
  <c r="N285" i="11"/>
  <c r="D285" i="11"/>
  <c r="F285" i="11" s="1"/>
  <c r="AA284" i="11"/>
  <c r="Z284" i="11" s="1"/>
  <c r="Y284" i="11"/>
  <c r="N284" i="11"/>
  <c r="X284" i="11" s="1"/>
  <c r="D284" i="11"/>
  <c r="F284" i="11" s="1"/>
  <c r="AA283" i="11"/>
  <c r="AB283" i="11" s="1"/>
  <c r="AM283" i="11" s="1"/>
  <c r="Y283" i="11"/>
  <c r="N283" i="11"/>
  <c r="D283" i="11"/>
  <c r="F283" i="11" s="1"/>
  <c r="AA282" i="11"/>
  <c r="AB282" i="11" s="1"/>
  <c r="Y282" i="11"/>
  <c r="N282" i="11"/>
  <c r="X282" i="11" s="1"/>
  <c r="D282" i="11"/>
  <c r="F282" i="11" s="1"/>
  <c r="AA281" i="11"/>
  <c r="AB281" i="11" s="1"/>
  <c r="Y281" i="11"/>
  <c r="N281" i="11"/>
  <c r="R281" i="11" s="1"/>
  <c r="T281" i="11" s="1"/>
  <c r="D281" i="11"/>
  <c r="F281" i="11" s="1"/>
  <c r="AA280" i="11"/>
  <c r="Y280" i="11"/>
  <c r="N280" i="11"/>
  <c r="X280" i="11" s="1"/>
  <c r="D280" i="11"/>
  <c r="F280" i="11" s="1"/>
  <c r="AA279" i="11"/>
  <c r="AB279" i="11" s="1"/>
  <c r="Y279" i="11"/>
  <c r="N279" i="11"/>
  <c r="X279" i="11" s="1"/>
  <c r="D279" i="11"/>
  <c r="F279" i="11" s="1"/>
  <c r="AA278" i="11"/>
  <c r="Z278" i="11" s="1"/>
  <c r="Y278" i="11"/>
  <c r="N278" i="11"/>
  <c r="R278" i="11" s="1"/>
  <c r="T278" i="11" s="1"/>
  <c r="D278" i="11"/>
  <c r="F278" i="11" s="1"/>
  <c r="AA277" i="11"/>
  <c r="AB277" i="11" s="1"/>
  <c r="Y277" i="11"/>
  <c r="N277" i="11"/>
  <c r="D277" i="11"/>
  <c r="F277" i="11" s="1"/>
  <c r="AA276" i="11"/>
  <c r="AB276" i="11" s="1"/>
  <c r="Y276" i="11"/>
  <c r="N276" i="11"/>
  <c r="X276" i="11" s="1"/>
  <c r="D276" i="11"/>
  <c r="F276" i="11" s="1"/>
  <c r="AA275" i="11"/>
  <c r="AB275" i="11" s="1"/>
  <c r="AF275" i="11" s="1"/>
  <c r="Y275" i="11"/>
  <c r="N275" i="11"/>
  <c r="D275" i="11"/>
  <c r="F275" i="11" s="1"/>
  <c r="AA274" i="11"/>
  <c r="AB274" i="11" s="1"/>
  <c r="AM274" i="11" s="1"/>
  <c r="Y274" i="11"/>
  <c r="N274" i="11"/>
  <c r="R274" i="11" s="1"/>
  <c r="D274" i="11"/>
  <c r="F274" i="11" s="1"/>
  <c r="AA273" i="11"/>
  <c r="AB273" i="11" s="1"/>
  <c r="AE273" i="11" s="1"/>
  <c r="Y273" i="11"/>
  <c r="N273" i="11"/>
  <c r="X273" i="11" s="1"/>
  <c r="D273" i="11"/>
  <c r="F273" i="11" s="1"/>
  <c r="AA272" i="11"/>
  <c r="AB272" i="11" s="1"/>
  <c r="AF272" i="11" s="1"/>
  <c r="Y272" i="11"/>
  <c r="N272" i="11"/>
  <c r="R272" i="11" s="1"/>
  <c r="T272" i="11" s="1"/>
  <c r="D272" i="11"/>
  <c r="F272" i="11" s="1"/>
  <c r="AA271" i="11"/>
  <c r="Z271" i="11" s="1"/>
  <c r="Y271" i="11"/>
  <c r="N271" i="11"/>
  <c r="R271" i="11" s="1"/>
  <c r="T271" i="11" s="1"/>
  <c r="D271" i="11"/>
  <c r="F271" i="11" s="1"/>
  <c r="AA270" i="11"/>
  <c r="Z270" i="11" s="1"/>
  <c r="Y270" i="11"/>
  <c r="N270" i="11"/>
  <c r="R270" i="11" s="1"/>
  <c r="T270" i="11" s="1"/>
  <c r="D270" i="11"/>
  <c r="F270" i="11" s="1"/>
  <c r="AA269" i="11"/>
  <c r="AB269" i="11" s="1"/>
  <c r="Y269" i="11"/>
  <c r="N269" i="11"/>
  <c r="X269" i="11" s="1"/>
  <c r="D269" i="11"/>
  <c r="F269" i="11" s="1"/>
  <c r="AA268" i="11"/>
  <c r="AB268" i="11" s="1"/>
  <c r="AE268" i="11" s="1"/>
  <c r="Y268" i="11"/>
  <c r="N268" i="11"/>
  <c r="X268" i="11" s="1"/>
  <c r="D268" i="11"/>
  <c r="F268" i="11" s="1"/>
  <c r="A268" i="11"/>
  <c r="A269" i="11" s="1"/>
  <c r="A270" i="11" s="1"/>
  <c r="A271" i="11" s="1"/>
  <c r="A272" i="11" s="1"/>
  <c r="A273" i="11" s="1"/>
  <c r="AA267" i="11"/>
  <c r="Z267" i="11" s="1"/>
  <c r="Y267" i="11"/>
  <c r="X267" i="11"/>
  <c r="N267" i="11"/>
  <c r="AN54" i="65" s="1"/>
  <c r="D267" i="11"/>
  <c r="F267" i="11" s="1"/>
  <c r="AA266" i="11"/>
  <c r="Z266" i="11" s="1"/>
  <c r="Y266" i="11"/>
  <c r="N266" i="11"/>
  <c r="AN53" i="65" s="1"/>
  <c r="D266" i="11"/>
  <c r="F266" i="11" s="1"/>
  <c r="N265" i="11"/>
  <c r="AN52" i="65" s="1"/>
  <c r="D265" i="11"/>
  <c r="F265" i="11" s="1"/>
  <c r="Y264" i="11"/>
  <c r="T264" i="11"/>
  <c r="D264" i="11"/>
  <c r="F264" i="11" s="1"/>
  <c r="AA263" i="11"/>
  <c r="AB263" i="11" s="1"/>
  <c r="Y263" i="11"/>
  <c r="N263" i="11"/>
  <c r="D263" i="11"/>
  <c r="F263" i="11" s="1"/>
  <c r="AA262" i="11"/>
  <c r="Z262" i="11" s="1"/>
  <c r="Y262" i="11"/>
  <c r="N262" i="11"/>
  <c r="AN50" i="65" s="1"/>
  <c r="D262" i="11"/>
  <c r="F262" i="11" s="1"/>
  <c r="AA261" i="11"/>
  <c r="AB261" i="11" s="1"/>
  <c r="AE261" i="11" s="1"/>
  <c r="BB49" i="65" s="1"/>
  <c r="Y261" i="11"/>
  <c r="N261" i="11"/>
  <c r="AN49" i="65" s="1"/>
  <c r="D261" i="11"/>
  <c r="F261" i="11" s="1"/>
  <c r="AA260" i="11"/>
  <c r="AB260" i="11" s="1"/>
  <c r="AE260" i="11" s="1"/>
  <c r="Y260" i="11"/>
  <c r="N260" i="11"/>
  <c r="R260" i="11" s="1"/>
  <c r="T260" i="11" s="1"/>
  <c r="D260" i="11"/>
  <c r="F260" i="11" s="1"/>
  <c r="AA259" i="11"/>
  <c r="AB259" i="11" s="1"/>
  <c r="Y259" i="11"/>
  <c r="N259" i="11"/>
  <c r="AN47" i="65" s="1"/>
  <c r="D259" i="11"/>
  <c r="F259" i="11" s="1"/>
  <c r="AA258" i="11"/>
  <c r="Z258" i="11" s="1"/>
  <c r="Y258" i="11"/>
  <c r="N258" i="11"/>
  <c r="AN46" i="65" s="1"/>
  <c r="D258" i="11"/>
  <c r="F258" i="11" s="1"/>
  <c r="AA257" i="11"/>
  <c r="AB257" i="11" s="1"/>
  <c r="AF257" i="11" s="1"/>
  <c r="BC45" i="65" s="1"/>
  <c r="Y257" i="11"/>
  <c r="N257" i="11"/>
  <c r="AN45" i="65" s="1"/>
  <c r="D257" i="11"/>
  <c r="F257" i="11" s="1"/>
  <c r="AA256" i="11"/>
  <c r="Y256" i="11"/>
  <c r="N256" i="11"/>
  <c r="AN44" i="65" s="1"/>
  <c r="D256" i="11"/>
  <c r="F256" i="11" s="1"/>
  <c r="AA255" i="11"/>
  <c r="AB255" i="11" s="1"/>
  <c r="AC255" i="11" s="1"/>
  <c r="AZ43" i="65" s="1"/>
  <c r="Y255" i="11"/>
  <c r="N255" i="11"/>
  <c r="AN43" i="65" s="1"/>
  <c r="D255" i="11"/>
  <c r="F255" i="11" s="1"/>
  <c r="AA254" i="11"/>
  <c r="AB254" i="11" s="1"/>
  <c r="Y254" i="11"/>
  <c r="N254" i="11"/>
  <c r="AN42" i="65" s="1"/>
  <c r="D254" i="11"/>
  <c r="F254" i="11" s="1"/>
  <c r="AA253" i="11"/>
  <c r="AB253" i="11" s="1"/>
  <c r="Z253" i="11"/>
  <c r="Y253" i="11"/>
  <c r="R253" i="11"/>
  <c r="N253" i="11"/>
  <c r="AN41" i="65" s="1"/>
  <c r="D253" i="11"/>
  <c r="F253" i="11" s="1"/>
  <c r="AA252" i="11"/>
  <c r="Y252" i="11"/>
  <c r="N252" i="11"/>
  <c r="AN40" i="65" s="1"/>
  <c r="D252" i="11"/>
  <c r="F252" i="11" s="1"/>
  <c r="AE251" i="11"/>
  <c r="AA251" i="11"/>
  <c r="AB251" i="11" s="1"/>
  <c r="AN251" i="11" s="1"/>
  <c r="Y251" i="11"/>
  <c r="N251" i="11"/>
  <c r="D251" i="11"/>
  <c r="F251" i="11" s="1"/>
  <c r="AA250" i="11"/>
  <c r="Y250" i="11"/>
  <c r="N250" i="11"/>
  <c r="AN39" i="65" s="1"/>
  <c r="D250" i="11"/>
  <c r="F250" i="11" s="1"/>
  <c r="AA249" i="11"/>
  <c r="AB249" i="11" s="1"/>
  <c r="AL249" i="11" s="1"/>
  <c r="BI38" i="65" s="1"/>
  <c r="Y249" i="11"/>
  <c r="N249" i="11"/>
  <c r="AN38" i="65" s="1"/>
  <c r="D249" i="11"/>
  <c r="F249" i="11" s="1"/>
  <c r="AA248" i="11"/>
  <c r="Z248" i="11" s="1"/>
  <c r="Y248" i="11"/>
  <c r="N248" i="11"/>
  <c r="AN37" i="65" s="1"/>
  <c r="D248" i="11"/>
  <c r="F248" i="11" s="1"/>
  <c r="AL247" i="11"/>
  <c r="BI36" i="65" s="1"/>
  <c r="AA247" i="11"/>
  <c r="AB247" i="11" s="1"/>
  <c r="AM247" i="11" s="1"/>
  <c r="BJ36" i="65" s="1"/>
  <c r="Y247" i="11"/>
  <c r="N247" i="11"/>
  <c r="D247" i="11"/>
  <c r="F247" i="11" s="1"/>
  <c r="AA246" i="11"/>
  <c r="Z246" i="11" s="1"/>
  <c r="Y246" i="11"/>
  <c r="N246" i="11"/>
  <c r="AN35" i="65" s="1"/>
  <c r="D246" i="11"/>
  <c r="F246" i="11" s="1"/>
  <c r="AA245" i="11"/>
  <c r="AB245" i="11" s="1"/>
  <c r="AM245" i="11" s="1"/>
  <c r="BJ34" i="65" s="1"/>
  <c r="Y245" i="11"/>
  <c r="N245" i="11"/>
  <c r="AN34" i="65" s="1"/>
  <c r="D245" i="11"/>
  <c r="F245" i="11" s="1"/>
  <c r="AA244" i="11"/>
  <c r="Z244" i="11" s="1"/>
  <c r="Y244" i="11"/>
  <c r="N244" i="11"/>
  <c r="AN33" i="65" s="1"/>
  <c r="D244" i="11"/>
  <c r="F244" i="11" s="1"/>
  <c r="AA243" i="11"/>
  <c r="AB243" i="11" s="1"/>
  <c r="AM243" i="11" s="1"/>
  <c r="BJ32" i="65" s="1"/>
  <c r="Y243" i="11"/>
  <c r="N243" i="11"/>
  <c r="AN32" i="65" s="1"/>
  <c r="D243" i="11"/>
  <c r="F243" i="11" s="1"/>
  <c r="AA242" i="11"/>
  <c r="Z242" i="11" s="1"/>
  <c r="Y242" i="11"/>
  <c r="N242" i="11"/>
  <c r="AN31" i="65" s="1"/>
  <c r="D242" i="11"/>
  <c r="F242" i="11" s="1"/>
  <c r="AA241" i="11"/>
  <c r="AB241" i="11" s="1"/>
  <c r="AN241" i="11" s="1"/>
  <c r="BK30" i="65" s="1"/>
  <c r="Y241" i="11"/>
  <c r="N241" i="11"/>
  <c r="R241" i="11" s="1"/>
  <c r="AV30" i="65" s="1"/>
  <c r="D241" i="11"/>
  <c r="F241" i="11" s="1"/>
  <c r="AA240" i="11"/>
  <c r="Z240" i="11" s="1"/>
  <c r="Y240" i="11"/>
  <c r="N240" i="11"/>
  <c r="X240" i="11" s="1"/>
  <c r="D240" i="11"/>
  <c r="F240" i="11" s="1"/>
  <c r="AA239" i="11"/>
  <c r="Y239" i="11"/>
  <c r="N239" i="11"/>
  <c r="D239" i="11"/>
  <c r="F239" i="11" s="1"/>
  <c r="AA238" i="11"/>
  <c r="Z238" i="11" s="1"/>
  <c r="Y238" i="11"/>
  <c r="N238" i="11"/>
  <c r="D238" i="11"/>
  <c r="F238" i="11" s="1"/>
  <c r="AA237" i="11"/>
  <c r="AB237" i="11" s="1"/>
  <c r="AF237" i="11" s="1"/>
  <c r="BC26" i="65" s="1"/>
  <c r="Y237" i="11"/>
  <c r="N237" i="11"/>
  <c r="AN26" i="65" s="1"/>
  <c r="D237" i="11"/>
  <c r="F237" i="11" s="1"/>
  <c r="AA236" i="11"/>
  <c r="Z236" i="11" s="1"/>
  <c r="Y236" i="11"/>
  <c r="N236" i="11"/>
  <c r="D236" i="11"/>
  <c r="F236" i="11" s="1"/>
  <c r="AA235" i="11"/>
  <c r="AB235" i="11" s="1"/>
  <c r="AF235" i="11" s="1"/>
  <c r="BC24" i="65" s="1"/>
  <c r="Y235" i="11"/>
  <c r="N235" i="11"/>
  <c r="R235" i="11" s="1"/>
  <c r="D235" i="11"/>
  <c r="F235" i="11" s="1"/>
  <c r="AA234" i="11"/>
  <c r="Z234" i="11" s="1"/>
  <c r="Y234" i="11"/>
  <c r="N234" i="11"/>
  <c r="X234" i="11" s="1"/>
  <c r="D234" i="11"/>
  <c r="F234" i="11" s="1"/>
  <c r="AA233" i="11"/>
  <c r="Y233" i="11"/>
  <c r="N233" i="11"/>
  <c r="R233" i="11" s="1"/>
  <c r="D233" i="11"/>
  <c r="F233" i="11" s="1"/>
  <c r="AA232" i="11"/>
  <c r="Z232" i="11" s="1"/>
  <c r="Y232" i="11"/>
  <c r="N232" i="11"/>
  <c r="D232" i="11"/>
  <c r="F232" i="11" s="1"/>
  <c r="AA231" i="11"/>
  <c r="AB231" i="11" s="1"/>
  <c r="AN231" i="11" s="1"/>
  <c r="BK19" i="65" s="1"/>
  <c r="Y231" i="11"/>
  <c r="N231" i="11"/>
  <c r="R231" i="11" s="1"/>
  <c r="D231" i="11"/>
  <c r="F231" i="11" s="1"/>
  <c r="AA230" i="11"/>
  <c r="Y230" i="11"/>
  <c r="N230" i="11"/>
  <c r="R230" i="11" s="1"/>
  <c r="AV18" i="65" s="1"/>
  <c r="D230" i="11"/>
  <c r="F230" i="11" s="1"/>
  <c r="AA229" i="11"/>
  <c r="Z229" i="11" s="1"/>
  <c r="Y229" i="11"/>
  <c r="N229" i="11"/>
  <c r="AN20" i="65" s="1"/>
  <c r="D229" i="11"/>
  <c r="F229" i="11" s="1"/>
  <c r="AA228" i="11"/>
  <c r="Z228" i="11" s="1"/>
  <c r="Y228" i="11"/>
  <c r="N228" i="11"/>
  <c r="AN17" i="65" s="1"/>
  <c r="D228" i="11"/>
  <c r="F228" i="11" s="1"/>
  <c r="AA227" i="11"/>
  <c r="AB227" i="11" s="1"/>
  <c r="Y227" i="11"/>
  <c r="N227" i="11"/>
  <c r="AN16" i="65" s="1"/>
  <c r="D227" i="11"/>
  <c r="F227" i="11" s="1"/>
  <c r="AA226" i="11"/>
  <c r="AB226" i="11" s="1"/>
  <c r="Y226" i="11"/>
  <c r="N226" i="11"/>
  <c r="AN15" i="65" s="1"/>
  <c r="D226" i="11"/>
  <c r="F226" i="11" s="1"/>
  <c r="AA225" i="11"/>
  <c r="AB225" i="11" s="1"/>
  <c r="AE225" i="11" s="1"/>
  <c r="BB14" i="65" s="1"/>
  <c r="Y225" i="11"/>
  <c r="N225" i="11"/>
  <c r="AN14" i="65" s="1"/>
  <c r="D225" i="11"/>
  <c r="F225" i="11" s="1"/>
  <c r="AA224" i="11"/>
  <c r="AB224" i="11" s="1"/>
  <c r="Y224" i="11"/>
  <c r="N224" i="11"/>
  <c r="AN13" i="65" s="1"/>
  <c r="D224" i="11"/>
  <c r="F224" i="11" s="1"/>
  <c r="AA223" i="11"/>
  <c r="AB223" i="11" s="1"/>
  <c r="Y223" i="11"/>
  <c r="N223" i="11"/>
  <c r="AN12" i="65" s="1"/>
  <c r="D223" i="11"/>
  <c r="F223" i="11" s="1"/>
  <c r="AA222" i="11"/>
  <c r="AB222" i="11" s="1"/>
  <c r="Y222" i="11"/>
  <c r="N222" i="11"/>
  <c r="AN11" i="65" s="1"/>
  <c r="D222" i="11"/>
  <c r="F222" i="11" s="1"/>
  <c r="AA221" i="11"/>
  <c r="AB221" i="11" s="1"/>
  <c r="AE221" i="11" s="1"/>
  <c r="BB10" i="65" s="1"/>
  <c r="Y221" i="11"/>
  <c r="N221" i="11"/>
  <c r="AN10" i="65" s="1"/>
  <c r="D221" i="11"/>
  <c r="F221" i="11" s="1"/>
  <c r="AA220" i="11"/>
  <c r="AB220" i="11" s="1"/>
  <c r="Y220" i="11"/>
  <c r="N220" i="11"/>
  <c r="AN9" i="65" s="1"/>
  <c r="D220" i="11"/>
  <c r="F220" i="11" s="1"/>
  <c r="AA219" i="11"/>
  <c r="AB219" i="11" s="1"/>
  <c r="Y219" i="11"/>
  <c r="N219" i="11"/>
  <c r="AN8" i="65" s="1"/>
  <c r="D219" i="11"/>
  <c r="F219" i="11" s="1"/>
  <c r="AA218" i="11"/>
  <c r="AB218" i="11" s="1"/>
  <c r="AL218" i="11" s="1"/>
  <c r="Y218" i="11"/>
  <c r="N218" i="11"/>
  <c r="AN7" i="65" s="1"/>
  <c r="D218" i="11"/>
  <c r="F218" i="11" s="1"/>
  <c r="AA217" i="11"/>
  <c r="AB217" i="11" s="1"/>
  <c r="Y217" i="11"/>
  <c r="N217" i="11"/>
  <c r="AN6" i="65" s="1"/>
  <c r="D217" i="11"/>
  <c r="F217" i="11" s="1"/>
  <c r="AA216" i="11"/>
  <c r="AB216" i="11" s="1"/>
  <c r="AL216" i="11" s="1"/>
  <c r="BI5" i="65" s="1"/>
  <c r="Y216" i="11"/>
  <c r="N216" i="11"/>
  <c r="AN5" i="65" s="1"/>
  <c r="D216" i="11"/>
  <c r="F216" i="11" s="1"/>
  <c r="AA215" i="11"/>
  <c r="AB215" i="11" s="1"/>
  <c r="Y215" i="11"/>
  <c r="N215" i="11"/>
  <c r="AN4" i="65" s="1"/>
  <c r="D215" i="11"/>
  <c r="F215" i="11" s="1"/>
  <c r="AA214" i="11"/>
  <c r="Z214" i="11" s="1"/>
  <c r="Y214" i="11"/>
  <c r="N214" i="11"/>
  <c r="AN3" i="65" s="1"/>
  <c r="D214" i="11"/>
  <c r="F214" i="11" s="1"/>
  <c r="AN213" i="11"/>
  <c r="BK2" i="65" s="1"/>
  <c r="AM213" i="11"/>
  <c r="BJ2" i="65" s="1"/>
  <c r="AL213" i="11"/>
  <c r="BI2" i="65" s="1"/>
  <c r="AF213" i="11"/>
  <c r="BC2" i="65" s="1"/>
  <c r="AE213" i="11"/>
  <c r="BB2" i="65" s="1"/>
  <c r="AD213" i="11"/>
  <c r="BA2" i="65" s="1"/>
  <c r="AC213" i="11"/>
  <c r="AZ2" i="65" s="1"/>
  <c r="AA213" i="11"/>
  <c r="Z213" i="11" s="1"/>
  <c r="Y213" i="11"/>
  <c r="N213" i="11"/>
  <c r="X213" i="11" s="1"/>
  <c r="D213" i="11"/>
  <c r="F213" i="11" s="1"/>
  <c r="AA212" i="11"/>
  <c r="AB212" i="11" s="1"/>
  <c r="AD212" i="11" s="1"/>
  <c r="Y212" i="11"/>
  <c r="N212" i="11"/>
  <c r="R212" i="11" s="1"/>
  <c r="T212" i="11" s="1"/>
  <c r="D212" i="11"/>
  <c r="F212" i="11" s="1"/>
  <c r="AA211" i="11"/>
  <c r="Z211" i="11" s="1"/>
  <c r="Y211" i="11"/>
  <c r="N211" i="11"/>
  <c r="R211" i="11" s="1"/>
  <c r="T211" i="11" s="1"/>
  <c r="D211" i="11"/>
  <c r="F211" i="11" s="1"/>
  <c r="AA210" i="11"/>
  <c r="AB210" i="11" s="1"/>
  <c r="Y210" i="11"/>
  <c r="N210" i="11"/>
  <c r="D210" i="11"/>
  <c r="F210" i="11" s="1"/>
  <c r="AA209" i="11"/>
  <c r="Y209" i="11"/>
  <c r="N209" i="11"/>
  <c r="R209" i="11" s="1"/>
  <c r="T209" i="11" s="1"/>
  <c r="D209" i="11"/>
  <c r="F209" i="11" s="1"/>
  <c r="AA208" i="11"/>
  <c r="AB208" i="11" s="1"/>
  <c r="Y208" i="11"/>
  <c r="N208" i="11"/>
  <c r="X208" i="11" s="1"/>
  <c r="D208" i="11"/>
  <c r="F208" i="11" s="1"/>
  <c r="AA207" i="11"/>
  <c r="Y207" i="11"/>
  <c r="N207" i="11"/>
  <c r="R207" i="11" s="1"/>
  <c r="T207" i="11" s="1"/>
  <c r="D207" i="11"/>
  <c r="F207" i="11" s="1"/>
  <c r="AA206" i="11"/>
  <c r="AB206" i="11" s="1"/>
  <c r="AL206" i="11" s="1"/>
  <c r="Y206" i="11"/>
  <c r="N206" i="11"/>
  <c r="R206" i="11" s="1"/>
  <c r="T206" i="11" s="1"/>
  <c r="D206" i="11"/>
  <c r="F206" i="11" s="1"/>
  <c r="AA205" i="11"/>
  <c r="Y205" i="11"/>
  <c r="N205" i="11"/>
  <c r="R205" i="11" s="1"/>
  <c r="T205" i="11" s="1"/>
  <c r="D205" i="11"/>
  <c r="F205" i="11" s="1"/>
  <c r="AA204" i="11"/>
  <c r="Y204" i="11"/>
  <c r="N204" i="11"/>
  <c r="R204" i="11" s="1"/>
  <c r="T204" i="11" s="1"/>
  <c r="D204" i="11"/>
  <c r="F204" i="11" s="1"/>
  <c r="AA203" i="11"/>
  <c r="Y203" i="11"/>
  <c r="N203" i="11"/>
  <c r="D203" i="11"/>
  <c r="F203" i="11" s="1"/>
  <c r="AA202" i="11"/>
  <c r="Y202" i="11"/>
  <c r="N202" i="11"/>
  <c r="X202" i="11" s="1"/>
  <c r="D202" i="11"/>
  <c r="F202" i="11" s="1"/>
  <c r="AA201" i="11"/>
  <c r="Y201" i="11"/>
  <c r="N201" i="11"/>
  <c r="D201" i="11"/>
  <c r="F201" i="11" s="1"/>
  <c r="AA200" i="11"/>
  <c r="Y200" i="11"/>
  <c r="N200" i="11"/>
  <c r="X200" i="11" s="1"/>
  <c r="D200" i="11"/>
  <c r="F200" i="11" s="1"/>
  <c r="AA199" i="11"/>
  <c r="Z199" i="11" s="1"/>
  <c r="Y199" i="11"/>
  <c r="N199" i="11"/>
  <c r="D199" i="11"/>
  <c r="F199" i="11" s="1"/>
  <c r="AA198" i="11"/>
  <c r="Y198" i="11"/>
  <c r="N198" i="11"/>
  <c r="X198" i="11" s="1"/>
  <c r="D198" i="11"/>
  <c r="F198" i="11" s="1"/>
  <c r="AA197" i="11"/>
  <c r="Y197" i="11"/>
  <c r="N197" i="11"/>
  <c r="R197" i="11" s="1"/>
  <c r="T197" i="11" s="1"/>
  <c r="D197" i="11"/>
  <c r="F197" i="11" s="1"/>
  <c r="AA196" i="11"/>
  <c r="Y196" i="11"/>
  <c r="N196" i="11"/>
  <c r="R196" i="11" s="1"/>
  <c r="T196" i="11" s="1"/>
  <c r="D196" i="11"/>
  <c r="F196" i="11" s="1"/>
  <c r="AA195" i="11"/>
  <c r="Y195" i="11"/>
  <c r="N195" i="11"/>
  <c r="D195" i="11"/>
  <c r="F195" i="11" s="1"/>
  <c r="AA194" i="11"/>
  <c r="Y194" i="11"/>
  <c r="N194" i="11"/>
  <c r="R194" i="11" s="1"/>
  <c r="T194" i="11" s="1"/>
  <c r="F194" i="11"/>
  <c r="AA193" i="11"/>
  <c r="AB193" i="11" s="1"/>
  <c r="Y193" i="11"/>
  <c r="N193" i="11"/>
  <c r="R193" i="11" s="1"/>
  <c r="T193" i="11" s="1"/>
  <c r="D193" i="11"/>
  <c r="F193" i="11" s="1"/>
  <c r="AA192" i="11"/>
  <c r="AB192" i="11" s="1"/>
  <c r="AN192" i="11" s="1"/>
  <c r="Y192" i="11"/>
  <c r="N192" i="11"/>
  <c r="R192" i="11" s="1"/>
  <c r="T192" i="11" s="1"/>
  <c r="D192" i="11"/>
  <c r="F192" i="11" s="1"/>
  <c r="AA191" i="11"/>
  <c r="AB191" i="11" s="1"/>
  <c r="AD191" i="11" s="1"/>
  <c r="Y191" i="11"/>
  <c r="N191" i="11"/>
  <c r="R191" i="11" s="1"/>
  <c r="T191" i="11" s="1"/>
  <c r="D191" i="11"/>
  <c r="F191" i="11" s="1"/>
  <c r="AA190" i="11"/>
  <c r="AB190" i="11" s="1"/>
  <c r="AF190" i="11" s="1"/>
  <c r="Y190" i="11"/>
  <c r="N190" i="11"/>
  <c r="D190" i="11"/>
  <c r="F190" i="11" s="1"/>
  <c r="AA189" i="11"/>
  <c r="Y189" i="11"/>
  <c r="N189" i="11"/>
  <c r="R189" i="11" s="1"/>
  <c r="T189" i="11" s="1"/>
  <c r="D189" i="11"/>
  <c r="F189" i="11" s="1"/>
  <c r="AA188" i="11"/>
  <c r="AB188" i="11" s="1"/>
  <c r="AL188" i="11" s="1"/>
  <c r="Y188" i="11"/>
  <c r="N188" i="11"/>
  <c r="D188" i="11"/>
  <c r="F188" i="11" s="1"/>
  <c r="AA187" i="11"/>
  <c r="AB187" i="11" s="1"/>
  <c r="AN187" i="11" s="1"/>
  <c r="Y187" i="11"/>
  <c r="N187" i="11"/>
  <c r="R187" i="11" s="1"/>
  <c r="T187" i="11" s="1"/>
  <c r="D187" i="11"/>
  <c r="F187" i="11" s="1"/>
  <c r="AA186" i="11"/>
  <c r="AB186" i="11" s="1"/>
  <c r="AC186" i="11" s="1"/>
  <c r="Y186" i="11"/>
  <c r="N186" i="11"/>
  <c r="D186" i="11"/>
  <c r="F186" i="11" s="1"/>
  <c r="AA185" i="11"/>
  <c r="Y185" i="11"/>
  <c r="N185" i="11"/>
  <c r="R185" i="11" s="1"/>
  <c r="T185" i="11" s="1"/>
  <c r="D185" i="11"/>
  <c r="F185" i="11" s="1"/>
  <c r="AA184" i="11"/>
  <c r="AB184" i="11" s="1"/>
  <c r="AN184" i="11" s="1"/>
  <c r="Y184" i="11"/>
  <c r="N184" i="11"/>
  <c r="R184" i="11" s="1"/>
  <c r="T184" i="11" s="1"/>
  <c r="D184" i="11"/>
  <c r="F184" i="11" s="1"/>
  <c r="AA183" i="11"/>
  <c r="Y183" i="11"/>
  <c r="N183" i="11"/>
  <c r="R183" i="11" s="1"/>
  <c r="T183" i="11" s="1"/>
  <c r="D183" i="11"/>
  <c r="F183" i="11" s="1"/>
  <c r="AA182" i="11"/>
  <c r="AB182" i="11" s="1"/>
  <c r="AM182" i="11" s="1"/>
  <c r="Y182" i="11"/>
  <c r="N182" i="11"/>
  <c r="R182" i="11" s="1"/>
  <c r="T182" i="11" s="1"/>
  <c r="D182" i="11"/>
  <c r="F182" i="11" s="1"/>
  <c r="AA181" i="11"/>
  <c r="AB181" i="11" s="1"/>
  <c r="AN181" i="11" s="1"/>
  <c r="Y181" i="11"/>
  <c r="N181" i="11"/>
  <c r="R181" i="11" s="1"/>
  <c r="T181" i="11" s="1"/>
  <c r="D181" i="11"/>
  <c r="F181" i="11" s="1"/>
  <c r="AA180" i="11"/>
  <c r="AB180" i="11" s="1"/>
  <c r="AL180" i="11" s="1"/>
  <c r="Y180" i="11"/>
  <c r="N180" i="11"/>
  <c r="R180" i="11" s="1"/>
  <c r="T180" i="11" s="1"/>
  <c r="D180" i="11"/>
  <c r="F180" i="11" s="1"/>
  <c r="AA179" i="11"/>
  <c r="Y179" i="11"/>
  <c r="N179" i="11"/>
  <c r="R179" i="11" s="1"/>
  <c r="T179" i="11" s="1"/>
  <c r="D179" i="11"/>
  <c r="F179" i="11" s="1"/>
  <c r="AA178" i="11"/>
  <c r="AB178" i="11" s="1"/>
  <c r="AM178" i="11" s="1"/>
  <c r="Y178" i="11"/>
  <c r="N178" i="11"/>
  <c r="R178" i="11" s="1"/>
  <c r="T178" i="11" s="1"/>
  <c r="D178" i="11"/>
  <c r="F178" i="11" s="1"/>
  <c r="AA177" i="11"/>
  <c r="AB177" i="11" s="1"/>
  <c r="AN177" i="11" s="1"/>
  <c r="Y177" i="11"/>
  <c r="N177" i="11"/>
  <c r="R177" i="11" s="1"/>
  <c r="T177" i="11" s="1"/>
  <c r="D177" i="11"/>
  <c r="F177" i="11" s="1"/>
  <c r="AA176" i="11"/>
  <c r="AB176" i="11" s="1"/>
  <c r="AL176" i="11" s="1"/>
  <c r="Y176" i="11"/>
  <c r="N176" i="11"/>
  <c r="R176" i="11" s="1"/>
  <c r="T176" i="11" s="1"/>
  <c r="D176" i="11"/>
  <c r="F176" i="11" s="1"/>
  <c r="AA175" i="11"/>
  <c r="Y175" i="11"/>
  <c r="N175" i="11"/>
  <c r="R175" i="11" s="1"/>
  <c r="T175" i="11" s="1"/>
  <c r="D175" i="11"/>
  <c r="F175" i="11" s="1"/>
  <c r="AA174" i="11"/>
  <c r="AB174" i="11" s="1"/>
  <c r="AM174" i="11" s="1"/>
  <c r="Y174" i="11"/>
  <c r="N174" i="11"/>
  <c r="R174" i="11" s="1"/>
  <c r="T174" i="11" s="1"/>
  <c r="D174" i="11"/>
  <c r="F174" i="11" s="1"/>
  <c r="AD173" i="11"/>
  <c r="AA173" i="11"/>
  <c r="AB173" i="11" s="1"/>
  <c r="AN173" i="11" s="1"/>
  <c r="Y173" i="11"/>
  <c r="N173" i="11"/>
  <c r="R173" i="11" s="1"/>
  <c r="T173" i="11" s="1"/>
  <c r="D173" i="11"/>
  <c r="F173" i="11" s="1"/>
  <c r="AA172" i="11"/>
  <c r="AB172" i="11" s="1"/>
  <c r="AL172" i="11" s="1"/>
  <c r="Y172" i="11"/>
  <c r="N172" i="11"/>
  <c r="R172" i="11" s="1"/>
  <c r="T172" i="11" s="1"/>
  <c r="D172" i="11"/>
  <c r="F172" i="11" s="1"/>
  <c r="AA171" i="11"/>
  <c r="Y171" i="11"/>
  <c r="N171" i="11"/>
  <c r="R171" i="11" s="1"/>
  <c r="T171" i="11" s="1"/>
  <c r="D171" i="11"/>
  <c r="F171" i="11" s="1"/>
  <c r="AA170" i="11"/>
  <c r="AB170" i="11" s="1"/>
  <c r="AM170" i="11" s="1"/>
  <c r="Y170" i="11"/>
  <c r="N170" i="11"/>
  <c r="R170" i="11" s="1"/>
  <c r="T170" i="11" s="1"/>
  <c r="D170" i="11"/>
  <c r="F170" i="11" s="1"/>
  <c r="AA169" i="11"/>
  <c r="AB169" i="11" s="1"/>
  <c r="AN169" i="11" s="1"/>
  <c r="Y169" i="11"/>
  <c r="N169" i="11"/>
  <c r="R169" i="11" s="1"/>
  <c r="T169" i="11" s="1"/>
  <c r="D169" i="11"/>
  <c r="F169" i="11" s="1"/>
  <c r="AA168" i="11"/>
  <c r="AB168" i="11" s="1"/>
  <c r="AL168" i="11" s="1"/>
  <c r="Y168" i="11"/>
  <c r="N168" i="11"/>
  <c r="R168" i="11" s="1"/>
  <c r="T168" i="11" s="1"/>
  <c r="D168" i="11"/>
  <c r="F168" i="11" s="1"/>
  <c r="AA167" i="11"/>
  <c r="Y167" i="11"/>
  <c r="N167" i="11"/>
  <c r="R167" i="11" s="1"/>
  <c r="T167" i="11" s="1"/>
  <c r="D167" i="11"/>
  <c r="F167" i="11" s="1"/>
  <c r="AA166" i="11"/>
  <c r="AB166" i="11" s="1"/>
  <c r="AM166" i="11" s="1"/>
  <c r="Z166" i="11"/>
  <c r="Y166" i="11"/>
  <c r="N166" i="11"/>
  <c r="R166" i="11" s="1"/>
  <c r="T166" i="11" s="1"/>
  <c r="D166" i="11"/>
  <c r="F166" i="11" s="1"/>
  <c r="AA165" i="11"/>
  <c r="AB165" i="11" s="1"/>
  <c r="AN165" i="11" s="1"/>
  <c r="Y165" i="11"/>
  <c r="N165" i="11"/>
  <c r="R165" i="11" s="1"/>
  <c r="T165" i="11" s="1"/>
  <c r="D165" i="11"/>
  <c r="F165" i="11" s="1"/>
  <c r="AA164" i="11"/>
  <c r="AB164" i="11" s="1"/>
  <c r="AL164" i="11" s="1"/>
  <c r="Y164" i="11"/>
  <c r="N164" i="11"/>
  <c r="R164" i="11" s="1"/>
  <c r="T164" i="11" s="1"/>
  <c r="D164" i="11"/>
  <c r="F164" i="11" s="1"/>
  <c r="AA163" i="11"/>
  <c r="AB163" i="11" s="1"/>
  <c r="AL163" i="11" s="1"/>
  <c r="Y163" i="11"/>
  <c r="N163" i="11"/>
  <c r="X163" i="11" s="1"/>
  <c r="D163" i="11"/>
  <c r="F163" i="11" s="1"/>
  <c r="AA162" i="11"/>
  <c r="Z162" i="11" s="1"/>
  <c r="Y162" i="11"/>
  <c r="N162" i="11"/>
  <c r="X162" i="11" s="1"/>
  <c r="D162" i="11"/>
  <c r="F162" i="11" s="1"/>
  <c r="AA161" i="11"/>
  <c r="AB161" i="11" s="1"/>
  <c r="Y161" i="11"/>
  <c r="N161" i="11"/>
  <c r="X161" i="11" s="1"/>
  <c r="D161" i="11"/>
  <c r="F161" i="11" s="1"/>
  <c r="AA160" i="11"/>
  <c r="Z160" i="11" s="1"/>
  <c r="Y160" i="11"/>
  <c r="N160" i="11"/>
  <c r="R160" i="11" s="1"/>
  <c r="T160" i="11" s="1"/>
  <c r="D160" i="11"/>
  <c r="F160" i="11" s="1"/>
  <c r="AA159" i="11"/>
  <c r="AB159" i="11" s="1"/>
  <c r="Y159" i="11"/>
  <c r="N159" i="11"/>
  <c r="X159" i="11" s="1"/>
  <c r="D159" i="11"/>
  <c r="F159" i="11" s="1"/>
  <c r="AA158" i="11"/>
  <c r="AB158" i="11" s="1"/>
  <c r="Y158" i="11"/>
  <c r="N158" i="11"/>
  <c r="R158" i="11" s="1"/>
  <c r="T158" i="11" s="1"/>
  <c r="D158" i="11"/>
  <c r="F158" i="11" s="1"/>
  <c r="AA157" i="11"/>
  <c r="AB157" i="11" s="1"/>
  <c r="AL157" i="11" s="1"/>
  <c r="Y157" i="11"/>
  <c r="N157" i="11"/>
  <c r="R157" i="11" s="1"/>
  <c r="T157" i="11" s="1"/>
  <c r="D157" i="11"/>
  <c r="F157" i="11" s="1"/>
  <c r="D156" i="11"/>
  <c r="F156" i="11" s="1"/>
  <c r="AA155" i="11"/>
  <c r="AB155" i="11" s="1"/>
  <c r="Y155" i="11"/>
  <c r="N155" i="11"/>
  <c r="X155" i="11" s="1"/>
  <c r="D155" i="11"/>
  <c r="F155" i="11" s="1"/>
  <c r="AA154" i="11"/>
  <c r="AB154" i="11" s="1"/>
  <c r="Y154" i="11"/>
  <c r="N154" i="11"/>
  <c r="X154" i="11" s="1"/>
  <c r="D154" i="11"/>
  <c r="F154" i="11" s="1"/>
  <c r="AA153" i="11"/>
  <c r="Y153" i="11"/>
  <c r="N153" i="11"/>
  <c r="X153" i="11" s="1"/>
  <c r="D153" i="11"/>
  <c r="F153" i="11" s="1"/>
  <c r="AA152" i="11"/>
  <c r="AB152" i="11" s="1"/>
  <c r="Y152" i="11"/>
  <c r="N152" i="11"/>
  <c r="X152" i="11" s="1"/>
  <c r="D152" i="11"/>
  <c r="F152" i="11" s="1"/>
  <c r="AA151" i="11"/>
  <c r="Z151" i="11" s="1"/>
  <c r="Y151" i="11"/>
  <c r="R151" i="11"/>
  <c r="T151" i="11" s="1"/>
  <c r="N151" i="11"/>
  <c r="X151" i="11" s="1"/>
  <c r="D151" i="11"/>
  <c r="F151" i="11" s="1"/>
  <c r="AA150" i="11"/>
  <c r="AB150" i="11" s="1"/>
  <c r="Z150" i="11"/>
  <c r="Y150" i="11"/>
  <c r="N150" i="11"/>
  <c r="X150" i="11" s="1"/>
  <c r="D150" i="11"/>
  <c r="F150" i="11" s="1"/>
  <c r="AA149" i="11"/>
  <c r="Y149" i="11"/>
  <c r="N149" i="11"/>
  <c r="X149" i="11" s="1"/>
  <c r="D149" i="11"/>
  <c r="F149" i="11" s="1"/>
  <c r="AA148" i="11"/>
  <c r="Z148" i="11" s="1"/>
  <c r="Y148" i="11"/>
  <c r="N148" i="11"/>
  <c r="D148" i="11"/>
  <c r="F148" i="11" s="1"/>
  <c r="AA147" i="11"/>
  <c r="AB147" i="11" s="1"/>
  <c r="Y147" i="11"/>
  <c r="N147" i="11"/>
  <c r="X147" i="11" s="1"/>
  <c r="D147" i="11"/>
  <c r="F147" i="11" s="1"/>
  <c r="AA146" i="11"/>
  <c r="AB146" i="11" s="1"/>
  <c r="Y146" i="11"/>
  <c r="N146" i="11"/>
  <c r="X146" i="11" s="1"/>
  <c r="D146" i="11"/>
  <c r="F146" i="11" s="1"/>
  <c r="AA145" i="11"/>
  <c r="Z145" i="11" s="1"/>
  <c r="Y145" i="11"/>
  <c r="N145" i="11"/>
  <c r="X145" i="11" s="1"/>
  <c r="D145" i="11"/>
  <c r="F145" i="11" s="1"/>
  <c r="AA144" i="11"/>
  <c r="AB144" i="11" s="1"/>
  <c r="Y144" i="11"/>
  <c r="N144" i="11"/>
  <c r="X144" i="11" s="1"/>
  <c r="D144" i="11"/>
  <c r="F144" i="11" s="1"/>
  <c r="AA143" i="11"/>
  <c r="Y143" i="11"/>
  <c r="N143" i="11"/>
  <c r="X143" i="11" s="1"/>
  <c r="D143" i="11"/>
  <c r="F143" i="11" s="1"/>
  <c r="AA142" i="11"/>
  <c r="AB142" i="11" s="1"/>
  <c r="Y142" i="11"/>
  <c r="N142" i="11"/>
  <c r="D142" i="11"/>
  <c r="F142" i="11" s="1"/>
  <c r="AA141" i="11"/>
  <c r="AB141" i="11" s="1"/>
  <c r="Y141" i="11"/>
  <c r="N141" i="11"/>
  <c r="X141" i="11" s="1"/>
  <c r="D141" i="11"/>
  <c r="F141" i="11" s="1"/>
  <c r="AA140" i="11"/>
  <c r="AB140" i="11" s="1"/>
  <c r="Y140" i="11"/>
  <c r="N140" i="11"/>
  <c r="D140" i="11"/>
  <c r="F140" i="11" s="1"/>
  <c r="AA139" i="11"/>
  <c r="AB139" i="11" s="1"/>
  <c r="Y139" i="11"/>
  <c r="N139" i="11"/>
  <c r="X139" i="11" s="1"/>
  <c r="D139" i="11"/>
  <c r="F139" i="11" s="1"/>
  <c r="AA138" i="11"/>
  <c r="AB138" i="11" s="1"/>
  <c r="Y138" i="11"/>
  <c r="N138" i="11"/>
  <c r="X138" i="11" s="1"/>
  <c r="D138" i="11"/>
  <c r="F138" i="11" s="1"/>
  <c r="AA137" i="11"/>
  <c r="Z137" i="11" s="1"/>
  <c r="Y137" i="11"/>
  <c r="N137" i="11"/>
  <c r="X137" i="11" s="1"/>
  <c r="D137" i="11"/>
  <c r="F137" i="11" s="1"/>
  <c r="AA136" i="11"/>
  <c r="Z136" i="11" s="1"/>
  <c r="Y136" i="11"/>
  <c r="N136" i="11"/>
  <c r="D136" i="11"/>
  <c r="F136" i="11" s="1"/>
  <c r="AA135" i="11"/>
  <c r="AB135" i="11" s="1"/>
  <c r="AF135" i="11" s="1"/>
  <c r="Y135" i="11"/>
  <c r="N135" i="11"/>
  <c r="X135" i="11" s="1"/>
  <c r="D135" i="11"/>
  <c r="F135" i="11" s="1"/>
  <c r="AA134" i="11"/>
  <c r="AB134" i="11" s="1"/>
  <c r="Y134" i="11"/>
  <c r="N134" i="11"/>
  <c r="X134" i="11" s="1"/>
  <c r="D134" i="11"/>
  <c r="F134" i="11" s="1"/>
  <c r="AA133" i="11"/>
  <c r="AB133" i="11" s="1"/>
  <c r="Y133" i="11"/>
  <c r="N133" i="11"/>
  <c r="X133" i="11" s="1"/>
  <c r="D133" i="11"/>
  <c r="F133" i="11" s="1"/>
  <c r="AB132" i="11"/>
  <c r="AM132" i="11" s="1"/>
  <c r="AA132" i="11"/>
  <c r="Z132" i="11" s="1"/>
  <c r="Y132" i="11"/>
  <c r="N132" i="11"/>
  <c r="X132" i="11" s="1"/>
  <c r="D132" i="11"/>
  <c r="F132" i="11" s="1"/>
  <c r="AA131" i="11"/>
  <c r="Z131" i="11" s="1"/>
  <c r="Y131" i="11"/>
  <c r="N131" i="11"/>
  <c r="X131" i="11" s="1"/>
  <c r="D131" i="11"/>
  <c r="F131" i="11" s="1"/>
  <c r="AA130" i="11"/>
  <c r="AB130" i="11" s="1"/>
  <c r="Y130" i="11"/>
  <c r="N130" i="11"/>
  <c r="D130" i="11"/>
  <c r="F130" i="11" s="1"/>
  <c r="AA129" i="11"/>
  <c r="AB129" i="11" s="1"/>
  <c r="Y129" i="11"/>
  <c r="N129" i="11"/>
  <c r="X129" i="11" s="1"/>
  <c r="D129" i="11"/>
  <c r="F129" i="11" s="1"/>
  <c r="AA128" i="11"/>
  <c r="AB128" i="11" s="1"/>
  <c r="Y128" i="11"/>
  <c r="N128" i="11"/>
  <c r="X128" i="11" s="1"/>
  <c r="D128" i="11"/>
  <c r="F128" i="11" s="1"/>
  <c r="AA127" i="11"/>
  <c r="Z127" i="11" s="1"/>
  <c r="Y127" i="11"/>
  <c r="N127" i="11"/>
  <c r="X127" i="11" s="1"/>
  <c r="D127" i="11"/>
  <c r="F127" i="11" s="1"/>
  <c r="AA126" i="11"/>
  <c r="Z126" i="11" s="1"/>
  <c r="Y126" i="11"/>
  <c r="N126" i="11"/>
  <c r="X126" i="11" s="1"/>
  <c r="D126" i="11"/>
  <c r="F126" i="11" s="1"/>
  <c r="AA125" i="11"/>
  <c r="Z125" i="11" s="1"/>
  <c r="Y125" i="11"/>
  <c r="N125" i="11"/>
  <c r="X125" i="11" s="1"/>
  <c r="D125" i="11"/>
  <c r="F125" i="11" s="1"/>
  <c r="AA124" i="11"/>
  <c r="AB124" i="11" s="1"/>
  <c r="Y124" i="11"/>
  <c r="N124" i="11"/>
  <c r="X124" i="11" s="1"/>
  <c r="D124" i="11"/>
  <c r="F124" i="11" s="1"/>
  <c r="AA123" i="11"/>
  <c r="Y123" i="11"/>
  <c r="N123" i="11"/>
  <c r="X123" i="11" s="1"/>
  <c r="D123" i="11"/>
  <c r="F123" i="11" s="1"/>
  <c r="AA122" i="11"/>
  <c r="Z122" i="11" s="1"/>
  <c r="Y122" i="11"/>
  <c r="N122" i="11"/>
  <c r="X122" i="11" s="1"/>
  <c r="D122" i="11"/>
  <c r="F122" i="11" s="1"/>
  <c r="AA121" i="11"/>
  <c r="AB121" i="11" s="1"/>
  <c r="AN121" i="11" s="1"/>
  <c r="Z121" i="11"/>
  <c r="Y121" i="11"/>
  <c r="N121" i="11"/>
  <c r="X121" i="11" s="1"/>
  <c r="D121" i="11"/>
  <c r="F121" i="11" s="1"/>
  <c r="AA120" i="11"/>
  <c r="Z120" i="11" s="1"/>
  <c r="Y120" i="11"/>
  <c r="N120" i="11"/>
  <c r="X120" i="11" s="1"/>
  <c r="D120" i="11"/>
  <c r="F120" i="11" s="1"/>
  <c r="AA119" i="11"/>
  <c r="AB119" i="11" s="1"/>
  <c r="AL119" i="11" s="1"/>
  <c r="Z119" i="11"/>
  <c r="Y119" i="11"/>
  <c r="N119" i="11"/>
  <c r="X119" i="11" s="1"/>
  <c r="D119" i="11"/>
  <c r="F119" i="11" s="1"/>
  <c r="AA118" i="11"/>
  <c r="AB118" i="11" s="1"/>
  <c r="Y118" i="11"/>
  <c r="N118" i="11"/>
  <c r="D118" i="11"/>
  <c r="F118" i="11" s="1"/>
  <c r="AA117" i="11"/>
  <c r="AB117" i="11" s="1"/>
  <c r="Y117" i="11"/>
  <c r="N117" i="11"/>
  <c r="X117" i="11" s="1"/>
  <c r="D117" i="11"/>
  <c r="F117" i="11" s="1"/>
  <c r="AA116" i="11"/>
  <c r="AB116" i="11" s="1"/>
  <c r="Y116" i="11"/>
  <c r="N116" i="11"/>
  <c r="X116" i="11" s="1"/>
  <c r="D116" i="11"/>
  <c r="F116" i="11" s="1"/>
  <c r="AA115" i="11"/>
  <c r="AB115" i="11" s="1"/>
  <c r="Y115" i="11"/>
  <c r="N115" i="11"/>
  <c r="D115" i="11"/>
  <c r="F115" i="11" s="1"/>
  <c r="AA114" i="11"/>
  <c r="AB114" i="11" s="1"/>
  <c r="Y114" i="11"/>
  <c r="N114" i="11"/>
  <c r="X114" i="11" s="1"/>
  <c r="D114" i="11"/>
  <c r="F114" i="11" s="1"/>
  <c r="AA113" i="11"/>
  <c r="AB113" i="11" s="1"/>
  <c r="AE113" i="11" s="1"/>
  <c r="Y113" i="11"/>
  <c r="N113" i="11"/>
  <c r="X113" i="11" s="1"/>
  <c r="D113" i="11"/>
  <c r="F113" i="11" s="1"/>
  <c r="AA112" i="11"/>
  <c r="AB112" i="11" s="1"/>
  <c r="Y112" i="11"/>
  <c r="N112" i="11"/>
  <c r="D112" i="11"/>
  <c r="F112" i="11" s="1"/>
  <c r="AA111" i="11"/>
  <c r="AB111" i="11" s="1"/>
  <c r="Y111" i="11"/>
  <c r="N111" i="11"/>
  <c r="X111" i="11" s="1"/>
  <c r="D111" i="11"/>
  <c r="F111" i="11" s="1"/>
  <c r="AA110" i="11"/>
  <c r="AB110" i="11" s="1"/>
  <c r="Y110" i="11"/>
  <c r="N110" i="11"/>
  <c r="X110" i="11" s="1"/>
  <c r="D110" i="11"/>
  <c r="F110" i="11" s="1"/>
  <c r="AA109" i="11"/>
  <c r="AB109" i="11" s="1"/>
  <c r="Y109" i="11"/>
  <c r="N109" i="11"/>
  <c r="D109" i="11"/>
  <c r="F109" i="11" s="1"/>
  <c r="AA108" i="11"/>
  <c r="AB108" i="11" s="1"/>
  <c r="Y108" i="11"/>
  <c r="N108" i="11"/>
  <c r="X108" i="11" s="1"/>
  <c r="D108" i="11"/>
  <c r="F108" i="11" s="1"/>
  <c r="AA107" i="11"/>
  <c r="Z107" i="11" s="1"/>
  <c r="Y107" i="11"/>
  <c r="N107" i="11"/>
  <c r="D107" i="11"/>
  <c r="F107" i="11" s="1"/>
  <c r="AA106" i="11"/>
  <c r="Y106" i="11"/>
  <c r="X106" i="11"/>
  <c r="P106" i="11"/>
  <c r="R106" i="11" s="1"/>
  <c r="T106" i="11" s="1"/>
  <c r="D106" i="11"/>
  <c r="F106" i="11" s="1"/>
  <c r="AA105" i="11"/>
  <c r="Z105" i="11" s="1"/>
  <c r="Y105" i="11"/>
  <c r="N105" i="11"/>
  <c r="D105" i="11"/>
  <c r="F105" i="11" s="1"/>
  <c r="AA104" i="11"/>
  <c r="Y104" i="11"/>
  <c r="N104" i="11"/>
  <c r="X104" i="11" s="1"/>
  <c r="D104" i="11"/>
  <c r="F104" i="11" s="1"/>
  <c r="AA103" i="11"/>
  <c r="AB103" i="11" s="1"/>
  <c r="AC103" i="11" s="1"/>
  <c r="Y103" i="11"/>
  <c r="N103" i="11"/>
  <c r="D103" i="11"/>
  <c r="F103" i="11" s="1"/>
  <c r="AA102" i="11"/>
  <c r="Y102" i="11"/>
  <c r="N102" i="11"/>
  <c r="X102" i="11" s="1"/>
  <c r="D102" i="11"/>
  <c r="F102" i="11" s="1"/>
  <c r="AA101" i="11"/>
  <c r="AB101" i="11" s="1"/>
  <c r="Z101" i="11"/>
  <c r="Y101" i="11"/>
  <c r="N101" i="11"/>
  <c r="D101" i="11"/>
  <c r="F101" i="11" s="1"/>
  <c r="AA100" i="11"/>
  <c r="Y100" i="11"/>
  <c r="R100" i="11"/>
  <c r="T100" i="11" s="1"/>
  <c r="N100" i="11"/>
  <c r="X100" i="11" s="1"/>
  <c r="D100" i="11"/>
  <c r="F100" i="11" s="1"/>
  <c r="AA99" i="11"/>
  <c r="Y99" i="11"/>
  <c r="N99" i="11"/>
  <c r="D99" i="11"/>
  <c r="F99" i="11" s="1"/>
  <c r="AA98" i="11"/>
  <c r="Y98" i="11"/>
  <c r="N98" i="11"/>
  <c r="X98" i="11" s="1"/>
  <c r="D98" i="11"/>
  <c r="F98" i="11" s="1"/>
  <c r="AA97" i="11"/>
  <c r="AB97" i="11" s="1"/>
  <c r="Y97" i="11"/>
  <c r="N97" i="11"/>
  <c r="D97" i="11"/>
  <c r="F97" i="11" s="1"/>
  <c r="AA96" i="11"/>
  <c r="Y96" i="11"/>
  <c r="N96" i="11"/>
  <c r="X96" i="11" s="1"/>
  <c r="D96" i="11"/>
  <c r="F96" i="11" s="1"/>
  <c r="AA95" i="11"/>
  <c r="Z95" i="11" s="1"/>
  <c r="Y95" i="11"/>
  <c r="N95" i="11"/>
  <c r="D95" i="11"/>
  <c r="F95" i="11" s="1"/>
  <c r="AA94" i="11"/>
  <c r="Y94" i="11"/>
  <c r="N94" i="11"/>
  <c r="X94" i="11" s="1"/>
  <c r="D94" i="11"/>
  <c r="F94" i="11" s="1"/>
  <c r="AA93" i="11"/>
  <c r="Z93" i="11" s="1"/>
  <c r="Y93" i="11"/>
  <c r="N93" i="11"/>
  <c r="D93" i="11"/>
  <c r="F93" i="11" s="1"/>
  <c r="AA92" i="11"/>
  <c r="Y92" i="11"/>
  <c r="N92" i="11"/>
  <c r="D92" i="11"/>
  <c r="F92" i="11" s="1"/>
  <c r="AA91" i="11"/>
  <c r="Z91" i="11" s="1"/>
  <c r="Y91" i="11"/>
  <c r="N91" i="11"/>
  <c r="D91" i="11"/>
  <c r="F91" i="11" s="1"/>
  <c r="AA90" i="11"/>
  <c r="Y90" i="11"/>
  <c r="N90" i="11"/>
  <c r="X90" i="11" s="1"/>
  <c r="D90" i="11"/>
  <c r="F90" i="11" s="1"/>
  <c r="AA89" i="11"/>
  <c r="AB89" i="11" s="1"/>
  <c r="Y89" i="11"/>
  <c r="N89" i="11"/>
  <c r="D89" i="11"/>
  <c r="F89" i="11" s="1"/>
  <c r="AA88" i="11"/>
  <c r="Y88" i="11"/>
  <c r="N88" i="11"/>
  <c r="X88" i="11" s="1"/>
  <c r="D88" i="11"/>
  <c r="F88" i="11" s="1"/>
  <c r="AA87" i="11"/>
  <c r="Z87" i="11" s="1"/>
  <c r="Y87" i="11"/>
  <c r="N87" i="11"/>
  <c r="D87" i="11"/>
  <c r="F87" i="11" s="1"/>
  <c r="AA86" i="11"/>
  <c r="Y86" i="11"/>
  <c r="N86" i="11"/>
  <c r="X86" i="11" s="1"/>
  <c r="D86" i="11"/>
  <c r="F86" i="11" s="1"/>
  <c r="AA85" i="11"/>
  <c r="AB85" i="11" s="1"/>
  <c r="Y85" i="11"/>
  <c r="N85" i="11"/>
  <c r="D85" i="11"/>
  <c r="F85" i="11" s="1"/>
  <c r="D84" i="11"/>
  <c r="F84" i="11" s="1"/>
  <c r="AA83" i="11"/>
  <c r="AB83" i="11" s="1"/>
  <c r="AF83" i="11" s="1"/>
  <c r="Y83" i="11"/>
  <c r="N83" i="11"/>
  <c r="R83" i="11" s="1"/>
  <c r="T83" i="11" s="1"/>
  <c r="D83" i="11"/>
  <c r="F83" i="11" s="1"/>
  <c r="D82" i="11"/>
  <c r="F82" i="11" s="1"/>
  <c r="AA81" i="11"/>
  <c r="Y81" i="11"/>
  <c r="N81" i="11"/>
  <c r="X81" i="11" s="1"/>
  <c r="D81" i="11"/>
  <c r="F81" i="11" s="1"/>
  <c r="AA80" i="11"/>
  <c r="Y80" i="11"/>
  <c r="N80" i="11"/>
  <c r="D80" i="11"/>
  <c r="F80" i="11" s="1"/>
  <c r="AA79" i="11"/>
  <c r="Y79" i="11"/>
  <c r="N79" i="11"/>
  <c r="X79" i="11" s="1"/>
  <c r="D79" i="11"/>
  <c r="F79" i="11" s="1"/>
  <c r="AA78" i="11"/>
  <c r="AB78" i="11" s="1"/>
  <c r="AC78" i="11" s="1"/>
  <c r="Y78" i="11"/>
  <c r="N78" i="11"/>
  <c r="D78" i="11"/>
  <c r="F78" i="11" s="1"/>
  <c r="AA77" i="11"/>
  <c r="Y77" i="11"/>
  <c r="N77" i="11"/>
  <c r="X77" i="11" s="1"/>
  <c r="D77" i="11"/>
  <c r="F77" i="11" s="1"/>
  <c r="AA76" i="11"/>
  <c r="AB76" i="11" s="1"/>
  <c r="AN76" i="11" s="1"/>
  <c r="Y76" i="11"/>
  <c r="N76" i="11"/>
  <c r="D76" i="11"/>
  <c r="F76" i="11" s="1"/>
  <c r="AA75" i="11"/>
  <c r="Y75" i="11"/>
  <c r="N75" i="11"/>
  <c r="X75" i="11" s="1"/>
  <c r="D75" i="11"/>
  <c r="F75" i="11" s="1"/>
  <c r="AA74" i="11"/>
  <c r="AB74" i="11" s="1"/>
  <c r="Z74" i="11"/>
  <c r="Y74" i="11"/>
  <c r="N74" i="11"/>
  <c r="D74" i="11"/>
  <c r="F74" i="11" s="1"/>
  <c r="AA73" i="11"/>
  <c r="AB73" i="11" s="1"/>
  <c r="AD73" i="11" s="1"/>
  <c r="Y73" i="11"/>
  <c r="N73" i="11"/>
  <c r="R73" i="11" s="1"/>
  <c r="T73" i="11" s="1"/>
  <c r="D73" i="11"/>
  <c r="F73" i="11" s="1"/>
  <c r="AA72" i="11"/>
  <c r="Z72" i="11" s="1"/>
  <c r="Y72" i="11"/>
  <c r="N72" i="11"/>
  <c r="D72" i="11"/>
  <c r="F72" i="11" s="1"/>
  <c r="AA71" i="11"/>
  <c r="AB71" i="11" s="1"/>
  <c r="AD71" i="11" s="1"/>
  <c r="Y71" i="11"/>
  <c r="N71" i="11"/>
  <c r="X71" i="11" s="1"/>
  <c r="D71" i="11"/>
  <c r="F71" i="11" s="1"/>
  <c r="AA70" i="11"/>
  <c r="Y70" i="11"/>
  <c r="N70" i="11"/>
  <c r="D70" i="11"/>
  <c r="F70" i="11" s="1"/>
  <c r="AA69" i="11"/>
  <c r="AB69" i="11" s="1"/>
  <c r="AD69" i="11" s="1"/>
  <c r="Y69" i="11"/>
  <c r="N69" i="11"/>
  <c r="R69" i="11" s="1"/>
  <c r="T69" i="11" s="1"/>
  <c r="D69" i="11"/>
  <c r="F69" i="11" s="1"/>
  <c r="AA68" i="11"/>
  <c r="Z68" i="11" s="1"/>
  <c r="Y68" i="11"/>
  <c r="N68" i="11"/>
  <c r="D68" i="11"/>
  <c r="F68" i="11" s="1"/>
  <c r="AA67" i="11"/>
  <c r="Y67" i="11"/>
  <c r="N67" i="11"/>
  <c r="D67" i="11"/>
  <c r="F67" i="11" s="1"/>
  <c r="AA66" i="11"/>
  <c r="AB66" i="11" s="1"/>
  <c r="Y66" i="11"/>
  <c r="N66" i="11"/>
  <c r="D66" i="11"/>
  <c r="F66" i="11" s="1"/>
  <c r="AA65" i="11"/>
  <c r="Y65" i="11"/>
  <c r="N65" i="11"/>
  <c r="X65" i="11" s="1"/>
  <c r="D65" i="11"/>
  <c r="F65" i="11" s="1"/>
  <c r="AA64" i="11"/>
  <c r="Y64" i="11"/>
  <c r="N64" i="11"/>
  <c r="D64" i="11"/>
  <c r="F64" i="11" s="1"/>
  <c r="AA63" i="11"/>
  <c r="AB63" i="11" s="1"/>
  <c r="Y63" i="11"/>
  <c r="N63" i="11"/>
  <c r="X63" i="11" s="1"/>
  <c r="D63" i="11"/>
  <c r="F63" i="11" s="1"/>
  <c r="AA62" i="11"/>
  <c r="Z62" i="11" s="1"/>
  <c r="Y62" i="11"/>
  <c r="N62" i="11"/>
  <c r="D62" i="11"/>
  <c r="F62" i="11" s="1"/>
  <c r="AA61" i="11"/>
  <c r="Y61" i="11"/>
  <c r="N61" i="11"/>
  <c r="R61" i="11" s="1"/>
  <c r="T61" i="11" s="1"/>
  <c r="D61" i="11"/>
  <c r="F61" i="11" s="1"/>
  <c r="AA60" i="11"/>
  <c r="AB60" i="11" s="1"/>
  <c r="Y60" i="11"/>
  <c r="N60" i="11"/>
  <c r="D60" i="11"/>
  <c r="F60" i="11" s="1"/>
  <c r="AA59" i="11"/>
  <c r="AB59" i="11" s="1"/>
  <c r="AD59" i="11" s="1"/>
  <c r="Y59" i="11"/>
  <c r="N59" i="11"/>
  <c r="X59" i="11" s="1"/>
  <c r="D59" i="11"/>
  <c r="F59" i="11" s="1"/>
  <c r="AA58" i="11"/>
  <c r="Y58" i="11"/>
  <c r="N58" i="11"/>
  <c r="D58" i="11"/>
  <c r="F58" i="11" s="1"/>
  <c r="AA57" i="11"/>
  <c r="Y57" i="11"/>
  <c r="N57" i="11"/>
  <c r="X57" i="11" s="1"/>
  <c r="D57" i="11"/>
  <c r="F57" i="11" s="1"/>
  <c r="AA56" i="11"/>
  <c r="Z56" i="11" s="1"/>
  <c r="Y56" i="11"/>
  <c r="N56" i="11"/>
  <c r="D56" i="11"/>
  <c r="F56" i="11" s="1"/>
  <c r="AA55" i="11"/>
  <c r="AB55" i="11" s="1"/>
  <c r="Y55" i="11"/>
  <c r="N55" i="11"/>
  <c r="R55" i="11" s="1"/>
  <c r="T55" i="11" s="1"/>
  <c r="D55" i="11"/>
  <c r="F55" i="11" s="1"/>
  <c r="AA54" i="11"/>
  <c r="AB54" i="11" s="1"/>
  <c r="Y54" i="11"/>
  <c r="N54" i="11"/>
  <c r="D54" i="11"/>
  <c r="F54" i="11" s="1"/>
  <c r="AA53" i="11"/>
  <c r="AB53" i="11" s="1"/>
  <c r="AD53" i="11" s="1"/>
  <c r="Y53" i="11"/>
  <c r="N53" i="11"/>
  <c r="X53" i="11" s="1"/>
  <c r="D53" i="11"/>
  <c r="F53" i="11" s="1"/>
  <c r="AA52" i="11"/>
  <c r="AB52" i="11" s="1"/>
  <c r="Y52" i="11"/>
  <c r="N52" i="11"/>
  <c r="D52" i="11"/>
  <c r="F52" i="11" s="1"/>
  <c r="AA51" i="11"/>
  <c r="AB51" i="11" s="1"/>
  <c r="AD51" i="11" s="1"/>
  <c r="Y51" i="11"/>
  <c r="N51" i="11"/>
  <c r="D51" i="11"/>
  <c r="F51" i="11" s="1"/>
  <c r="AA50" i="11"/>
  <c r="AB50" i="11" s="1"/>
  <c r="AN50" i="11" s="1"/>
  <c r="Y50" i="11"/>
  <c r="N50" i="11"/>
  <c r="D50" i="11"/>
  <c r="F50" i="11" s="1"/>
  <c r="AA49" i="11"/>
  <c r="Y49" i="11"/>
  <c r="N49" i="11"/>
  <c r="R49" i="11" s="1"/>
  <c r="T49" i="11" s="1"/>
  <c r="D49" i="11"/>
  <c r="F49" i="11" s="1"/>
  <c r="AA48" i="11"/>
  <c r="Z48" i="11" s="1"/>
  <c r="Y48" i="11"/>
  <c r="N48" i="11"/>
  <c r="D48" i="11"/>
  <c r="F48" i="11" s="1"/>
  <c r="AA47" i="11"/>
  <c r="AB47" i="11" s="1"/>
  <c r="AD47" i="11" s="1"/>
  <c r="Y47" i="11"/>
  <c r="N47" i="11"/>
  <c r="X47" i="11" s="1"/>
  <c r="D47" i="11"/>
  <c r="F47" i="11" s="1"/>
  <c r="AA46" i="11"/>
  <c r="Z46" i="11" s="1"/>
  <c r="Y46" i="11"/>
  <c r="N46" i="11"/>
  <c r="D46" i="11"/>
  <c r="F46" i="11" s="1"/>
  <c r="AA45" i="11"/>
  <c r="AB45" i="11" s="1"/>
  <c r="AD45" i="11" s="1"/>
  <c r="Y45" i="11"/>
  <c r="N45" i="11"/>
  <c r="R45" i="11" s="1"/>
  <c r="T45" i="11" s="1"/>
  <c r="D45" i="11"/>
  <c r="F45" i="11" s="1"/>
  <c r="AA44" i="11"/>
  <c r="Z44" i="11" s="1"/>
  <c r="Y44" i="11"/>
  <c r="N44" i="11"/>
  <c r="D44" i="11"/>
  <c r="F44" i="11" s="1"/>
  <c r="AA43" i="11"/>
  <c r="Z43" i="11" s="1"/>
  <c r="Y43" i="11"/>
  <c r="N43" i="11"/>
  <c r="R43" i="11" s="1"/>
  <c r="T43" i="11" s="1"/>
  <c r="D43" i="11"/>
  <c r="F43" i="11" s="1"/>
  <c r="AA42" i="11"/>
  <c r="Y42" i="11"/>
  <c r="N42" i="11"/>
  <c r="X42" i="11" s="1"/>
  <c r="D42" i="11"/>
  <c r="F42" i="11" s="1"/>
  <c r="AA41" i="11"/>
  <c r="Z41" i="11" s="1"/>
  <c r="Y41" i="11"/>
  <c r="N41" i="11"/>
  <c r="R41" i="11" s="1"/>
  <c r="T41" i="11" s="1"/>
  <c r="D41" i="11"/>
  <c r="F41" i="11" s="1"/>
  <c r="AA40" i="11"/>
  <c r="Y40" i="11"/>
  <c r="N40" i="11"/>
  <c r="X40" i="11" s="1"/>
  <c r="D40" i="11"/>
  <c r="F40" i="11" s="1"/>
  <c r="AA39" i="11"/>
  <c r="Z39" i="11" s="1"/>
  <c r="Y39" i="11"/>
  <c r="N39" i="11"/>
  <c r="R39" i="11" s="1"/>
  <c r="T39" i="11" s="1"/>
  <c r="D39" i="11"/>
  <c r="F39" i="11" s="1"/>
  <c r="AA38" i="11"/>
  <c r="Y38" i="11"/>
  <c r="N38" i="11"/>
  <c r="X38" i="11" s="1"/>
  <c r="D38" i="11"/>
  <c r="F38" i="11" s="1"/>
  <c r="AA37" i="11"/>
  <c r="Z37" i="11" s="1"/>
  <c r="Y37" i="11"/>
  <c r="N37" i="11"/>
  <c r="R37" i="11" s="1"/>
  <c r="T37" i="11" s="1"/>
  <c r="D37" i="11"/>
  <c r="F37" i="11" s="1"/>
  <c r="AA36" i="11"/>
  <c r="Y36" i="11"/>
  <c r="N36" i="11"/>
  <c r="X36" i="11" s="1"/>
  <c r="D36" i="11"/>
  <c r="F36" i="11" s="1"/>
  <c r="AA35" i="11"/>
  <c r="Z35" i="11" s="1"/>
  <c r="Y35" i="11"/>
  <c r="N35" i="11"/>
  <c r="R35" i="11" s="1"/>
  <c r="T35" i="11" s="1"/>
  <c r="D35" i="11"/>
  <c r="F35" i="11" s="1"/>
  <c r="AA34" i="11"/>
  <c r="Y34" i="11"/>
  <c r="N34" i="11"/>
  <c r="R34" i="11" s="1"/>
  <c r="T34" i="11" s="1"/>
  <c r="D34" i="11"/>
  <c r="F34" i="11" s="1"/>
  <c r="AA33" i="11"/>
  <c r="Z33" i="11" s="1"/>
  <c r="Y33" i="11"/>
  <c r="N33" i="11"/>
  <c r="R33" i="11" s="1"/>
  <c r="T33" i="11" s="1"/>
  <c r="D33" i="11"/>
  <c r="F33" i="11" s="1"/>
  <c r="AA32" i="11"/>
  <c r="Y32" i="11"/>
  <c r="N32" i="11"/>
  <c r="X32" i="11" s="1"/>
  <c r="D32" i="11"/>
  <c r="F32" i="11" s="1"/>
  <c r="AA31" i="11"/>
  <c r="Z31" i="11" s="1"/>
  <c r="Y31" i="11"/>
  <c r="N31" i="11"/>
  <c r="R31" i="11" s="1"/>
  <c r="T31" i="11" s="1"/>
  <c r="D31" i="11"/>
  <c r="F31" i="11" s="1"/>
  <c r="AA30" i="11"/>
  <c r="Y30" i="11"/>
  <c r="N30" i="11"/>
  <c r="X30" i="11" s="1"/>
  <c r="D30" i="11"/>
  <c r="F30" i="11" s="1"/>
  <c r="AA29" i="11"/>
  <c r="Z29" i="11" s="1"/>
  <c r="Y29" i="11"/>
  <c r="N29" i="11"/>
  <c r="R29" i="11" s="1"/>
  <c r="T29" i="11" s="1"/>
  <c r="D29" i="11"/>
  <c r="F29" i="11" s="1"/>
  <c r="AA28" i="11"/>
  <c r="Y28" i="11"/>
  <c r="N28" i="11"/>
  <c r="X28" i="11" s="1"/>
  <c r="D28" i="11"/>
  <c r="F28" i="11" s="1"/>
  <c r="AA27" i="11"/>
  <c r="Z27" i="11" s="1"/>
  <c r="Y27" i="11"/>
  <c r="N27" i="11"/>
  <c r="R27" i="11" s="1"/>
  <c r="T27" i="11" s="1"/>
  <c r="D27" i="11"/>
  <c r="F27" i="11" s="1"/>
  <c r="AA26" i="11"/>
  <c r="Y26" i="11"/>
  <c r="N26" i="11"/>
  <c r="R26" i="11" s="1"/>
  <c r="T26" i="11" s="1"/>
  <c r="D26" i="11"/>
  <c r="F26" i="11" s="1"/>
  <c r="AA25" i="11"/>
  <c r="AB25" i="11" s="1"/>
  <c r="Y25" i="11"/>
  <c r="N25" i="11"/>
  <c r="R25" i="11" s="1"/>
  <c r="T25" i="11" s="1"/>
  <c r="D25" i="11"/>
  <c r="F25" i="11" s="1"/>
  <c r="AA24" i="11"/>
  <c r="Y24" i="11"/>
  <c r="N24" i="11"/>
  <c r="R24" i="11" s="1"/>
  <c r="T24" i="11" s="1"/>
  <c r="D24" i="11"/>
  <c r="F24" i="11" s="1"/>
  <c r="AA23" i="11"/>
  <c r="AB23" i="11" s="1"/>
  <c r="Y23" i="11"/>
  <c r="N23" i="11"/>
  <c r="R23" i="11" s="1"/>
  <c r="T23" i="11" s="1"/>
  <c r="D23" i="11"/>
  <c r="F23" i="11" s="1"/>
  <c r="AA22" i="11"/>
  <c r="AB22" i="11" s="1"/>
  <c r="AN22" i="11" s="1"/>
  <c r="Y22" i="11"/>
  <c r="N22" i="11"/>
  <c r="X22" i="11" s="1"/>
  <c r="D22" i="11"/>
  <c r="F22" i="11" s="1"/>
  <c r="AA21" i="11"/>
  <c r="Z21" i="11" s="1"/>
  <c r="Y21" i="11"/>
  <c r="N21" i="11"/>
  <c r="X21" i="11" s="1"/>
  <c r="D21" i="11"/>
  <c r="F21" i="11" s="1"/>
  <c r="AA20" i="11"/>
  <c r="AB20" i="11" s="1"/>
  <c r="Y20" i="11"/>
  <c r="R20" i="11"/>
  <c r="T20" i="11" s="1"/>
  <c r="N20" i="11"/>
  <c r="X20" i="11" s="1"/>
  <c r="D20" i="11"/>
  <c r="F20" i="11" s="1"/>
  <c r="AA19" i="11"/>
  <c r="AB19" i="11" s="1"/>
  <c r="Y19" i="11"/>
  <c r="N19" i="11"/>
  <c r="R19" i="11" s="1"/>
  <c r="T19" i="11" s="1"/>
  <c r="D19" i="11"/>
  <c r="F19" i="11" s="1"/>
  <c r="AA18" i="11"/>
  <c r="AB18" i="11" s="1"/>
  <c r="Z18" i="11"/>
  <c r="Y18" i="11"/>
  <c r="N18" i="11"/>
  <c r="X18" i="11" s="1"/>
  <c r="D18" i="11"/>
  <c r="F18" i="11" s="1"/>
  <c r="AA17" i="11"/>
  <c r="AB17" i="11" s="1"/>
  <c r="AC17" i="11" s="1"/>
  <c r="Y17" i="11"/>
  <c r="N17" i="11"/>
  <c r="X17" i="11" s="1"/>
  <c r="D17" i="11"/>
  <c r="F17" i="11" s="1"/>
  <c r="AA16" i="11"/>
  <c r="AB16" i="11" s="1"/>
  <c r="Y16" i="11"/>
  <c r="N16" i="11"/>
  <c r="X16" i="11" s="1"/>
  <c r="D16" i="11"/>
  <c r="F16" i="11" s="1"/>
  <c r="AA15" i="11"/>
  <c r="AB15" i="11" s="1"/>
  <c r="Y15" i="11"/>
  <c r="N15" i="11"/>
  <c r="R15" i="11" s="1"/>
  <c r="T15" i="11" s="1"/>
  <c r="D15" i="11"/>
  <c r="F15" i="11" s="1"/>
  <c r="AA14" i="11"/>
  <c r="AB14" i="11" s="1"/>
  <c r="AN14" i="11" s="1"/>
  <c r="Y14" i="11"/>
  <c r="N14" i="11"/>
  <c r="X14" i="11" s="1"/>
  <c r="D14" i="11"/>
  <c r="F14" i="11" s="1"/>
  <c r="AA13" i="11"/>
  <c r="Z13" i="11" s="1"/>
  <c r="Y13" i="11"/>
  <c r="N13" i="11"/>
  <c r="X13" i="11" s="1"/>
  <c r="D13" i="11"/>
  <c r="F13" i="11" s="1"/>
  <c r="AA12" i="11"/>
  <c r="AB12" i="11" s="1"/>
  <c r="Y12" i="11"/>
  <c r="N12" i="11"/>
  <c r="X12" i="11" s="1"/>
  <c r="D12" i="11"/>
  <c r="F12" i="11" s="1"/>
  <c r="AA11" i="11"/>
  <c r="AB11" i="11" s="1"/>
  <c r="Y11" i="11"/>
  <c r="N11" i="11"/>
  <c r="R11" i="11" s="1"/>
  <c r="T11" i="11" s="1"/>
  <c r="D11" i="11"/>
  <c r="F11" i="11" s="1"/>
  <c r="U3" i="11"/>
  <c r="R403" i="11" l="1"/>
  <c r="T403" i="11" s="1"/>
  <c r="X437" i="11"/>
  <c r="Z288" i="11"/>
  <c r="R291" i="11"/>
  <c r="T291" i="11" s="1"/>
  <c r="X350" i="11"/>
  <c r="AB127" i="11"/>
  <c r="AE127" i="11" s="1"/>
  <c r="Z163" i="11"/>
  <c r="AB234" i="11"/>
  <c r="X262" i="11"/>
  <c r="AB372" i="11"/>
  <c r="AB412" i="11"/>
  <c r="AB423" i="11"/>
  <c r="AD237" i="11"/>
  <c r="BA26" i="65" s="1"/>
  <c r="Z286" i="11"/>
  <c r="AF188" i="11"/>
  <c r="AM237" i="11"/>
  <c r="BJ26" i="65" s="1"/>
  <c r="R408" i="11"/>
  <c r="T408" i="11" s="1"/>
  <c r="R104" i="11"/>
  <c r="T104" i="11" s="1"/>
  <c r="Z69" i="11"/>
  <c r="X211" i="11"/>
  <c r="R218" i="11"/>
  <c r="AV7" i="65" s="1"/>
  <c r="AM235" i="11"/>
  <c r="BJ24" i="65" s="1"/>
  <c r="Z281" i="11"/>
  <c r="Z378" i="11"/>
  <c r="X261" i="11"/>
  <c r="R65" i="11"/>
  <c r="T65" i="11" s="1"/>
  <c r="AB35" i="11"/>
  <c r="AL341" i="11"/>
  <c r="Z14" i="11"/>
  <c r="Z261" i="11"/>
  <c r="AB95" i="11"/>
  <c r="AE95" i="11" s="1"/>
  <c r="Z161" i="11"/>
  <c r="Z186" i="11"/>
  <c r="R282" i="11"/>
  <c r="T282" i="11" s="1"/>
  <c r="R341" i="11"/>
  <c r="T341" i="11" s="1"/>
  <c r="R435" i="11"/>
  <c r="T435" i="11" s="1"/>
  <c r="R280" i="11"/>
  <c r="T280" i="11" s="1"/>
  <c r="X287" i="11"/>
  <c r="AB382" i="11"/>
  <c r="R429" i="11"/>
  <c r="T429" i="11" s="1"/>
  <c r="R261" i="11"/>
  <c r="X314" i="11"/>
  <c r="AB344" i="11"/>
  <c r="AN344" i="11" s="1"/>
  <c r="AN361" i="11"/>
  <c r="X368" i="11"/>
  <c r="R376" i="11"/>
  <c r="T376" i="11" s="1"/>
  <c r="AB379" i="11"/>
  <c r="AD379" i="11" s="1"/>
  <c r="Z51" i="11"/>
  <c r="Z159" i="11"/>
  <c r="Z181" i="11"/>
  <c r="AM231" i="11"/>
  <c r="BJ19" i="65" s="1"/>
  <c r="Z263" i="11"/>
  <c r="X306" i="11"/>
  <c r="AF341" i="11"/>
  <c r="Z429" i="11"/>
  <c r="R416" i="11"/>
  <c r="T416" i="11" s="1"/>
  <c r="X433" i="11"/>
  <c r="R17" i="11"/>
  <c r="T17" i="11" s="1"/>
  <c r="R81" i="11"/>
  <c r="T81" i="11" s="1"/>
  <c r="AB136" i="11"/>
  <c r="AN136" i="11" s="1"/>
  <c r="Z142" i="11"/>
  <c r="X270" i="11"/>
  <c r="AN306" i="11"/>
  <c r="R330" i="11"/>
  <c r="T330" i="11" s="1"/>
  <c r="AB380" i="11"/>
  <c r="R402" i="11"/>
  <c r="T402" i="11" s="1"/>
  <c r="R405" i="11"/>
  <c r="T405" i="11" s="1"/>
  <c r="Z416" i="11"/>
  <c r="X450" i="11"/>
  <c r="X474" i="11"/>
  <c r="X193" i="11"/>
  <c r="AC387" i="11"/>
  <c r="Z436" i="11"/>
  <c r="AE285" i="11"/>
  <c r="R362" i="11"/>
  <c r="T362" i="11" s="1"/>
  <c r="AB148" i="11"/>
  <c r="AN148" i="11" s="1"/>
  <c r="Z235" i="11"/>
  <c r="AB312" i="11"/>
  <c r="AC395" i="11"/>
  <c r="Z23" i="11"/>
  <c r="Z279" i="11"/>
  <c r="X320" i="11"/>
  <c r="AB326" i="11"/>
  <c r="AL326" i="11" s="1"/>
  <c r="AB120" i="11"/>
  <c r="AN120" i="11" s="1"/>
  <c r="AL235" i="11"/>
  <c r="BI24" i="65" s="1"/>
  <c r="AB240" i="11"/>
  <c r="R284" i="11"/>
  <c r="T284" i="11" s="1"/>
  <c r="X385" i="11"/>
  <c r="AD169" i="11"/>
  <c r="AN186" i="11"/>
  <c r="AN416" i="11"/>
  <c r="AM416" i="11"/>
  <c r="X182" i="11"/>
  <c r="AE304" i="11"/>
  <c r="R125" i="11"/>
  <c r="T125" i="11" s="1"/>
  <c r="X158" i="11"/>
  <c r="AB160" i="11"/>
  <c r="AE160" i="11" s="1"/>
  <c r="AC188" i="11"/>
  <c r="AD190" i="11"/>
  <c r="R216" i="11"/>
  <c r="AV5" i="65" s="1"/>
  <c r="X253" i="11"/>
  <c r="R273" i="11"/>
  <c r="T273" i="11" s="1"/>
  <c r="AL285" i="11"/>
  <c r="AB289" i="11"/>
  <c r="AD289" i="11" s="1"/>
  <c r="X294" i="11"/>
  <c r="AB318" i="11"/>
  <c r="AB324" i="11"/>
  <c r="R327" i="11"/>
  <c r="T327" i="11" s="1"/>
  <c r="AB370" i="11"/>
  <c r="AC370" i="11" s="1"/>
  <c r="AB480" i="11"/>
  <c r="AB284" i="11"/>
  <c r="AM284" i="11" s="1"/>
  <c r="R63" i="11"/>
  <c r="T63" i="11" s="1"/>
  <c r="R98" i="11"/>
  <c r="T98" i="11" s="1"/>
  <c r="Z114" i="11"/>
  <c r="Z133" i="11"/>
  <c r="X174" i="11"/>
  <c r="Z176" i="11"/>
  <c r="X184" i="11"/>
  <c r="AD188" i="11"/>
  <c r="AN190" i="11"/>
  <c r="X214" i="11"/>
  <c r="X216" i="11"/>
  <c r="Z221" i="11"/>
  <c r="AB262" i="11"/>
  <c r="AN262" i="11" s="1"/>
  <c r="BK50" i="65" s="1"/>
  <c r="X265" i="11"/>
  <c r="Z275" i="11"/>
  <c r="AM285" i="11"/>
  <c r="AB287" i="11"/>
  <c r="AF287" i="11" s="1"/>
  <c r="AB291" i="11"/>
  <c r="AF291" i="11" s="1"/>
  <c r="R321" i="11"/>
  <c r="T321" i="11" s="1"/>
  <c r="X342" i="11"/>
  <c r="R377" i="11"/>
  <c r="T377" i="11" s="1"/>
  <c r="Z400" i="11"/>
  <c r="Z438" i="11"/>
  <c r="X458" i="11"/>
  <c r="R88" i="11"/>
  <c r="T88" i="11" s="1"/>
  <c r="AB93" i="11"/>
  <c r="Z109" i="11"/>
  <c r="Z128" i="11"/>
  <c r="Z147" i="11"/>
  <c r="Z172" i="11"/>
  <c r="AN188" i="11"/>
  <c r="AB258" i="11"/>
  <c r="AN258" i="11" s="1"/>
  <c r="BK46" i="65" s="1"/>
  <c r="Z273" i="11"/>
  <c r="R290" i="11"/>
  <c r="T290" i="11" s="1"/>
  <c r="AC304" i="11"/>
  <c r="R349" i="11"/>
  <c r="T349" i="11" s="1"/>
  <c r="X371" i="11"/>
  <c r="AB390" i="11"/>
  <c r="AM390" i="11" s="1"/>
  <c r="BJ159" i="65" s="1"/>
  <c r="AB406" i="11"/>
  <c r="AE406" i="11" s="1"/>
  <c r="X470" i="11"/>
  <c r="AB346" i="11"/>
  <c r="AB371" i="11"/>
  <c r="AL387" i="11"/>
  <c r="AC398" i="11"/>
  <c r="R421" i="11"/>
  <c r="T421" i="11" s="1"/>
  <c r="X443" i="11"/>
  <c r="X467" i="11"/>
  <c r="X353" i="11"/>
  <c r="AN398" i="11"/>
  <c r="AB424" i="11"/>
  <c r="AN424" i="11" s="1"/>
  <c r="BK192" i="65" s="1"/>
  <c r="AM436" i="11"/>
  <c r="R452" i="11"/>
  <c r="T452" i="11" s="1"/>
  <c r="R464" i="11"/>
  <c r="T464" i="11" s="1"/>
  <c r="R295" i="11"/>
  <c r="T295" i="11" s="1"/>
  <c r="R215" i="11"/>
  <c r="X217" i="11"/>
  <c r="R269" i="11"/>
  <c r="T269" i="11" s="1"/>
  <c r="R276" i="11"/>
  <c r="T276" i="11" s="1"/>
  <c r="AB278" i="11"/>
  <c r="Z53" i="11"/>
  <c r="X157" i="11"/>
  <c r="AE166" i="11"/>
  <c r="Z168" i="11"/>
  <c r="X175" i="11"/>
  <c r="X215" i="11"/>
  <c r="R254" i="11"/>
  <c r="X326" i="11"/>
  <c r="R334" i="11"/>
  <c r="T334" i="11" s="1"/>
  <c r="AF166" i="11"/>
  <c r="X254" i="11"/>
  <c r="AB353" i="11"/>
  <c r="R356" i="11"/>
  <c r="T356" i="11" s="1"/>
  <c r="AB447" i="11"/>
  <c r="Z25" i="11"/>
  <c r="AB48" i="11"/>
  <c r="AL166" i="11"/>
  <c r="Z241" i="11"/>
  <c r="Z285" i="11"/>
  <c r="Z320" i="11"/>
  <c r="AB91" i="11"/>
  <c r="AE91" i="11" s="1"/>
  <c r="Z135" i="11"/>
  <c r="AN166" i="11"/>
  <c r="Z188" i="11"/>
  <c r="Z192" i="11"/>
  <c r="Z223" i="11"/>
  <c r="X33" i="11"/>
  <c r="AL161" i="11"/>
  <c r="AN161" i="11"/>
  <c r="AM161" i="11"/>
  <c r="AF161" i="11"/>
  <c r="AC161" i="11"/>
  <c r="AE161" i="11"/>
  <c r="AN404" i="11"/>
  <c r="AD404" i="11"/>
  <c r="AC269" i="11"/>
  <c r="AN269" i="11"/>
  <c r="AL269" i="11"/>
  <c r="BI56" i="65" s="1"/>
  <c r="AN392" i="11"/>
  <c r="AF392" i="11"/>
  <c r="AD392" i="11"/>
  <c r="AC392" i="11"/>
  <c r="AN457" i="11"/>
  <c r="AE457" i="11"/>
  <c r="AF457" i="11"/>
  <c r="AD457" i="11"/>
  <c r="AC457" i="11"/>
  <c r="AM457" i="11"/>
  <c r="Z111" i="11"/>
  <c r="AF132" i="11"/>
  <c r="R147" i="11"/>
  <c r="T147" i="11" s="1"/>
  <c r="R149" i="11"/>
  <c r="T149" i="11" s="1"/>
  <c r="Z154" i="11"/>
  <c r="Z157" i="11"/>
  <c r="R159" i="11"/>
  <c r="T159" i="11" s="1"/>
  <c r="X168" i="11"/>
  <c r="X172" i="11"/>
  <c r="AL190" i="11"/>
  <c r="X194" i="11"/>
  <c r="AB214" i="11"/>
  <c r="AL214" i="11" s="1"/>
  <c r="Z216" i="11"/>
  <c r="X218" i="11"/>
  <c r="X225" i="11"/>
  <c r="X227" i="11"/>
  <c r="AB267" i="11"/>
  <c r="AN267" i="11" s="1"/>
  <c r="BK54" i="65" s="1"/>
  <c r="X300" i="11"/>
  <c r="X331" i="11"/>
  <c r="AM340" i="11"/>
  <c r="R345" i="11"/>
  <c r="T345" i="11" s="1"/>
  <c r="Z347" i="11"/>
  <c r="AB349" i="11"/>
  <c r="AN349" i="11" s="1"/>
  <c r="AD359" i="11"/>
  <c r="R367" i="11"/>
  <c r="T367" i="11" s="1"/>
  <c r="AL371" i="11"/>
  <c r="X397" i="11"/>
  <c r="X399" i="11"/>
  <c r="Z422" i="11"/>
  <c r="R427" i="11"/>
  <c r="T427" i="11" s="1"/>
  <c r="R449" i="11"/>
  <c r="T449" i="11" s="1"/>
  <c r="R471" i="11"/>
  <c r="T471" i="11" s="1"/>
  <c r="X316" i="11"/>
  <c r="AE359" i="11"/>
  <c r="X381" i="11"/>
  <c r="Z465" i="11"/>
  <c r="Z218" i="11"/>
  <c r="Z225" i="11"/>
  <c r="Z227" i="11"/>
  <c r="Z249" i="11"/>
  <c r="Z255" i="11"/>
  <c r="AD261" i="11"/>
  <c r="BA49" i="65" s="1"/>
  <c r="R266" i="11"/>
  <c r="AV53" i="65" s="1"/>
  <c r="Z269" i="11"/>
  <c r="Z277" i="11"/>
  <c r="X303" i="11"/>
  <c r="X313" i="11"/>
  <c r="Z325" i="11"/>
  <c r="X335" i="11"/>
  <c r="AL347" i="11"/>
  <c r="AB352" i="11"/>
  <c r="AD352" i="11" s="1"/>
  <c r="AN354" i="11"/>
  <c r="Z357" i="11"/>
  <c r="AF359" i="11"/>
  <c r="AM361" i="11"/>
  <c r="AB389" i="11"/>
  <c r="Z392" i="11"/>
  <c r="AF394" i="11"/>
  <c r="Z404" i="11"/>
  <c r="Z409" i="11"/>
  <c r="R413" i="11"/>
  <c r="T413" i="11" s="1"/>
  <c r="R415" i="11"/>
  <c r="T415" i="11" s="1"/>
  <c r="AD416" i="11"/>
  <c r="AC419" i="11"/>
  <c r="R438" i="11"/>
  <c r="T438" i="11" s="1"/>
  <c r="AF447" i="11"/>
  <c r="AL465" i="11"/>
  <c r="AM465" i="11"/>
  <c r="Z471" i="11"/>
  <c r="AL359" i="11"/>
  <c r="BI129" i="65" s="1"/>
  <c r="AM471" i="11"/>
  <c r="AL471" i="11"/>
  <c r="AL47" i="11"/>
  <c r="AM51" i="11"/>
  <c r="AB145" i="11"/>
  <c r="AE145" i="11" s="1"/>
  <c r="AN170" i="11"/>
  <c r="AC249" i="11"/>
  <c r="AZ38" i="65" s="1"/>
  <c r="AC260" i="11"/>
  <c r="R292" i="11"/>
  <c r="T292" i="11" s="1"/>
  <c r="AC325" i="11"/>
  <c r="AD335" i="11"/>
  <c r="AN359" i="11"/>
  <c r="BK129" i="65" s="1"/>
  <c r="AD387" i="11"/>
  <c r="Z398" i="11"/>
  <c r="AC415" i="11"/>
  <c r="AM447" i="11"/>
  <c r="AC449" i="11"/>
  <c r="AB454" i="11"/>
  <c r="R12" i="11"/>
  <c r="T12" i="11" s="1"/>
  <c r="AB21" i="11"/>
  <c r="Z45" i="11"/>
  <c r="AN47" i="11"/>
  <c r="AN51" i="11"/>
  <c r="AB56" i="11"/>
  <c r="AC56" i="11" s="1"/>
  <c r="Z97" i="11"/>
  <c r="AB107" i="11"/>
  <c r="Z112" i="11"/>
  <c r="Z117" i="11"/>
  <c r="Z124" i="11"/>
  <c r="R143" i="11"/>
  <c r="T143" i="11" s="1"/>
  <c r="Z155" i="11"/>
  <c r="Z165" i="11"/>
  <c r="AD176" i="11"/>
  <c r="X191" i="11"/>
  <c r="X207" i="11"/>
  <c r="R217" i="11"/>
  <c r="T217" i="11" s="1"/>
  <c r="AE247" i="11"/>
  <c r="BB36" i="65" s="1"/>
  <c r="AE249" i="11"/>
  <c r="BB38" i="65" s="1"/>
  <c r="AM260" i="11"/>
  <c r="R262" i="11"/>
  <c r="Z268" i="11"/>
  <c r="X274" i="11"/>
  <c r="AD285" i="11"/>
  <c r="AF335" i="11"/>
  <c r="Z376" i="11"/>
  <c r="X400" i="11"/>
  <c r="Z413" i="11"/>
  <c r="AD415" i="11"/>
  <c r="BA184" i="65" s="1"/>
  <c r="R428" i="11"/>
  <c r="T428" i="11" s="1"/>
  <c r="R434" i="11"/>
  <c r="T434" i="11" s="1"/>
  <c r="AB442" i="11"/>
  <c r="R445" i="11"/>
  <c r="T445" i="11" s="1"/>
  <c r="AN447" i="11"/>
  <c r="AL449" i="11"/>
  <c r="Z457" i="11"/>
  <c r="AN463" i="11"/>
  <c r="AM463" i="11"/>
  <c r="AL463" i="11"/>
  <c r="R466" i="11"/>
  <c r="T466" i="11" s="1"/>
  <c r="AL475" i="11"/>
  <c r="BI239" i="65" s="1"/>
  <c r="AM475" i="11"/>
  <c r="AN249" i="11"/>
  <c r="BK38" i="65" s="1"/>
  <c r="AL335" i="11"/>
  <c r="AE415" i="11"/>
  <c r="AM449" i="11"/>
  <c r="AL472" i="11"/>
  <c r="AM472" i="11"/>
  <c r="Z54" i="11"/>
  <c r="AB87" i="11"/>
  <c r="R122" i="11"/>
  <c r="T122" i="11" s="1"/>
  <c r="Z129" i="11"/>
  <c r="Z138" i="11"/>
  <c r="AD165" i="11"/>
  <c r="X179" i="11"/>
  <c r="Z191" i="11"/>
  <c r="R219" i="11"/>
  <c r="R224" i="11"/>
  <c r="T224" i="11" s="1"/>
  <c r="R226" i="11"/>
  <c r="X228" i="11"/>
  <c r="AB242" i="11"/>
  <c r="AC242" i="11" s="1"/>
  <c r="AZ31" i="65" s="1"/>
  <c r="R256" i="11"/>
  <c r="Z274" i="11"/>
  <c r="R289" i="11"/>
  <c r="T289" i="11" s="1"/>
  <c r="Z292" i="11"/>
  <c r="Z304" i="11"/>
  <c r="X339" i="11"/>
  <c r="AC341" i="11"/>
  <c r="AB348" i="11"/>
  <c r="AD348" i="11" s="1"/>
  <c r="AB368" i="11"/>
  <c r="AE368" i="11" s="1"/>
  <c r="AE398" i="11"/>
  <c r="AN436" i="11"/>
  <c r="AN449" i="11"/>
  <c r="AD472" i="11"/>
  <c r="AL479" i="11"/>
  <c r="AM479" i="11"/>
  <c r="R53" i="11"/>
  <c r="T53" i="11" s="1"/>
  <c r="X61" i="11"/>
  <c r="AB13" i="11"/>
  <c r="X23" i="11"/>
  <c r="AF170" i="11"/>
  <c r="X266" i="11"/>
  <c r="X24" i="11"/>
  <c r="AB37" i="11"/>
  <c r="AN37" i="11" s="1"/>
  <c r="AB72" i="11"/>
  <c r="AC72" i="11" s="1"/>
  <c r="Z115" i="11"/>
  <c r="Z141" i="11"/>
  <c r="Z146" i="11"/>
  <c r="Z158" i="11"/>
  <c r="Z169" i="11"/>
  <c r="Z173" i="11"/>
  <c r="X219" i="11"/>
  <c r="X360" i="11"/>
  <c r="Z426" i="11"/>
  <c r="R476" i="11"/>
  <c r="T476" i="11" s="1"/>
  <c r="X11" i="11"/>
  <c r="R86" i="11"/>
  <c r="T86" i="11" s="1"/>
  <c r="X69" i="11"/>
  <c r="AE71" i="11"/>
  <c r="X176" i="11"/>
  <c r="AB33" i="11"/>
  <c r="AD33" i="11" s="1"/>
  <c r="AE51" i="11"/>
  <c r="AN71" i="11"/>
  <c r="Z17" i="11"/>
  <c r="Z134" i="11"/>
  <c r="Z190" i="11"/>
  <c r="Z254" i="11"/>
  <c r="Z383" i="11"/>
  <c r="Z386" i="11"/>
  <c r="Z388" i="11"/>
  <c r="AM476" i="11"/>
  <c r="BJ240" i="65" s="1"/>
  <c r="AL476" i="11"/>
  <c r="U62" i="2"/>
  <c r="V62" i="2"/>
  <c r="AL467" i="11"/>
  <c r="AM467" i="11"/>
  <c r="AD480" i="11"/>
  <c r="AM480" i="11"/>
  <c r="AL480" i="11"/>
  <c r="AC51" i="11"/>
  <c r="AL71" i="11"/>
  <c r="X209" i="11"/>
  <c r="AE47" i="11"/>
  <c r="AL51" i="11"/>
  <c r="R131" i="11"/>
  <c r="T131" i="11" s="1"/>
  <c r="X189" i="11"/>
  <c r="Z22" i="11"/>
  <c r="Z108" i="11"/>
  <c r="Z118" i="11"/>
  <c r="Z177" i="11"/>
  <c r="Z259" i="11"/>
  <c r="Z359" i="11"/>
  <c r="Z369" i="11"/>
  <c r="Z391" i="11"/>
  <c r="Z403" i="11"/>
  <c r="AM54" i="11"/>
  <c r="AN54" i="11"/>
  <c r="AF54" i="11"/>
  <c r="AE54" i="11"/>
  <c r="AC54" i="11"/>
  <c r="AN109" i="11"/>
  <c r="AF109" i="11"/>
  <c r="AE109" i="11"/>
  <c r="AN111" i="11"/>
  <c r="AM111" i="11"/>
  <c r="AL111" i="11"/>
  <c r="AN115" i="11"/>
  <c r="AE115" i="11"/>
  <c r="AF115" i="11"/>
  <c r="AE217" i="11"/>
  <c r="BB6" i="65" s="1"/>
  <c r="AC217" i="11"/>
  <c r="AZ6" i="65" s="1"/>
  <c r="AN281" i="11"/>
  <c r="AL281" i="11"/>
  <c r="AF281" i="11"/>
  <c r="AD281" i="11"/>
  <c r="AC281" i="11"/>
  <c r="AM281" i="11"/>
  <c r="AB24" i="11"/>
  <c r="Z24" i="11"/>
  <c r="AN35" i="11"/>
  <c r="AL35" i="11"/>
  <c r="AN142" i="11"/>
  <c r="AM142" i="11"/>
  <c r="AL142" i="11"/>
  <c r="AF142" i="11"/>
  <c r="AE142" i="11"/>
  <c r="AF144" i="11"/>
  <c r="AM144" i="11"/>
  <c r="AL159" i="11"/>
  <c r="AN159" i="11"/>
  <c r="AC159" i="11"/>
  <c r="AM159" i="11"/>
  <c r="AF159" i="11"/>
  <c r="AE159" i="11"/>
  <c r="AD159" i="11"/>
  <c r="AV22" i="65"/>
  <c r="T233" i="11"/>
  <c r="AE263" i="11"/>
  <c r="BB51" i="65" s="1"/>
  <c r="AM263" i="11"/>
  <c r="BJ51" i="65" s="1"/>
  <c r="AL263" i="11"/>
  <c r="BI51" i="65" s="1"/>
  <c r="AF263" i="11"/>
  <c r="BC51" i="65" s="1"/>
  <c r="AC263" i="11"/>
  <c r="AZ51" i="65" s="1"/>
  <c r="AF138" i="11"/>
  <c r="AM138" i="11"/>
  <c r="T231" i="11"/>
  <c r="AV19" i="65"/>
  <c r="AL259" i="11"/>
  <c r="BI47" i="65" s="1"/>
  <c r="AF259" i="11"/>
  <c r="BC47" i="65" s="1"/>
  <c r="AE259" i="11"/>
  <c r="BB47" i="65" s="1"/>
  <c r="AD259" i="11"/>
  <c r="BA47" i="65" s="1"/>
  <c r="AC259" i="11"/>
  <c r="AZ47" i="65" s="1"/>
  <c r="AM259" i="11"/>
  <c r="BJ47" i="65" s="1"/>
  <c r="AN259" i="11"/>
  <c r="BK47" i="65" s="1"/>
  <c r="AE129" i="11"/>
  <c r="AM129" i="11"/>
  <c r="AF129" i="11"/>
  <c r="AB57" i="11"/>
  <c r="Z57" i="11"/>
  <c r="AM150" i="11"/>
  <c r="AF150" i="11"/>
  <c r="AN154" i="11"/>
  <c r="AM154" i="11"/>
  <c r="AL154" i="11"/>
  <c r="AF154" i="11"/>
  <c r="AC219" i="11"/>
  <c r="AZ8" i="65" s="1"/>
  <c r="AE219" i="11"/>
  <c r="BB8" i="65" s="1"/>
  <c r="AB75" i="11"/>
  <c r="AL75" i="11" s="1"/>
  <c r="Z75" i="11"/>
  <c r="AD118" i="11"/>
  <c r="AN118" i="11"/>
  <c r="AL118" i="11"/>
  <c r="AF118" i="11"/>
  <c r="AC118" i="11"/>
  <c r="AE118" i="11"/>
  <c r="AN158" i="11"/>
  <c r="AE158" i="11"/>
  <c r="AF155" i="11"/>
  <c r="AM155" i="11"/>
  <c r="AE155" i="11"/>
  <c r="AC155" i="11"/>
  <c r="AN108" i="11"/>
  <c r="AM108" i="11"/>
  <c r="AL108" i="11"/>
  <c r="AN112" i="11"/>
  <c r="AF112" i="11"/>
  <c r="AE112" i="11"/>
  <c r="AN114" i="11"/>
  <c r="AM114" i="11"/>
  <c r="AL114" i="11"/>
  <c r="AD331" i="11"/>
  <c r="AF331" i="11"/>
  <c r="BC105" i="65" s="1"/>
  <c r="AM331" i="11"/>
  <c r="AC331" i="11"/>
  <c r="AN117" i="11"/>
  <c r="AM117" i="11"/>
  <c r="AL117" i="11"/>
  <c r="AL25" i="11"/>
  <c r="AN25" i="11"/>
  <c r="AE25" i="11"/>
  <c r="AM141" i="11"/>
  <c r="AF141" i="11"/>
  <c r="AE141" i="11"/>
  <c r="AN254" i="11"/>
  <c r="BK42" i="65" s="1"/>
  <c r="AD254" i="11"/>
  <c r="BA42" i="65" s="1"/>
  <c r="AE293" i="11"/>
  <c r="AM293" i="11"/>
  <c r="AF293" i="11"/>
  <c r="AD293" i="11"/>
  <c r="AM66" i="11"/>
  <c r="AF66" i="11"/>
  <c r="AD66" i="11"/>
  <c r="Z70" i="11"/>
  <c r="AB70" i="11"/>
  <c r="Z80" i="11"/>
  <c r="AB80" i="11"/>
  <c r="AC80" i="11" s="1"/>
  <c r="AD124" i="11"/>
  <c r="AN124" i="11"/>
  <c r="AM124" i="11"/>
  <c r="AE124" i="11"/>
  <c r="AL124" i="11"/>
  <c r="AF124" i="11"/>
  <c r="AN130" i="11"/>
  <c r="AE130" i="11"/>
  <c r="AF130" i="11"/>
  <c r="AL130" i="11"/>
  <c r="AM130" i="11"/>
  <c r="AL222" i="11"/>
  <c r="BI11" i="65" s="1"/>
  <c r="AN222" i="11"/>
  <c r="BK11" i="65" s="1"/>
  <c r="AM222" i="11"/>
  <c r="BJ11" i="65" s="1"/>
  <c r="AE222" i="11"/>
  <c r="BB11" i="65" s="1"/>
  <c r="AF222" i="11"/>
  <c r="BC11" i="65" s="1"/>
  <c r="AL224" i="11"/>
  <c r="BI13" i="65" s="1"/>
  <c r="AF224" i="11"/>
  <c r="BC13" i="65" s="1"/>
  <c r="AM224" i="11"/>
  <c r="BJ13" i="65" s="1"/>
  <c r="AN224" i="11"/>
  <c r="BK13" i="65" s="1"/>
  <c r="AE224" i="11"/>
  <c r="BB13" i="65" s="1"/>
  <c r="AD63" i="11"/>
  <c r="AM63" i="11"/>
  <c r="AE63" i="11"/>
  <c r="AC66" i="11"/>
  <c r="AE147" i="11"/>
  <c r="AM147" i="11"/>
  <c r="AF147" i="11"/>
  <c r="AL220" i="11"/>
  <c r="BI9" i="65" s="1"/>
  <c r="AN220" i="11"/>
  <c r="BK9" i="65" s="1"/>
  <c r="AM220" i="11"/>
  <c r="BJ9" i="65" s="1"/>
  <c r="AE220" i="11"/>
  <c r="BB9" i="65" s="1"/>
  <c r="AF220" i="11"/>
  <c r="BC9" i="65" s="1"/>
  <c r="AE56" i="11"/>
  <c r="AL226" i="11"/>
  <c r="BI15" i="65" s="1"/>
  <c r="AF226" i="11"/>
  <c r="BC15" i="65" s="1"/>
  <c r="AE226" i="11"/>
  <c r="BB15" i="65" s="1"/>
  <c r="AM226" i="11"/>
  <c r="BJ15" i="65" s="1"/>
  <c r="AN226" i="11"/>
  <c r="BK15" i="65" s="1"/>
  <c r="AM421" i="11"/>
  <c r="AE421" i="11"/>
  <c r="Z15" i="11"/>
  <c r="X45" i="11"/>
  <c r="AF47" i="11"/>
  <c r="Z50" i="11"/>
  <c r="AF71" i="11"/>
  <c r="AC121" i="11"/>
  <c r="AB122" i="11"/>
  <c r="AM122" i="11" s="1"/>
  <c r="AB126" i="11"/>
  <c r="R129" i="11"/>
  <c r="T129" i="11" s="1"/>
  <c r="Z130" i="11"/>
  <c r="AE135" i="11"/>
  <c r="AL136" i="11"/>
  <c r="Z139" i="11"/>
  <c r="Z152" i="11"/>
  <c r="AB162" i="11"/>
  <c r="AC163" i="11"/>
  <c r="Z164" i="11"/>
  <c r="AL170" i="11"/>
  <c r="AE174" i="11"/>
  <c r="Z178" i="11"/>
  <c r="AD184" i="11"/>
  <c r="Z187" i="11"/>
  <c r="R200" i="11"/>
  <c r="T200" i="11" s="1"/>
  <c r="R202" i="11"/>
  <c r="T202" i="11" s="1"/>
  <c r="X204" i="11"/>
  <c r="X220" i="11"/>
  <c r="R221" i="11"/>
  <c r="X222" i="11"/>
  <c r="R223" i="11"/>
  <c r="Z224" i="11"/>
  <c r="Z226" i="11"/>
  <c r="T230" i="11"/>
  <c r="AL237" i="11"/>
  <c r="BI26" i="65" s="1"/>
  <c r="X241" i="11"/>
  <c r="AN30" i="65"/>
  <c r="AC245" i="11"/>
  <c r="AZ34" i="65" s="1"/>
  <c r="AB270" i="11"/>
  <c r="AC275" i="11"/>
  <c r="X278" i="11"/>
  <c r="Z283" i="11"/>
  <c r="AB290" i="11"/>
  <c r="Z293" i="11"/>
  <c r="Z294" i="11"/>
  <c r="X311" i="11"/>
  <c r="R311" i="11"/>
  <c r="T311" i="11" s="1"/>
  <c r="AB321" i="11"/>
  <c r="Z321" i="11"/>
  <c r="R325" i="11"/>
  <c r="T325" i="11" s="1"/>
  <c r="Z331" i="11"/>
  <c r="R363" i="11"/>
  <c r="T363" i="11" s="1"/>
  <c r="AE480" i="11"/>
  <c r="X221" i="11"/>
  <c r="X223" i="11"/>
  <c r="R232" i="11"/>
  <c r="AN21" i="65"/>
  <c r="R236" i="11"/>
  <c r="AN25" i="65"/>
  <c r="AE245" i="11"/>
  <c r="BB34" i="65" s="1"/>
  <c r="T254" i="11"/>
  <c r="AV42" i="65"/>
  <c r="AD275" i="11"/>
  <c r="AN279" i="11"/>
  <c r="AL279" i="11"/>
  <c r="X318" i="11"/>
  <c r="R318" i="11"/>
  <c r="X380" i="11"/>
  <c r="R380" i="11"/>
  <c r="T380" i="11" s="1"/>
  <c r="AF403" i="11"/>
  <c r="AN403" i="11"/>
  <c r="AM403" i="11"/>
  <c r="AL403" i="11"/>
  <c r="AE403" i="11"/>
  <c r="AD403" i="11"/>
  <c r="AC403" i="11"/>
  <c r="AN480" i="11"/>
  <c r="AL174" i="11"/>
  <c r="AE178" i="11"/>
  <c r="Z182" i="11"/>
  <c r="AF187" i="11"/>
  <c r="X192" i="11"/>
  <c r="AE206" i="11"/>
  <c r="R208" i="11"/>
  <c r="T208" i="11" s="1"/>
  <c r="Z215" i="11"/>
  <c r="Z217" i="11"/>
  <c r="Z219" i="11"/>
  <c r="Z220" i="11"/>
  <c r="Z222" i="11"/>
  <c r="X235" i="11"/>
  <c r="AN24" i="65"/>
  <c r="T241" i="11"/>
  <c r="AL245" i="11"/>
  <c r="BI34" i="65" s="1"/>
  <c r="AL251" i="11"/>
  <c r="X263" i="11"/>
  <c r="AN51" i="65"/>
  <c r="AE269" i="11"/>
  <c r="AD279" i="11"/>
  <c r="AC283" i="11"/>
  <c r="AD284" i="11"/>
  <c r="BA69" i="65" s="1"/>
  <c r="R288" i="11"/>
  <c r="T288" i="11" s="1"/>
  <c r="AB311" i="11"/>
  <c r="R347" i="11"/>
  <c r="T347" i="11" s="1"/>
  <c r="R354" i="11"/>
  <c r="T354" i="11" s="1"/>
  <c r="AN440" i="11"/>
  <c r="AE440" i="11"/>
  <c r="R456" i="11"/>
  <c r="T456" i="11" s="1"/>
  <c r="X456" i="11"/>
  <c r="AF279" i="11"/>
  <c r="BC64" i="65" s="1"/>
  <c r="AL318" i="11"/>
  <c r="AE318" i="11"/>
  <c r="AB358" i="11"/>
  <c r="AM411" i="11"/>
  <c r="AE411" i="11"/>
  <c r="AD411" i="11"/>
  <c r="R420" i="11"/>
  <c r="T420" i="11" s="1"/>
  <c r="AD476" i="11"/>
  <c r="AN476" i="11"/>
  <c r="AE476" i="11"/>
  <c r="AN376" i="11"/>
  <c r="AM376" i="11"/>
  <c r="AL376" i="11"/>
  <c r="AF376" i="11"/>
  <c r="BC146" i="65" s="1"/>
  <c r="AE376" i="11"/>
  <c r="Z402" i="11"/>
  <c r="R404" i="11"/>
  <c r="T404" i="11" s="1"/>
  <c r="AB407" i="11"/>
  <c r="AM407" i="11" s="1"/>
  <c r="AB418" i="11"/>
  <c r="AF418" i="11" s="1"/>
  <c r="AD422" i="11"/>
  <c r="AN438" i="11"/>
  <c r="AM438" i="11"/>
  <c r="AN275" i="11"/>
  <c r="AM275" i="11"/>
  <c r="AE121" i="11"/>
  <c r="AD163" i="11"/>
  <c r="R22" i="11"/>
  <c r="T22" i="11" s="1"/>
  <c r="AM135" i="11"/>
  <c r="R141" i="11"/>
  <c r="T141" i="11" s="1"/>
  <c r="AE148" i="11"/>
  <c r="AE163" i="11"/>
  <c r="AB39" i="11"/>
  <c r="AE69" i="11"/>
  <c r="AD168" i="11"/>
  <c r="AN245" i="11"/>
  <c r="BK34" i="65" s="1"/>
  <c r="X247" i="11"/>
  <c r="AN36" i="65"/>
  <c r="AL267" i="11"/>
  <c r="BI54" i="65" s="1"/>
  <c r="X324" i="11"/>
  <c r="R324" i="11"/>
  <c r="T324" i="11" s="1"/>
  <c r="AF370" i="11"/>
  <c r="AM370" i="11"/>
  <c r="AD370" i="11"/>
  <c r="R247" i="11"/>
  <c r="R322" i="11"/>
  <c r="T322" i="11" s="1"/>
  <c r="X26" i="11"/>
  <c r="AF45" i="11"/>
  <c r="AE53" i="11"/>
  <c r="R57" i="11"/>
  <c r="T57" i="11" s="1"/>
  <c r="AC59" i="11"/>
  <c r="AM69" i="11"/>
  <c r="R71" i="11"/>
  <c r="T71" i="11" s="1"/>
  <c r="AC73" i="11"/>
  <c r="X83" i="11"/>
  <c r="R121" i="11"/>
  <c r="T121" i="11" s="1"/>
  <c r="R123" i="11"/>
  <c r="T123" i="11" s="1"/>
  <c r="R137" i="11"/>
  <c r="T137" i="11" s="1"/>
  <c r="AM157" i="11"/>
  <c r="R162" i="11"/>
  <c r="T162" i="11" s="1"/>
  <c r="R163" i="11"/>
  <c r="T163" i="11" s="1"/>
  <c r="X170" i="11"/>
  <c r="AD172" i="11"/>
  <c r="X180" i="11"/>
  <c r="AL182" i="11"/>
  <c r="AC192" i="11"/>
  <c r="AB199" i="11"/>
  <c r="X205" i="11"/>
  <c r="AM214" i="11"/>
  <c r="AM216" i="11"/>
  <c r="BJ5" i="65" s="1"/>
  <c r="AM218" i="11"/>
  <c r="AE241" i="11"/>
  <c r="BB30" i="65" s="1"/>
  <c r="R252" i="11"/>
  <c r="X257" i="11"/>
  <c r="X260" i="11"/>
  <c r="AL272" i="11"/>
  <c r="AF318" i="11"/>
  <c r="AE329" i="11"/>
  <c r="BB103" i="65" s="1"/>
  <c r="AC344" i="11"/>
  <c r="AF391" i="11"/>
  <c r="AD391" i="11"/>
  <c r="AN402" i="11"/>
  <c r="AM402" i="11"/>
  <c r="AL402" i="11"/>
  <c r="AD402" i="11"/>
  <c r="AE422" i="11"/>
  <c r="Z443" i="11"/>
  <c r="AB443" i="11"/>
  <c r="AC443" i="11" s="1"/>
  <c r="R463" i="11"/>
  <c r="T463" i="11" s="1"/>
  <c r="AE328" i="11"/>
  <c r="AN328" i="11"/>
  <c r="AM328" i="11"/>
  <c r="AD328" i="11"/>
  <c r="AF334" i="11"/>
  <c r="AN334" i="11"/>
  <c r="AE334" i="11"/>
  <c r="R14" i="11"/>
  <c r="T14" i="11" s="1"/>
  <c r="X19" i="11"/>
  <c r="AL37" i="11"/>
  <c r="AB46" i="11"/>
  <c r="AL46" i="11" s="1"/>
  <c r="X55" i="11"/>
  <c r="R59" i="11"/>
  <c r="T59" i="11" s="1"/>
  <c r="AD164" i="11"/>
  <c r="T253" i="11"/>
  <c r="AV41" i="65"/>
  <c r="T261" i="11"/>
  <c r="AV49" i="65"/>
  <c r="AL148" i="11"/>
  <c r="AB151" i="11"/>
  <c r="AE151" i="11" s="1"/>
  <c r="X166" i="11"/>
  <c r="X197" i="11"/>
  <c r="AM206" i="11"/>
  <c r="AB229" i="11"/>
  <c r="AB308" i="11"/>
  <c r="Z308" i="11"/>
  <c r="AF69" i="11"/>
  <c r="AN163" i="11"/>
  <c r="X167" i="11"/>
  <c r="AN178" i="11"/>
  <c r="AF214" i="11"/>
  <c r="BC3" i="65" s="1"/>
  <c r="AF216" i="11"/>
  <c r="BC5" i="65" s="1"/>
  <c r="AF218" i="11"/>
  <c r="BC7" i="65" s="1"/>
  <c r="X231" i="11"/>
  <c r="AN19" i="65"/>
  <c r="AN255" i="11"/>
  <c r="BK43" i="65" s="1"/>
  <c r="AD272" i="11"/>
  <c r="AF337" i="11"/>
  <c r="AC337" i="11"/>
  <c r="AB43" i="11"/>
  <c r="AM45" i="11"/>
  <c r="R47" i="11"/>
  <c r="T47" i="11" s="1"/>
  <c r="AF53" i="11"/>
  <c r="AE59" i="11"/>
  <c r="AF73" i="11"/>
  <c r="R127" i="11"/>
  <c r="T127" i="11" s="1"/>
  <c r="R135" i="11"/>
  <c r="T135" i="11" s="1"/>
  <c r="R153" i="11"/>
  <c r="T153" i="11" s="1"/>
  <c r="AN157" i="11"/>
  <c r="X171" i="11"/>
  <c r="AD181" i="11"/>
  <c r="AN182" i="11"/>
  <c r="AC190" i="11"/>
  <c r="AD192" i="11"/>
  <c r="R213" i="11"/>
  <c r="AN2" i="65"/>
  <c r="AN214" i="11"/>
  <c r="BK3" i="65" s="1"/>
  <c r="AN216" i="11"/>
  <c r="AN218" i="11"/>
  <c r="BK7" i="65" s="1"/>
  <c r="R228" i="11"/>
  <c r="R234" i="11"/>
  <c r="AN23" i="65"/>
  <c r="AD235" i="11"/>
  <c r="BA24" i="65" s="1"/>
  <c r="AM241" i="11"/>
  <c r="BJ30" i="65" s="1"/>
  <c r="R265" i="11"/>
  <c r="BK298" i="65"/>
  <c r="AI298" i="65"/>
  <c r="AZ297" i="65"/>
  <c r="H297" i="65"/>
  <c r="AN296" i="65"/>
  <c r="BB295" i="65"/>
  <c r="I295" i="65"/>
  <c r="AO294" i="65"/>
  <c r="BC293" i="65"/>
  <c r="AE293" i="65"/>
  <c r="AF293" i="65" s="1"/>
  <c r="AG293" i="65" s="1"/>
  <c r="AH293" i="65" s="1"/>
  <c r="AV292" i="65"/>
  <c r="BK291" i="65"/>
  <c r="AI291" i="65"/>
  <c r="BA290" i="65"/>
  <c r="F290" i="65"/>
  <c r="AL289" i="65"/>
  <c r="BC288" i="65"/>
  <c r="J288" i="65"/>
  <c r="AP287" i="65"/>
  <c r="BJ286" i="65"/>
  <c r="BA285" i="65"/>
  <c r="H285" i="65"/>
  <c r="AN284" i="65"/>
  <c r="BC283" i="65"/>
  <c r="J283" i="65"/>
  <c r="AP282" i="65"/>
  <c r="BJ281" i="65"/>
  <c r="AZ280" i="65"/>
  <c r="F280" i="65"/>
  <c r="AL279" i="65"/>
  <c r="BC278" i="65"/>
  <c r="AE278" i="65"/>
  <c r="AF278" i="65" s="1"/>
  <c r="AG278" i="65" s="1"/>
  <c r="AH278" i="65" s="1"/>
  <c r="AV277" i="65"/>
  <c r="BK276" i="65"/>
  <c r="AI276" i="65"/>
  <c r="BA275" i="65"/>
  <c r="F275" i="65"/>
  <c r="AL274" i="65"/>
  <c r="BC273" i="65"/>
  <c r="J273" i="65"/>
  <c r="AP272" i="65"/>
  <c r="BK271" i="65"/>
  <c r="AI271" i="65"/>
  <c r="BA270" i="65"/>
  <c r="I270" i="65"/>
  <c r="AO269" i="65"/>
  <c r="BI268" i="65"/>
  <c r="J268" i="65"/>
  <c r="AP267" i="65"/>
  <c r="BJ266" i="65"/>
  <c r="BA265" i="65"/>
  <c r="I265" i="65"/>
  <c r="AO264" i="65"/>
  <c r="BI263" i="65"/>
  <c r="AE263" i="65"/>
  <c r="AF263" i="65" s="1"/>
  <c r="AG263" i="65" s="1"/>
  <c r="AH263" i="65" s="1"/>
  <c r="AV262" i="65"/>
  <c r="H262" i="65"/>
  <c r="AN261" i="65"/>
  <c r="BB260" i="65"/>
  <c r="I260" i="65"/>
  <c r="AO259" i="65"/>
  <c r="BI258" i="65"/>
  <c r="AE258" i="65"/>
  <c r="AF258" i="65" s="1"/>
  <c r="AG258" i="65" s="1"/>
  <c r="AH258" i="65" s="1"/>
  <c r="AV257" i="65"/>
  <c r="BK256" i="65"/>
  <c r="AI256" i="65"/>
  <c r="BA255" i="65"/>
  <c r="I255" i="65"/>
  <c r="AO254" i="65"/>
  <c r="BJ253" i="65"/>
  <c r="AZ252" i="65"/>
  <c r="F252" i="65"/>
  <c r="AL251" i="65"/>
  <c r="AV250" i="65"/>
  <c r="BC249" i="65"/>
  <c r="J249" i="65"/>
  <c r="AN248" i="65"/>
  <c r="BA247" i="65"/>
  <c r="BJ298" i="65"/>
  <c r="AE298" i="65"/>
  <c r="AF298" i="65" s="1"/>
  <c r="AG298" i="65" s="1"/>
  <c r="AH298" i="65" s="1"/>
  <c r="AV297" i="65"/>
  <c r="F297" i="65"/>
  <c r="AL296" i="65"/>
  <c r="BA295" i="65"/>
  <c r="H295" i="65"/>
  <c r="AN294" i="65"/>
  <c r="BB293" i="65"/>
  <c r="J293" i="65"/>
  <c r="AP292" i="65"/>
  <c r="BJ291" i="65"/>
  <c r="AZ290" i="65"/>
  <c r="BK289" i="65"/>
  <c r="AI289" i="65"/>
  <c r="BB288" i="65"/>
  <c r="I288" i="65"/>
  <c r="AO287" i="65"/>
  <c r="BI286" i="65"/>
  <c r="AZ285" i="65"/>
  <c r="F285" i="65"/>
  <c r="AL284" i="65"/>
  <c r="BB283" i="65"/>
  <c r="I283" i="65"/>
  <c r="AO282" i="65"/>
  <c r="BI281" i="65"/>
  <c r="AE281" i="65"/>
  <c r="AF281" i="65" s="1"/>
  <c r="AG281" i="65" s="1"/>
  <c r="AH281" i="65" s="1"/>
  <c r="AV280" i="65"/>
  <c r="BK279" i="65"/>
  <c r="AI279" i="65"/>
  <c r="BB278" i="65"/>
  <c r="J278" i="65"/>
  <c r="AP277" i="65"/>
  <c r="BJ276" i="65"/>
  <c r="AZ275" i="65"/>
  <c r="BK274" i="65"/>
  <c r="AI274" i="65"/>
  <c r="BB273" i="65"/>
  <c r="I273" i="65"/>
  <c r="AO272" i="65"/>
  <c r="BJ271" i="65"/>
  <c r="AZ270" i="65"/>
  <c r="H270" i="65"/>
  <c r="AN269" i="65"/>
  <c r="BC268" i="65"/>
  <c r="I268" i="65"/>
  <c r="AO267" i="65"/>
  <c r="BI266" i="65"/>
  <c r="AZ265" i="65"/>
  <c r="H265" i="65"/>
  <c r="AN264" i="65"/>
  <c r="BC263" i="65"/>
  <c r="J263" i="65"/>
  <c r="AP262" i="65"/>
  <c r="F262" i="65"/>
  <c r="AL261" i="65"/>
  <c r="BA260" i="65"/>
  <c r="H260" i="65"/>
  <c r="AN259" i="65"/>
  <c r="BC258" i="65"/>
  <c r="J258" i="65"/>
  <c r="AP257" i="65"/>
  <c r="BJ256" i="65"/>
  <c r="AZ255" i="65"/>
  <c r="H255" i="65"/>
  <c r="AN254" i="65"/>
  <c r="BI253" i="65"/>
  <c r="AE253" i="65"/>
  <c r="AF253" i="65" s="1"/>
  <c r="AG253" i="65" s="1"/>
  <c r="AH253" i="65" s="1"/>
  <c r="AV252" i="65"/>
  <c r="BK251" i="65"/>
  <c r="AI251" i="65"/>
  <c r="AP250" i="65"/>
  <c r="BB249" i="65"/>
  <c r="I249" i="65"/>
  <c r="AL248" i="65"/>
  <c r="AZ247" i="65"/>
  <c r="BI298" i="65"/>
  <c r="J298" i="65"/>
  <c r="AP297" i="65"/>
  <c r="BK296" i="65"/>
  <c r="AI296" i="65"/>
  <c r="AZ295" i="65"/>
  <c r="F295" i="65"/>
  <c r="AL294" i="65"/>
  <c r="BA293" i="65"/>
  <c r="I293" i="65"/>
  <c r="AO292" i="65"/>
  <c r="BI291" i="65"/>
  <c r="AE291" i="65"/>
  <c r="AF291" i="65" s="1"/>
  <c r="AG291" i="65" s="1"/>
  <c r="AH291" i="65" s="1"/>
  <c r="AV290" i="65"/>
  <c r="BJ289" i="65"/>
  <c r="BA288" i="65"/>
  <c r="H288" i="65"/>
  <c r="AN287" i="65"/>
  <c r="BC286" i="65"/>
  <c r="AE286" i="65"/>
  <c r="AF286" i="65" s="1"/>
  <c r="AG286" i="65" s="1"/>
  <c r="AH286" i="65" s="1"/>
  <c r="AV285" i="65"/>
  <c r="BK284" i="65"/>
  <c r="AI284" i="65"/>
  <c r="BA283" i="65"/>
  <c r="H283" i="65"/>
  <c r="AN282" i="65"/>
  <c r="BC281" i="65"/>
  <c r="J281" i="65"/>
  <c r="AP280" i="65"/>
  <c r="BJ279" i="65"/>
  <c r="BA278" i="65"/>
  <c r="I278" i="65"/>
  <c r="AO277" i="65"/>
  <c r="BI276" i="65"/>
  <c r="AE276" i="65"/>
  <c r="AF276" i="65" s="1"/>
  <c r="AG276" i="65" s="1"/>
  <c r="AH276" i="65" s="1"/>
  <c r="AV275" i="65"/>
  <c r="BJ274" i="65"/>
  <c r="BA273" i="65"/>
  <c r="H273" i="65"/>
  <c r="AN272" i="65"/>
  <c r="BI271" i="65"/>
  <c r="AE271" i="65"/>
  <c r="AF271" i="65" s="1"/>
  <c r="AG271" i="65" s="1"/>
  <c r="AH271" i="65" s="1"/>
  <c r="AV270" i="65"/>
  <c r="F270" i="65"/>
  <c r="AL269" i="65"/>
  <c r="BB268" i="65"/>
  <c r="H268" i="65"/>
  <c r="AN267" i="65"/>
  <c r="BC266" i="65"/>
  <c r="AE266" i="65"/>
  <c r="AF266" i="65" s="1"/>
  <c r="AG266" i="65" s="1"/>
  <c r="AH266" i="65" s="1"/>
  <c r="AV265" i="65"/>
  <c r="F265" i="65"/>
  <c r="AL264" i="65"/>
  <c r="BB263" i="65"/>
  <c r="I263" i="65"/>
  <c r="AO262" i="65"/>
  <c r="BK261" i="65"/>
  <c r="AI261" i="65"/>
  <c r="AZ260" i="65"/>
  <c r="F260" i="65"/>
  <c r="AL259" i="65"/>
  <c r="BB258" i="65"/>
  <c r="I258" i="65"/>
  <c r="AO257" i="65"/>
  <c r="BI256" i="65"/>
  <c r="AE256" i="65"/>
  <c r="AF256" i="65" s="1"/>
  <c r="AG256" i="65" s="1"/>
  <c r="AH256" i="65" s="1"/>
  <c r="AV255" i="65"/>
  <c r="F255" i="65"/>
  <c r="AL254" i="65"/>
  <c r="BC253" i="65"/>
  <c r="J253" i="65"/>
  <c r="AP252" i="65"/>
  <c r="BJ251" i="65"/>
  <c r="AE251" i="65"/>
  <c r="AF251" i="65" s="1"/>
  <c r="AG251" i="65" s="1"/>
  <c r="AH251" i="65" s="1"/>
  <c r="AO250" i="65"/>
  <c r="BA249" i="65"/>
  <c r="H249" i="65"/>
  <c r="AI248" i="65"/>
  <c r="BC298" i="65"/>
  <c r="I298" i="65"/>
  <c r="AO297" i="65"/>
  <c r="BJ296" i="65"/>
  <c r="AE296" i="65"/>
  <c r="AF296" i="65" s="1"/>
  <c r="AG296" i="65" s="1"/>
  <c r="AH296" i="65" s="1"/>
  <c r="AV295" i="65"/>
  <c r="BK294" i="65"/>
  <c r="AI294" i="65"/>
  <c r="AZ293" i="65"/>
  <c r="H293" i="65"/>
  <c r="AN292" i="65"/>
  <c r="BC291" i="65"/>
  <c r="J291" i="65"/>
  <c r="AP290" i="65"/>
  <c r="BI289" i="65"/>
  <c r="AZ288" i="65"/>
  <c r="F288" i="65"/>
  <c r="AL287" i="65"/>
  <c r="BB286" i="65"/>
  <c r="J286" i="65"/>
  <c r="AP285" i="65"/>
  <c r="BJ284" i="65"/>
  <c r="AZ283" i="65"/>
  <c r="F283" i="65"/>
  <c r="AL282" i="65"/>
  <c r="BB281" i="65"/>
  <c r="I281" i="65"/>
  <c r="AO280" i="65"/>
  <c r="BI279" i="65"/>
  <c r="AZ278" i="65"/>
  <c r="H278" i="65"/>
  <c r="AN277" i="65"/>
  <c r="BC276" i="65"/>
  <c r="J276" i="65"/>
  <c r="AP275" i="65"/>
  <c r="BI274" i="65"/>
  <c r="AZ273" i="65"/>
  <c r="F273" i="65"/>
  <c r="AL272" i="65"/>
  <c r="BC271" i="65"/>
  <c r="J271" i="65"/>
  <c r="AP270" i="65"/>
  <c r="BK269" i="65"/>
  <c r="AI269" i="65"/>
  <c r="BA268" i="65"/>
  <c r="F268" i="65"/>
  <c r="AL267" i="65"/>
  <c r="BB266" i="65"/>
  <c r="J266" i="65"/>
  <c r="AP265" i="65"/>
  <c r="BK264" i="65"/>
  <c r="AI264" i="65"/>
  <c r="BA263" i="65"/>
  <c r="H263" i="65"/>
  <c r="AN262" i="65"/>
  <c r="BJ261" i="65"/>
  <c r="AE261" i="65"/>
  <c r="AF261" i="65" s="1"/>
  <c r="AG261" i="65" s="1"/>
  <c r="AH261" i="65" s="1"/>
  <c r="AV260" i="65"/>
  <c r="BK259" i="65"/>
  <c r="AI259" i="65"/>
  <c r="BA258" i="65"/>
  <c r="H258" i="65"/>
  <c r="AN257" i="65"/>
  <c r="BC256" i="65"/>
  <c r="J256" i="65"/>
  <c r="AP255" i="65"/>
  <c r="BK254" i="65"/>
  <c r="AI254" i="65"/>
  <c r="BB253" i="65"/>
  <c r="I253" i="65"/>
  <c r="AO252" i="65"/>
  <c r="BI251" i="65"/>
  <c r="J251" i="65"/>
  <c r="AN250" i="65"/>
  <c r="AZ249" i="65"/>
  <c r="F249" i="65"/>
  <c r="BB298" i="65"/>
  <c r="H298" i="65"/>
  <c r="AN297" i="65"/>
  <c r="BI296" i="65"/>
  <c r="J296" i="65"/>
  <c r="AP295" i="65"/>
  <c r="BJ294" i="65"/>
  <c r="AE294" i="65"/>
  <c r="AF294" i="65" s="1"/>
  <c r="AG294" i="65" s="1"/>
  <c r="AH294" i="65" s="1"/>
  <c r="AV293" i="65"/>
  <c r="F293" i="65"/>
  <c r="AL292" i="65"/>
  <c r="BB291" i="65"/>
  <c r="I291" i="65"/>
  <c r="AO290" i="65"/>
  <c r="BC289" i="65"/>
  <c r="AE289" i="65"/>
  <c r="AF289" i="65" s="1"/>
  <c r="AG289" i="65" s="1"/>
  <c r="AH289" i="65" s="1"/>
  <c r="AV288" i="65"/>
  <c r="BK287" i="65"/>
  <c r="AI287" i="65"/>
  <c r="BA286" i="65"/>
  <c r="I286" i="65"/>
  <c r="AO285" i="65"/>
  <c r="BI284" i="65"/>
  <c r="AE284" i="65"/>
  <c r="AF284" i="65" s="1"/>
  <c r="AG284" i="65" s="1"/>
  <c r="AH284" i="65" s="1"/>
  <c r="AV283" i="65"/>
  <c r="BK282" i="65"/>
  <c r="AI282" i="65"/>
  <c r="BA281" i="65"/>
  <c r="H281" i="65"/>
  <c r="AN280" i="65"/>
  <c r="BC279" i="65"/>
  <c r="AE279" i="65"/>
  <c r="AF279" i="65" s="1"/>
  <c r="AG279" i="65" s="1"/>
  <c r="AH279" i="65" s="1"/>
  <c r="AV278" i="65"/>
  <c r="F278" i="65"/>
  <c r="AL277" i="65"/>
  <c r="BB276" i="65"/>
  <c r="I276" i="65"/>
  <c r="AO275" i="65"/>
  <c r="BC274" i="65"/>
  <c r="AE274" i="65"/>
  <c r="AF274" i="65" s="1"/>
  <c r="AG274" i="65" s="1"/>
  <c r="AH274" i="65" s="1"/>
  <c r="AV273" i="65"/>
  <c r="BK272" i="65"/>
  <c r="AI272" i="65"/>
  <c r="BB271" i="65"/>
  <c r="I271" i="65"/>
  <c r="AO270" i="65"/>
  <c r="BJ269" i="65"/>
  <c r="AZ268" i="65"/>
  <c r="BK267" i="65"/>
  <c r="AI267" i="65"/>
  <c r="BA266" i="65"/>
  <c r="I266" i="65"/>
  <c r="AO265" i="65"/>
  <c r="BJ264" i="65"/>
  <c r="AZ263" i="65"/>
  <c r="F263" i="65"/>
  <c r="AL262" i="65"/>
  <c r="BI261" i="65"/>
  <c r="J261" i="65"/>
  <c r="AP260" i="65"/>
  <c r="BJ259" i="65"/>
  <c r="AZ258" i="65"/>
  <c r="F258" i="65"/>
  <c r="AL257" i="65"/>
  <c r="BB256" i="65"/>
  <c r="I256" i="65"/>
  <c r="AO255" i="65"/>
  <c r="BJ254" i="65"/>
  <c r="BA253" i="65"/>
  <c r="H253" i="65"/>
  <c r="AN252" i="65"/>
  <c r="BC251" i="65"/>
  <c r="I251" i="65"/>
  <c r="AL250" i="65"/>
  <c r="AV249" i="65"/>
  <c r="BK248" i="65"/>
  <c r="AE248" i="65"/>
  <c r="AF248" i="65" s="1"/>
  <c r="AG248" i="65" s="1"/>
  <c r="AH248" i="65" s="1"/>
  <c r="BA298" i="65"/>
  <c r="F298" i="65"/>
  <c r="AL297" i="65"/>
  <c r="BC296" i="65"/>
  <c r="I296" i="65"/>
  <c r="AO295" i="65"/>
  <c r="BI294" i="65"/>
  <c r="J294" i="65"/>
  <c r="AP293" i="65"/>
  <c r="BK292" i="65"/>
  <c r="AI292" i="65"/>
  <c r="BA291" i="65"/>
  <c r="H291" i="65"/>
  <c r="AN290" i="65"/>
  <c r="BB289" i="65"/>
  <c r="J289" i="65"/>
  <c r="AP288" i="65"/>
  <c r="BJ287" i="65"/>
  <c r="AZ286" i="65"/>
  <c r="H286" i="65"/>
  <c r="AN285" i="65"/>
  <c r="BC284" i="65"/>
  <c r="J284" i="65"/>
  <c r="AP283" i="65"/>
  <c r="BJ282" i="65"/>
  <c r="AZ281" i="65"/>
  <c r="F281" i="65"/>
  <c r="AL280" i="65"/>
  <c r="BB279" i="65"/>
  <c r="J279" i="65"/>
  <c r="AP278" i="65"/>
  <c r="BK277" i="65"/>
  <c r="AI277" i="65"/>
  <c r="BA276" i="65"/>
  <c r="H276" i="65"/>
  <c r="AN275" i="65"/>
  <c r="BB274" i="65"/>
  <c r="J274" i="65"/>
  <c r="AP273" i="65"/>
  <c r="BJ272" i="65"/>
  <c r="BA271" i="65"/>
  <c r="H271" i="65"/>
  <c r="AN270" i="65"/>
  <c r="BI269" i="65"/>
  <c r="AE269" i="65"/>
  <c r="AF269" i="65" s="1"/>
  <c r="AG269" i="65" s="1"/>
  <c r="AH269" i="65" s="1"/>
  <c r="AV268" i="65"/>
  <c r="BJ267" i="65"/>
  <c r="AZ266" i="65"/>
  <c r="H266" i="65"/>
  <c r="AN265" i="65"/>
  <c r="BI264" i="65"/>
  <c r="AE264" i="65"/>
  <c r="AF264" i="65" s="1"/>
  <c r="AG264" i="65" s="1"/>
  <c r="AH264" i="65" s="1"/>
  <c r="AV263" i="65"/>
  <c r="BK262" i="65"/>
  <c r="AI262" i="65"/>
  <c r="BC261" i="65"/>
  <c r="I261" i="65"/>
  <c r="AO260" i="65"/>
  <c r="BI259" i="65"/>
  <c r="AE259" i="65"/>
  <c r="AF259" i="65" s="1"/>
  <c r="AG259" i="65" s="1"/>
  <c r="AH259" i="65" s="1"/>
  <c r="AV258" i="65"/>
  <c r="BK257" i="65"/>
  <c r="AI257" i="65"/>
  <c r="BA256" i="65"/>
  <c r="H256" i="65"/>
  <c r="AN255" i="65"/>
  <c r="BI254" i="65"/>
  <c r="AZ253" i="65"/>
  <c r="F253" i="65"/>
  <c r="AL252" i="65"/>
  <c r="BB251" i="65"/>
  <c r="H251" i="65"/>
  <c r="AI250" i="65"/>
  <c r="AP249" i="65"/>
  <c r="BC248" i="65"/>
  <c r="J248" i="65"/>
  <c r="AN247" i="65"/>
  <c r="AZ298" i="65"/>
  <c r="BK297" i="65"/>
  <c r="AI297" i="65"/>
  <c r="BB296" i="65"/>
  <c r="H296" i="65"/>
  <c r="AN295" i="65"/>
  <c r="BC294" i="65"/>
  <c r="I294" i="65"/>
  <c r="AO293" i="65"/>
  <c r="BJ292" i="65"/>
  <c r="AZ291" i="65"/>
  <c r="F291" i="65"/>
  <c r="AL290" i="65"/>
  <c r="BA289" i="65"/>
  <c r="I289" i="65"/>
  <c r="AO288" i="65"/>
  <c r="BI287" i="65"/>
  <c r="AE287" i="65"/>
  <c r="AF287" i="65" s="1"/>
  <c r="AG287" i="65" s="1"/>
  <c r="AH287" i="65" s="1"/>
  <c r="AV286" i="65"/>
  <c r="F286" i="65"/>
  <c r="AL285" i="65"/>
  <c r="BB284" i="65"/>
  <c r="I284" i="65"/>
  <c r="AO283" i="65"/>
  <c r="BI282" i="65"/>
  <c r="AE282" i="65"/>
  <c r="AF282" i="65" s="1"/>
  <c r="AG282" i="65" s="1"/>
  <c r="AH282" i="65" s="1"/>
  <c r="AV281" i="65"/>
  <c r="BK280" i="65"/>
  <c r="AI280" i="65"/>
  <c r="BA279" i="65"/>
  <c r="I279" i="65"/>
  <c r="AO278" i="65"/>
  <c r="BJ277" i="65"/>
  <c r="AZ276" i="65"/>
  <c r="F276" i="65"/>
  <c r="AL275" i="65"/>
  <c r="BA274" i="65"/>
  <c r="I274" i="65"/>
  <c r="AO273" i="65"/>
  <c r="BI272" i="65"/>
  <c r="AZ271" i="65"/>
  <c r="F271" i="65"/>
  <c r="AL270" i="65"/>
  <c r="BC269" i="65"/>
  <c r="J269" i="65"/>
  <c r="AP268" i="65"/>
  <c r="BI267" i="65"/>
  <c r="AE267" i="65"/>
  <c r="AF267" i="65" s="1"/>
  <c r="AG267" i="65" s="1"/>
  <c r="AH267" i="65" s="1"/>
  <c r="AV266" i="65"/>
  <c r="F266" i="65"/>
  <c r="AL265" i="65"/>
  <c r="BC264" i="65"/>
  <c r="J264" i="65"/>
  <c r="AP263" i="65"/>
  <c r="BJ262" i="65"/>
  <c r="BB261" i="65"/>
  <c r="H261" i="65"/>
  <c r="AN260" i="65"/>
  <c r="BC259" i="65"/>
  <c r="J259" i="65"/>
  <c r="AP258" i="65"/>
  <c r="BJ257" i="65"/>
  <c r="AZ256" i="65"/>
  <c r="F256" i="65"/>
  <c r="AL255" i="65"/>
  <c r="BC254" i="65"/>
  <c r="AE254" i="65"/>
  <c r="AF254" i="65" s="1"/>
  <c r="AG254" i="65" s="1"/>
  <c r="AH254" i="65" s="1"/>
  <c r="AV253" i="65"/>
  <c r="BK252" i="65"/>
  <c r="AI252" i="65"/>
  <c r="BA251" i="65"/>
  <c r="F251" i="65"/>
  <c r="AE250" i="65"/>
  <c r="AF250" i="65" s="1"/>
  <c r="AG250" i="65" s="1"/>
  <c r="AH250" i="65" s="1"/>
  <c r="AO249" i="65"/>
  <c r="BB248" i="65"/>
  <c r="I248" i="65"/>
  <c r="AL247" i="65"/>
  <c r="BC246" i="65"/>
  <c r="AE246" i="65"/>
  <c r="AF246" i="65" s="1"/>
  <c r="AG246" i="65" s="1"/>
  <c r="AH246" i="65" s="1"/>
  <c r="AV245" i="65"/>
  <c r="AV298" i="65"/>
  <c r="BJ297" i="65"/>
  <c r="BA296" i="65"/>
  <c r="F296" i="65"/>
  <c r="AL295" i="65"/>
  <c r="BB294" i="65"/>
  <c r="H294" i="65"/>
  <c r="AN293" i="65"/>
  <c r="BI292" i="65"/>
  <c r="AE292" i="65"/>
  <c r="AF292" i="65" s="1"/>
  <c r="AG292" i="65" s="1"/>
  <c r="AH292" i="65" s="1"/>
  <c r="AV291" i="65"/>
  <c r="BK290" i="65"/>
  <c r="AI290" i="65"/>
  <c r="AZ289" i="65"/>
  <c r="H289" i="65"/>
  <c r="AN288" i="65"/>
  <c r="BC287" i="65"/>
  <c r="J287" i="65"/>
  <c r="AP286" i="65"/>
  <c r="BK285" i="65"/>
  <c r="AI285" i="65"/>
  <c r="BA284" i="65"/>
  <c r="H284" i="65"/>
  <c r="AN283" i="65"/>
  <c r="BC282" i="65"/>
  <c r="J282" i="65"/>
  <c r="AP281" i="65"/>
  <c r="BJ280" i="65"/>
  <c r="AZ279" i="65"/>
  <c r="H279" i="65"/>
  <c r="AN278" i="65"/>
  <c r="BI277" i="65"/>
  <c r="AE277" i="65"/>
  <c r="AF277" i="65" s="1"/>
  <c r="AG277" i="65" s="1"/>
  <c r="AH277" i="65" s="1"/>
  <c r="AV276" i="65"/>
  <c r="BK275" i="65"/>
  <c r="AI275" i="65"/>
  <c r="AZ274" i="65"/>
  <c r="H274" i="65"/>
  <c r="AN273" i="65"/>
  <c r="BC272" i="65"/>
  <c r="AE272" i="65"/>
  <c r="AF272" i="65" s="1"/>
  <c r="AG272" i="65" s="1"/>
  <c r="AH272" i="65" s="1"/>
  <c r="AV271" i="65"/>
  <c r="BK270" i="65"/>
  <c r="AI270" i="65"/>
  <c r="BB269" i="65"/>
  <c r="I269" i="65"/>
  <c r="AO268" i="65"/>
  <c r="BC267" i="65"/>
  <c r="J267" i="65"/>
  <c r="AP266" i="65"/>
  <c r="BK265" i="65"/>
  <c r="AI265" i="65"/>
  <c r="BB264" i="65"/>
  <c r="I264" i="65"/>
  <c r="AO263" i="65"/>
  <c r="BI262" i="65"/>
  <c r="BA261" i="65"/>
  <c r="F261" i="65"/>
  <c r="AL260" i="65"/>
  <c r="BB259" i="65"/>
  <c r="I259" i="65"/>
  <c r="AO258" i="65"/>
  <c r="BI257" i="65"/>
  <c r="AE257" i="65"/>
  <c r="AF257" i="65" s="1"/>
  <c r="AG257" i="65" s="1"/>
  <c r="AH257" i="65" s="1"/>
  <c r="AV256" i="65"/>
  <c r="BK255" i="65"/>
  <c r="AI255" i="65"/>
  <c r="BB254" i="65"/>
  <c r="J254" i="65"/>
  <c r="AP253" i="65"/>
  <c r="BJ252" i="65"/>
  <c r="AZ251" i="65"/>
  <c r="BK250" i="65"/>
  <c r="J250" i="65"/>
  <c r="AN249" i="65"/>
  <c r="BA248" i="65"/>
  <c r="H248" i="65"/>
  <c r="AI247" i="65"/>
  <c r="AP298" i="65"/>
  <c r="AZ296" i="65"/>
  <c r="BA294" i="65"/>
  <c r="BC292" i="65"/>
  <c r="BJ290" i="65"/>
  <c r="F289" i="65"/>
  <c r="I287" i="65"/>
  <c r="AL283" i="65"/>
  <c r="AO281" i="65"/>
  <c r="AV279" i="65"/>
  <c r="BC277" i="65"/>
  <c r="BJ275" i="65"/>
  <c r="F274" i="65"/>
  <c r="J272" i="65"/>
  <c r="AN268" i="65"/>
  <c r="AO266" i="65"/>
  <c r="BA264" i="65"/>
  <c r="BC262" i="65"/>
  <c r="BK260" i="65"/>
  <c r="H259" i="65"/>
  <c r="J257" i="65"/>
  <c r="AO253" i="65"/>
  <c r="AV251" i="65"/>
  <c r="AL249" i="65"/>
  <c r="BB247" i="65"/>
  <c r="BJ246" i="65"/>
  <c r="AP245" i="65"/>
  <c r="BI244" i="65"/>
  <c r="AE244" i="65"/>
  <c r="AF244" i="65" s="1"/>
  <c r="AG244" i="65" s="1"/>
  <c r="AH244" i="65" s="1"/>
  <c r="AV243" i="65"/>
  <c r="F241" i="65"/>
  <c r="AL240" i="65"/>
  <c r="J239" i="65"/>
  <c r="AP238" i="65"/>
  <c r="AI237" i="65"/>
  <c r="F236" i="65"/>
  <c r="AO234" i="65"/>
  <c r="AI232" i="65"/>
  <c r="F231" i="65"/>
  <c r="AL230" i="65"/>
  <c r="H229" i="65"/>
  <c r="AP224" i="65"/>
  <c r="AE223" i="65"/>
  <c r="AF223" i="65" s="1"/>
  <c r="AG223" i="65" s="1"/>
  <c r="AH223" i="65" s="1"/>
  <c r="AV222" i="65"/>
  <c r="F220" i="65"/>
  <c r="AL219" i="65"/>
  <c r="H218" i="65"/>
  <c r="AN217" i="65"/>
  <c r="H216" i="65"/>
  <c r="AV205" i="65"/>
  <c r="BA190" i="65"/>
  <c r="H190" i="65"/>
  <c r="AN189" i="65"/>
  <c r="J188" i="65"/>
  <c r="AP187" i="65"/>
  <c r="AE186" i="65"/>
  <c r="AF186" i="65" s="1"/>
  <c r="AG186" i="65" s="1"/>
  <c r="AH186" i="65" s="1"/>
  <c r="AV185" i="65"/>
  <c r="AO298" i="65"/>
  <c r="AV296" i="65"/>
  <c r="AZ294" i="65"/>
  <c r="BB292" i="65"/>
  <c r="BI290" i="65"/>
  <c r="BK288" i="65"/>
  <c r="H287" i="65"/>
  <c r="AE285" i="65"/>
  <c r="AF285" i="65" s="1"/>
  <c r="AG285" i="65" s="1"/>
  <c r="AH285" i="65" s="1"/>
  <c r="AI283" i="65"/>
  <c r="AN281" i="65"/>
  <c r="AP279" i="65"/>
  <c r="BB277" i="65"/>
  <c r="BI275" i="65"/>
  <c r="BK273" i="65"/>
  <c r="I272" i="65"/>
  <c r="AL268" i="65"/>
  <c r="AN266" i="65"/>
  <c r="AZ264" i="65"/>
  <c r="BB262" i="65"/>
  <c r="BJ260" i="65"/>
  <c r="F259" i="65"/>
  <c r="I257" i="65"/>
  <c r="AN253" i="65"/>
  <c r="AP251" i="65"/>
  <c r="AI249" i="65"/>
  <c r="AV247" i="65"/>
  <c r="BI246" i="65"/>
  <c r="J246" i="65"/>
  <c r="AO245" i="65"/>
  <c r="BC244" i="65"/>
  <c r="J244" i="65"/>
  <c r="AP243" i="65"/>
  <c r="BK240" i="65"/>
  <c r="AI240" i="65"/>
  <c r="I239" i="65"/>
  <c r="AO238" i="65"/>
  <c r="AE237" i="65"/>
  <c r="AF237" i="65" s="1"/>
  <c r="AG237" i="65" s="1"/>
  <c r="AH237" i="65" s="1"/>
  <c r="AN234" i="65"/>
  <c r="AE232" i="65"/>
  <c r="AF232" i="65" s="1"/>
  <c r="AG232" i="65" s="1"/>
  <c r="AH232" i="65" s="1"/>
  <c r="AI230" i="65"/>
  <c r="F229" i="65"/>
  <c r="AO224" i="65"/>
  <c r="BC223" i="65"/>
  <c r="J223" i="65"/>
  <c r="AP222" i="65"/>
  <c r="AE221" i="65"/>
  <c r="AF221" i="65" s="1"/>
  <c r="AG221" i="65" s="1"/>
  <c r="AH221" i="65" s="1"/>
  <c r="AV220" i="65"/>
  <c r="AI219" i="65"/>
  <c r="F218" i="65"/>
  <c r="AL217" i="65"/>
  <c r="F216" i="65"/>
  <c r="AP205" i="65"/>
  <c r="F190" i="65"/>
  <c r="AL189" i="65"/>
  <c r="I188" i="65"/>
  <c r="AO187" i="65"/>
  <c r="J186" i="65"/>
  <c r="AP185" i="65"/>
  <c r="AN298" i="65"/>
  <c r="AP296" i="65"/>
  <c r="AV294" i="65"/>
  <c r="BA292" i="65"/>
  <c r="BC290" i="65"/>
  <c r="BJ288" i="65"/>
  <c r="F287" i="65"/>
  <c r="J285" i="65"/>
  <c r="AL281" i="65"/>
  <c r="AO279" i="65"/>
  <c r="BA277" i="65"/>
  <c r="BC275" i="65"/>
  <c r="BJ273" i="65"/>
  <c r="H272" i="65"/>
  <c r="AE270" i="65"/>
  <c r="AF270" i="65" s="1"/>
  <c r="AG270" i="65" s="1"/>
  <c r="AH270" i="65" s="1"/>
  <c r="AI268" i="65"/>
  <c r="AL266" i="65"/>
  <c r="AV264" i="65"/>
  <c r="BA262" i="65"/>
  <c r="BI260" i="65"/>
  <c r="BK258" i="65"/>
  <c r="H257" i="65"/>
  <c r="AE255" i="65"/>
  <c r="AF255" i="65" s="1"/>
  <c r="AG255" i="65" s="1"/>
  <c r="AH255" i="65" s="1"/>
  <c r="AL253" i="65"/>
  <c r="AO251" i="65"/>
  <c r="AP247" i="65"/>
  <c r="BB246" i="65"/>
  <c r="I246" i="65"/>
  <c r="AN245" i="65"/>
  <c r="BB244" i="65"/>
  <c r="I244" i="65"/>
  <c r="AO243" i="65"/>
  <c r="AE242" i="65"/>
  <c r="AF242" i="65" s="1"/>
  <c r="AG242" i="65" s="1"/>
  <c r="AH242" i="65" s="1"/>
  <c r="AV241" i="65"/>
  <c r="H239" i="65"/>
  <c r="AN238" i="65"/>
  <c r="J237" i="65"/>
  <c r="AP236" i="65"/>
  <c r="AL234" i="65"/>
  <c r="J232" i="65"/>
  <c r="AP231" i="65"/>
  <c r="BJ225" i="65"/>
  <c r="F225" i="65"/>
  <c r="AN224" i="65"/>
  <c r="BB223" i="65"/>
  <c r="I223" i="65"/>
  <c r="AO222" i="65"/>
  <c r="AL298" i="65"/>
  <c r="AO296" i="65"/>
  <c r="AP294" i="65"/>
  <c r="AZ292" i="65"/>
  <c r="BB290" i="65"/>
  <c r="BI288" i="65"/>
  <c r="BK286" i="65"/>
  <c r="I285" i="65"/>
  <c r="AE283" i="65"/>
  <c r="AF283" i="65" s="1"/>
  <c r="AG283" i="65" s="1"/>
  <c r="AH283" i="65" s="1"/>
  <c r="AI281" i="65"/>
  <c r="AN279" i="65"/>
  <c r="AZ277" i="65"/>
  <c r="BB275" i="65"/>
  <c r="BI273" i="65"/>
  <c r="F272" i="65"/>
  <c r="J270" i="65"/>
  <c r="AE268" i="65"/>
  <c r="AF268" i="65" s="1"/>
  <c r="AG268" i="65" s="1"/>
  <c r="AH268" i="65" s="1"/>
  <c r="AI266" i="65"/>
  <c r="AP264" i="65"/>
  <c r="AZ262" i="65"/>
  <c r="BC260" i="65"/>
  <c r="BJ258" i="65"/>
  <c r="F257" i="65"/>
  <c r="J255" i="65"/>
  <c r="AI253" i="65"/>
  <c r="AN251" i="65"/>
  <c r="AE249" i="65"/>
  <c r="AF249" i="65" s="1"/>
  <c r="AG249" i="65" s="1"/>
  <c r="AH249" i="65" s="1"/>
  <c r="AO247" i="65"/>
  <c r="BA246" i="65"/>
  <c r="H246" i="65"/>
  <c r="AL245" i="65"/>
  <c r="BA244" i="65"/>
  <c r="H244" i="65"/>
  <c r="AN243" i="65"/>
  <c r="J242" i="65"/>
  <c r="AP241" i="65"/>
  <c r="BI240" i="65"/>
  <c r="F239" i="65"/>
  <c r="AL238" i="65"/>
  <c r="I237" i="65"/>
  <c r="AO236" i="65"/>
  <c r="AI234" i="65"/>
  <c r="I232" i="65"/>
  <c r="AO231" i="65"/>
  <c r="AE230" i="65"/>
  <c r="AF230" i="65" s="1"/>
  <c r="AG230" i="65" s="1"/>
  <c r="AH230" i="65" s="1"/>
  <c r="AV229" i="65"/>
  <c r="AL224" i="65"/>
  <c r="BA223" i="65"/>
  <c r="H223" i="65"/>
  <c r="AN222" i="65"/>
  <c r="I221" i="65"/>
  <c r="AO220" i="65"/>
  <c r="J219" i="65"/>
  <c r="AP218" i="65"/>
  <c r="AE217" i="65"/>
  <c r="AF217" i="65" s="1"/>
  <c r="AG217" i="65" s="1"/>
  <c r="AH217" i="65" s="1"/>
  <c r="AV216" i="65"/>
  <c r="H206" i="65"/>
  <c r="AN205" i="65"/>
  <c r="I191" i="65"/>
  <c r="AP190" i="65"/>
  <c r="BJ189" i="65"/>
  <c r="BI297" i="65"/>
  <c r="BK295" i="65"/>
  <c r="F294" i="65"/>
  <c r="J292" i="65"/>
  <c r="AE290" i="65"/>
  <c r="AF290" i="65" s="1"/>
  <c r="AG290" i="65" s="1"/>
  <c r="AH290" i="65" s="1"/>
  <c r="AL288" i="65"/>
  <c r="AO286" i="65"/>
  <c r="AZ284" i="65"/>
  <c r="BB282" i="65"/>
  <c r="BI280" i="65"/>
  <c r="F279" i="65"/>
  <c r="J277" i="65"/>
  <c r="AE275" i="65"/>
  <c r="AF275" i="65" s="1"/>
  <c r="AG275" i="65" s="1"/>
  <c r="AH275" i="65" s="1"/>
  <c r="AL273" i="65"/>
  <c r="AP271" i="65"/>
  <c r="BA269" i="65"/>
  <c r="BB267" i="65"/>
  <c r="BJ265" i="65"/>
  <c r="H264" i="65"/>
  <c r="AI260" i="65"/>
  <c r="AN258" i="65"/>
  <c r="AP256" i="65"/>
  <c r="BA254" i="65"/>
  <c r="BI252" i="65"/>
  <c r="BC250" i="65"/>
  <c r="AZ248" i="65"/>
  <c r="AZ246" i="65"/>
  <c r="F246" i="65"/>
  <c r="AI245" i="65"/>
  <c r="AZ244" i="65"/>
  <c r="F244" i="65"/>
  <c r="AL243" i="65"/>
  <c r="I242" i="65"/>
  <c r="AO241" i="65"/>
  <c r="AE240" i="65"/>
  <c r="AF240" i="65" s="1"/>
  <c r="AG240" i="65" s="1"/>
  <c r="AH240" i="65" s="1"/>
  <c r="AV239" i="65"/>
  <c r="AI238" i="65"/>
  <c r="H237" i="65"/>
  <c r="AN236" i="65"/>
  <c r="H232" i="65"/>
  <c r="AN231" i="65"/>
  <c r="J230" i="65"/>
  <c r="AP229" i="65"/>
  <c r="AI224" i="65"/>
  <c r="AZ223" i="65"/>
  <c r="F223" i="65"/>
  <c r="AL222" i="65"/>
  <c r="H221" i="65"/>
  <c r="AN220" i="65"/>
  <c r="I219" i="65"/>
  <c r="AO218" i="65"/>
  <c r="J217" i="65"/>
  <c r="AP216" i="65"/>
  <c r="AL205" i="65"/>
  <c r="H191" i="65"/>
  <c r="AO190" i="65"/>
  <c r="AE189" i="65"/>
  <c r="AF189" i="65" s="1"/>
  <c r="AG189" i="65" s="1"/>
  <c r="AH189" i="65" s="1"/>
  <c r="AV188" i="65"/>
  <c r="BK187" i="65"/>
  <c r="BB297" i="65"/>
  <c r="BI295" i="65"/>
  <c r="BJ293" i="65"/>
  <c r="H292" i="65"/>
  <c r="I290" i="65"/>
  <c r="AL286" i="65"/>
  <c r="AP284" i="65"/>
  <c r="AZ282" i="65"/>
  <c r="BB280" i="65"/>
  <c r="BJ278" i="65"/>
  <c r="H277" i="65"/>
  <c r="I275" i="65"/>
  <c r="AN271" i="65"/>
  <c r="AV269" i="65"/>
  <c r="AZ267" i="65"/>
  <c r="BC265" i="65"/>
  <c r="BK263" i="65"/>
  <c r="J262" i="65"/>
  <c r="AE260" i="65"/>
  <c r="AF260" i="65" s="1"/>
  <c r="AG260" i="65" s="1"/>
  <c r="AH260" i="65" s="1"/>
  <c r="AI258" i="65"/>
  <c r="AN256" i="65"/>
  <c r="AV254" i="65"/>
  <c r="BB252" i="65"/>
  <c r="BA250" i="65"/>
  <c r="AP248" i="65"/>
  <c r="AE247" i="65"/>
  <c r="AF247" i="65" s="1"/>
  <c r="AG247" i="65" s="1"/>
  <c r="AH247" i="65" s="1"/>
  <c r="AP246" i="65"/>
  <c r="BJ245" i="65"/>
  <c r="J245" i="65"/>
  <c r="AP244" i="65"/>
  <c r="BJ243" i="65"/>
  <c r="AE243" i="65"/>
  <c r="AF243" i="65" s="1"/>
  <c r="AG243" i="65" s="1"/>
  <c r="AH243" i="65" s="1"/>
  <c r="AV242" i="65"/>
  <c r="F242" i="65"/>
  <c r="AL241" i="65"/>
  <c r="BA240" i="65"/>
  <c r="I240" i="65"/>
  <c r="AO239" i="65"/>
  <c r="AI236" i="65"/>
  <c r="J234" i="65"/>
  <c r="AI231" i="65"/>
  <c r="H230" i="65"/>
  <c r="AN229" i="65"/>
  <c r="J224" i="65"/>
  <c r="AP223" i="65"/>
  <c r="BJ222" i="65"/>
  <c r="AE222" i="65"/>
  <c r="AF222" i="65" s="1"/>
  <c r="AG222" i="65" s="1"/>
  <c r="AH222" i="65" s="1"/>
  <c r="AI220" i="65"/>
  <c r="F219" i="65"/>
  <c r="AL218" i="65"/>
  <c r="H217" i="65"/>
  <c r="AN216" i="65"/>
  <c r="AL190" i="65"/>
  <c r="BB189" i="65"/>
  <c r="I189" i="65"/>
  <c r="AO188" i="65"/>
  <c r="AE187" i="65"/>
  <c r="AF187" i="65" s="1"/>
  <c r="AG187" i="65" s="1"/>
  <c r="AH187" i="65" s="1"/>
  <c r="AV186" i="65"/>
  <c r="BJ185" i="65"/>
  <c r="AE185" i="65"/>
  <c r="AF185" i="65" s="1"/>
  <c r="AG185" i="65" s="1"/>
  <c r="AH185" i="65" s="1"/>
  <c r="BA297" i="65"/>
  <c r="BC295" i="65"/>
  <c r="BI293" i="65"/>
  <c r="F292" i="65"/>
  <c r="H290" i="65"/>
  <c r="AE288" i="65"/>
  <c r="AF288" i="65" s="1"/>
  <c r="AG288" i="65" s="1"/>
  <c r="AH288" i="65" s="1"/>
  <c r="AI286" i="65"/>
  <c r="AO284" i="65"/>
  <c r="AV282" i="65"/>
  <c r="BA280" i="65"/>
  <c r="BI278" i="65"/>
  <c r="F277" i="65"/>
  <c r="H275" i="65"/>
  <c r="AE273" i="65"/>
  <c r="AF273" i="65" s="1"/>
  <c r="AG273" i="65" s="1"/>
  <c r="AH273" i="65" s="1"/>
  <c r="AL271" i="65"/>
  <c r="AP269" i="65"/>
  <c r="AV267" i="65"/>
  <c r="BB265" i="65"/>
  <c r="BJ263" i="65"/>
  <c r="I262" i="65"/>
  <c r="J260" i="65"/>
  <c r="AL256" i="65"/>
  <c r="AP254" i="65"/>
  <c r="BA252" i="65"/>
  <c r="AZ250" i="65"/>
  <c r="AO248" i="65"/>
  <c r="J247" i="65"/>
  <c r="AO246" i="65"/>
  <c r="BI245" i="65"/>
  <c r="I245" i="65"/>
  <c r="AO244" i="65"/>
  <c r="BI243" i="65"/>
  <c r="J243" i="65"/>
  <c r="AP242" i="65"/>
  <c r="AI241" i="65"/>
  <c r="H240" i="65"/>
  <c r="AN239" i="65"/>
  <c r="AE238" i="65"/>
  <c r="AF238" i="65" s="1"/>
  <c r="AG238" i="65" s="1"/>
  <c r="AH238" i="65" s="1"/>
  <c r="BJ236" i="65"/>
  <c r="I234" i="65"/>
  <c r="AV232" i="65"/>
  <c r="F230" i="65"/>
  <c r="AL229" i="65"/>
  <c r="I224" i="65"/>
  <c r="AO223" i="65"/>
  <c r="J222" i="65"/>
  <c r="AP221" i="65"/>
  <c r="AI218" i="65"/>
  <c r="F217" i="65"/>
  <c r="AL216" i="65"/>
  <c r="AE205" i="65"/>
  <c r="AF205" i="65" s="1"/>
  <c r="AG205" i="65" s="1"/>
  <c r="AH205" i="65" s="1"/>
  <c r="AI190" i="65"/>
  <c r="H189" i="65"/>
  <c r="AN188" i="65"/>
  <c r="J187" i="65"/>
  <c r="AP186" i="65"/>
  <c r="J185" i="65"/>
  <c r="AI295" i="65"/>
  <c r="AL293" i="65"/>
  <c r="AP291" i="65"/>
  <c r="AV289" i="65"/>
  <c r="BB287" i="65"/>
  <c r="BJ285" i="65"/>
  <c r="F284" i="65"/>
  <c r="I282" i="65"/>
  <c r="AE280" i="65"/>
  <c r="AF280" i="65" s="1"/>
  <c r="AG280" i="65" s="1"/>
  <c r="AH280" i="65" s="1"/>
  <c r="AL278" i="65"/>
  <c r="AP276" i="65"/>
  <c r="AV274" i="65"/>
  <c r="BB272" i="65"/>
  <c r="BJ270" i="65"/>
  <c r="H269" i="65"/>
  <c r="I267" i="65"/>
  <c r="AN263" i="65"/>
  <c r="AZ261" i="65"/>
  <c r="BA259" i="65"/>
  <c r="BC257" i="65"/>
  <c r="BJ255" i="65"/>
  <c r="I254" i="65"/>
  <c r="AE252" i="65"/>
  <c r="AF252" i="65" s="1"/>
  <c r="AG252" i="65" s="1"/>
  <c r="AH252" i="65" s="1"/>
  <c r="I250" i="65"/>
  <c r="I247" i="65"/>
  <c r="AN246" i="65"/>
  <c r="BC245" i="65"/>
  <c r="H245" i="65"/>
  <c r="AN244" i="65"/>
  <c r="I243" i="65"/>
  <c r="AO242" i="65"/>
  <c r="AE241" i="65"/>
  <c r="AF241" i="65" s="1"/>
  <c r="AG241" i="65" s="1"/>
  <c r="AH241" i="65" s="1"/>
  <c r="AV240" i="65"/>
  <c r="F240" i="65"/>
  <c r="AL239" i="65"/>
  <c r="J238" i="65"/>
  <c r="AP237" i="65"/>
  <c r="BI236" i="65"/>
  <c r="AE236" i="65"/>
  <c r="AF236" i="65" s="1"/>
  <c r="AG236" i="65" s="1"/>
  <c r="AH236" i="65" s="1"/>
  <c r="H234" i="65"/>
  <c r="AP232" i="65"/>
  <c r="AE231" i="65"/>
  <c r="AF231" i="65" s="1"/>
  <c r="AG231" i="65" s="1"/>
  <c r="AH231" i="65" s="1"/>
  <c r="AV230" i="65"/>
  <c r="BK229" i="65"/>
  <c r="AI229" i="65"/>
  <c r="H224" i="65"/>
  <c r="AN223" i="65"/>
  <c r="I222" i="65"/>
  <c r="AO221" i="65"/>
  <c r="AE220" i="65"/>
  <c r="AF220" i="65" s="1"/>
  <c r="AG220" i="65" s="1"/>
  <c r="AH220" i="65" s="1"/>
  <c r="AI216" i="65"/>
  <c r="J205" i="65"/>
  <c r="AP191" i="65"/>
  <c r="F189" i="65"/>
  <c r="AL188" i="65"/>
  <c r="I187" i="65"/>
  <c r="AO186" i="65"/>
  <c r="AE297" i="65"/>
  <c r="AF297" i="65" s="1"/>
  <c r="AG297" i="65" s="1"/>
  <c r="AH297" i="65" s="1"/>
  <c r="AI293" i="65"/>
  <c r="AO291" i="65"/>
  <c r="AP289" i="65"/>
  <c r="BA287" i="65"/>
  <c r="BI285" i="65"/>
  <c r="BK283" i="65"/>
  <c r="H282" i="65"/>
  <c r="J280" i="65"/>
  <c r="AI278" i="65"/>
  <c r="AO276" i="65"/>
  <c r="AP274" i="65"/>
  <c r="BA272" i="65"/>
  <c r="BI270" i="65"/>
  <c r="F269" i="65"/>
  <c r="H267" i="65"/>
  <c r="AL263" i="65"/>
  <c r="AV261" i="65"/>
  <c r="AZ259" i="65"/>
  <c r="BB257" i="65"/>
  <c r="BI255" i="65"/>
  <c r="H254" i="65"/>
  <c r="J252" i="65"/>
  <c r="H250" i="65"/>
  <c r="F248" i="65"/>
  <c r="H247" i="65"/>
  <c r="AL246" i="65"/>
  <c r="BB245" i="65"/>
  <c r="F245" i="65"/>
  <c r="AL244" i="65"/>
  <c r="H243" i="65"/>
  <c r="AN242" i="65"/>
  <c r="J241" i="65"/>
  <c r="AP240" i="65"/>
  <c r="BC297" i="65"/>
  <c r="J290" i="65"/>
  <c r="BA282" i="65"/>
  <c r="J275" i="65"/>
  <c r="BA267" i="65"/>
  <c r="BC252" i="65"/>
  <c r="AV246" i="65"/>
  <c r="AN241" i="65"/>
  <c r="AN237" i="65"/>
  <c r="F232" i="65"/>
  <c r="I230" i="65"/>
  <c r="AZ225" i="65"/>
  <c r="BJ223" i="65"/>
  <c r="AL220" i="65"/>
  <c r="AI217" i="65"/>
  <c r="H205" i="65"/>
  <c r="AN190" i="65"/>
  <c r="AN186" i="65"/>
  <c r="AL185" i="65"/>
  <c r="AV184" i="65"/>
  <c r="BK183" i="65"/>
  <c r="AI183" i="65"/>
  <c r="F182" i="65"/>
  <c r="AL181" i="65"/>
  <c r="J180" i="65"/>
  <c r="AP179" i="65"/>
  <c r="AE178" i="65"/>
  <c r="AF178" i="65" s="1"/>
  <c r="AG178" i="65" s="1"/>
  <c r="AH178" i="65" s="1"/>
  <c r="AV177" i="65"/>
  <c r="AI176" i="65"/>
  <c r="F175" i="65"/>
  <c r="AL174" i="65"/>
  <c r="H173" i="65"/>
  <c r="AN172" i="65"/>
  <c r="I171" i="65"/>
  <c r="AO170" i="65"/>
  <c r="J169" i="65"/>
  <c r="AP168" i="65"/>
  <c r="AE167" i="65"/>
  <c r="AF167" i="65" s="1"/>
  <c r="AG167" i="65" s="1"/>
  <c r="AH167" i="65" s="1"/>
  <c r="AV166" i="65"/>
  <c r="F166" i="65"/>
  <c r="AL165" i="65"/>
  <c r="H164" i="65"/>
  <c r="AN163" i="65"/>
  <c r="J162" i="65"/>
  <c r="AP161" i="65"/>
  <c r="AE160" i="65"/>
  <c r="AF160" i="65" s="1"/>
  <c r="AG160" i="65" s="1"/>
  <c r="AH160" i="65" s="1"/>
  <c r="F157" i="65"/>
  <c r="AL156" i="65"/>
  <c r="J297" i="65"/>
  <c r="AO289" i="65"/>
  <c r="F282" i="65"/>
  <c r="AO274" i="65"/>
  <c r="F267" i="65"/>
  <c r="AV259" i="65"/>
  <c r="I252" i="65"/>
  <c r="AI246" i="65"/>
  <c r="I241" i="65"/>
  <c r="AE239" i="65"/>
  <c r="AF239" i="65" s="1"/>
  <c r="AG239" i="65" s="1"/>
  <c r="AH239" i="65" s="1"/>
  <c r="AL237" i="65"/>
  <c r="AI225" i="65"/>
  <c r="J220" i="65"/>
  <c r="I217" i="65"/>
  <c r="F205" i="65"/>
  <c r="AE190" i="65"/>
  <c r="AF190" i="65" s="1"/>
  <c r="AG190" i="65" s="1"/>
  <c r="AH190" i="65" s="1"/>
  <c r="AN187" i="65"/>
  <c r="AL186" i="65"/>
  <c r="AI185" i="65"/>
  <c r="AP184" i="65"/>
  <c r="AE183" i="65"/>
  <c r="AF183" i="65" s="1"/>
  <c r="AG183" i="65" s="1"/>
  <c r="AH183" i="65" s="1"/>
  <c r="AV182" i="65"/>
  <c r="AI181" i="65"/>
  <c r="BB180" i="65"/>
  <c r="I180" i="65"/>
  <c r="AO179" i="65"/>
  <c r="BI178" i="65"/>
  <c r="J178" i="65"/>
  <c r="AP177" i="65"/>
  <c r="BJ176" i="65"/>
  <c r="AI174" i="65"/>
  <c r="BA173" i="65"/>
  <c r="F173" i="65"/>
  <c r="AL172" i="65"/>
  <c r="BA171" i="65"/>
  <c r="H171" i="65"/>
  <c r="AN170" i="65"/>
  <c r="I169" i="65"/>
  <c r="AO168" i="65"/>
  <c r="BI167" i="65"/>
  <c r="J167" i="65"/>
  <c r="AP166" i="65"/>
  <c r="AI165" i="65"/>
  <c r="F164" i="65"/>
  <c r="AL163" i="65"/>
  <c r="I162" i="65"/>
  <c r="AO161" i="65"/>
  <c r="BC160" i="65"/>
  <c r="J160" i="65"/>
  <c r="AP159" i="65"/>
  <c r="AE158" i="65"/>
  <c r="AF158" i="65" s="1"/>
  <c r="AG158" i="65" s="1"/>
  <c r="AH158" i="65" s="1"/>
  <c r="AV157" i="65"/>
  <c r="I297" i="65"/>
  <c r="AN289" i="65"/>
  <c r="BK281" i="65"/>
  <c r="AN274" i="65"/>
  <c r="BK266" i="65"/>
  <c r="AP259" i="65"/>
  <c r="H252" i="65"/>
  <c r="H241" i="65"/>
  <c r="F237" i="65"/>
  <c r="AP234" i="65"/>
  <c r="AL223" i="65"/>
  <c r="I220" i="65"/>
  <c r="AV218" i="65"/>
  <c r="AO206" i="65"/>
  <c r="AN191" i="65"/>
  <c r="J190" i="65"/>
  <c r="AL187" i="65"/>
  <c r="AI186" i="65"/>
  <c r="I185" i="65"/>
  <c r="AO184" i="65"/>
  <c r="J183" i="65"/>
  <c r="AP182" i="65"/>
  <c r="BA180" i="65"/>
  <c r="H180" i="65"/>
  <c r="AN179" i="65"/>
  <c r="I178" i="65"/>
  <c r="AO177" i="65"/>
  <c r="AE176" i="65"/>
  <c r="AF176" i="65" s="1"/>
  <c r="AG176" i="65" s="1"/>
  <c r="AH176" i="65" s="1"/>
  <c r="AV175" i="65"/>
  <c r="BK172" i="65"/>
  <c r="AI172" i="65"/>
  <c r="F171" i="65"/>
  <c r="AL170" i="65"/>
  <c r="H169" i="65"/>
  <c r="AN168" i="65"/>
  <c r="I167" i="65"/>
  <c r="AO166" i="65"/>
  <c r="AZ164" i="65"/>
  <c r="AI163" i="65"/>
  <c r="H162" i="65"/>
  <c r="AN161" i="65"/>
  <c r="I160" i="65"/>
  <c r="AO159" i="65"/>
  <c r="J158" i="65"/>
  <c r="AP157" i="65"/>
  <c r="H155" i="65"/>
  <c r="AN154" i="65"/>
  <c r="I153" i="65"/>
  <c r="AO152" i="65"/>
  <c r="BJ295" i="65"/>
  <c r="AI288" i="65"/>
  <c r="BC280" i="65"/>
  <c r="AI273" i="65"/>
  <c r="BI265" i="65"/>
  <c r="AL258" i="65"/>
  <c r="BB250" i="65"/>
  <c r="BK245" i="65"/>
  <c r="AI243" i="65"/>
  <c r="BB240" i="65"/>
  <c r="AE234" i="65"/>
  <c r="AF234" i="65" s="1"/>
  <c r="AG234" i="65" s="1"/>
  <c r="AH234" i="65" s="1"/>
  <c r="AE225" i="65"/>
  <c r="AF225" i="65" s="1"/>
  <c r="AG225" i="65" s="1"/>
  <c r="AH225" i="65" s="1"/>
  <c r="AI223" i="65"/>
  <c r="AN221" i="65"/>
  <c r="H220" i="65"/>
  <c r="AN218" i="65"/>
  <c r="J206" i="65"/>
  <c r="AL191" i="65"/>
  <c r="I190" i="65"/>
  <c r="AP188" i="65"/>
  <c r="AI187" i="65"/>
  <c r="I186" i="65"/>
  <c r="H185" i="65"/>
  <c r="AN184" i="65"/>
  <c r="I183" i="65"/>
  <c r="AO182" i="65"/>
  <c r="F180" i="65"/>
  <c r="AL179" i="65"/>
  <c r="H178" i="65"/>
  <c r="AN177" i="65"/>
  <c r="J176" i="65"/>
  <c r="AP175" i="65"/>
  <c r="AE174" i="65"/>
  <c r="AF174" i="65" s="1"/>
  <c r="AG174" i="65" s="1"/>
  <c r="AH174" i="65" s="1"/>
  <c r="BJ172" i="65"/>
  <c r="AE172" i="65"/>
  <c r="AF172" i="65" s="1"/>
  <c r="AG172" i="65" s="1"/>
  <c r="AH172" i="65" s="1"/>
  <c r="AV171" i="65"/>
  <c r="AI170" i="65"/>
  <c r="F169" i="65"/>
  <c r="AL168" i="65"/>
  <c r="BB167" i="65"/>
  <c r="H167" i="65"/>
  <c r="AN166" i="65"/>
  <c r="AE165" i="65"/>
  <c r="AF165" i="65" s="1"/>
  <c r="AG165" i="65" s="1"/>
  <c r="AH165" i="65" s="1"/>
  <c r="F162" i="65"/>
  <c r="AL161" i="65"/>
  <c r="BA160" i="65"/>
  <c r="H160" i="65"/>
  <c r="AN159" i="65"/>
  <c r="I158" i="65"/>
  <c r="AO157" i="65"/>
  <c r="BI156" i="65"/>
  <c r="F155" i="65"/>
  <c r="AL154" i="65"/>
  <c r="H153" i="65"/>
  <c r="AN152" i="65"/>
  <c r="I151" i="65"/>
  <c r="AE295" i="65"/>
  <c r="AF295" i="65" s="1"/>
  <c r="AG295" i="65" s="1"/>
  <c r="AH295" i="65" s="1"/>
  <c r="AZ287" i="65"/>
  <c r="I280" i="65"/>
  <c r="AZ272" i="65"/>
  <c r="AE265" i="65"/>
  <c r="AF265" i="65" s="1"/>
  <c r="AG265" i="65" s="1"/>
  <c r="AH265" i="65" s="1"/>
  <c r="BA257" i="65"/>
  <c r="F250" i="65"/>
  <c r="BA245" i="65"/>
  <c r="F243" i="65"/>
  <c r="AO240" i="65"/>
  <c r="F234" i="65"/>
  <c r="AL231" i="65"/>
  <c r="AO229" i="65"/>
  <c r="AL221" i="65"/>
  <c r="AE218" i="65"/>
  <c r="AF218" i="65" s="1"/>
  <c r="AG218" i="65" s="1"/>
  <c r="AH218" i="65" s="1"/>
  <c r="AI191" i="65"/>
  <c r="AI188" i="65"/>
  <c r="H186" i="65"/>
  <c r="F185" i="65"/>
  <c r="AL184" i="65"/>
  <c r="H183" i="65"/>
  <c r="AN182" i="65"/>
  <c r="AE181" i="65"/>
  <c r="AF181" i="65" s="1"/>
  <c r="AG181" i="65" s="1"/>
  <c r="AH181" i="65" s="1"/>
  <c r="AV180" i="65"/>
  <c r="BK179" i="65"/>
  <c r="AI179" i="65"/>
  <c r="F178" i="65"/>
  <c r="AL177" i="65"/>
  <c r="I176" i="65"/>
  <c r="AO175" i="65"/>
  <c r="J174" i="65"/>
  <c r="AP173" i="65"/>
  <c r="BI172" i="65"/>
  <c r="J172" i="65"/>
  <c r="AP171" i="65"/>
  <c r="AE170" i="65"/>
  <c r="AF170" i="65" s="1"/>
  <c r="AG170" i="65" s="1"/>
  <c r="AH170" i="65" s="1"/>
  <c r="AV169" i="65"/>
  <c r="AI168" i="65"/>
  <c r="F167" i="65"/>
  <c r="AL166" i="65"/>
  <c r="J165" i="65"/>
  <c r="AP164" i="65"/>
  <c r="AE163" i="65"/>
  <c r="AF163" i="65" s="1"/>
  <c r="AG163" i="65" s="1"/>
  <c r="AH163" i="65" s="1"/>
  <c r="BK161" i="65"/>
  <c r="AI161" i="65"/>
  <c r="F160" i="65"/>
  <c r="AL159" i="65"/>
  <c r="H158" i="65"/>
  <c r="AN157" i="65"/>
  <c r="AE156" i="65"/>
  <c r="AF156" i="65" s="1"/>
  <c r="AG156" i="65" s="1"/>
  <c r="AH156" i="65" s="1"/>
  <c r="AI154" i="65"/>
  <c r="F153" i="65"/>
  <c r="AL152" i="65"/>
  <c r="H151" i="65"/>
  <c r="AN150" i="65"/>
  <c r="AE149" i="65"/>
  <c r="AF149" i="65" s="1"/>
  <c r="AG149" i="65" s="1"/>
  <c r="AH149" i="65" s="1"/>
  <c r="J295" i="65"/>
  <c r="AV287" i="65"/>
  <c r="H280" i="65"/>
  <c r="AV272" i="65"/>
  <c r="J265" i="65"/>
  <c r="AZ257" i="65"/>
  <c r="BK249" i="65"/>
  <c r="AZ245" i="65"/>
  <c r="AN240" i="65"/>
  <c r="AV238" i="65"/>
  <c r="BA236" i="65"/>
  <c r="J231" i="65"/>
  <c r="AE229" i="65"/>
  <c r="AF229" i="65" s="1"/>
  <c r="AG229" i="65" s="1"/>
  <c r="AH229" i="65" s="1"/>
  <c r="AI221" i="65"/>
  <c r="J218" i="65"/>
  <c r="J191" i="65"/>
  <c r="H187" i="65"/>
  <c r="F186" i="65"/>
  <c r="AI184" i="65"/>
  <c r="F183" i="65"/>
  <c r="AL182" i="65"/>
  <c r="J181" i="65"/>
  <c r="AP180" i="65"/>
  <c r="BJ179" i="65"/>
  <c r="AI177" i="65"/>
  <c r="H176" i="65"/>
  <c r="AN175" i="65"/>
  <c r="I174" i="65"/>
  <c r="AO173" i="65"/>
  <c r="BC172" i="65"/>
  <c r="I172" i="65"/>
  <c r="AO171" i="65"/>
  <c r="BK293" i="65"/>
  <c r="AN286" i="65"/>
  <c r="BK278" i="65"/>
  <c r="AO271" i="65"/>
  <c r="F264" i="65"/>
  <c r="AO256" i="65"/>
  <c r="AV248" i="65"/>
  <c r="AE245" i="65"/>
  <c r="AF245" i="65" s="1"/>
  <c r="AG245" i="65" s="1"/>
  <c r="AH245" i="65" s="1"/>
  <c r="J240" i="65"/>
  <c r="AL236" i="65"/>
  <c r="AV233" i="65"/>
  <c r="I231" i="65"/>
  <c r="J229" i="65"/>
  <c r="J221" i="65"/>
  <c r="AP219" i="65"/>
  <c r="I218" i="65"/>
  <c r="AO216" i="65"/>
  <c r="BB285" i="65"/>
  <c r="BB270" i="65"/>
  <c r="BB255" i="65"/>
  <c r="BC247" i="65"/>
  <c r="BJ244" i="65"/>
  <c r="AI242" i="65"/>
  <c r="BJ239" i="65"/>
  <c r="H238" i="65"/>
  <c r="I236" i="65"/>
  <c r="AV224" i="65"/>
  <c r="AN219" i="65"/>
  <c r="J216" i="65"/>
  <c r="AO189" i="65"/>
  <c r="F188" i="65"/>
  <c r="BC186" i="65"/>
  <c r="BA185" i="65"/>
  <c r="J184" i="65"/>
  <c r="AP183" i="65"/>
  <c r="BI182" i="65"/>
  <c r="AE182" i="65"/>
  <c r="AF182" i="65" s="1"/>
  <c r="AG182" i="65" s="1"/>
  <c r="AH182" i="65" s="1"/>
  <c r="AV181" i="65"/>
  <c r="F181" i="65"/>
  <c r="AL180" i="65"/>
  <c r="BB179" i="65"/>
  <c r="I179" i="65"/>
  <c r="AO178" i="65"/>
  <c r="J177" i="65"/>
  <c r="AP176" i="65"/>
  <c r="AE175" i="65"/>
  <c r="AF175" i="65" s="1"/>
  <c r="AG175" i="65" s="1"/>
  <c r="AH175" i="65" s="1"/>
  <c r="AV174" i="65"/>
  <c r="BK173" i="65"/>
  <c r="AI173" i="65"/>
  <c r="AZ172" i="65"/>
  <c r="BK171" i="65"/>
  <c r="AI171" i="65"/>
  <c r="F170" i="65"/>
  <c r="AL169" i="65"/>
  <c r="I168" i="65"/>
  <c r="AO167" i="65"/>
  <c r="AE166" i="65"/>
  <c r="AF166" i="65" s="1"/>
  <c r="AG166" i="65" s="1"/>
  <c r="AH166" i="65" s="1"/>
  <c r="BK164" i="65"/>
  <c r="AI164" i="65"/>
  <c r="AN291" i="65"/>
  <c r="BJ283" i="65"/>
  <c r="AN276" i="65"/>
  <c r="BK268" i="65"/>
  <c r="AP261" i="65"/>
  <c r="F254" i="65"/>
  <c r="F247" i="65"/>
  <c r="AI244" i="65"/>
  <c r="AP239" i="65"/>
  <c r="AN232" i="65"/>
  <c r="AO230" i="65"/>
  <c r="F224" i="65"/>
  <c r="H222" i="65"/>
  <c r="H219" i="65"/>
  <c r="AP217" i="65"/>
  <c r="AI205" i="65"/>
  <c r="BB190" i="65"/>
  <c r="J189" i="65"/>
  <c r="AO185" i="65"/>
  <c r="H184" i="65"/>
  <c r="AN183" i="65"/>
  <c r="I182" i="65"/>
  <c r="AO181" i="65"/>
  <c r="BJ180" i="65"/>
  <c r="AZ179" i="65"/>
  <c r="F179" i="65"/>
  <c r="AL178" i="65"/>
  <c r="H177" i="65"/>
  <c r="AN176" i="65"/>
  <c r="I175" i="65"/>
  <c r="AO174" i="65"/>
  <c r="J173" i="65"/>
  <c r="AP172" i="65"/>
  <c r="BI171" i="65"/>
  <c r="AE171" i="65"/>
  <c r="AF171" i="65" s="1"/>
  <c r="AG171" i="65" s="1"/>
  <c r="AH171" i="65" s="1"/>
  <c r="F168" i="65"/>
  <c r="AL167" i="65"/>
  <c r="I166" i="65"/>
  <c r="AO165" i="65"/>
  <c r="J164" i="65"/>
  <c r="AP163" i="65"/>
  <c r="AZ161" i="65"/>
  <c r="AI160" i="65"/>
  <c r="F159" i="65"/>
  <c r="AL158" i="65"/>
  <c r="I157" i="65"/>
  <c r="AO156" i="65"/>
  <c r="F154" i="65"/>
  <c r="AL153" i="65"/>
  <c r="H152" i="65"/>
  <c r="AN151" i="65"/>
  <c r="AI263" i="65"/>
  <c r="AL242" i="65"/>
  <c r="AE224" i="65"/>
  <c r="AF224" i="65" s="1"/>
  <c r="AG224" i="65" s="1"/>
  <c r="AH224" i="65" s="1"/>
  <c r="AV217" i="65"/>
  <c r="BB184" i="65"/>
  <c r="H179" i="65"/>
  <c r="I177" i="65"/>
  <c r="J175" i="65"/>
  <c r="AE173" i="65"/>
  <c r="AF173" i="65" s="1"/>
  <c r="AG173" i="65" s="1"/>
  <c r="AH173" i="65" s="1"/>
  <c r="AP169" i="65"/>
  <c r="J168" i="65"/>
  <c r="H165" i="65"/>
  <c r="AL162" i="65"/>
  <c r="H161" i="65"/>
  <c r="AO158" i="65"/>
  <c r="AE157" i="65"/>
  <c r="AF157" i="65" s="1"/>
  <c r="AG157" i="65" s="1"/>
  <c r="AH157" i="65" s="1"/>
  <c r="I156" i="65"/>
  <c r="AE155" i="65"/>
  <c r="AF155" i="65" s="1"/>
  <c r="AG155" i="65" s="1"/>
  <c r="AH155" i="65" s="1"/>
  <c r="AE154" i="65"/>
  <c r="AF154" i="65" s="1"/>
  <c r="AG154" i="65" s="1"/>
  <c r="AH154" i="65" s="1"/>
  <c r="AI153" i="65"/>
  <c r="AO151" i="65"/>
  <c r="F150" i="65"/>
  <c r="AI149" i="65"/>
  <c r="AI145" i="65"/>
  <c r="I144" i="65"/>
  <c r="J124" i="65"/>
  <c r="AP123" i="65"/>
  <c r="AI122" i="65"/>
  <c r="I121" i="65"/>
  <c r="AO120" i="65"/>
  <c r="H118" i="65"/>
  <c r="AN117" i="65"/>
  <c r="J116" i="65"/>
  <c r="AP115" i="65"/>
  <c r="AI114" i="65"/>
  <c r="I113" i="65"/>
  <c r="AO112" i="65"/>
  <c r="H110" i="65"/>
  <c r="AN109" i="65"/>
  <c r="BC108" i="65"/>
  <c r="J108" i="65"/>
  <c r="AP107" i="65"/>
  <c r="BA105" i="65"/>
  <c r="H105" i="65"/>
  <c r="AN104" i="65"/>
  <c r="J103" i="65"/>
  <c r="AP102" i="65"/>
  <c r="AI101" i="65"/>
  <c r="H100" i="65"/>
  <c r="AN99" i="65"/>
  <c r="I292" i="65"/>
  <c r="AE262" i="65"/>
  <c r="AF262" i="65" s="1"/>
  <c r="AG262" i="65" s="1"/>
  <c r="AH262" i="65" s="1"/>
  <c r="H242" i="65"/>
  <c r="BK223" i="65"/>
  <c r="AO217" i="65"/>
  <c r="AZ187" i="65"/>
  <c r="AZ184" i="65"/>
  <c r="F177" i="65"/>
  <c r="H175" i="65"/>
  <c r="I173" i="65"/>
  <c r="J171" i="65"/>
  <c r="AO169" i="65"/>
  <c r="H168" i="65"/>
  <c r="AI166" i="65"/>
  <c r="F165" i="65"/>
  <c r="AV163" i="65"/>
  <c r="AI162" i="65"/>
  <c r="F161" i="65"/>
  <c r="AN158" i="65"/>
  <c r="J157" i="65"/>
  <c r="H156" i="65"/>
  <c r="J155" i="65"/>
  <c r="J154" i="65"/>
  <c r="AE153" i="65"/>
  <c r="AF153" i="65" s="1"/>
  <c r="AG153" i="65" s="1"/>
  <c r="AH153" i="65" s="1"/>
  <c r="AE152" i="65"/>
  <c r="AF152" i="65" s="1"/>
  <c r="AG152" i="65" s="1"/>
  <c r="AH152" i="65" s="1"/>
  <c r="AL151" i="65"/>
  <c r="AV150" i="65"/>
  <c r="AP148" i="65"/>
  <c r="AE147" i="65"/>
  <c r="AF147" i="65" s="1"/>
  <c r="AG147" i="65" s="1"/>
  <c r="AH147" i="65" s="1"/>
  <c r="AV146" i="65"/>
  <c r="H144" i="65"/>
  <c r="I124" i="65"/>
  <c r="AO123" i="65"/>
  <c r="H121" i="65"/>
  <c r="AN120" i="65"/>
  <c r="AE119" i="65"/>
  <c r="AF119" i="65" s="1"/>
  <c r="AG119" i="65" s="1"/>
  <c r="AH119" i="65" s="1"/>
  <c r="AV118" i="65"/>
  <c r="F118" i="65"/>
  <c r="AL117" i="65"/>
  <c r="I116" i="65"/>
  <c r="AO115" i="65"/>
  <c r="BA113" i="65"/>
  <c r="H113" i="65"/>
  <c r="AN112" i="65"/>
  <c r="AE111" i="65"/>
  <c r="AF111" i="65" s="1"/>
  <c r="AG111" i="65" s="1"/>
  <c r="AH111" i="65" s="1"/>
  <c r="AV110" i="65"/>
  <c r="F110" i="65"/>
  <c r="AL109" i="65"/>
  <c r="BB108" i="65"/>
  <c r="I108" i="65"/>
  <c r="AO107" i="65"/>
  <c r="AZ105" i="65"/>
  <c r="F105" i="65"/>
  <c r="AL104" i="65"/>
  <c r="I103" i="65"/>
  <c r="AO102" i="65"/>
  <c r="AL291" i="65"/>
  <c r="AO261" i="65"/>
  <c r="AO232" i="65"/>
  <c r="AE216" i="65"/>
  <c r="AF216" i="65" s="1"/>
  <c r="AG216" i="65" s="1"/>
  <c r="AH216" i="65" s="1"/>
  <c r="F191" i="65"/>
  <c r="F187" i="65"/>
  <c r="AI182" i="65"/>
  <c r="AO180" i="65"/>
  <c r="BB172" i="65"/>
  <c r="AN169" i="65"/>
  <c r="BK167" i="65"/>
  <c r="AO163" i="65"/>
  <c r="AE162" i="65"/>
  <c r="AF162" i="65" s="1"/>
  <c r="AG162" i="65" s="1"/>
  <c r="AH162" i="65" s="1"/>
  <c r="AI158" i="65"/>
  <c r="H157" i="65"/>
  <c r="F156" i="65"/>
  <c r="I155" i="65"/>
  <c r="I154" i="65"/>
  <c r="J153" i="65"/>
  <c r="J152" i="65"/>
  <c r="AI151" i="65"/>
  <c r="AP150" i="65"/>
  <c r="J149" i="65"/>
  <c r="AO148" i="65"/>
  <c r="J147" i="65"/>
  <c r="AP146" i="65"/>
  <c r="AE145" i="65"/>
  <c r="AF145" i="65" s="1"/>
  <c r="AG145" i="65" s="1"/>
  <c r="AH145" i="65" s="1"/>
  <c r="F144" i="65"/>
  <c r="BA124" i="65"/>
  <c r="H124" i="65"/>
  <c r="AN123" i="65"/>
  <c r="F121" i="65"/>
  <c r="AL120" i="65"/>
  <c r="J119" i="65"/>
  <c r="AP118" i="65"/>
  <c r="BK117" i="65"/>
  <c r="AI117" i="65"/>
  <c r="H116" i="65"/>
  <c r="AN115" i="65"/>
  <c r="AZ113" i="65"/>
  <c r="F113" i="65"/>
  <c r="AL112" i="65"/>
  <c r="J111" i="65"/>
  <c r="AP110" i="65"/>
  <c r="BK109" i="65"/>
  <c r="AI109" i="65"/>
  <c r="H108" i="65"/>
  <c r="AN107" i="65"/>
  <c r="AE106" i="65"/>
  <c r="AF106" i="65" s="1"/>
  <c r="AG106" i="65" s="1"/>
  <c r="AH106" i="65" s="1"/>
  <c r="AV105" i="65"/>
  <c r="BK104" i="65"/>
  <c r="AI104" i="65"/>
  <c r="BC285" i="65"/>
  <c r="BC255" i="65"/>
  <c r="AL232" i="65"/>
  <c r="AI222" i="65"/>
  <c r="I216" i="65"/>
  <c r="AE184" i="65"/>
  <c r="AF184" i="65" s="1"/>
  <c r="AG184" i="65" s="1"/>
  <c r="AH184" i="65" s="1"/>
  <c r="AN180" i="65"/>
  <c r="AP178" i="65"/>
  <c r="AV176" i="65"/>
  <c r="BA172" i="65"/>
  <c r="AI169" i="65"/>
  <c r="AZ167" i="65"/>
  <c r="J163" i="65"/>
  <c r="AI159" i="65"/>
  <c r="F158" i="65"/>
  <c r="H154" i="65"/>
  <c r="I152" i="65"/>
  <c r="AE151" i="65"/>
  <c r="AF151" i="65" s="1"/>
  <c r="AG151" i="65" s="1"/>
  <c r="AH151" i="65" s="1"/>
  <c r="AO150" i="65"/>
  <c r="I149" i="65"/>
  <c r="AN148" i="65"/>
  <c r="I147" i="65"/>
  <c r="AO146" i="65"/>
  <c r="J145" i="65"/>
  <c r="AP144" i="65"/>
  <c r="F124" i="65"/>
  <c r="AL123" i="65"/>
  <c r="AE122" i="65"/>
  <c r="AF122" i="65" s="1"/>
  <c r="AG122" i="65" s="1"/>
  <c r="AH122" i="65" s="1"/>
  <c r="AI120" i="65"/>
  <c r="I119" i="65"/>
  <c r="AO118" i="65"/>
  <c r="F116" i="65"/>
  <c r="AL115" i="65"/>
  <c r="AE114" i="65"/>
  <c r="AF114" i="65" s="1"/>
  <c r="AG114" i="65" s="1"/>
  <c r="AH114" i="65" s="1"/>
  <c r="AV113" i="65"/>
  <c r="BK112" i="65"/>
  <c r="AI112" i="65"/>
  <c r="I111" i="65"/>
  <c r="AO110" i="65"/>
  <c r="F108" i="65"/>
  <c r="AL107" i="65"/>
  <c r="J106" i="65"/>
  <c r="AP105" i="65"/>
  <c r="BJ104" i="65"/>
  <c r="F103" i="65"/>
  <c r="AL102" i="65"/>
  <c r="J101" i="65"/>
  <c r="AP100" i="65"/>
  <c r="AV284" i="65"/>
  <c r="AZ254" i="65"/>
  <c r="H231" i="65"/>
  <c r="F222" i="65"/>
  <c r="I207" i="65"/>
  <c r="BC190" i="65"/>
  <c r="I184" i="65"/>
  <c r="J182" i="65"/>
  <c r="AI180" i="65"/>
  <c r="AN178" i="65"/>
  <c r="AO176" i="65"/>
  <c r="AP174" i="65"/>
  <c r="AV172" i="65"/>
  <c r="AE169" i="65"/>
  <c r="AF169" i="65" s="1"/>
  <c r="AG169" i="65" s="1"/>
  <c r="AH169" i="65" s="1"/>
  <c r="J166" i="65"/>
  <c r="AO164" i="65"/>
  <c r="I163" i="65"/>
  <c r="AP160" i="65"/>
  <c r="AE159" i="65"/>
  <c r="AF159" i="65" s="1"/>
  <c r="AG159" i="65" s="1"/>
  <c r="AH159" i="65" s="1"/>
  <c r="BB156" i="65"/>
  <c r="F152" i="65"/>
  <c r="J151" i="65"/>
  <c r="AL150" i="65"/>
  <c r="H149" i="65"/>
  <c r="AL148" i="65"/>
  <c r="H147" i="65"/>
  <c r="AN146" i="65"/>
  <c r="I145" i="65"/>
  <c r="AO144" i="65"/>
  <c r="AV124" i="65"/>
  <c r="AI123" i="65"/>
  <c r="J122" i="65"/>
  <c r="AP121" i="65"/>
  <c r="H119" i="65"/>
  <c r="AN118" i="65"/>
  <c r="BI117" i="65"/>
  <c r="AE117" i="65"/>
  <c r="AF117" i="65" s="1"/>
  <c r="AG117" i="65" s="1"/>
  <c r="AH117" i="65" s="1"/>
  <c r="AI115" i="65"/>
  <c r="J114" i="65"/>
  <c r="AP113" i="65"/>
  <c r="BJ112" i="65"/>
  <c r="H111" i="65"/>
  <c r="AN110" i="65"/>
  <c r="BI109" i="65"/>
  <c r="AE109" i="65"/>
  <c r="AF109" i="65" s="1"/>
  <c r="AG109" i="65" s="1"/>
  <c r="AH109" i="65" s="1"/>
  <c r="AV108" i="65"/>
  <c r="AI107" i="65"/>
  <c r="I106" i="65"/>
  <c r="AO105" i="65"/>
  <c r="BI104" i="65"/>
  <c r="AE104" i="65"/>
  <c r="AF104" i="65" s="1"/>
  <c r="AG104" i="65" s="1"/>
  <c r="AH104" i="65" s="1"/>
  <c r="AV103" i="65"/>
  <c r="AI102" i="65"/>
  <c r="I101" i="65"/>
  <c r="AO100" i="65"/>
  <c r="AE99" i="65"/>
  <c r="AF99" i="65" s="1"/>
  <c r="AG99" i="65" s="1"/>
  <c r="AH99" i="65" s="1"/>
  <c r="BI283" i="65"/>
  <c r="BK253" i="65"/>
  <c r="AI239" i="65"/>
  <c r="AP230" i="65"/>
  <c r="F221" i="65"/>
  <c r="F184" i="65"/>
  <c r="H182" i="65"/>
  <c r="AE180" i="65"/>
  <c r="AF180" i="65" s="1"/>
  <c r="AG180" i="65" s="1"/>
  <c r="AH180" i="65" s="1"/>
  <c r="AI178" i="65"/>
  <c r="AL176" i="65"/>
  <c r="AN174" i="65"/>
  <c r="AO172" i="65"/>
  <c r="AP167" i="65"/>
  <c r="H166" i="65"/>
  <c r="AN164" i="65"/>
  <c r="H163" i="65"/>
  <c r="BC161" i="65"/>
  <c r="AO160" i="65"/>
  <c r="J159" i="65"/>
  <c r="BA156" i="65"/>
  <c r="F151" i="65"/>
  <c r="AI150" i="65"/>
  <c r="BA149" i="65"/>
  <c r="F149" i="65"/>
  <c r="AI148" i="65"/>
  <c r="F147" i="65"/>
  <c r="AL146" i="65"/>
  <c r="H145" i="65"/>
  <c r="AN144" i="65"/>
  <c r="AP124" i="65"/>
  <c r="BA122" i="65"/>
  <c r="I122" i="65"/>
  <c r="AO121" i="65"/>
  <c r="AE120" i="65"/>
  <c r="AF120" i="65" s="1"/>
  <c r="AG120" i="65" s="1"/>
  <c r="AH120" i="65" s="1"/>
  <c r="AV119" i="65"/>
  <c r="F119" i="65"/>
  <c r="AL118" i="65"/>
  <c r="J117" i="65"/>
  <c r="AP116" i="65"/>
  <c r="BJ115" i="65"/>
  <c r="I114" i="65"/>
  <c r="AO113" i="65"/>
  <c r="AE112" i="65"/>
  <c r="AF112" i="65" s="1"/>
  <c r="AG112" i="65" s="1"/>
  <c r="AH112" i="65" s="1"/>
  <c r="AV111" i="65"/>
  <c r="F111" i="65"/>
  <c r="AL110" i="65"/>
  <c r="BC109" i="65"/>
  <c r="J109" i="65"/>
  <c r="AP108" i="65"/>
  <c r="H106" i="65"/>
  <c r="AN105" i="65"/>
  <c r="BC104" i="65"/>
  <c r="J104" i="65"/>
  <c r="AP103" i="65"/>
  <c r="H101" i="65"/>
  <c r="AN100" i="65"/>
  <c r="J99" i="65"/>
  <c r="BK247" i="65"/>
  <c r="I238" i="65"/>
  <c r="AN230" i="65"/>
  <c r="AV189" i="65"/>
  <c r="BK185" i="65"/>
  <c r="BI179" i="65"/>
  <c r="F176" i="65"/>
  <c r="H174" i="65"/>
  <c r="H172" i="65"/>
  <c r="AP170" i="65"/>
  <c r="AN167" i="65"/>
  <c r="AL164" i="65"/>
  <c r="F163" i="65"/>
  <c r="AN160" i="65"/>
  <c r="I159" i="65"/>
  <c r="AZ156" i="65"/>
  <c r="BB155" i="65"/>
  <c r="BI153" i="65"/>
  <c r="I277" i="65"/>
  <c r="F238" i="65"/>
  <c r="I229" i="65"/>
  <c r="AP220" i="65"/>
  <c r="AP189" i="65"/>
  <c r="BC179" i="65"/>
  <c r="F174" i="65"/>
  <c r="F172" i="65"/>
  <c r="J170" i="65"/>
  <c r="AI167" i="65"/>
  <c r="AE164" i="65"/>
  <c r="AF164" i="65" s="1"/>
  <c r="AG164" i="65" s="1"/>
  <c r="AH164" i="65" s="1"/>
  <c r="BA161" i="65"/>
  <c r="AL160" i="65"/>
  <c r="H159" i="65"/>
  <c r="AV156" i="65"/>
  <c r="AP155" i="65"/>
  <c r="AL276" i="65"/>
  <c r="BK246" i="65"/>
  <c r="AO237" i="65"/>
  <c r="AO219" i="65"/>
  <c r="AO205" i="65"/>
  <c r="AI189" i="65"/>
  <c r="AO183" i="65"/>
  <c r="AP181" i="65"/>
  <c r="BA179" i="65"/>
  <c r="BJ171" i="65"/>
  <c r="I170" i="65"/>
  <c r="I164" i="65"/>
  <c r="AP156" i="65"/>
  <c r="AO155" i="65"/>
  <c r="AE150" i="65"/>
  <c r="AF150" i="65" s="1"/>
  <c r="AG150" i="65" s="1"/>
  <c r="AH150" i="65" s="1"/>
  <c r="AP149" i="65"/>
  <c r="I148" i="65"/>
  <c r="AO147" i="65"/>
  <c r="BI146" i="65"/>
  <c r="J146" i="65"/>
  <c r="AP145" i="65"/>
  <c r="BJ144" i="65"/>
  <c r="AL124" i="65"/>
  <c r="J123" i="65"/>
  <c r="AP122" i="65"/>
  <c r="AI121" i="65"/>
  <c r="H120" i="65"/>
  <c r="AN119" i="65"/>
  <c r="F117" i="65"/>
  <c r="AL116" i="65"/>
  <c r="J115" i="65"/>
  <c r="AP114" i="65"/>
  <c r="AI113" i="65"/>
  <c r="H112" i="65"/>
  <c r="AN111" i="65"/>
  <c r="F109" i="65"/>
  <c r="AL108" i="65"/>
  <c r="I107" i="65"/>
  <c r="AO106" i="65"/>
  <c r="BJ105" i="65"/>
  <c r="AZ104" i="65"/>
  <c r="F104" i="65"/>
  <c r="AL103" i="65"/>
  <c r="J102" i="65"/>
  <c r="AP101" i="65"/>
  <c r="BC270" i="65"/>
  <c r="H188" i="65"/>
  <c r="J179" i="65"/>
  <c r="AL171" i="65"/>
  <c r="I165" i="65"/>
  <c r="AI155" i="65"/>
  <c r="AV151" i="65"/>
  <c r="AN149" i="65"/>
  <c r="AP147" i="65"/>
  <c r="H146" i="65"/>
  <c r="AL144" i="65"/>
  <c r="AN124" i="65"/>
  <c r="H123" i="65"/>
  <c r="AN121" i="65"/>
  <c r="F120" i="65"/>
  <c r="BA118" i="65"/>
  <c r="H117" i="65"/>
  <c r="H114" i="65"/>
  <c r="BA109" i="65"/>
  <c r="AE105" i="65"/>
  <c r="AF105" i="65" s="1"/>
  <c r="AG105" i="65" s="1"/>
  <c r="AH105" i="65" s="1"/>
  <c r="AV102" i="65"/>
  <c r="AL101" i="65"/>
  <c r="AE100" i="65"/>
  <c r="AF100" i="65" s="1"/>
  <c r="AG100" i="65" s="1"/>
  <c r="AH100" i="65" s="1"/>
  <c r="I99" i="65"/>
  <c r="AO98" i="65"/>
  <c r="F96" i="65"/>
  <c r="AL95" i="65"/>
  <c r="J94" i="65"/>
  <c r="AP93" i="65"/>
  <c r="F91" i="65"/>
  <c r="AL90" i="65"/>
  <c r="J89" i="65"/>
  <c r="AP88" i="65"/>
  <c r="BJ87" i="65"/>
  <c r="I86" i="65"/>
  <c r="AO85" i="65"/>
  <c r="AE84" i="65"/>
  <c r="AF84" i="65" s="1"/>
  <c r="AG84" i="65" s="1"/>
  <c r="AH84" i="65" s="1"/>
  <c r="AV83" i="65"/>
  <c r="AI82" i="65"/>
  <c r="J81" i="65"/>
  <c r="AP80" i="65"/>
  <c r="I78" i="65"/>
  <c r="AO77" i="65"/>
  <c r="AE76" i="65"/>
  <c r="AF76" i="65" s="1"/>
  <c r="AG76" i="65" s="1"/>
  <c r="AH76" i="65" s="1"/>
  <c r="AV75" i="65"/>
  <c r="BK74" i="65"/>
  <c r="AI74" i="65"/>
  <c r="J73" i="65"/>
  <c r="AP72" i="65"/>
  <c r="I70" i="65"/>
  <c r="AO69" i="65"/>
  <c r="AE68" i="65"/>
  <c r="AF68" i="65" s="1"/>
  <c r="AG68" i="65" s="1"/>
  <c r="AH68" i="65" s="1"/>
  <c r="AV67" i="65"/>
  <c r="BK66" i="65"/>
  <c r="AI66" i="65"/>
  <c r="AZ269" i="65"/>
  <c r="AE219" i="65"/>
  <c r="AF219" i="65" s="1"/>
  <c r="AG219" i="65" s="1"/>
  <c r="AH219" i="65" s="1"/>
  <c r="AN185" i="65"/>
  <c r="H170" i="65"/>
  <c r="BC163" i="65"/>
  <c r="AP154" i="65"/>
  <c r="AP151" i="65"/>
  <c r="AL149" i="65"/>
  <c r="AN147" i="65"/>
  <c r="F146" i="65"/>
  <c r="AI144" i="65"/>
  <c r="AI124" i="65"/>
  <c r="F123" i="65"/>
  <c r="AL121" i="65"/>
  <c r="BK119" i="65"/>
  <c r="AI118" i="65"/>
  <c r="AV115" i="65"/>
  <c r="F114" i="65"/>
  <c r="AV109" i="65"/>
  <c r="AE108" i="65"/>
  <c r="AF108" i="65" s="1"/>
  <c r="AG108" i="65" s="1"/>
  <c r="AH108" i="65" s="1"/>
  <c r="AP106" i="65"/>
  <c r="J105" i="65"/>
  <c r="AN102" i="65"/>
  <c r="J100" i="65"/>
  <c r="H99" i="65"/>
  <c r="AN98" i="65"/>
  <c r="AE97" i="65"/>
  <c r="AF97" i="65" s="1"/>
  <c r="AG97" i="65" s="1"/>
  <c r="AH97" i="65" s="1"/>
  <c r="AV96" i="65"/>
  <c r="AI95" i="65"/>
  <c r="I94" i="65"/>
  <c r="AO93" i="65"/>
  <c r="AE92" i="65"/>
  <c r="AF92" i="65" s="1"/>
  <c r="AG92" i="65" s="1"/>
  <c r="AH92" i="65" s="1"/>
  <c r="AV91" i="65"/>
  <c r="AI90" i="65"/>
  <c r="I89" i="65"/>
  <c r="AO88" i="65"/>
  <c r="BI87" i="65"/>
  <c r="AE87" i="65"/>
  <c r="AF87" i="65" s="1"/>
  <c r="AG87" i="65" s="1"/>
  <c r="AH87" i="65" s="1"/>
  <c r="H86" i="65"/>
  <c r="AN85" i="65"/>
  <c r="J84" i="65"/>
  <c r="AP83" i="65"/>
  <c r="BB81" i="65"/>
  <c r="I81" i="65"/>
  <c r="AO80" i="65"/>
  <c r="AE79" i="65"/>
  <c r="AF79" i="65" s="1"/>
  <c r="AG79" i="65" s="1"/>
  <c r="AH79" i="65" s="1"/>
  <c r="H78" i="65"/>
  <c r="AN77" i="65"/>
  <c r="J76" i="65"/>
  <c r="AP75" i="65"/>
  <c r="BJ74" i="65"/>
  <c r="I73" i="65"/>
  <c r="AO72" i="65"/>
  <c r="AE71" i="65"/>
  <c r="AF71" i="65" s="1"/>
  <c r="AG71" i="65" s="1"/>
  <c r="AH71" i="65" s="1"/>
  <c r="H70" i="65"/>
  <c r="AN69" i="65"/>
  <c r="J68" i="65"/>
  <c r="AP67" i="65"/>
  <c r="BJ66" i="65"/>
  <c r="BJ268" i="65"/>
  <c r="BB163" i="65"/>
  <c r="AO154" i="65"/>
  <c r="AL147" i="65"/>
  <c r="AP112" i="65"/>
  <c r="AP109" i="65"/>
  <c r="AN106" i="65"/>
  <c r="I105" i="65"/>
  <c r="AO103" i="65"/>
  <c r="AE101" i="65"/>
  <c r="AF101" i="65" s="1"/>
  <c r="AG101" i="65" s="1"/>
  <c r="AH101" i="65" s="1"/>
  <c r="I100" i="65"/>
  <c r="F99" i="65"/>
  <c r="AL98" i="65"/>
  <c r="J97" i="65"/>
  <c r="AP96" i="65"/>
  <c r="AZ94" i="65"/>
  <c r="H94" i="65"/>
  <c r="AN93" i="65"/>
  <c r="J92" i="65"/>
  <c r="AP91" i="65"/>
  <c r="H89" i="65"/>
  <c r="AN88" i="65"/>
  <c r="BC87" i="65"/>
  <c r="J87" i="65"/>
  <c r="AP86" i="65"/>
  <c r="F86" i="65"/>
  <c r="AL85" i="65"/>
  <c r="I84" i="65"/>
  <c r="AO83" i="65"/>
  <c r="H81" i="65"/>
  <c r="AN80" i="65"/>
  <c r="J79" i="65"/>
  <c r="AP78" i="65"/>
  <c r="F78" i="65"/>
  <c r="AL77" i="65"/>
  <c r="I76" i="65"/>
  <c r="AO75" i="65"/>
  <c r="BI74" i="65"/>
  <c r="H73" i="65"/>
  <c r="BK244" i="65"/>
  <c r="BI184" i="65"/>
  <c r="AE177" i="65"/>
  <c r="AF177" i="65" s="1"/>
  <c r="AG177" i="65" s="1"/>
  <c r="AH177" i="65" s="1"/>
  <c r="BI169" i="65"/>
  <c r="AP158" i="65"/>
  <c r="AI147" i="65"/>
  <c r="AV145" i="65"/>
  <c r="AE144" i="65"/>
  <c r="AF144" i="65" s="1"/>
  <c r="AG144" i="65" s="1"/>
  <c r="AH144" i="65" s="1"/>
  <c r="AE124" i="65"/>
  <c r="AF124" i="65" s="1"/>
  <c r="AG124" i="65" s="1"/>
  <c r="AH124" i="65" s="1"/>
  <c r="AE121" i="65"/>
  <c r="AF121" i="65" s="1"/>
  <c r="AG121" i="65" s="1"/>
  <c r="AH121" i="65" s="1"/>
  <c r="AP119" i="65"/>
  <c r="AE118" i="65"/>
  <c r="AF118" i="65" s="1"/>
  <c r="AG118" i="65" s="1"/>
  <c r="AH118" i="65" s="1"/>
  <c r="AE115" i="65"/>
  <c r="AF115" i="65" s="1"/>
  <c r="AG115" i="65" s="1"/>
  <c r="AH115" i="65" s="1"/>
  <c r="BI113" i="65"/>
  <c r="J112" i="65"/>
  <c r="AO109" i="65"/>
  <c r="AL106" i="65"/>
  <c r="BB104" i="65"/>
  <c r="AN103" i="65"/>
  <c r="AE102" i="65"/>
  <c r="AF102" i="65" s="1"/>
  <c r="AG102" i="65" s="1"/>
  <c r="AH102" i="65" s="1"/>
  <c r="F101" i="65"/>
  <c r="F100" i="65"/>
  <c r="AI98" i="65"/>
  <c r="I97" i="65"/>
  <c r="AO96" i="65"/>
  <c r="BI95" i="65"/>
  <c r="AE95" i="65"/>
  <c r="AF95" i="65" s="1"/>
  <c r="AG95" i="65" s="1"/>
  <c r="AH95" i="65" s="1"/>
  <c r="F94" i="65"/>
  <c r="AL93" i="65"/>
  <c r="I92" i="65"/>
  <c r="AO91" i="65"/>
  <c r="F89" i="65"/>
  <c r="AL88" i="65"/>
  <c r="BB87" i="65"/>
  <c r="I87" i="65"/>
  <c r="AO86" i="65"/>
  <c r="AI85" i="65"/>
  <c r="H84" i="65"/>
  <c r="AN83" i="65"/>
  <c r="AZ81" i="65"/>
  <c r="F81" i="65"/>
  <c r="AL80" i="65"/>
  <c r="I79" i="65"/>
  <c r="AO78" i="65"/>
  <c r="AI77" i="65"/>
  <c r="H76" i="65"/>
  <c r="AN75" i="65"/>
  <c r="BC74" i="65"/>
  <c r="F73" i="65"/>
  <c r="AL72" i="65"/>
  <c r="I71" i="65"/>
  <c r="AO70" i="65"/>
  <c r="AI69" i="65"/>
  <c r="H68" i="65"/>
  <c r="AN67" i="65"/>
  <c r="BC66" i="65"/>
  <c r="AV244" i="65"/>
  <c r="AL183" i="65"/>
  <c r="BB175" i="65"/>
  <c r="AV168" i="65"/>
  <c r="AP162" i="65"/>
  <c r="AL157" i="65"/>
  <c r="AP153" i="65"/>
  <c r="BK146" i="65"/>
  <c r="AO145" i="65"/>
  <c r="J144" i="65"/>
  <c r="AO122" i="65"/>
  <c r="J121" i="65"/>
  <c r="AO119" i="65"/>
  <c r="J118" i="65"/>
  <c r="AO116" i="65"/>
  <c r="I115" i="65"/>
  <c r="BC113" i="65"/>
  <c r="I112" i="65"/>
  <c r="I109" i="65"/>
  <c r="AI106" i="65"/>
  <c r="BA104" i="65"/>
  <c r="AI103" i="65"/>
  <c r="I102" i="65"/>
  <c r="BK100" i="65"/>
  <c r="H97" i="65"/>
  <c r="AN96" i="65"/>
  <c r="J95" i="65"/>
  <c r="AP94" i="65"/>
  <c r="BK93" i="65"/>
  <c r="AI93" i="65"/>
  <c r="H92" i="65"/>
  <c r="AN91" i="65"/>
  <c r="AE90" i="65"/>
  <c r="AF90" i="65" s="1"/>
  <c r="AG90" i="65" s="1"/>
  <c r="AH90" i="65" s="1"/>
  <c r="AI88" i="65"/>
  <c r="BA87" i="65"/>
  <c r="H87" i="65"/>
  <c r="AN86" i="65"/>
  <c r="F84" i="65"/>
  <c r="AL83" i="65"/>
  <c r="AE82" i="65"/>
  <c r="AF82" i="65" s="1"/>
  <c r="AG82" i="65" s="1"/>
  <c r="AH82" i="65" s="1"/>
  <c r="AV81" i="65"/>
  <c r="AI80" i="65"/>
  <c r="H79" i="65"/>
  <c r="AN78" i="65"/>
  <c r="F76" i="65"/>
  <c r="AL75" i="65"/>
  <c r="BB74" i="65"/>
  <c r="AE74" i="65"/>
  <c r="AF74" i="65" s="1"/>
  <c r="AG74" i="65" s="1"/>
  <c r="AH74" i="65" s="1"/>
  <c r="BK72" i="65"/>
  <c r="AI72" i="65"/>
  <c r="H71" i="65"/>
  <c r="AN70" i="65"/>
  <c r="BJ69" i="65"/>
  <c r="AZ68" i="65"/>
  <c r="F68" i="65"/>
  <c r="AL67" i="65"/>
  <c r="AE66" i="65"/>
  <c r="AF66" i="65" s="1"/>
  <c r="AG66" i="65" s="1"/>
  <c r="AH66" i="65" s="1"/>
  <c r="AV65" i="65"/>
  <c r="I205" i="65"/>
  <c r="AL175" i="65"/>
  <c r="AO162" i="65"/>
  <c r="AI157" i="65"/>
  <c r="AO153" i="65"/>
  <c r="BJ146" i="65"/>
  <c r="AN145" i="65"/>
  <c r="AI125" i="65"/>
  <c r="AN122" i="65"/>
  <c r="AL119" i="65"/>
  <c r="I118" i="65"/>
  <c r="AN116" i="65"/>
  <c r="H115" i="65"/>
  <c r="AN113" i="65"/>
  <c r="F112" i="65"/>
  <c r="H109" i="65"/>
  <c r="F106" i="65"/>
  <c r="AV104" i="65"/>
  <c r="H102" i="65"/>
  <c r="F97" i="65"/>
  <c r="AL96" i="65"/>
  <c r="I95" i="65"/>
  <c r="AO94" i="65"/>
  <c r="BJ93" i="65"/>
  <c r="F92" i="65"/>
  <c r="AL91" i="65"/>
  <c r="J90" i="65"/>
  <c r="AP89" i="65"/>
  <c r="AZ87" i="65"/>
  <c r="F87" i="65"/>
  <c r="AL86" i="65"/>
  <c r="AE85" i="65"/>
  <c r="AF85" i="65" s="1"/>
  <c r="AG85" i="65" s="1"/>
  <c r="AH85" i="65" s="1"/>
  <c r="BK83" i="65"/>
  <c r="AI83" i="65"/>
  <c r="J82" i="65"/>
  <c r="AP81" i="65"/>
  <c r="F79" i="65"/>
  <c r="AL78" i="65"/>
  <c r="AE77" i="65"/>
  <c r="AF77" i="65" s="1"/>
  <c r="AG77" i="65" s="1"/>
  <c r="AH77" i="65" s="1"/>
  <c r="BK75" i="65"/>
  <c r="AI75" i="65"/>
  <c r="BA74" i="65"/>
  <c r="J74" i="65"/>
  <c r="AP73" i="65"/>
  <c r="BJ72" i="65"/>
  <c r="F71" i="65"/>
  <c r="AL70" i="65"/>
  <c r="AE69" i="65"/>
  <c r="AF69" i="65" s="1"/>
  <c r="AG69" i="65" s="1"/>
  <c r="AH69" i="65" s="1"/>
  <c r="AI67" i="65"/>
  <c r="BA66" i="65"/>
  <c r="J66" i="65"/>
  <c r="J236" i="65"/>
  <c r="AI175" i="65"/>
  <c r="AE168" i="65"/>
  <c r="AF168" i="65" s="1"/>
  <c r="AG168" i="65" s="1"/>
  <c r="AH168" i="65" s="1"/>
  <c r="AN162" i="65"/>
  <c r="I181" i="65"/>
  <c r="AN173" i="65"/>
  <c r="J161" i="65"/>
  <c r="AI156" i="65"/>
  <c r="AP152" i="65"/>
  <c r="I150" i="65"/>
  <c r="H148" i="65"/>
  <c r="BK124" i="65"/>
  <c r="AV123" i="65"/>
  <c r="F122" i="65"/>
  <c r="AV120" i="65"/>
  <c r="AV117" i="65"/>
  <c r="AE116" i="65"/>
  <c r="AF116" i="65" s="1"/>
  <c r="AG116" i="65" s="1"/>
  <c r="AH116" i="65" s="1"/>
  <c r="AV114" i="65"/>
  <c r="AE113" i="65"/>
  <c r="AF113" i="65" s="1"/>
  <c r="AG113" i="65" s="1"/>
  <c r="AH113" i="65" s="1"/>
  <c r="AP111" i="65"/>
  <c r="AE110" i="65"/>
  <c r="AF110" i="65" s="1"/>
  <c r="AG110" i="65" s="1"/>
  <c r="AH110" i="65" s="1"/>
  <c r="J107" i="65"/>
  <c r="I104" i="65"/>
  <c r="AZ100" i="65"/>
  <c r="AP99" i="65"/>
  <c r="I98" i="65"/>
  <c r="AO97" i="65"/>
  <c r="AE96" i="65"/>
  <c r="AF96" i="65" s="1"/>
  <c r="AG96" i="65" s="1"/>
  <c r="AH96" i="65" s="1"/>
  <c r="AV95" i="65"/>
  <c r="AI94" i="65"/>
  <c r="BB93" i="65"/>
  <c r="I93" i="65"/>
  <c r="AO92" i="65"/>
  <c r="AE91" i="65"/>
  <c r="AF91" i="65" s="1"/>
  <c r="AG91" i="65" s="1"/>
  <c r="AH91" i="65" s="1"/>
  <c r="AV90" i="65"/>
  <c r="F90" i="65"/>
  <c r="AL89" i="65"/>
  <c r="I88" i="65"/>
  <c r="AO87" i="65"/>
  <c r="H85" i="65"/>
  <c r="AN84" i="65"/>
  <c r="J83" i="65"/>
  <c r="AP82" i="65"/>
  <c r="F82" i="65"/>
  <c r="AL81" i="65"/>
  <c r="I80" i="65"/>
  <c r="AO79" i="65"/>
  <c r="H77" i="65"/>
  <c r="AN76" i="65"/>
  <c r="BC75" i="65"/>
  <c r="J75" i="65"/>
  <c r="AP74" i="65"/>
  <c r="F74" i="65"/>
  <c r="AL73" i="65"/>
  <c r="BB72" i="65"/>
  <c r="I72" i="65"/>
  <c r="AO71" i="65"/>
  <c r="H69" i="65"/>
  <c r="AN68" i="65"/>
  <c r="J67" i="65"/>
  <c r="H236" i="65"/>
  <c r="H181" i="65"/>
  <c r="I161" i="65"/>
  <c r="AI146" i="65"/>
  <c r="AO124" i="65"/>
  <c r="AO117" i="65"/>
  <c r="AL113" i="65"/>
  <c r="J110" i="65"/>
  <c r="H103" i="65"/>
  <c r="AL100" i="65"/>
  <c r="AE98" i="65"/>
  <c r="AF98" i="65" s="1"/>
  <c r="AG98" i="65" s="1"/>
  <c r="AH98" i="65" s="1"/>
  <c r="AN95" i="65"/>
  <c r="BC93" i="65"/>
  <c r="AL92" i="65"/>
  <c r="AI89" i="65"/>
  <c r="BK87" i="65"/>
  <c r="BK81" i="65"/>
  <c r="AV80" i="65"/>
  <c r="AV77" i="65"/>
  <c r="BJ75" i="65"/>
  <c r="AO74" i="65"/>
  <c r="AE73" i="65"/>
  <c r="AF73" i="65" s="1"/>
  <c r="AG73" i="65" s="1"/>
  <c r="AH73" i="65" s="1"/>
  <c r="AP70" i="65"/>
  <c r="AL69" i="65"/>
  <c r="I68" i="65"/>
  <c r="BI66" i="65"/>
  <c r="J65" i="65"/>
  <c r="AP64" i="65"/>
  <c r="I62" i="65"/>
  <c r="AO61" i="65"/>
  <c r="BK56" i="65"/>
  <c r="AI56" i="65"/>
  <c r="BB55" i="65"/>
  <c r="J55" i="65"/>
  <c r="BB48" i="65"/>
  <c r="J48" i="65"/>
  <c r="J150" i="65"/>
  <c r="AE146" i="65"/>
  <c r="AF146" i="65" s="1"/>
  <c r="AG146" i="65" s="1"/>
  <c r="AH146" i="65" s="1"/>
  <c r="AP120" i="65"/>
  <c r="I117" i="65"/>
  <c r="I110" i="65"/>
  <c r="BC102" i="65"/>
  <c r="AI100" i="65"/>
  <c r="J98" i="65"/>
  <c r="H95" i="65"/>
  <c r="BA93" i="65"/>
  <c r="AI92" i="65"/>
  <c r="AV87" i="65"/>
  <c r="AE83" i="65"/>
  <c r="AF83" i="65" s="1"/>
  <c r="AG83" i="65" s="1"/>
  <c r="AH83" i="65" s="1"/>
  <c r="AE80" i="65"/>
  <c r="AF80" i="65" s="1"/>
  <c r="AG80" i="65" s="1"/>
  <c r="AH80" i="65" s="1"/>
  <c r="AP77" i="65"/>
  <c r="BI75" i="65"/>
  <c r="AN74" i="65"/>
  <c r="BI72" i="65"/>
  <c r="AV71" i="65"/>
  <c r="AI70" i="65"/>
  <c r="J69" i="65"/>
  <c r="AZ66" i="65"/>
  <c r="I65" i="65"/>
  <c r="AO64" i="65"/>
  <c r="AE63" i="65"/>
  <c r="AF63" i="65" s="1"/>
  <c r="AG63" i="65" s="1"/>
  <c r="AH63" i="65" s="1"/>
  <c r="H62" i="65"/>
  <c r="AN61" i="65"/>
  <c r="I55" i="65"/>
  <c r="BA48" i="65"/>
  <c r="I48" i="65"/>
  <c r="AE179" i="65"/>
  <c r="AF179" i="65" s="1"/>
  <c r="AG179" i="65" s="1"/>
  <c r="AH179" i="65" s="1"/>
  <c r="H150" i="65"/>
  <c r="I146" i="65"/>
  <c r="J120" i="65"/>
  <c r="AI116" i="65"/>
  <c r="J113" i="65"/>
  <c r="H98" i="65"/>
  <c r="F95" i="65"/>
  <c r="AZ93" i="65"/>
  <c r="AP90" i="65"/>
  <c r="AE89" i="65"/>
  <c r="AF89" i="65" s="1"/>
  <c r="AG89" i="65" s="1"/>
  <c r="AH89" i="65" s="1"/>
  <c r="AP87" i="65"/>
  <c r="AE86" i="65"/>
  <c r="AF86" i="65" s="1"/>
  <c r="AG86" i="65" s="1"/>
  <c r="AH86" i="65" s="1"/>
  <c r="AP84" i="65"/>
  <c r="I83" i="65"/>
  <c r="J80" i="65"/>
  <c r="J77" i="65"/>
  <c r="BB75" i="65"/>
  <c r="AL74" i="65"/>
  <c r="BC72" i="65"/>
  <c r="AP71" i="65"/>
  <c r="I69" i="65"/>
  <c r="AV66" i="65"/>
  <c r="H65" i="65"/>
  <c r="AN64" i="65"/>
  <c r="J63" i="65"/>
  <c r="AP62" i="65"/>
  <c r="F62" i="65"/>
  <c r="AL61" i="65"/>
  <c r="H55" i="65"/>
  <c r="AZ48" i="65"/>
  <c r="H48" i="65"/>
  <c r="AN156" i="65"/>
  <c r="AL145" i="65"/>
  <c r="I120" i="65"/>
  <c r="BK108" i="65"/>
  <c r="AV99" i="65"/>
  <c r="F98" i="65"/>
  <c r="AI96" i="65"/>
  <c r="AV93" i="65"/>
  <c r="AO90" i="65"/>
  <c r="AN87" i="65"/>
  <c r="J86" i="65"/>
  <c r="AO84" i="65"/>
  <c r="H83" i="65"/>
  <c r="AO81" i="65"/>
  <c r="H80" i="65"/>
  <c r="I77" i="65"/>
  <c r="BA75" i="65"/>
  <c r="I74" i="65"/>
  <c r="BA72" i="65"/>
  <c r="AN71" i="65"/>
  <c r="F69" i="65"/>
  <c r="AP66" i="65"/>
  <c r="F65" i="65"/>
  <c r="AL64" i="65"/>
  <c r="I63" i="65"/>
  <c r="AO62" i="65"/>
  <c r="AI61" i="65"/>
  <c r="AE56" i="65"/>
  <c r="AF56" i="65" s="1"/>
  <c r="AG56" i="65" s="1"/>
  <c r="AH56" i="65" s="1"/>
  <c r="F55" i="65"/>
  <c r="AV48" i="65"/>
  <c r="F48" i="65"/>
  <c r="AL173" i="65"/>
  <c r="J156" i="65"/>
  <c r="AO149" i="65"/>
  <c r="F145" i="65"/>
  <c r="AE123" i="65"/>
  <c r="AF123" i="65" s="1"/>
  <c r="AG123" i="65" s="1"/>
  <c r="AH123" i="65" s="1"/>
  <c r="AI119" i="65"/>
  <c r="AL105" i="65"/>
  <c r="F102" i="65"/>
  <c r="AO99" i="65"/>
  <c r="AE93" i="65"/>
  <c r="AF93" i="65" s="1"/>
  <c r="AG93" i="65" s="1"/>
  <c r="AH93" i="65" s="1"/>
  <c r="AN90" i="65"/>
  <c r="AL87" i="65"/>
  <c r="AL84" i="65"/>
  <c r="F83" i="65"/>
  <c r="AN81" i="65"/>
  <c r="F80" i="65"/>
  <c r="AI78" i="65"/>
  <c r="F77" i="65"/>
  <c r="AZ75" i="65"/>
  <c r="H74" i="65"/>
  <c r="AZ72" i="65"/>
  <c r="AL71" i="65"/>
  <c r="AE70" i="65"/>
  <c r="AF70" i="65" s="1"/>
  <c r="AG70" i="65" s="1"/>
  <c r="AH70" i="65" s="1"/>
  <c r="AO66" i="65"/>
  <c r="BK64" i="65"/>
  <c r="AI64" i="65"/>
  <c r="H63" i="65"/>
  <c r="AN62" i="65"/>
  <c r="BB56" i="65"/>
  <c r="J56" i="65"/>
  <c r="AP55" i="65"/>
  <c r="AP48" i="65"/>
  <c r="AN155" i="65"/>
  <c r="AE148" i="65"/>
  <c r="AF148" i="65" s="1"/>
  <c r="AG148" i="65" s="1"/>
  <c r="AH148" i="65" s="1"/>
  <c r="I123" i="65"/>
  <c r="AO108" i="65"/>
  <c r="AI105" i="65"/>
  <c r="BI101" i="65"/>
  <c r="AL99" i="65"/>
  <c r="AV97" i="65"/>
  <c r="J96" i="65"/>
  <c r="J93" i="65"/>
  <c r="I90" i="65"/>
  <c r="AI87" i="65"/>
  <c r="AI84" i="65"/>
  <c r="AI81" i="65"/>
  <c r="AV72" i="65"/>
  <c r="AI71" i="65"/>
  <c r="J70" i="65"/>
  <c r="BJ68" i="65"/>
  <c r="AN66" i="65"/>
  <c r="AP65" i="65"/>
  <c r="F63" i="65"/>
  <c r="AL62" i="65"/>
  <c r="AE61" i="65"/>
  <c r="AF61" i="65" s="1"/>
  <c r="AG61" i="65" s="1"/>
  <c r="AH61" i="65" s="1"/>
  <c r="I56" i="65"/>
  <c r="AO55" i="65"/>
  <c r="AO48" i="65"/>
  <c r="AN171" i="65"/>
  <c r="AL155" i="65"/>
  <c r="J148" i="65"/>
  <c r="AL122" i="65"/>
  <c r="AN108" i="65"/>
  <c r="AP104" i="65"/>
  <c r="AV101" i="65"/>
  <c r="AI99" i="65"/>
  <c r="AP97" i="65"/>
  <c r="I96" i="65"/>
  <c r="AN94" i="65"/>
  <c r="H93" i="65"/>
  <c r="H90" i="65"/>
  <c r="AE75" i="65"/>
  <c r="AF75" i="65" s="1"/>
  <c r="AG75" i="65" s="1"/>
  <c r="AH75" i="65" s="1"/>
  <c r="AN72" i="65"/>
  <c r="J71" i="65"/>
  <c r="F70" i="65"/>
  <c r="AO67" i="65"/>
  <c r="AL66" i="65"/>
  <c r="AO65" i="65"/>
  <c r="BI64" i="65"/>
  <c r="AE64" i="65"/>
  <c r="AF64" i="65" s="1"/>
  <c r="AG64" i="65" s="1"/>
  <c r="AH64" i="65" s="1"/>
  <c r="AV63" i="65"/>
  <c r="AI62" i="65"/>
  <c r="J61" i="65"/>
  <c r="AZ56" i="65"/>
  <c r="H56" i="65"/>
  <c r="AN55" i="65"/>
  <c r="AN48" i="65"/>
  <c r="AN165" i="65"/>
  <c r="AN101" i="65"/>
  <c r="F93" i="65"/>
  <c r="AI86" i="65"/>
  <c r="AN82" i="65"/>
  <c r="AI79" i="65"/>
  <c r="I75" i="65"/>
  <c r="H72" i="65"/>
  <c r="AP69" i="65"/>
  <c r="I66" i="65"/>
  <c r="AL56" i="65"/>
  <c r="J91" i="65"/>
  <c r="AP76" i="65"/>
  <c r="AE67" i="65"/>
  <c r="AF67" i="65" s="1"/>
  <c r="AG67" i="65" s="1"/>
  <c r="AH67" i="65" s="1"/>
  <c r="BI48" i="65"/>
  <c r="AL111" i="65"/>
  <c r="J62" i="65"/>
  <c r="AP165" i="65"/>
  <c r="AO82" i="65"/>
  <c r="AE161" i="65"/>
  <c r="AF161" i="65" s="1"/>
  <c r="AG161" i="65" s="1"/>
  <c r="AH161" i="65" s="1"/>
  <c r="AE125" i="65"/>
  <c r="AF125" i="65" s="1"/>
  <c r="AG125" i="65" s="1"/>
  <c r="AH125" i="65" s="1"/>
  <c r="AI108" i="65"/>
  <c r="AO89" i="65"/>
  <c r="AV85" i="65"/>
  <c r="AL82" i="65"/>
  <c r="H75" i="65"/>
  <c r="F72" i="65"/>
  <c r="AP68" i="65"/>
  <c r="H66" i="65"/>
  <c r="AV61" i="65"/>
  <c r="F56" i="65"/>
  <c r="H104" i="65"/>
  <c r="AI55" i="65"/>
  <c r="BJ48" i="65"/>
  <c r="AN97" i="65"/>
  <c r="AI110" i="65"/>
  <c r="AV69" i="65"/>
  <c r="AN153" i="65"/>
  <c r="AP117" i="65"/>
  <c r="H96" i="65"/>
  <c r="AN89" i="65"/>
  <c r="AP85" i="65"/>
  <c r="I82" i="65"/>
  <c r="AE78" i="65"/>
  <c r="AF78" i="65" s="1"/>
  <c r="AG78" i="65" s="1"/>
  <c r="AH78" i="65" s="1"/>
  <c r="F75" i="65"/>
  <c r="AO68" i="65"/>
  <c r="F66" i="65"/>
  <c r="J64" i="65"/>
  <c r="AP61" i="65"/>
  <c r="AE48" i="65"/>
  <c r="AF48" i="65" s="1"/>
  <c r="AG48" i="65" s="1"/>
  <c r="AH48" i="65" s="1"/>
  <c r="F148" i="65"/>
  <c r="AL94" i="65"/>
  <c r="BI83" i="65"/>
  <c r="BA70" i="65"/>
  <c r="H91" i="65"/>
  <c r="H67" i="65"/>
  <c r="BB146" i="65"/>
  <c r="AL79" i="65"/>
  <c r="AV152" i="65"/>
  <c r="F115" i="65"/>
  <c r="AE107" i="65"/>
  <c r="AF107" i="65" s="1"/>
  <c r="AG107" i="65" s="1"/>
  <c r="AH107" i="65" s="1"/>
  <c r="AV100" i="65"/>
  <c r="AP92" i="65"/>
  <c r="AV88" i="65"/>
  <c r="J85" i="65"/>
  <c r="H82" i="65"/>
  <c r="J78" i="65"/>
  <c r="AZ74" i="65"/>
  <c r="AL68" i="65"/>
  <c r="I64" i="65"/>
  <c r="I61" i="65"/>
  <c r="AE188" i="65"/>
  <c r="AF188" i="65" s="1"/>
  <c r="AG188" i="65" s="1"/>
  <c r="AH188" i="65" s="1"/>
  <c r="F88" i="65"/>
  <c r="AN73" i="65"/>
  <c r="AP63" i="65"/>
  <c r="AN63" i="65"/>
  <c r="J72" i="65"/>
  <c r="AI152" i="65"/>
  <c r="H107" i="65"/>
  <c r="AN92" i="65"/>
  <c r="AE88" i="65"/>
  <c r="AF88" i="65" s="1"/>
  <c r="AG88" i="65" s="1"/>
  <c r="AH88" i="65" s="1"/>
  <c r="I85" i="65"/>
  <c r="AE81" i="65"/>
  <c r="AF81" i="65" s="1"/>
  <c r="AG81" i="65" s="1"/>
  <c r="AH81" i="65" s="1"/>
  <c r="AV74" i="65"/>
  <c r="BJ70" i="65"/>
  <c r="AI68" i="65"/>
  <c r="AN65" i="65"/>
  <c r="H64" i="65"/>
  <c r="H61" i="65"/>
  <c r="AO101" i="65"/>
  <c r="H122" i="65"/>
  <c r="AO114" i="65"/>
  <c r="F107" i="65"/>
  <c r="AP95" i="65"/>
  <c r="AI91" i="65"/>
  <c r="J88" i="65"/>
  <c r="F85" i="65"/>
  <c r="BC70" i="65"/>
  <c r="AL65" i="65"/>
  <c r="F64" i="65"/>
  <c r="F61" i="65"/>
  <c r="AL114" i="65"/>
  <c r="BJ103" i="65"/>
  <c r="AL76" i="65"/>
  <c r="AP56" i="65"/>
  <c r="BA64" i="65"/>
  <c r="AN114" i="65"/>
  <c r="AO104" i="65"/>
  <c r="AO95" i="65"/>
  <c r="H88" i="65"/>
  <c r="AO73" i="65"/>
  <c r="BB70" i="65"/>
  <c r="AI65" i="65"/>
  <c r="AL55" i="65"/>
  <c r="BK48" i="65"/>
  <c r="AV147" i="65"/>
  <c r="BC48" i="65"/>
  <c r="AI97" i="65"/>
  <c r="AN181" i="65"/>
  <c r="AO111" i="65"/>
  <c r="AP98" i="65"/>
  <c r="I91" i="65"/>
  <c r="AO76" i="65"/>
  <c r="AI73" i="65"/>
  <c r="I67" i="65"/>
  <c r="AE65" i="65"/>
  <c r="AF65" i="65" s="1"/>
  <c r="AG65" i="65" s="1"/>
  <c r="AH65" i="65" s="1"/>
  <c r="AO63" i="65"/>
  <c r="AE62" i="65"/>
  <c r="AF62" i="65" s="1"/>
  <c r="AG62" i="65" s="1"/>
  <c r="AH62" i="65" s="1"/>
  <c r="AV56" i="65"/>
  <c r="BB120" i="65"/>
  <c r="AP79" i="65"/>
  <c r="BI93" i="65"/>
  <c r="AN56" i="65"/>
  <c r="AI111" i="65"/>
  <c r="AE103" i="65"/>
  <c r="AF103" i="65" s="1"/>
  <c r="AG103" i="65" s="1"/>
  <c r="AH103" i="65" s="1"/>
  <c r="AL97" i="65"/>
  <c r="AE94" i="65"/>
  <c r="AF94" i="65" s="1"/>
  <c r="AG94" i="65" s="1"/>
  <c r="AH94" i="65" s="1"/>
  <c r="AN79" i="65"/>
  <c r="AI76" i="65"/>
  <c r="AE72" i="65"/>
  <c r="AF72" i="65" s="1"/>
  <c r="AG72" i="65" s="1"/>
  <c r="AH72" i="65" s="1"/>
  <c r="F67" i="65"/>
  <c r="AL63" i="65"/>
  <c r="AO56" i="65"/>
  <c r="AE55" i="65"/>
  <c r="AF55" i="65" s="1"/>
  <c r="AG55" i="65" s="1"/>
  <c r="AH55" i="65" s="1"/>
  <c r="AL48" i="65"/>
  <c r="AI63" i="65"/>
  <c r="AI48" i="65"/>
  <c r="AO57" i="65"/>
  <c r="AL192" i="65"/>
  <c r="BA225" i="65"/>
  <c r="H57" i="65"/>
  <c r="J235" i="65"/>
  <c r="AO125" i="65"/>
  <c r="H193" i="65"/>
  <c r="H192" i="65"/>
  <c r="AI233" i="65"/>
  <c r="AL206" i="65"/>
  <c r="AN57" i="65"/>
  <c r="AI192" i="65"/>
  <c r="BJ206" i="65"/>
  <c r="AI206" i="65"/>
  <c r="AV57" i="65"/>
  <c r="AE57" i="65"/>
  <c r="AF57" i="65" s="1"/>
  <c r="AG57" i="65" s="1"/>
  <c r="AH57" i="65" s="1"/>
  <c r="AP192" i="65"/>
  <c r="F207" i="65"/>
  <c r="H233" i="65"/>
  <c r="AL207" i="65"/>
  <c r="J57" i="65"/>
  <c r="AE191" i="65"/>
  <c r="AF191" i="65" s="1"/>
  <c r="AG191" i="65" s="1"/>
  <c r="AH191" i="65" s="1"/>
  <c r="AI193" i="65"/>
  <c r="J192" i="65"/>
  <c r="AL225" i="65"/>
  <c r="H225" i="65"/>
  <c r="AL125" i="65"/>
  <c r="I235" i="65"/>
  <c r="I125" i="65"/>
  <c r="I206" i="65"/>
  <c r="AE193" i="65"/>
  <c r="AF193" i="65" s="1"/>
  <c r="AG193" i="65" s="1"/>
  <c r="AH193" i="65" s="1"/>
  <c r="BK206" i="65"/>
  <c r="AV207" i="65"/>
  <c r="AN192" i="65"/>
  <c r="AV206" i="65"/>
  <c r="AP226" i="65"/>
  <c r="AO225" i="65"/>
  <c r="BK225" i="65"/>
  <c r="F125" i="65"/>
  <c r="BC193" i="65"/>
  <c r="BI226" i="65"/>
  <c r="J225" i="65"/>
  <c r="AP193" i="65"/>
  <c r="H226" i="65"/>
  <c r="AI57" i="65"/>
  <c r="AE235" i="65"/>
  <c r="AF235" i="65" s="1"/>
  <c r="AG235" i="65" s="1"/>
  <c r="AH235" i="65" s="1"/>
  <c r="H207" i="65"/>
  <c r="AN207" i="65"/>
  <c r="AO192" i="65"/>
  <c r="AO191" i="65"/>
  <c r="F233" i="65"/>
  <c r="AL235" i="65"/>
  <c r="H235" i="65"/>
  <c r="AP125" i="65"/>
  <c r="AE206" i="65"/>
  <c r="AF206" i="65" s="1"/>
  <c r="AG206" i="65" s="1"/>
  <c r="AH206" i="65" s="1"/>
  <c r="AL233" i="65"/>
  <c r="BB225" i="65"/>
  <c r="J193" i="65"/>
  <c r="H125" i="65"/>
  <c r="AI207" i="65"/>
  <c r="I225" i="65"/>
  <c r="AZ226" i="65"/>
  <c r="F192" i="65"/>
  <c r="J125" i="65"/>
  <c r="AN225" i="65"/>
  <c r="AI226" i="65"/>
  <c r="F235" i="65"/>
  <c r="F206" i="65"/>
  <c r="AO235" i="65"/>
  <c r="AP225" i="65"/>
  <c r="AP206" i="65"/>
  <c r="I192" i="65"/>
  <c r="AN206" i="65"/>
  <c r="AP235" i="65"/>
  <c r="AN125" i="65"/>
  <c r="AP207" i="65"/>
  <c r="AO207" i="65"/>
  <c r="BC225" i="65"/>
  <c r="AN235" i="65"/>
  <c r="I57" i="65"/>
  <c r="BI233" i="65"/>
  <c r="J226" i="65"/>
  <c r="AN233" i="65"/>
  <c r="AE233" i="65"/>
  <c r="AF233" i="65" s="1"/>
  <c r="AG233" i="65" s="1"/>
  <c r="AH233" i="65" s="1"/>
  <c r="AE207" i="65"/>
  <c r="AF207" i="65" s="1"/>
  <c r="AG207" i="65" s="1"/>
  <c r="AH207" i="65" s="1"/>
  <c r="AE192" i="65"/>
  <c r="AF192" i="65" s="1"/>
  <c r="AG192" i="65" s="1"/>
  <c r="AH192" i="65" s="1"/>
  <c r="F57" i="65"/>
  <c r="BJ233" i="65"/>
  <c r="AP57" i="65"/>
  <c r="I233" i="65"/>
  <c r="BI225" i="65"/>
  <c r="J233" i="65"/>
  <c r="AI235" i="65"/>
  <c r="AL57" i="65"/>
  <c r="BB226" i="65"/>
  <c r="AP233" i="65"/>
  <c r="AO233" i="65"/>
  <c r="J207" i="65"/>
  <c r="BJ226" i="65"/>
  <c r="BK208" i="65"/>
  <c r="F208" i="65"/>
  <c r="AL227" i="65"/>
  <c r="AI227" i="65"/>
  <c r="AN126" i="65"/>
  <c r="AE58" i="65"/>
  <c r="AF58" i="65" s="1"/>
  <c r="AG58" i="65" s="1"/>
  <c r="AH58" i="65" s="1"/>
  <c r="AO208" i="65"/>
  <c r="BJ227" i="65"/>
  <c r="F58" i="65"/>
  <c r="BK226" i="65"/>
  <c r="AP208" i="65"/>
  <c r="BB227" i="65"/>
  <c r="BK227" i="65"/>
  <c r="AP58" i="65"/>
  <c r="J227" i="65"/>
  <c r="AE126" i="65"/>
  <c r="AF126" i="65" s="1"/>
  <c r="AG126" i="65" s="1"/>
  <c r="AH126" i="65" s="1"/>
  <c r="AI208" i="65"/>
  <c r="BC226" i="65"/>
  <c r="BA226" i="65"/>
  <c r="AN193" i="65"/>
  <c r="AL208" i="65"/>
  <c r="BA227" i="65"/>
  <c r="BI227" i="65"/>
  <c r="AO58" i="65"/>
  <c r="H58" i="65"/>
  <c r="AO193" i="65"/>
  <c r="AL126" i="65"/>
  <c r="AE226" i="65"/>
  <c r="AF226" i="65" s="1"/>
  <c r="AG226" i="65" s="1"/>
  <c r="AH226" i="65" s="1"/>
  <c r="AP126" i="65"/>
  <c r="F126" i="65"/>
  <c r="AO226" i="65"/>
  <c r="AL193" i="65"/>
  <c r="AE208" i="65"/>
  <c r="AF208" i="65" s="1"/>
  <c r="AG208" i="65" s="1"/>
  <c r="AH208" i="65" s="1"/>
  <c r="I227" i="65"/>
  <c r="AE227" i="65"/>
  <c r="AF227" i="65" s="1"/>
  <c r="AG227" i="65" s="1"/>
  <c r="AH227" i="65" s="1"/>
  <c r="J126" i="65"/>
  <c r="AN58" i="65"/>
  <c r="AN208" i="65"/>
  <c r="AV58" i="65"/>
  <c r="AN226" i="65"/>
  <c r="I193" i="65"/>
  <c r="BB208" i="65"/>
  <c r="AZ227" i="65"/>
  <c r="BC227" i="65"/>
  <c r="J58" i="65"/>
  <c r="AV226" i="65"/>
  <c r="AV126" i="65"/>
  <c r="F226" i="65"/>
  <c r="AL226" i="65"/>
  <c r="J208" i="65"/>
  <c r="H227" i="65"/>
  <c r="I126" i="65"/>
  <c r="AL58" i="65"/>
  <c r="I58" i="65"/>
  <c r="AI126" i="65"/>
  <c r="AO227" i="65"/>
  <c r="AN227" i="65"/>
  <c r="I226" i="65"/>
  <c r="F193" i="65"/>
  <c r="I208" i="65"/>
  <c r="F227" i="65"/>
  <c r="BK126" i="65"/>
  <c r="H126" i="65"/>
  <c r="AI58" i="65"/>
  <c r="AP227" i="65"/>
  <c r="H208" i="65"/>
  <c r="AO126" i="65"/>
  <c r="AO194" i="65"/>
  <c r="AI127" i="65"/>
  <c r="AP127" i="65"/>
  <c r="AL59" i="65"/>
  <c r="J209" i="65"/>
  <c r="AO127" i="65"/>
  <c r="F194" i="65"/>
  <c r="AP194" i="65"/>
  <c r="AP209" i="65"/>
  <c r="J228" i="65"/>
  <c r="AE194" i="65"/>
  <c r="AF194" i="65" s="1"/>
  <c r="AG194" i="65" s="1"/>
  <c r="AH194" i="65" s="1"/>
  <c r="F127" i="65"/>
  <c r="I228" i="65"/>
  <c r="AO209" i="65"/>
  <c r="J127" i="65"/>
  <c r="I194" i="65"/>
  <c r="AL194" i="65"/>
  <c r="AI59" i="65"/>
  <c r="AN209" i="65"/>
  <c r="I209" i="65"/>
  <c r="AN194" i="65"/>
  <c r="AL228" i="65"/>
  <c r="AI228" i="65"/>
  <c r="AI194" i="65"/>
  <c r="I59" i="65"/>
  <c r="H228" i="65"/>
  <c r="AL209" i="65"/>
  <c r="AN228" i="65"/>
  <c r="BA59" i="65"/>
  <c r="I127" i="65"/>
  <c r="AN59" i="65"/>
  <c r="F209" i="65"/>
  <c r="BB127" i="65"/>
  <c r="AV59" i="65"/>
  <c r="BI59" i="65"/>
  <c r="AO228" i="65"/>
  <c r="H209" i="65"/>
  <c r="J59" i="65"/>
  <c r="AE228" i="65"/>
  <c r="AF228" i="65" s="1"/>
  <c r="AG228" i="65" s="1"/>
  <c r="AH228" i="65" s="1"/>
  <c r="H127" i="65"/>
  <c r="H194" i="65"/>
  <c r="AE127" i="65"/>
  <c r="AF127" i="65" s="1"/>
  <c r="AG127" i="65" s="1"/>
  <c r="AH127" i="65" s="1"/>
  <c r="H59" i="65"/>
  <c r="BC59" i="65"/>
  <c r="F228" i="65"/>
  <c r="AI209" i="65"/>
  <c r="F59" i="65"/>
  <c r="AN127" i="65"/>
  <c r="AO59" i="65"/>
  <c r="AL127" i="65"/>
  <c r="J194" i="65"/>
  <c r="AP59" i="65"/>
  <c r="AP228" i="65"/>
  <c r="AE59" i="65"/>
  <c r="AF59" i="65" s="1"/>
  <c r="AG59" i="65" s="1"/>
  <c r="AH59" i="65" s="1"/>
  <c r="AE209" i="65"/>
  <c r="AF209" i="65" s="1"/>
  <c r="AG209" i="65" s="1"/>
  <c r="AH209" i="65" s="1"/>
  <c r="J195" i="65"/>
  <c r="AN195" i="65"/>
  <c r="AN128" i="65"/>
  <c r="AP210" i="65"/>
  <c r="H60" i="65"/>
  <c r="AL60" i="65"/>
  <c r="J60" i="65"/>
  <c r="H210" i="65"/>
  <c r="F128" i="65"/>
  <c r="AO128" i="65"/>
  <c r="AE195" i="65"/>
  <c r="AF195" i="65" s="1"/>
  <c r="AG195" i="65" s="1"/>
  <c r="AH195" i="65" s="1"/>
  <c r="I128" i="65"/>
  <c r="AO210" i="65"/>
  <c r="AP60" i="65"/>
  <c r="H195" i="65"/>
  <c r="AE60" i="65"/>
  <c r="AF60" i="65" s="1"/>
  <c r="AG60" i="65" s="1"/>
  <c r="AH60" i="65" s="1"/>
  <c r="AI195" i="65"/>
  <c r="I60" i="65"/>
  <c r="I195" i="65"/>
  <c r="AL195" i="65"/>
  <c r="AL128" i="65"/>
  <c r="AN210" i="65"/>
  <c r="F60" i="65"/>
  <c r="AO195" i="65"/>
  <c r="F195" i="65"/>
  <c r="F210" i="65"/>
  <c r="I210" i="65"/>
  <c r="AL210" i="65"/>
  <c r="AO60" i="65"/>
  <c r="AE210" i="65"/>
  <c r="AF210" i="65" s="1"/>
  <c r="AG210" i="65" s="1"/>
  <c r="AH210" i="65" s="1"/>
  <c r="H128" i="65"/>
  <c r="BI195" i="65"/>
  <c r="AI128" i="65"/>
  <c r="BB60" i="65"/>
  <c r="AN60" i="65"/>
  <c r="AI210" i="65"/>
  <c r="J210" i="65"/>
  <c r="AI60" i="65"/>
  <c r="AE128" i="65"/>
  <c r="AF128" i="65" s="1"/>
  <c r="AG128" i="65" s="1"/>
  <c r="AH128" i="65" s="1"/>
  <c r="J128" i="65"/>
  <c r="AV195" i="65"/>
  <c r="AP128" i="65"/>
  <c r="AP195" i="65"/>
  <c r="AO196" i="65"/>
  <c r="AP196" i="65"/>
  <c r="I211" i="65"/>
  <c r="I129" i="65"/>
  <c r="AZ211" i="65"/>
  <c r="BC129" i="65"/>
  <c r="AP211" i="65"/>
  <c r="I196" i="65"/>
  <c r="AO211" i="65"/>
  <c r="J129" i="65"/>
  <c r="AE196" i="65"/>
  <c r="AF196" i="65" s="1"/>
  <c r="AG196" i="65" s="1"/>
  <c r="AH196" i="65" s="1"/>
  <c r="H211" i="65"/>
  <c r="H129" i="65"/>
  <c r="BB129" i="65"/>
  <c r="AL196" i="65"/>
  <c r="F211" i="65"/>
  <c r="AI196" i="65"/>
  <c r="AI211" i="65"/>
  <c r="AV196" i="65"/>
  <c r="AN129" i="65"/>
  <c r="J196" i="65"/>
  <c r="AL129" i="65"/>
  <c r="J211" i="65"/>
  <c r="AN196" i="65"/>
  <c r="AE211" i="65"/>
  <c r="AF211" i="65" s="1"/>
  <c r="AG211" i="65" s="1"/>
  <c r="AH211" i="65" s="1"/>
  <c r="AV211" i="65"/>
  <c r="AP129" i="65"/>
  <c r="AE129" i="65"/>
  <c r="AF129" i="65" s="1"/>
  <c r="AG129" i="65" s="1"/>
  <c r="AH129" i="65" s="1"/>
  <c r="H196" i="65"/>
  <c r="F129" i="65"/>
  <c r="AO129" i="65"/>
  <c r="AN211" i="65"/>
  <c r="AL211" i="65"/>
  <c r="BA129" i="65"/>
  <c r="F196" i="65"/>
  <c r="AI129" i="65"/>
  <c r="BJ129" i="65"/>
  <c r="AO197" i="65"/>
  <c r="F130" i="65"/>
  <c r="F212" i="65"/>
  <c r="AO130" i="65"/>
  <c r="BB212" i="65"/>
  <c r="H212" i="65"/>
  <c r="J197" i="65"/>
  <c r="AI212" i="65"/>
  <c r="AI130" i="65"/>
  <c r="I212" i="65"/>
  <c r="AN197" i="65"/>
  <c r="AN130" i="65"/>
  <c r="AI197" i="65"/>
  <c r="AZ197" i="65"/>
  <c r="H130" i="65"/>
  <c r="I197" i="65"/>
  <c r="AV197" i="65"/>
  <c r="J212" i="65"/>
  <c r="AV130" i="65"/>
  <c r="AE197" i="65"/>
  <c r="AF197" i="65" s="1"/>
  <c r="AG197" i="65" s="1"/>
  <c r="AH197" i="65" s="1"/>
  <c r="AP197" i="65"/>
  <c r="AE130" i="65"/>
  <c r="AF130" i="65" s="1"/>
  <c r="AG130" i="65" s="1"/>
  <c r="AH130" i="65" s="1"/>
  <c r="AL130" i="65"/>
  <c r="AE212" i="65"/>
  <c r="AF212" i="65" s="1"/>
  <c r="AG212" i="65" s="1"/>
  <c r="AH212" i="65" s="1"/>
  <c r="J130" i="65"/>
  <c r="AN212" i="65"/>
  <c r="AP130" i="65"/>
  <c r="F197" i="65"/>
  <c r="AP212" i="65"/>
  <c r="I130" i="65"/>
  <c r="AL197" i="65"/>
  <c r="AO212" i="65"/>
  <c r="H197" i="65"/>
  <c r="AL212" i="65"/>
  <c r="H131" i="65"/>
  <c r="J213" i="65"/>
  <c r="F198" i="65"/>
  <c r="H198" i="65"/>
  <c r="AP198" i="65"/>
  <c r="F213" i="65"/>
  <c r="AP213" i="65"/>
  <c r="I198" i="65"/>
  <c r="AP131" i="65"/>
  <c r="AN131" i="65"/>
  <c r="AE131" i="65"/>
  <c r="AF131" i="65" s="1"/>
  <c r="AG131" i="65" s="1"/>
  <c r="AH131" i="65" s="1"/>
  <c r="AI213" i="65"/>
  <c r="AE198" i="65"/>
  <c r="AF198" i="65" s="1"/>
  <c r="AG198" i="65" s="1"/>
  <c r="AH198" i="65" s="1"/>
  <c r="J198" i="65"/>
  <c r="BJ131" i="65"/>
  <c r="F131" i="65"/>
  <c r="I213" i="65"/>
  <c r="H213" i="65"/>
  <c r="AL198" i="65"/>
  <c r="BK131" i="65"/>
  <c r="AI198" i="65"/>
  <c r="BI131" i="65"/>
  <c r="AO131" i="65"/>
  <c r="AE213" i="65"/>
  <c r="AF213" i="65" s="1"/>
  <c r="AG213" i="65" s="1"/>
  <c r="AH213" i="65" s="1"/>
  <c r="AL131" i="65"/>
  <c r="AO198" i="65"/>
  <c r="AL213" i="65"/>
  <c r="AN198" i="65"/>
  <c r="J131" i="65"/>
  <c r="AI131" i="65"/>
  <c r="AO213" i="65"/>
  <c r="AN213" i="65"/>
  <c r="I131" i="65"/>
  <c r="AN199" i="65"/>
  <c r="J199" i="65"/>
  <c r="J132" i="65"/>
  <c r="BI214" i="65"/>
  <c r="AO214" i="65"/>
  <c r="AL214" i="65"/>
  <c r="AI199" i="65"/>
  <c r="AP214" i="65"/>
  <c r="H199" i="65"/>
  <c r="I199" i="65"/>
  <c r="I214" i="65"/>
  <c r="AE132" i="65"/>
  <c r="AF132" i="65" s="1"/>
  <c r="AG132" i="65" s="1"/>
  <c r="AH132" i="65" s="1"/>
  <c r="AL199" i="65"/>
  <c r="I132" i="65"/>
  <c r="AE214" i="65"/>
  <c r="AF214" i="65" s="1"/>
  <c r="AG214" i="65" s="1"/>
  <c r="AH214" i="65" s="1"/>
  <c r="AZ214" i="65"/>
  <c r="BA132" i="65"/>
  <c r="AV199" i="65"/>
  <c r="AL132" i="65"/>
  <c r="AV132" i="65"/>
  <c r="BB214" i="65"/>
  <c r="AI214" i="65"/>
  <c r="F132" i="65"/>
  <c r="AO132" i="65"/>
  <c r="BJ214" i="65"/>
  <c r="AE199" i="65"/>
  <c r="AF199" i="65" s="1"/>
  <c r="AG199" i="65" s="1"/>
  <c r="AH199" i="65" s="1"/>
  <c r="H132" i="65"/>
  <c r="J214" i="65"/>
  <c r="AP199" i="65"/>
  <c r="AI132" i="65"/>
  <c r="AP132" i="65"/>
  <c r="F199" i="65"/>
  <c r="F214" i="65"/>
  <c r="AO199" i="65"/>
  <c r="AN132" i="65"/>
  <c r="H214" i="65"/>
  <c r="AN214" i="65"/>
  <c r="AV214" i="65"/>
  <c r="BK214" i="65"/>
  <c r="AL200" i="65"/>
  <c r="AI215" i="65"/>
  <c r="AV215" i="65"/>
  <c r="BA133" i="65"/>
  <c r="AO133" i="65"/>
  <c r="AI200" i="65"/>
  <c r="H200" i="65"/>
  <c r="AE133" i="65"/>
  <c r="AF133" i="65" s="1"/>
  <c r="AG133" i="65" s="1"/>
  <c r="AH133" i="65" s="1"/>
  <c r="J133" i="65"/>
  <c r="F133" i="65"/>
  <c r="AO215" i="65"/>
  <c r="F200" i="65"/>
  <c r="AN133" i="65"/>
  <c r="AZ133" i="65"/>
  <c r="AP133" i="65"/>
  <c r="J200" i="65"/>
  <c r="I200" i="65"/>
  <c r="I133" i="65"/>
  <c r="AI133" i="65"/>
  <c r="AP215" i="65"/>
  <c r="F215" i="65"/>
  <c r="AN200" i="65"/>
  <c r="AL133" i="65"/>
  <c r="AV133" i="65"/>
  <c r="BJ133" i="65"/>
  <c r="BC133" i="65"/>
  <c r="AE215" i="65"/>
  <c r="AF215" i="65" s="1"/>
  <c r="AG215" i="65" s="1"/>
  <c r="AH215" i="65" s="1"/>
  <c r="BK133" i="65"/>
  <c r="H133" i="65"/>
  <c r="AE200" i="65"/>
  <c r="AF200" i="65" s="1"/>
  <c r="AG200" i="65" s="1"/>
  <c r="AH200" i="65" s="1"/>
  <c r="J215" i="65"/>
  <c r="BI133" i="65"/>
  <c r="I215" i="65"/>
  <c r="AP200" i="65"/>
  <c r="AN215" i="65"/>
  <c r="AZ215" i="65"/>
  <c r="BB133" i="65"/>
  <c r="H215" i="65"/>
  <c r="AO200" i="65"/>
  <c r="AL215" i="65"/>
  <c r="H201" i="65"/>
  <c r="AN134" i="65"/>
  <c r="J201" i="65"/>
  <c r="J134" i="65"/>
  <c r="I134" i="65"/>
  <c r="AI201" i="65"/>
  <c r="H134" i="65"/>
  <c r="AO134" i="65"/>
  <c r="F201" i="65"/>
  <c r="AP201" i="65"/>
  <c r="AP134" i="65"/>
  <c r="AE134" i="65"/>
  <c r="AF134" i="65" s="1"/>
  <c r="AG134" i="65" s="1"/>
  <c r="AH134" i="65" s="1"/>
  <c r="AL134" i="65"/>
  <c r="AN201" i="65"/>
  <c r="F134" i="65"/>
  <c r="I201" i="65"/>
  <c r="AL201" i="65"/>
  <c r="AO201" i="65"/>
  <c r="AV201" i="65"/>
  <c r="AI134" i="65"/>
  <c r="AE201" i="65"/>
  <c r="AF201" i="65" s="1"/>
  <c r="AG201" i="65" s="1"/>
  <c r="AH201" i="65" s="1"/>
  <c r="AI202" i="65"/>
  <c r="AV202" i="65"/>
  <c r="I202" i="65"/>
  <c r="AP135" i="65"/>
  <c r="AE135" i="65"/>
  <c r="AF135" i="65" s="1"/>
  <c r="AG135" i="65" s="1"/>
  <c r="AH135" i="65" s="1"/>
  <c r="J135" i="65"/>
  <c r="AL202" i="65"/>
  <c r="F202" i="65"/>
  <c r="AO202" i="65"/>
  <c r="F135" i="65"/>
  <c r="AO135" i="65"/>
  <c r="AN135" i="65"/>
  <c r="AI135" i="65"/>
  <c r="I135" i="65"/>
  <c r="H202" i="65"/>
  <c r="AN202" i="65"/>
  <c r="AE202" i="65"/>
  <c r="AF202" i="65" s="1"/>
  <c r="AG202" i="65" s="1"/>
  <c r="AH202" i="65" s="1"/>
  <c r="AL135" i="65"/>
  <c r="J202" i="65"/>
  <c r="H135" i="65"/>
  <c r="AP202" i="65"/>
  <c r="BJ135" i="65"/>
  <c r="AV203" i="65"/>
  <c r="J136" i="65"/>
  <c r="BJ136" i="65"/>
  <c r="I203" i="65"/>
  <c r="F203" i="65"/>
  <c r="I136" i="65"/>
  <c r="J203" i="65"/>
  <c r="AP203" i="65"/>
  <c r="H136" i="65"/>
  <c r="AI203" i="65"/>
  <c r="H203" i="65"/>
  <c r="AP136" i="65"/>
  <c r="AL203" i="65"/>
  <c r="AO203" i="65"/>
  <c r="AE203" i="65"/>
  <c r="AF203" i="65" s="1"/>
  <c r="AG203" i="65" s="1"/>
  <c r="AH203" i="65" s="1"/>
  <c r="F136" i="65"/>
  <c r="AN136" i="65"/>
  <c r="AL136" i="65"/>
  <c r="AE136" i="65"/>
  <c r="AF136" i="65" s="1"/>
  <c r="AG136" i="65" s="1"/>
  <c r="AH136" i="65" s="1"/>
  <c r="AI136" i="65"/>
  <c r="AN203" i="65"/>
  <c r="AO136" i="65"/>
  <c r="F204" i="65"/>
  <c r="I204" i="65"/>
  <c r="AN137" i="65"/>
  <c r="AP137" i="65"/>
  <c r="BJ204" i="65"/>
  <c r="AE137" i="65"/>
  <c r="AF137" i="65" s="1"/>
  <c r="AG137" i="65" s="1"/>
  <c r="AH137" i="65" s="1"/>
  <c r="AO204" i="65"/>
  <c r="AN204" i="65"/>
  <c r="AE204" i="65"/>
  <c r="AF204" i="65" s="1"/>
  <c r="AG204" i="65" s="1"/>
  <c r="AH204" i="65" s="1"/>
  <c r="F137" i="65"/>
  <c r="BK204" i="65"/>
  <c r="J137" i="65"/>
  <c r="I137" i="65"/>
  <c r="AO137" i="65"/>
  <c r="AL204" i="65"/>
  <c r="BB204" i="65"/>
  <c r="J204" i="65"/>
  <c r="H204" i="65"/>
  <c r="AI204" i="65"/>
  <c r="AL137" i="65"/>
  <c r="H137" i="65"/>
  <c r="AP204" i="65"/>
  <c r="AI137" i="65"/>
  <c r="BK138" i="65"/>
  <c r="AE138" i="65"/>
  <c r="AF138" i="65" s="1"/>
  <c r="AG138" i="65" s="1"/>
  <c r="AH138" i="65" s="1"/>
  <c r="F138" i="65"/>
  <c r="AI138" i="65"/>
  <c r="J138" i="65"/>
  <c r="AL138" i="65"/>
  <c r="AP138" i="65"/>
  <c r="I138" i="65"/>
  <c r="AO138" i="65"/>
  <c r="AN138" i="65"/>
  <c r="H138" i="65"/>
  <c r="AN139" i="65"/>
  <c r="AO139" i="65"/>
  <c r="AI139" i="65"/>
  <c r="AL139" i="65"/>
  <c r="AE139" i="65"/>
  <c r="AF139" i="65" s="1"/>
  <c r="AG139" i="65" s="1"/>
  <c r="AH139" i="65" s="1"/>
  <c r="BB139" i="65"/>
  <c r="J139" i="65"/>
  <c r="F139" i="65"/>
  <c r="I139" i="65"/>
  <c r="AP139" i="65"/>
  <c r="H139" i="65"/>
  <c r="AV139" i="65"/>
  <c r="AP140" i="65"/>
  <c r="I140" i="65"/>
  <c r="F140" i="65"/>
  <c r="H140" i="65"/>
  <c r="J140" i="65"/>
  <c r="AI140" i="65"/>
  <c r="AE140" i="65"/>
  <c r="AF140" i="65" s="1"/>
  <c r="AG140" i="65" s="1"/>
  <c r="AH140" i="65" s="1"/>
  <c r="AO140" i="65"/>
  <c r="AN140" i="65"/>
  <c r="AL140" i="65"/>
  <c r="AZ141" i="65"/>
  <c r="AE141" i="65"/>
  <c r="AF141" i="65" s="1"/>
  <c r="AG141" i="65" s="1"/>
  <c r="AH141" i="65" s="1"/>
  <c r="I141" i="65"/>
  <c r="BC141" i="65"/>
  <c r="AP141" i="65"/>
  <c r="J141" i="65"/>
  <c r="BJ141" i="65"/>
  <c r="AO141" i="65"/>
  <c r="BA141" i="65"/>
  <c r="AN141" i="65"/>
  <c r="H141" i="65"/>
  <c r="AL141" i="65"/>
  <c r="AV141" i="65"/>
  <c r="F141" i="65"/>
  <c r="AI141" i="65"/>
  <c r="AN142" i="65"/>
  <c r="AE142" i="65"/>
  <c r="AF142" i="65" s="1"/>
  <c r="AG142" i="65" s="1"/>
  <c r="AH142" i="65" s="1"/>
  <c r="AL142" i="65"/>
  <c r="AP142" i="65"/>
  <c r="J142" i="65"/>
  <c r="AI142" i="65"/>
  <c r="AO142" i="65"/>
  <c r="F142" i="65"/>
  <c r="I142" i="65"/>
  <c r="BI142" i="65"/>
  <c r="H142" i="65"/>
  <c r="AV142" i="65"/>
  <c r="AP143" i="65"/>
  <c r="AV143" i="65"/>
  <c r="F143" i="65"/>
  <c r="AN143" i="65"/>
  <c r="AI143" i="65"/>
  <c r="AO143" i="65"/>
  <c r="AL143" i="65"/>
  <c r="H143" i="65"/>
  <c r="AE143" i="65"/>
  <c r="AF143" i="65" s="1"/>
  <c r="AG143" i="65" s="1"/>
  <c r="AH143" i="65" s="1"/>
  <c r="I143" i="65"/>
  <c r="J143" i="65"/>
  <c r="X271" i="11"/>
  <c r="AN272" i="11"/>
  <c r="BK59" i="65" s="1"/>
  <c r="R275" i="11"/>
  <c r="X275" i="11"/>
  <c r="R286" i="11"/>
  <c r="T286" i="11" s="1"/>
  <c r="AN337" i="11"/>
  <c r="AF344" i="11"/>
  <c r="AC349" i="11"/>
  <c r="AZ119" i="65" s="1"/>
  <c r="AL391" i="11"/>
  <c r="BI160" i="65" s="1"/>
  <c r="AN426" i="11"/>
  <c r="BK194" i="65" s="1"/>
  <c r="AM426" i="11"/>
  <c r="BJ194" i="65" s="1"/>
  <c r="AL426" i="11"/>
  <c r="BI194" i="65" s="1"/>
  <c r="AF426" i="11"/>
  <c r="BC194" i="65" s="1"/>
  <c r="AE426" i="11"/>
  <c r="BB194" i="65" s="1"/>
  <c r="AD426" i="11"/>
  <c r="BA194" i="65" s="1"/>
  <c r="AC426" i="11"/>
  <c r="AZ194" i="65" s="1"/>
  <c r="AB441" i="11"/>
  <c r="AN441" i="11" s="1"/>
  <c r="BK209" i="65" s="1"/>
  <c r="X477" i="11"/>
  <c r="X233" i="11"/>
  <c r="AN22" i="65"/>
  <c r="AC95" i="11"/>
  <c r="AF121" i="11"/>
  <c r="R161" i="11"/>
  <c r="T161" i="11" s="1"/>
  <c r="AB44" i="11"/>
  <c r="X73" i="11"/>
  <c r="R79" i="11"/>
  <c r="T79" i="11" s="1"/>
  <c r="R133" i="11"/>
  <c r="T133" i="11" s="1"/>
  <c r="R146" i="11"/>
  <c r="T146" i="11" s="1"/>
  <c r="T262" i="11"/>
  <c r="AV50" i="65"/>
  <c r="R13" i="11"/>
  <c r="T13" i="11" s="1"/>
  <c r="R21" i="11"/>
  <c r="T21" i="11" s="1"/>
  <c r="AE157" i="11"/>
  <c r="X160" i="11"/>
  <c r="AM163" i="11"/>
  <c r="AN422" i="11"/>
  <c r="BK190" i="65" s="1"/>
  <c r="AC422" i="11"/>
  <c r="AZ190" i="65" s="1"/>
  <c r="AM422" i="11"/>
  <c r="BJ190" i="65" s="1"/>
  <c r="AL422" i="11"/>
  <c r="BI190" i="65" s="1"/>
  <c r="AC53" i="11"/>
  <c r="R145" i="11"/>
  <c r="T145" i="11" s="1"/>
  <c r="AF157" i="11"/>
  <c r="R240" i="11"/>
  <c r="AN29" i="65"/>
  <c r="R257" i="11"/>
  <c r="X258" i="11"/>
  <c r="AL329" i="11"/>
  <c r="BI103" i="65" s="1"/>
  <c r="AN329" i="11"/>
  <c r="BK103" i="65" s="1"/>
  <c r="AN45" i="11"/>
  <c r="Z52" i="11"/>
  <c r="AL53" i="11"/>
  <c r="AL59" i="11"/>
  <c r="Z66" i="11"/>
  <c r="AN73" i="11"/>
  <c r="Z76" i="11"/>
  <c r="Z83" i="11"/>
  <c r="Z140" i="11"/>
  <c r="Z144" i="11"/>
  <c r="Z170" i="11"/>
  <c r="Z180" i="11"/>
  <c r="AF192" i="11"/>
  <c r="X252" i="11"/>
  <c r="Z257" i="11"/>
  <c r="AL312" i="11"/>
  <c r="BI89" i="65" s="1"/>
  <c r="AN312" i="11"/>
  <c r="BK89" i="65" s="1"/>
  <c r="AM312" i="11"/>
  <c r="BJ89" i="65" s="1"/>
  <c r="AF312" i="11"/>
  <c r="BC89" i="65" s="1"/>
  <c r="X340" i="11"/>
  <c r="R340" i="11"/>
  <c r="T340" i="11" s="1"/>
  <c r="AF349" i="11"/>
  <c r="BC119" i="65" s="1"/>
  <c r="AM391" i="11"/>
  <c r="BJ160" i="65" s="1"/>
  <c r="AN412" i="11"/>
  <c r="BK181" i="65" s="1"/>
  <c r="AM412" i="11"/>
  <c r="BJ181" i="65" s="1"/>
  <c r="AL412" i="11"/>
  <c r="BI181" i="65" s="1"/>
  <c r="AF412" i="11"/>
  <c r="BC181" i="65" s="1"/>
  <c r="AE412" i="11"/>
  <c r="BB181" i="65" s="1"/>
  <c r="Z477" i="11"/>
  <c r="AB477" i="11"/>
  <c r="AC477" i="11" s="1"/>
  <c r="AZ241" i="65" s="1"/>
  <c r="X34" i="11"/>
  <c r="AC69" i="11"/>
  <c r="R155" i="11"/>
  <c r="T155" i="11" s="1"/>
  <c r="AD157" i="11"/>
  <c r="AF163" i="11"/>
  <c r="T235" i="11"/>
  <c r="AV24" i="65"/>
  <c r="AL178" i="11"/>
  <c r="AE182" i="11"/>
  <c r="R258" i="11"/>
  <c r="AB41" i="11"/>
  <c r="AF41" i="11" s="1"/>
  <c r="AE45" i="11"/>
  <c r="AB105" i="11"/>
  <c r="AM105" i="11" s="1"/>
  <c r="AB125" i="11"/>
  <c r="AN125" i="11" s="1"/>
  <c r="AD177" i="11"/>
  <c r="AM53" i="11"/>
  <c r="AL192" i="11"/>
  <c r="T226" i="11"/>
  <c r="AV15" i="65"/>
  <c r="X239" i="11"/>
  <c r="AN28" i="65"/>
  <c r="T256" i="11"/>
  <c r="AV44" i="65"/>
  <c r="X319" i="11"/>
  <c r="R319" i="11"/>
  <c r="AL340" i="11"/>
  <c r="BI112" i="65" s="1"/>
  <c r="AE340" i="11"/>
  <c r="BB112" i="65" s="1"/>
  <c r="AC340" i="11"/>
  <c r="AZ112" i="65" s="1"/>
  <c r="AN346" i="11"/>
  <c r="BK116" i="65" s="1"/>
  <c r="AM346" i="11"/>
  <c r="BJ116" i="65" s="1"/>
  <c r="AE346" i="11"/>
  <c r="BB116" i="65" s="1"/>
  <c r="AF367" i="11"/>
  <c r="BC138" i="65" s="1"/>
  <c r="AE367" i="11"/>
  <c r="BB138" i="65" s="1"/>
  <c r="AN391" i="11"/>
  <c r="BK160" i="65" s="1"/>
  <c r="AN406" i="11"/>
  <c r="BK175" i="65" s="1"/>
  <c r="AL406" i="11"/>
  <c r="BI175" i="65" s="1"/>
  <c r="AC412" i="11"/>
  <c r="AZ181" i="65" s="1"/>
  <c r="T215" i="11"/>
  <c r="AV4" i="65"/>
  <c r="T219" i="11"/>
  <c r="AV8" i="65"/>
  <c r="AM348" i="11"/>
  <c r="BJ118" i="65" s="1"/>
  <c r="AL348" i="11"/>
  <c r="BI118" i="65" s="1"/>
  <c r="AN369" i="11"/>
  <c r="BK140" i="65" s="1"/>
  <c r="AL369" i="11"/>
  <c r="BI140" i="65" s="1"/>
  <c r="AF369" i="11"/>
  <c r="BC140" i="65" s="1"/>
  <c r="AE369" i="11"/>
  <c r="BB140" i="65" s="1"/>
  <c r="AF174" i="11"/>
  <c r="AB68" i="11"/>
  <c r="AN68" i="11" s="1"/>
  <c r="R154" i="11"/>
  <c r="T154" i="11" s="1"/>
  <c r="AC157" i="11"/>
  <c r="R77" i="11"/>
  <c r="T77" i="11" s="1"/>
  <c r="AM121" i="11"/>
  <c r="AF148" i="11"/>
  <c r="AN174" i="11"/>
  <c r="AF178" i="11"/>
  <c r="AC45" i="11"/>
  <c r="R94" i="11"/>
  <c r="T94" i="11" s="1"/>
  <c r="AE214" i="11"/>
  <c r="BB3" i="65" s="1"/>
  <c r="AE216" i="11"/>
  <c r="AE218" i="11"/>
  <c r="BB7" i="65" s="1"/>
  <c r="R238" i="11"/>
  <c r="AN27" i="65"/>
  <c r="X389" i="11"/>
  <c r="R389" i="11"/>
  <c r="AF182" i="11"/>
  <c r="AB232" i="11"/>
  <c r="AF232" i="11" s="1"/>
  <c r="BC21" i="65" s="1"/>
  <c r="AN13" i="11"/>
  <c r="AN21" i="11"/>
  <c r="AC47" i="11"/>
  <c r="AN53" i="11"/>
  <c r="AC71" i="11"/>
  <c r="AE136" i="11"/>
  <c r="R139" i="11"/>
  <c r="T139" i="11" s="1"/>
  <c r="R152" i="11"/>
  <c r="T152" i="11" s="1"/>
  <c r="AD161" i="11"/>
  <c r="X164" i="11"/>
  <c r="AE170" i="11"/>
  <c r="Z174" i="11"/>
  <c r="X178" i="11"/>
  <c r="AD180" i="11"/>
  <c r="Z184" i="11"/>
  <c r="X187" i="11"/>
  <c r="X196" i="11"/>
  <c r="R198" i="11"/>
  <c r="T198" i="11" s="1"/>
  <c r="R214" i="11"/>
  <c r="T216" i="11"/>
  <c r="T218" i="11"/>
  <c r="R220" i="11"/>
  <c r="R222" i="11"/>
  <c r="X224" i="11"/>
  <c r="R225" i="11"/>
  <c r="X226" i="11"/>
  <c r="R227" i="11"/>
  <c r="X230" i="11"/>
  <c r="AN18" i="65"/>
  <c r="AN235" i="11"/>
  <c r="BK24" i="65" s="1"/>
  <c r="AC237" i="11"/>
  <c r="AZ26" i="65" s="1"/>
  <c r="R239" i="11"/>
  <c r="AB246" i="11"/>
  <c r="AN247" i="11"/>
  <c r="BK36" i="65" s="1"/>
  <c r="X256" i="11"/>
  <c r="AF262" i="11"/>
  <c r="BC50" i="65" s="1"/>
  <c r="R267" i="11"/>
  <c r="AB271" i="11"/>
  <c r="AM271" i="11" s="1"/>
  <c r="BJ58" i="65" s="1"/>
  <c r="AN285" i="11"/>
  <c r="AC285" i="11"/>
  <c r="X293" i="11"/>
  <c r="R293" i="11"/>
  <c r="Z319" i="11"/>
  <c r="AB332" i="11"/>
  <c r="AE332" i="11" s="1"/>
  <c r="BB106" i="65" s="1"/>
  <c r="X338" i="11"/>
  <c r="R338" i="11"/>
  <c r="T338" i="11" s="1"/>
  <c r="AF340" i="11"/>
  <c r="BC112" i="65" s="1"/>
  <c r="R365" i="11"/>
  <c r="T365" i="11" s="1"/>
  <c r="X365" i="11"/>
  <c r="AM367" i="11"/>
  <c r="BJ138" i="65" s="1"/>
  <c r="AD406" i="11"/>
  <c r="BA175" i="65" s="1"/>
  <c r="AD412" i="11"/>
  <c r="BA181" i="65" s="1"/>
  <c r="Z421" i="11"/>
  <c r="Z458" i="11"/>
  <c r="Z468" i="11"/>
  <c r="AB468" i="11"/>
  <c r="AC468" i="11" s="1"/>
  <c r="AZ234" i="65" s="1"/>
  <c r="AC347" i="11"/>
  <c r="AZ117" i="65" s="1"/>
  <c r="R351" i="11"/>
  <c r="T351" i="11" s="1"/>
  <c r="Z365" i="11"/>
  <c r="Z374" i="11"/>
  <c r="X375" i="11"/>
  <c r="AB377" i="11"/>
  <c r="AM377" i="11" s="1"/>
  <c r="BJ147" i="65" s="1"/>
  <c r="R401" i="11"/>
  <c r="AB420" i="11"/>
  <c r="AN420" i="11" s="1"/>
  <c r="BK188" i="65" s="1"/>
  <c r="R432" i="11"/>
  <c r="Z440" i="11"/>
  <c r="AL457" i="11"/>
  <c r="BI223" i="65" s="1"/>
  <c r="Z463" i="11"/>
  <c r="Z476" i="11"/>
  <c r="Z479" i="11"/>
  <c r="R361" i="11"/>
  <c r="T361" i="11" s="1"/>
  <c r="AC374" i="11"/>
  <c r="AZ144" i="65" s="1"/>
  <c r="AB375" i="11"/>
  <c r="AE375" i="11" s="1"/>
  <c r="BB145" i="65" s="1"/>
  <c r="R391" i="11"/>
  <c r="T391" i="11" s="1"/>
  <c r="R392" i="11"/>
  <c r="T392" i="11" s="1"/>
  <c r="R393" i="11"/>
  <c r="Z395" i="11"/>
  <c r="AD398" i="11"/>
  <c r="BA167" i="65" s="1"/>
  <c r="AB401" i="11"/>
  <c r="AM401" i="11" s="1"/>
  <c r="BJ170" i="65" s="1"/>
  <c r="R419" i="11"/>
  <c r="T419" i="11" s="1"/>
  <c r="R425" i="11"/>
  <c r="T425" i="11" s="1"/>
  <c r="AC427" i="11"/>
  <c r="AZ195" i="65" s="1"/>
  <c r="Z437" i="11"/>
  <c r="R442" i="11"/>
  <c r="T442" i="11" s="1"/>
  <c r="R448" i="11"/>
  <c r="T448" i="11" s="1"/>
  <c r="X454" i="11"/>
  <c r="R455" i="11"/>
  <c r="T455" i="11" s="1"/>
  <c r="AD463" i="11"/>
  <c r="BA229" i="65" s="1"/>
  <c r="R465" i="11"/>
  <c r="Z334" i="11"/>
  <c r="Z337" i="11"/>
  <c r="Z340" i="11"/>
  <c r="Z356" i="11"/>
  <c r="Z361" i="11"/>
  <c r="Z364" i="11"/>
  <c r="Z367" i="11"/>
  <c r="AD374" i="11"/>
  <c r="BA144" i="65" s="1"/>
  <c r="X388" i="11"/>
  <c r="Z445" i="11"/>
  <c r="R459" i="11"/>
  <c r="T459" i="11" s="1"/>
  <c r="X460" i="11"/>
  <c r="R461" i="11"/>
  <c r="T461" i="11" s="1"/>
  <c r="R462" i="11"/>
  <c r="T462" i="11" s="1"/>
  <c r="AE374" i="11"/>
  <c r="BB144" i="65" s="1"/>
  <c r="AL304" i="11"/>
  <c r="BI81" i="65" s="1"/>
  <c r="X308" i="11"/>
  <c r="AD324" i="11"/>
  <c r="BA99" i="65" s="1"/>
  <c r="AB333" i="11"/>
  <c r="AF333" i="11" s="1"/>
  <c r="BC107" i="65" s="1"/>
  <c r="AB342" i="11"/>
  <c r="AD342" i="11" s="1"/>
  <c r="BA114" i="65" s="1"/>
  <c r="X344" i="11"/>
  <c r="AC356" i="11"/>
  <c r="AZ126" i="65" s="1"/>
  <c r="R358" i="11"/>
  <c r="T358" i="11" s="1"/>
  <c r="AC361" i="11"/>
  <c r="AZ131" i="65" s="1"/>
  <c r="AD364" i="11"/>
  <c r="BA135" i="65" s="1"/>
  <c r="AF374" i="11"/>
  <c r="BC144" i="65" s="1"/>
  <c r="R378" i="11"/>
  <c r="AE379" i="11"/>
  <c r="BB149" i="65" s="1"/>
  <c r="X387" i="11"/>
  <c r="AF395" i="11"/>
  <c r="BC164" i="65" s="1"/>
  <c r="AB397" i="11"/>
  <c r="AM397" i="11" s="1"/>
  <c r="BJ166" i="65" s="1"/>
  <c r="X406" i="11"/>
  <c r="AF419" i="11"/>
  <c r="BC187" i="65" s="1"/>
  <c r="R423" i="11"/>
  <c r="AC424" i="11"/>
  <c r="AZ192" i="65" s="1"/>
  <c r="R444" i="11"/>
  <c r="T444" i="11" s="1"/>
  <c r="AC447" i="11"/>
  <c r="AD449" i="11"/>
  <c r="BA214" i="65" s="1"/>
  <c r="AB450" i="11"/>
  <c r="AM450" i="11" s="1"/>
  <c r="BJ216" i="65" s="1"/>
  <c r="AC454" i="11"/>
  <c r="AZ220" i="65" s="1"/>
  <c r="R469" i="11"/>
  <c r="T469" i="11" s="1"/>
  <c r="AE306" i="11"/>
  <c r="BB83" i="65" s="1"/>
  <c r="AB323" i="11"/>
  <c r="AF323" i="11" s="1"/>
  <c r="BC98" i="65" s="1"/>
  <c r="R332" i="11"/>
  <c r="T332" i="11" s="1"/>
  <c r="Z350" i="11"/>
  <c r="R355" i="11"/>
  <c r="T355" i="11" s="1"/>
  <c r="AC359" i="11"/>
  <c r="AZ129" i="65" s="1"/>
  <c r="AE361" i="11"/>
  <c r="BB131" i="65" s="1"/>
  <c r="AL374" i="11"/>
  <c r="BI144" i="65" s="1"/>
  <c r="AF379" i="11"/>
  <c r="BC149" i="65" s="1"/>
  <c r="AL395" i="11"/>
  <c r="BI164" i="65" s="1"/>
  <c r="X407" i="11"/>
  <c r="R410" i="11"/>
  <c r="T410" i="11" s="1"/>
  <c r="R414" i="11"/>
  <c r="Z415" i="11"/>
  <c r="X418" i="11"/>
  <c r="X439" i="11"/>
  <c r="AE447" i="11"/>
  <c r="AF449" i="11"/>
  <c r="BC214" i="65" s="1"/>
  <c r="AE454" i="11"/>
  <c r="BB220" i="65" s="1"/>
  <c r="Z475" i="11"/>
  <c r="X478" i="11"/>
  <c r="AF361" i="11"/>
  <c r="BC131" i="65" s="1"/>
  <c r="AN374" i="11"/>
  <c r="BK144" i="65" s="1"/>
  <c r="AN379" i="11"/>
  <c r="BK149" i="65" s="1"/>
  <c r="AF454" i="11"/>
  <c r="BC220" i="65" s="1"/>
  <c r="AN12" i="11"/>
  <c r="AM12" i="11"/>
  <c r="AL12" i="11"/>
  <c r="AF12" i="11"/>
  <c r="AE12" i="11"/>
  <c r="AD12" i="11"/>
  <c r="AC12" i="11"/>
  <c r="AN20" i="11"/>
  <c r="AL20" i="11"/>
  <c r="AM20" i="11"/>
  <c r="AF20" i="11"/>
  <c r="AE20" i="11"/>
  <c r="AC20" i="11"/>
  <c r="AD20" i="11"/>
  <c r="AM23" i="11"/>
  <c r="AC23" i="11"/>
  <c r="AN23" i="11"/>
  <c r="AL23" i="11"/>
  <c r="AF23" i="11"/>
  <c r="AE23" i="11"/>
  <c r="AD23" i="11"/>
  <c r="AC11" i="11"/>
  <c r="AD11" i="11"/>
  <c r="AN11" i="11"/>
  <c r="AM11" i="11"/>
  <c r="AL11" i="11"/>
  <c r="AF11" i="11"/>
  <c r="AE11" i="11"/>
  <c r="AC19" i="11"/>
  <c r="AN19" i="11"/>
  <c r="AM19" i="11"/>
  <c r="AL19" i="11"/>
  <c r="AF19" i="11"/>
  <c r="AD19" i="11"/>
  <c r="AE19" i="11"/>
  <c r="AC15" i="11"/>
  <c r="AN15" i="11"/>
  <c r="AM15" i="11"/>
  <c r="AF15" i="11"/>
  <c r="AL15" i="11"/>
  <c r="AE15" i="11"/>
  <c r="AD15" i="11"/>
  <c r="AN16" i="11"/>
  <c r="AD16" i="11"/>
  <c r="AC16" i="11"/>
  <c r="AM16" i="11"/>
  <c r="AL16" i="11"/>
  <c r="AF16" i="11"/>
  <c r="AE16" i="11"/>
  <c r="AN18" i="11"/>
  <c r="AL18" i="11"/>
  <c r="AF18" i="11"/>
  <c r="AE18" i="11"/>
  <c r="AD18" i="11"/>
  <c r="AC18" i="11"/>
  <c r="AM18" i="11"/>
  <c r="AN85" i="11"/>
  <c r="AM85" i="11"/>
  <c r="AF85" i="11"/>
  <c r="AD85" i="11"/>
  <c r="AL85" i="11"/>
  <c r="AE85" i="11"/>
  <c r="AC85" i="11"/>
  <c r="AN101" i="11"/>
  <c r="AM101" i="11"/>
  <c r="AF101" i="11"/>
  <c r="AD101" i="11"/>
  <c r="AL101" i="11"/>
  <c r="AE101" i="11"/>
  <c r="AC101" i="11"/>
  <c r="AB30" i="11"/>
  <c r="Z30" i="11"/>
  <c r="X66" i="11"/>
  <c r="R66" i="11"/>
  <c r="T66" i="11" s="1"/>
  <c r="X93" i="11"/>
  <c r="R93" i="11"/>
  <c r="T93" i="11" s="1"/>
  <c r="Z12" i="11"/>
  <c r="AM13" i="11"/>
  <c r="AC14" i="11"/>
  <c r="X15" i="11"/>
  <c r="R18" i="11"/>
  <c r="T18" i="11" s="1"/>
  <c r="Z20" i="11"/>
  <c r="AM21" i="11"/>
  <c r="AC22" i="11"/>
  <c r="AB27" i="11"/>
  <c r="AB29" i="11"/>
  <c r="AB31" i="11"/>
  <c r="AB67" i="11"/>
  <c r="Z67" i="11"/>
  <c r="AM78" i="11"/>
  <c r="AF78" i="11"/>
  <c r="AN78" i="11"/>
  <c r="AL78" i="11"/>
  <c r="AE78" i="11"/>
  <c r="AD78" i="11"/>
  <c r="Z55" i="11"/>
  <c r="AB58" i="11"/>
  <c r="Z58" i="11"/>
  <c r="AD22" i="11"/>
  <c r="AD55" i="11"/>
  <c r="AM55" i="11"/>
  <c r="AF55" i="11"/>
  <c r="AE55" i="11"/>
  <c r="AC55" i="11"/>
  <c r="X72" i="11"/>
  <c r="R72" i="11"/>
  <c r="T72" i="11" s="1"/>
  <c r="AM74" i="11"/>
  <c r="AF74" i="11"/>
  <c r="AE74" i="11"/>
  <c r="AD74" i="11"/>
  <c r="AC74" i="11"/>
  <c r="AN89" i="11"/>
  <c r="AM89" i="11"/>
  <c r="AF89" i="11"/>
  <c r="AD89" i="11"/>
  <c r="AL89" i="11"/>
  <c r="AE89" i="11"/>
  <c r="AC89" i="11"/>
  <c r="AC33" i="11"/>
  <c r="AE14" i="11"/>
  <c r="AD17" i="11"/>
  <c r="AF22" i="11"/>
  <c r="X49" i="11"/>
  <c r="AM52" i="11"/>
  <c r="AN52" i="11"/>
  <c r="AF52" i="11"/>
  <c r="AD52" i="11"/>
  <c r="AC52" i="11"/>
  <c r="AL55" i="11"/>
  <c r="AB62" i="11"/>
  <c r="AL74" i="11"/>
  <c r="Z143" i="11"/>
  <c r="AB143" i="11"/>
  <c r="AD14" i="11"/>
  <c r="X48" i="11"/>
  <c r="R48" i="11"/>
  <c r="T48" i="11" s="1"/>
  <c r="AF14" i="11"/>
  <c r="AE17" i="11"/>
  <c r="AF17" i="11"/>
  <c r="AL22" i="11"/>
  <c r="R44" i="11"/>
  <c r="T44" i="11" s="1"/>
  <c r="X44" i="11"/>
  <c r="AM50" i="11"/>
  <c r="AF50" i="11"/>
  <c r="AD50" i="11"/>
  <c r="AC50" i="11"/>
  <c r="AE52" i="11"/>
  <c r="AN55" i="11"/>
  <c r="AN74" i="11"/>
  <c r="AB100" i="11"/>
  <c r="Z100" i="11"/>
  <c r="AB28" i="11"/>
  <c r="Z28" i="11"/>
  <c r="AE22" i="11"/>
  <c r="R16" i="11"/>
  <c r="T16" i="11" s="1"/>
  <c r="AL14" i="11"/>
  <c r="AM14" i="11"/>
  <c r="AL17" i="11"/>
  <c r="AM22" i="11"/>
  <c r="X25" i="11"/>
  <c r="R36" i="11"/>
  <c r="T36" i="11" s="1"/>
  <c r="R38" i="11"/>
  <c r="T38" i="11" s="1"/>
  <c r="R40" i="11"/>
  <c r="T40" i="11" s="1"/>
  <c r="R42" i="11"/>
  <c r="T42" i="11" s="1"/>
  <c r="X46" i="11"/>
  <c r="R46" i="11"/>
  <c r="T46" i="11" s="1"/>
  <c r="AB49" i="11"/>
  <c r="Z49" i="11"/>
  <c r="AE50" i="11"/>
  <c r="AL52" i="11"/>
  <c r="X60" i="11"/>
  <c r="R60" i="11"/>
  <c r="T60" i="11" s="1"/>
  <c r="X70" i="11"/>
  <c r="R70" i="11"/>
  <c r="T70" i="11" s="1"/>
  <c r="Z16" i="11"/>
  <c r="AM17" i="11"/>
  <c r="X35" i="11"/>
  <c r="X37" i="11"/>
  <c r="X39" i="11"/>
  <c r="X41" i="11"/>
  <c r="X43" i="11"/>
  <c r="AM48" i="11"/>
  <c r="AN48" i="11"/>
  <c r="AE48" i="11"/>
  <c r="AD48" i="11"/>
  <c r="AL50" i="11"/>
  <c r="AB61" i="11"/>
  <c r="Z61" i="11"/>
  <c r="AB65" i="11"/>
  <c r="Z65" i="11"/>
  <c r="AM72" i="11"/>
  <c r="AN72" i="11"/>
  <c r="AL72" i="11"/>
  <c r="AF72" i="11"/>
  <c r="AE72" i="11"/>
  <c r="AD72" i="11"/>
  <c r="X92" i="11"/>
  <c r="R92" i="11"/>
  <c r="T92" i="11" s="1"/>
  <c r="X140" i="11"/>
  <c r="R140" i="11"/>
  <c r="T140" i="11" s="1"/>
  <c r="AD110" i="11"/>
  <c r="AN110" i="11"/>
  <c r="AM110" i="11"/>
  <c r="AF110" i="11"/>
  <c r="AC110" i="11"/>
  <c r="AL110" i="11"/>
  <c r="AB167" i="11"/>
  <c r="Z167" i="11"/>
  <c r="AN17" i="11"/>
  <c r="AM60" i="11"/>
  <c r="AL60" i="11"/>
  <c r="AE60" i="11"/>
  <c r="AD60" i="11"/>
  <c r="AB64" i="11"/>
  <c r="Z64" i="11"/>
  <c r="Z11" i="11"/>
  <c r="AD13" i="11"/>
  <c r="Z19" i="11"/>
  <c r="AD21" i="11"/>
  <c r="X27" i="11"/>
  <c r="R28" i="11"/>
  <c r="T28" i="11" s="1"/>
  <c r="R30" i="11"/>
  <c r="T30" i="11" s="1"/>
  <c r="R32" i="11"/>
  <c r="T32" i="11" s="1"/>
  <c r="AB36" i="11"/>
  <c r="Z36" i="11"/>
  <c r="AB38" i="11"/>
  <c r="Z38" i="11"/>
  <c r="AB40" i="11"/>
  <c r="Z40" i="11"/>
  <c r="AB42" i="11"/>
  <c r="Z42" i="11"/>
  <c r="AF48" i="11"/>
  <c r="AC60" i="11"/>
  <c r="Z99" i="11"/>
  <c r="AB99" i="11"/>
  <c r="AE110" i="11"/>
  <c r="AD113" i="11"/>
  <c r="AN113" i="11"/>
  <c r="AM113" i="11"/>
  <c r="AF113" i="11"/>
  <c r="AC113" i="11"/>
  <c r="AL113" i="11"/>
  <c r="AB32" i="11"/>
  <c r="Z32" i="11"/>
  <c r="X51" i="11"/>
  <c r="R51" i="11"/>
  <c r="T51" i="11" s="1"/>
  <c r="AE13" i="11"/>
  <c r="AE21" i="11"/>
  <c r="AB26" i="11"/>
  <c r="Z26" i="11"/>
  <c r="X31" i="11"/>
  <c r="AB34" i="11"/>
  <c r="Z34" i="11"/>
  <c r="AM37" i="11"/>
  <c r="AF37" i="11"/>
  <c r="AE37" i="11"/>
  <c r="AC37" i="11"/>
  <c r="AM39" i="11"/>
  <c r="AF39" i="11"/>
  <c r="AE39" i="11"/>
  <c r="AC39" i="11"/>
  <c r="AM43" i="11"/>
  <c r="AF43" i="11"/>
  <c r="AE43" i="11"/>
  <c r="AC43" i="11"/>
  <c r="AM46" i="11"/>
  <c r="AN46" i="11"/>
  <c r="AF46" i="11"/>
  <c r="AE46" i="11"/>
  <c r="AC46" i="11"/>
  <c r="AF60" i="11"/>
  <c r="AN97" i="11"/>
  <c r="AM97" i="11"/>
  <c r="AF97" i="11"/>
  <c r="AD97" i="11"/>
  <c r="AL97" i="11"/>
  <c r="AE97" i="11"/>
  <c r="AC97" i="11"/>
  <c r="AD116" i="11"/>
  <c r="AN116" i="11"/>
  <c r="AM116" i="11"/>
  <c r="AF116" i="11"/>
  <c r="AC116" i="11"/>
  <c r="AL116" i="11"/>
  <c r="AM25" i="11"/>
  <c r="AF25" i="11"/>
  <c r="AC25" i="11"/>
  <c r="X29" i="11"/>
  <c r="AM35" i="11"/>
  <c r="AF35" i="11"/>
  <c r="AE35" i="11"/>
  <c r="AC35" i="11"/>
  <c r="AC41" i="11"/>
  <c r="AF13" i="11"/>
  <c r="AF21" i="11"/>
  <c r="AL24" i="11"/>
  <c r="AD25" i="11"/>
  <c r="AD35" i="11"/>
  <c r="AD37" i="11"/>
  <c r="AD39" i="11"/>
  <c r="AD43" i="11"/>
  <c r="AE44" i="11"/>
  <c r="AD46" i="11"/>
  <c r="AN60" i="11"/>
  <c r="X67" i="11"/>
  <c r="R67" i="11"/>
  <c r="T67" i="11" s="1"/>
  <c r="AM76" i="11"/>
  <c r="AF76" i="11"/>
  <c r="AL76" i="11"/>
  <c r="AE76" i="11"/>
  <c r="AD76" i="11"/>
  <c r="AC76" i="11"/>
  <c r="AN103" i="11"/>
  <c r="AM103" i="11"/>
  <c r="AF103" i="11"/>
  <c r="AD103" i="11"/>
  <c r="AL103" i="11"/>
  <c r="AE103" i="11"/>
  <c r="AE116" i="11"/>
  <c r="X78" i="11"/>
  <c r="R78" i="11"/>
  <c r="T78" i="11" s="1"/>
  <c r="X91" i="11"/>
  <c r="R91" i="11"/>
  <c r="T91" i="11" s="1"/>
  <c r="AB98" i="11"/>
  <c r="Z98" i="11"/>
  <c r="AD128" i="11"/>
  <c r="AC128" i="11"/>
  <c r="AM128" i="11"/>
  <c r="AL128" i="11"/>
  <c r="AF128" i="11"/>
  <c r="AE128" i="11"/>
  <c r="AB149" i="11"/>
  <c r="Z149" i="11"/>
  <c r="AB153" i="11"/>
  <c r="Z153" i="11"/>
  <c r="AM47" i="11"/>
  <c r="X50" i="11"/>
  <c r="R50" i="11"/>
  <c r="T50" i="11" s="1"/>
  <c r="AF51" i="11"/>
  <c r="AL54" i="11"/>
  <c r="AN57" i="11"/>
  <c r="Z59" i="11"/>
  <c r="AM71" i="11"/>
  <c r="X74" i="11"/>
  <c r="R74" i="11"/>
  <c r="T74" i="11" s="1"/>
  <c r="X89" i="11"/>
  <c r="R89" i="11"/>
  <c r="T89" i="11" s="1"/>
  <c r="R90" i="11"/>
  <c r="T90" i="11" s="1"/>
  <c r="AB96" i="11"/>
  <c r="Z96" i="11"/>
  <c r="AL109" i="11"/>
  <c r="AL112" i="11"/>
  <c r="AL115" i="11"/>
  <c r="AN128" i="11"/>
  <c r="R190" i="11"/>
  <c r="T190" i="11" s="1"/>
  <c r="X190" i="11"/>
  <c r="X64" i="11"/>
  <c r="R64" i="11"/>
  <c r="T64" i="11" s="1"/>
  <c r="Z73" i="11"/>
  <c r="X85" i="11"/>
  <c r="R85" i="11"/>
  <c r="T85" i="11" s="1"/>
  <c r="X87" i="11"/>
  <c r="R87" i="11"/>
  <c r="T87" i="11" s="1"/>
  <c r="AB94" i="11"/>
  <c r="Z94" i="11"/>
  <c r="AN95" i="11"/>
  <c r="AM95" i="11"/>
  <c r="AF95" i="11"/>
  <c r="AD95" i="11"/>
  <c r="AN127" i="11"/>
  <c r="AL127" i="11"/>
  <c r="AD127" i="11"/>
  <c r="AM127" i="11"/>
  <c r="AF127" i="11"/>
  <c r="AC127" i="11"/>
  <c r="AD134" i="11"/>
  <c r="AC134" i="11"/>
  <c r="AM134" i="11"/>
  <c r="AL134" i="11"/>
  <c r="AF134" i="11"/>
  <c r="AE134" i="11"/>
  <c r="X54" i="11"/>
  <c r="R54" i="11"/>
  <c r="T54" i="11" s="1"/>
  <c r="Z60" i="11"/>
  <c r="Z63" i="11"/>
  <c r="AB77" i="11"/>
  <c r="Z77" i="11"/>
  <c r="Z78" i="11"/>
  <c r="Z89" i="11"/>
  <c r="AB92" i="11"/>
  <c r="Z92" i="11"/>
  <c r="AM93" i="11"/>
  <c r="X130" i="11"/>
  <c r="R130" i="11"/>
  <c r="T130" i="11" s="1"/>
  <c r="AN134" i="11"/>
  <c r="AN215" i="11"/>
  <c r="BK4" i="65" s="1"/>
  <c r="AM215" i="11"/>
  <c r="BJ4" i="65" s="1"/>
  <c r="AL215" i="11"/>
  <c r="BI4" i="65" s="1"/>
  <c r="AF215" i="11"/>
  <c r="BC4" i="65" s="1"/>
  <c r="AD215" i="11"/>
  <c r="BA4" i="65" s="1"/>
  <c r="AE215" i="11"/>
  <c r="AC215" i="11"/>
  <c r="AZ4" i="65" s="1"/>
  <c r="X68" i="11"/>
  <c r="R68" i="11"/>
  <c r="T68" i="11" s="1"/>
  <c r="X80" i="11"/>
  <c r="R80" i="11"/>
  <c r="T80" i="11" s="1"/>
  <c r="AL83" i="11"/>
  <c r="AE83" i="11"/>
  <c r="AC83" i="11"/>
  <c r="AB90" i="11"/>
  <c r="Z90" i="11"/>
  <c r="AN91" i="11"/>
  <c r="AM91" i="11"/>
  <c r="AF91" i="11"/>
  <c r="AD91" i="11"/>
  <c r="X109" i="11"/>
  <c r="R109" i="11"/>
  <c r="T109" i="11" s="1"/>
  <c r="X112" i="11"/>
  <c r="R112" i="11"/>
  <c r="T112" i="11" s="1"/>
  <c r="X115" i="11"/>
  <c r="R115" i="11"/>
  <c r="T115" i="11" s="1"/>
  <c r="X118" i="11"/>
  <c r="R118" i="11"/>
  <c r="T118" i="11" s="1"/>
  <c r="R120" i="11"/>
  <c r="T120" i="11" s="1"/>
  <c r="AN133" i="11"/>
  <c r="AL133" i="11"/>
  <c r="AD133" i="11"/>
  <c r="AM133" i="11"/>
  <c r="AF133" i="11"/>
  <c r="AC133" i="11"/>
  <c r="AD140" i="11"/>
  <c r="AC140" i="11"/>
  <c r="AM140" i="11"/>
  <c r="AL140" i="11"/>
  <c r="AF140" i="11"/>
  <c r="AE140" i="11"/>
  <c r="AL45" i="11"/>
  <c r="AD56" i="11"/>
  <c r="X58" i="11"/>
  <c r="R58" i="11"/>
  <c r="T58" i="11" s="1"/>
  <c r="AF59" i="11"/>
  <c r="AC63" i="11"/>
  <c r="AE66" i="11"/>
  <c r="AL69" i="11"/>
  <c r="AC70" i="11"/>
  <c r="AE73" i="11"/>
  <c r="R75" i="11"/>
  <c r="T75" i="11" s="1"/>
  <c r="AD83" i="11"/>
  <c r="Z85" i="11"/>
  <c r="AB88" i="11"/>
  <c r="Z88" i="11"/>
  <c r="AC91" i="11"/>
  <c r="AL95" i="11"/>
  <c r="X105" i="11"/>
  <c r="R105" i="11"/>
  <c r="T105" i="11" s="1"/>
  <c r="X107" i="11"/>
  <c r="R107" i="11"/>
  <c r="T107" i="11" s="1"/>
  <c r="R108" i="11"/>
  <c r="T108" i="11" s="1"/>
  <c r="R111" i="11"/>
  <c r="T111" i="11" s="1"/>
  <c r="R114" i="11"/>
  <c r="T114" i="11" s="1"/>
  <c r="R117" i="11"/>
  <c r="T117" i="11" s="1"/>
  <c r="AE133" i="11"/>
  <c r="X136" i="11"/>
  <c r="R136" i="11"/>
  <c r="T136" i="11" s="1"/>
  <c r="AN140" i="11"/>
  <c r="AE152" i="11"/>
  <c r="AD152" i="11"/>
  <c r="AC152" i="11"/>
  <c r="AN152" i="11"/>
  <c r="AM152" i="11"/>
  <c r="AL152" i="11"/>
  <c r="AF152" i="11"/>
  <c r="AB86" i="11"/>
  <c r="Z86" i="11"/>
  <c r="AN87" i="11"/>
  <c r="AM87" i="11"/>
  <c r="AF87" i="11"/>
  <c r="AD87" i="11"/>
  <c r="X103" i="11"/>
  <c r="R103" i="11"/>
  <c r="T103" i="11" s="1"/>
  <c r="AN139" i="11"/>
  <c r="AL139" i="11"/>
  <c r="AD139" i="11"/>
  <c r="AM139" i="11"/>
  <c r="AF139" i="11"/>
  <c r="AC139" i="11"/>
  <c r="AD146" i="11"/>
  <c r="AC146" i="11"/>
  <c r="AM146" i="11"/>
  <c r="AL146" i="11"/>
  <c r="AF146" i="11"/>
  <c r="AE146" i="11"/>
  <c r="Z47" i="11"/>
  <c r="AM59" i="11"/>
  <c r="X62" i="11"/>
  <c r="R62" i="11"/>
  <c r="T62" i="11" s="1"/>
  <c r="AF63" i="11"/>
  <c r="AL66" i="11"/>
  <c r="AN69" i="11"/>
  <c r="AE70" i="11"/>
  <c r="Z71" i="11"/>
  <c r="AL73" i="11"/>
  <c r="AB79" i="11"/>
  <c r="Z79" i="11"/>
  <c r="AM83" i="11"/>
  <c r="AC87" i="11"/>
  <c r="AL91" i="11"/>
  <c r="X101" i="11"/>
  <c r="R101" i="11"/>
  <c r="T101" i="11" s="1"/>
  <c r="R102" i="11"/>
  <c r="T102" i="11" s="1"/>
  <c r="AB123" i="11"/>
  <c r="Z123" i="11"/>
  <c r="AE139" i="11"/>
  <c r="X142" i="11"/>
  <c r="R142" i="11"/>
  <c r="T142" i="11" s="1"/>
  <c r="AN146" i="11"/>
  <c r="AN151" i="11"/>
  <c r="AL151" i="11"/>
  <c r="AD151" i="11"/>
  <c r="AM151" i="11"/>
  <c r="AF151" i="11"/>
  <c r="AC151" i="11"/>
  <c r="Z203" i="11"/>
  <c r="AB203" i="11"/>
  <c r="X52" i="11"/>
  <c r="R52" i="11"/>
  <c r="T52" i="11" s="1"/>
  <c r="AL56" i="11"/>
  <c r="AN59" i="11"/>
  <c r="AL63" i="11"/>
  <c r="AN66" i="11"/>
  <c r="AF70" i="11"/>
  <c r="AM73" i="11"/>
  <c r="X76" i="11"/>
  <c r="R76" i="11"/>
  <c r="T76" i="11" s="1"/>
  <c r="AN83" i="11"/>
  <c r="AE87" i="11"/>
  <c r="X99" i="11"/>
  <c r="R99" i="11"/>
  <c r="T99" i="11" s="1"/>
  <c r="Z103" i="11"/>
  <c r="Z110" i="11"/>
  <c r="Z113" i="11"/>
  <c r="Z116" i="11"/>
  <c r="R128" i="11"/>
  <c r="T128" i="11" s="1"/>
  <c r="AB131" i="11"/>
  <c r="AN145" i="11"/>
  <c r="AL145" i="11"/>
  <c r="AD145" i="11"/>
  <c r="AM145" i="11"/>
  <c r="AF145" i="11"/>
  <c r="AC145" i="11"/>
  <c r="AM80" i="11"/>
  <c r="AB81" i="11"/>
  <c r="Z81" i="11"/>
  <c r="AL87" i="11"/>
  <c r="X97" i="11"/>
  <c r="R97" i="11"/>
  <c r="T97" i="11" s="1"/>
  <c r="AB104" i="11"/>
  <c r="Z104" i="11"/>
  <c r="AB106" i="11"/>
  <c r="Z106" i="11"/>
  <c r="AN107" i="11"/>
  <c r="AM107" i="11"/>
  <c r="AF107" i="11"/>
  <c r="AD107" i="11"/>
  <c r="AD109" i="11"/>
  <c r="AM109" i="11"/>
  <c r="AD112" i="11"/>
  <c r="AM112" i="11"/>
  <c r="AD115" i="11"/>
  <c r="AM115" i="11"/>
  <c r="AD119" i="11"/>
  <c r="AN119" i="11"/>
  <c r="AM119" i="11"/>
  <c r="AF119" i="11"/>
  <c r="AC119" i="11"/>
  <c r="AD120" i="11"/>
  <c r="AL120" i="11"/>
  <c r="AF120" i="11"/>
  <c r="AE120" i="11"/>
  <c r="AC120" i="11"/>
  <c r="AD122" i="11"/>
  <c r="AN122" i="11"/>
  <c r="AL122" i="11"/>
  <c r="AE122" i="11"/>
  <c r="AC122" i="11"/>
  <c r="X148" i="11"/>
  <c r="R148" i="11"/>
  <c r="T148" i="11" s="1"/>
  <c r="AD54" i="11"/>
  <c r="X56" i="11"/>
  <c r="R56" i="11"/>
  <c r="T56" i="11" s="1"/>
  <c r="AN63" i="11"/>
  <c r="AN70" i="11"/>
  <c r="X95" i="11"/>
  <c r="R95" i="11"/>
  <c r="T95" i="11" s="1"/>
  <c r="R96" i="11"/>
  <c r="T96" i="11" s="1"/>
  <c r="AB102" i="11"/>
  <c r="Z102" i="11"/>
  <c r="AC107" i="11"/>
  <c r="AD108" i="11"/>
  <c r="AF108" i="11"/>
  <c r="AE108" i="11"/>
  <c r="AC108" i="11"/>
  <c r="AC109" i="11"/>
  <c r="AD111" i="11"/>
  <c r="AF111" i="11"/>
  <c r="AE111" i="11"/>
  <c r="AC111" i="11"/>
  <c r="AC112" i="11"/>
  <c r="AD114" i="11"/>
  <c r="AF114" i="11"/>
  <c r="AE114" i="11"/>
  <c r="AC114" i="11"/>
  <c r="AC115" i="11"/>
  <c r="AD117" i="11"/>
  <c r="AF117" i="11"/>
  <c r="AE117" i="11"/>
  <c r="AC117" i="11"/>
  <c r="AE119" i="11"/>
  <c r="AM120" i="11"/>
  <c r="AF122" i="11"/>
  <c r="R134" i="11"/>
  <c r="T134" i="11" s="1"/>
  <c r="AB137" i="11"/>
  <c r="AD126" i="11"/>
  <c r="AC126" i="11"/>
  <c r="AD132" i="11"/>
  <c r="AC132" i="11"/>
  <c r="AD138" i="11"/>
  <c r="AC138" i="11"/>
  <c r="AD144" i="11"/>
  <c r="AC144" i="11"/>
  <c r="AM148" i="11"/>
  <c r="AD150" i="11"/>
  <c r="AC150" i="11"/>
  <c r="AM160" i="11"/>
  <c r="AL160" i="11"/>
  <c r="AF160" i="11"/>
  <c r="AD160" i="11"/>
  <c r="AE164" i="11"/>
  <c r="AE168" i="11"/>
  <c r="AE172" i="11"/>
  <c r="AE176" i="11"/>
  <c r="AE180" i="11"/>
  <c r="AF184" i="11"/>
  <c r="R188" i="11"/>
  <c r="T188" i="11" s="1"/>
  <c r="X188" i="11"/>
  <c r="AB194" i="11"/>
  <c r="Z194" i="11"/>
  <c r="Z197" i="11"/>
  <c r="AB197" i="11"/>
  <c r="Z209" i="11"/>
  <c r="AB209" i="11"/>
  <c r="AN223" i="11"/>
  <c r="BK12" i="65" s="1"/>
  <c r="AM223" i="11"/>
  <c r="BJ12" i="65" s="1"/>
  <c r="AL223" i="11"/>
  <c r="BI12" i="65" s="1"/>
  <c r="AF223" i="11"/>
  <c r="BC12" i="65" s="1"/>
  <c r="AD223" i="11"/>
  <c r="BA12" i="65" s="1"/>
  <c r="AE223" i="11"/>
  <c r="BB12" i="65" s="1"/>
  <c r="AC223" i="11"/>
  <c r="AZ12" i="65" s="1"/>
  <c r="AM118" i="11"/>
  <c r="R124" i="11"/>
  <c r="T124" i="11" s="1"/>
  <c r="AE126" i="11"/>
  <c r="AE132" i="11"/>
  <c r="AE138" i="11"/>
  <c r="AE144" i="11"/>
  <c r="AE150" i="11"/>
  <c r="AC160" i="11"/>
  <c r="R199" i="11"/>
  <c r="T199" i="11" s="1"/>
  <c r="X199" i="11"/>
  <c r="AB200" i="11"/>
  <c r="Z200" i="11"/>
  <c r="AL126" i="11"/>
  <c r="AL132" i="11"/>
  <c r="AL138" i="11"/>
  <c r="AL144" i="11"/>
  <c r="AL150" i="11"/>
  <c r="AN160" i="11"/>
  <c r="R186" i="11"/>
  <c r="T186" i="11" s="1"/>
  <c r="X186" i="11"/>
  <c r="AM191" i="11"/>
  <c r="AL191" i="11"/>
  <c r="AE191" i="11"/>
  <c r="AN191" i="11"/>
  <c r="AC191" i="11"/>
  <c r="Z193" i="11"/>
  <c r="AB196" i="11"/>
  <c r="Z196" i="11"/>
  <c r="X237" i="11"/>
  <c r="R237" i="11"/>
  <c r="AM193" i="11"/>
  <c r="AL193" i="11"/>
  <c r="AE193" i="11"/>
  <c r="AN193" i="11"/>
  <c r="AF193" i="11"/>
  <c r="AC193" i="11"/>
  <c r="AB202" i="11"/>
  <c r="Z202" i="11"/>
  <c r="Z205" i="11"/>
  <c r="AB205" i="11"/>
  <c r="AF208" i="11"/>
  <c r="AC208" i="11"/>
  <c r="AN208" i="11"/>
  <c r="AM208" i="11"/>
  <c r="AE208" i="11"/>
  <c r="X210" i="11"/>
  <c r="R210" i="11"/>
  <c r="T210" i="11" s="1"/>
  <c r="AN126" i="11"/>
  <c r="AN132" i="11"/>
  <c r="AN138" i="11"/>
  <c r="AN144" i="11"/>
  <c r="AN150" i="11"/>
  <c r="AB189" i="11"/>
  <c r="Z189" i="11"/>
  <c r="AF191" i="11"/>
  <c r="AD193" i="11"/>
  <c r="R195" i="11"/>
  <c r="T195" i="11" s="1"/>
  <c r="X195" i="11"/>
  <c r="AD208" i="11"/>
  <c r="AN129" i="11"/>
  <c r="AL129" i="11"/>
  <c r="AD129" i="11"/>
  <c r="AN135" i="11"/>
  <c r="AL135" i="11"/>
  <c r="AD135" i="11"/>
  <c r="AN141" i="11"/>
  <c r="AL141" i="11"/>
  <c r="AD141" i="11"/>
  <c r="AN147" i="11"/>
  <c r="AL147" i="11"/>
  <c r="AD147" i="11"/>
  <c r="AM158" i="11"/>
  <c r="AL158" i="11"/>
  <c r="AF158" i="11"/>
  <c r="AD158" i="11"/>
  <c r="AM162" i="11"/>
  <c r="AL162" i="11"/>
  <c r="AF162" i="11"/>
  <c r="AD162" i="11"/>
  <c r="R201" i="11"/>
  <c r="T201" i="11" s="1"/>
  <c r="X201" i="11"/>
  <c r="AL208" i="11"/>
  <c r="AF210" i="11"/>
  <c r="AC210" i="11"/>
  <c r="AN210" i="11"/>
  <c r="AD210" i="11"/>
  <c r="AM210" i="11"/>
  <c r="R110" i="11"/>
  <c r="T110" i="11" s="1"/>
  <c r="R113" i="11"/>
  <c r="T113" i="11" s="1"/>
  <c r="R116" i="11"/>
  <c r="T116" i="11" s="1"/>
  <c r="R119" i="11"/>
  <c r="T119" i="11" s="1"/>
  <c r="AC124" i="11"/>
  <c r="R126" i="11"/>
  <c r="T126" i="11" s="1"/>
  <c r="AC129" i="11"/>
  <c r="R132" i="11"/>
  <c r="T132" i="11" s="1"/>
  <c r="AC135" i="11"/>
  <c r="R138" i="11"/>
  <c r="T138" i="11" s="1"/>
  <c r="AC141" i="11"/>
  <c r="R144" i="11"/>
  <c r="T144" i="11" s="1"/>
  <c r="AC147" i="11"/>
  <c r="R150" i="11"/>
  <c r="T150" i="11" s="1"/>
  <c r="AE154" i="11"/>
  <c r="AD154" i="11"/>
  <c r="AC154" i="11"/>
  <c r="AC158" i="11"/>
  <c r="AC162" i="11"/>
  <c r="X165" i="11"/>
  <c r="X169" i="11"/>
  <c r="X173" i="11"/>
  <c r="X177" i="11"/>
  <c r="X181" i="11"/>
  <c r="X185" i="11"/>
  <c r="Z195" i="11"/>
  <c r="AB195" i="11"/>
  <c r="AB204" i="11"/>
  <c r="Z204" i="11"/>
  <c r="AE210" i="11"/>
  <c r="X212" i="11"/>
  <c r="AL121" i="11"/>
  <c r="AD121" i="11"/>
  <c r="AD130" i="11"/>
  <c r="AC130" i="11"/>
  <c r="AD136" i="11"/>
  <c r="AC136" i="11"/>
  <c r="AD142" i="11"/>
  <c r="AC142" i="11"/>
  <c r="AD148" i="11"/>
  <c r="AC148" i="11"/>
  <c r="AN155" i="11"/>
  <c r="AL155" i="11"/>
  <c r="AD155" i="11"/>
  <c r="AB183" i="11"/>
  <c r="Z183" i="11"/>
  <c r="Z201" i="11"/>
  <c r="AB201" i="11"/>
  <c r="AL210" i="11"/>
  <c r="AB171" i="11"/>
  <c r="Z171" i="11"/>
  <c r="AB175" i="11"/>
  <c r="Z175" i="11"/>
  <c r="AB179" i="11"/>
  <c r="Z179" i="11"/>
  <c r="AB185" i="11"/>
  <c r="Z185" i="11"/>
  <c r="R203" i="11"/>
  <c r="T203" i="11" s="1"/>
  <c r="X203" i="11"/>
  <c r="Z207" i="11"/>
  <c r="AB207" i="11"/>
  <c r="Z230" i="11"/>
  <c r="AB230" i="11"/>
  <c r="AM164" i="11"/>
  <c r="AN164" i="11"/>
  <c r="AF164" i="11"/>
  <c r="AC164" i="11"/>
  <c r="AM165" i="11"/>
  <c r="AL165" i="11"/>
  <c r="AF165" i="11"/>
  <c r="AE165" i="11"/>
  <c r="AC165" i="11"/>
  <c r="AM168" i="11"/>
  <c r="AN168" i="11"/>
  <c r="AF168" i="11"/>
  <c r="AC168" i="11"/>
  <c r="AM169" i="11"/>
  <c r="AL169" i="11"/>
  <c r="AF169" i="11"/>
  <c r="AE169" i="11"/>
  <c r="AC169" i="11"/>
  <c r="AM172" i="11"/>
  <c r="AN172" i="11"/>
  <c r="AF172" i="11"/>
  <c r="AC172" i="11"/>
  <c r="AM173" i="11"/>
  <c r="AL173" i="11"/>
  <c r="AF173" i="11"/>
  <c r="AE173" i="11"/>
  <c r="AC173" i="11"/>
  <c r="AM176" i="11"/>
  <c r="AN176" i="11"/>
  <c r="AF176" i="11"/>
  <c r="AC176" i="11"/>
  <c r="AM177" i="11"/>
  <c r="AL177" i="11"/>
  <c r="AF177" i="11"/>
  <c r="AE177" i="11"/>
  <c r="AC177" i="11"/>
  <c r="AM180" i="11"/>
  <c r="AN180" i="11"/>
  <c r="AF180" i="11"/>
  <c r="AC180" i="11"/>
  <c r="AM181" i="11"/>
  <c r="AL181" i="11"/>
  <c r="AF181" i="11"/>
  <c r="AE181" i="11"/>
  <c r="AC181" i="11"/>
  <c r="AE184" i="11"/>
  <c r="AM184" i="11"/>
  <c r="AL184" i="11"/>
  <c r="AC184" i="11"/>
  <c r="X206" i="11"/>
  <c r="AE192" i="11"/>
  <c r="AM192" i="11"/>
  <c r="AN219" i="11"/>
  <c r="BK8" i="65" s="1"/>
  <c r="AM219" i="11"/>
  <c r="BJ8" i="65" s="1"/>
  <c r="AL219" i="11"/>
  <c r="BI8" i="65" s="1"/>
  <c r="AF219" i="11"/>
  <c r="BC8" i="65" s="1"/>
  <c r="AD219" i="11"/>
  <c r="BA8" i="65" s="1"/>
  <c r="AM234" i="11"/>
  <c r="BJ23" i="65" s="1"/>
  <c r="AD234" i="11"/>
  <c r="BA23" i="65" s="1"/>
  <c r="AN234" i="11"/>
  <c r="BK23" i="65" s="1"/>
  <c r="AL234" i="11"/>
  <c r="BI23" i="65" s="1"/>
  <c r="AF234" i="11"/>
  <c r="BC23" i="65" s="1"/>
  <c r="AE234" i="11"/>
  <c r="BB23" i="65" s="1"/>
  <c r="AC234" i="11"/>
  <c r="AZ23" i="65" s="1"/>
  <c r="X259" i="11"/>
  <c r="R259" i="11"/>
  <c r="AN277" i="11"/>
  <c r="BK62" i="65" s="1"/>
  <c r="AL277" i="11"/>
  <c r="BI62" i="65" s="1"/>
  <c r="AF277" i="11"/>
  <c r="BC62" i="65" s="1"/>
  <c r="AE277" i="11"/>
  <c r="BB62" i="65" s="1"/>
  <c r="AD277" i="11"/>
  <c r="BA62" i="65" s="1"/>
  <c r="AM277" i="11"/>
  <c r="BJ62" i="65" s="1"/>
  <c r="AC277" i="11"/>
  <c r="AZ62" i="65" s="1"/>
  <c r="AL290" i="11"/>
  <c r="AE290" i="11"/>
  <c r="AC290" i="11"/>
  <c r="AN290" i="11"/>
  <c r="AM290" i="11"/>
  <c r="AF290" i="11"/>
  <c r="AD290" i="11"/>
  <c r="AN221" i="11"/>
  <c r="BK10" i="65" s="1"/>
  <c r="AM221" i="11"/>
  <c r="BJ10" i="65" s="1"/>
  <c r="AL221" i="11"/>
  <c r="BI10" i="65" s="1"/>
  <c r="AF221" i="11"/>
  <c r="BC10" i="65" s="1"/>
  <c r="AD221" i="11"/>
  <c r="BA10" i="65" s="1"/>
  <c r="AB233" i="11"/>
  <c r="Z233" i="11"/>
  <c r="X244" i="11"/>
  <c r="R244" i="11"/>
  <c r="AL288" i="11"/>
  <c r="AE288" i="11"/>
  <c r="AC288" i="11"/>
  <c r="AM288" i="11"/>
  <c r="AF288" i="11"/>
  <c r="AD288" i="11"/>
  <c r="AN288" i="11"/>
  <c r="AE186" i="11"/>
  <c r="AM186" i="11"/>
  <c r="AF212" i="11"/>
  <c r="AC212" i="11"/>
  <c r="AN212" i="11"/>
  <c r="AC221" i="11"/>
  <c r="AZ10" i="65" s="1"/>
  <c r="AN253" i="11"/>
  <c r="BK41" i="65" s="1"/>
  <c r="AL253" i="11"/>
  <c r="BI41" i="65" s="1"/>
  <c r="AE253" i="11"/>
  <c r="BB41" i="65" s="1"/>
  <c r="AC253" i="11"/>
  <c r="AZ41" i="65" s="1"/>
  <c r="AM253" i="11"/>
  <c r="BJ41" i="65" s="1"/>
  <c r="AD253" i="11"/>
  <c r="BA41" i="65" s="1"/>
  <c r="AL282" i="11"/>
  <c r="BI67" i="65" s="1"/>
  <c r="AC282" i="11"/>
  <c r="AZ67" i="65" s="1"/>
  <c r="AN282" i="11"/>
  <c r="BK67" i="65" s="1"/>
  <c r="AE282" i="11"/>
  <c r="BB67" i="65" s="1"/>
  <c r="AF282" i="11"/>
  <c r="BC67" i="65" s="1"/>
  <c r="X183" i="11"/>
  <c r="AD186" i="11"/>
  <c r="AM187" i="11"/>
  <c r="AL187" i="11"/>
  <c r="AE187" i="11"/>
  <c r="AE212" i="11"/>
  <c r="AF253" i="11"/>
  <c r="BC41" i="65" s="1"/>
  <c r="X272" i="11"/>
  <c r="AD282" i="11"/>
  <c r="BA67" i="65" s="1"/>
  <c r="AC166" i="11"/>
  <c r="AC170" i="11"/>
  <c r="AC174" i="11"/>
  <c r="AC178" i="11"/>
  <c r="AC182" i="11"/>
  <c r="AF186" i="11"/>
  <c r="AC187" i="11"/>
  <c r="AE188" i="11"/>
  <c r="AM188" i="11"/>
  <c r="AN199" i="11"/>
  <c r="AM199" i="11"/>
  <c r="AF199" i="11"/>
  <c r="AC199" i="11"/>
  <c r="AF206" i="11"/>
  <c r="AC206" i="11"/>
  <c r="AN206" i="11"/>
  <c r="AL212" i="11"/>
  <c r="AN225" i="11"/>
  <c r="BK14" i="65" s="1"/>
  <c r="AM225" i="11"/>
  <c r="BJ14" i="65" s="1"/>
  <c r="AL225" i="11"/>
  <c r="BI14" i="65" s="1"/>
  <c r="AF225" i="11"/>
  <c r="BC14" i="65" s="1"/>
  <c r="AD225" i="11"/>
  <c r="BA14" i="65" s="1"/>
  <c r="AM240" i="11"/>
  <c r="BJ29" i="65" s="1"/>
  <c r="AD240" i="11"/>
  <c r="BA29" i="65" s="1"/>
  <c r="AN240" i="11"/>
  <c r="BK29" i="65" s="1"/>
  <c r="AL240" i="11"/>
  <c r="BI29" i="65" s="1"/>
  <c r="AF240" i="11"/>
  <c r="BC29" i="65" s="1"/>
  <c r="AE240" i="11"/>
  <c r="BB29" i="65" s="1"/>
  <c r="AC240" i="11"/>
  <c r="AZ29" i="65" s="1"/>
  <c r="AM282" i="11"/>
  <c r="BJ67" i="65" s="1"/>
  <c r="AD166" i="11"/>
  <c r="AD170" i="11"/>
  <c r="AD174" i="11"/>
  <c r="AD178" i="11"/>
  <c r="AD182" i="11"/>
  <c r="AL186" i="11"/>
  <c r="AD187" i="11"/>
  <c r="AB198" i="11"/>
  <c r="Z198" i="11"/>
  <c r="AD199" i="11"/>
  <c r="AD206" i="11"/>
  <c r="AB211" i="11"/>
  <c r="AM212" i="11"/>
  <c r="AC225" i="11"/>
  <c r="AZ14" i="65" s="1"/>
  <c r="AF231" i="11"/>
  <c r="BC19" i="65" s="1"/>
  <c r="AL231" i="11"/>
  <c r="BI19" i="65" s="1"/>
  <c r="AE231" i="11"/>
  <c r="BB19" i="65" s="1"/>
  <c r="AD231" i="11"/>
  <c r="BA19" i="65" s="1"/>
  <c r="AC231" i="11"/>
  <c r="AZ19" i="65" s="1"/>
  <c r="X243" i="11"/>
  <c r="R243" i="11"/>
  <c r="AN227" i="11"/>
  <c r="BK16" i="65" s="1"/>
  <c r="AM227" i="11"/>
  <c r="BJ16" i="65" s="1"/>
  <c r="AL227" i="11"/>
  <c r="BI16" i="65" s="1"/>
  <c r="AF227" i="11"/>
  <c r="BC16" i="65" s="1"/>
  <c r="AD227" i="11"/>
  <c r="BA16" i="65" s="1"/>
  <c r="AB239" i="11"/>
  <c r="Z239" i="11"/>
  <c r="X245" i="11"/>
  <c r="R245" i="11"/>
  <c r="Z280" i="11"/>
  <c r="AC280" i="11" s="1"/>
  <c r="AZ65" i="65" s="1"/>
  <c r="AB280" i="11"/>
  <c r="AE190" i="11"/>
  <c r="AM190" i="11"/>
  <c r="AC227" i="11"/>
  <c r="AZ16" i="65" s="1"/>
  <c r="X242" i="11"/>
  <c r="R242" i="11"/>
  <c r="AN217" i="11"/>
  <c r="BK6" i="65" s="1"/>
  <c r="AM217" i="11"/>
  <c r="AL217" i="11"/>
  <c r="AF217" i="11"/>
  <c r="BC6" i="65" s="1"/>
  <c r="AD217" i="11"/>
  <c r="BA6" i="65" s="1"/>
  <c r="AE227" i="11"/>
  <c r="BB16" i="65" s="1"/>
  <c r="X229" i="11"/>
  <c r="R229" i="11"/>
  <c r="AL229" i="11"/>
  <c r="BI20" i="65" s="1"/>
  <c r="AN237" i="11"/>
  <c r="BK26" i="65" s="1"/>
  <c r="AL254" i="11"/>
  <c r="BI42" i="65" s="1"/>
  <c r="AC254" i="11"/>
  <c r="AZ42" i="65" s="1"/>
  <c r="AE254" i="11"/>
  <c r="BB42" i="65" s="1"/>
  <c r="AM255" i="11"/>
  <c r="BJ43" i="65" s="1"/>
  <c r="AF255" i="11"/>
  <c r="BC43" i="65" s="1"/>
  <c r="AD255" i="11"/>
  <c r="BA43" i="65" s="1"/>
  <c r="AB256" i="11"/>
  <c r="Z256" i="11"/>
  <c r="AL286" i="11"/>
  <c r="AE286" i="11"/>
  <c r="AC286" i="11"/>
  <c r="AN286" i="11"/>
  <c r="AM286" i="11"/>
  <c r="AF286" i="11"/>
  <c r="AN229" i="11"/>
  <c r="BK20" i="65" s="1"/>
  <c r="X236" i="11"/>
  <c r="AF241" i="11"/>
  <c r="BC30" i="65" s="1"/>
  <c r="AD241" i="11"/>
  <c r="BA30" i="65" s="1"/>
  <c r="AF254" i="11"/>
  <c r="BC42" i="65" s="1"/>
  <c r="AE255" i="11"/>
  <c r="BB43" i="65" s="1"/>
  <c r="AN257" i="11"/>
  <c r="BK45" i="65" s="1"/>
  <c r="AL257" i="11"/>
  <c r="BI45" i="65" s="1"/>
  <c r="AE257" i="11"/>
  <c r="BB45" i="65" s="1"/>
  <c r="AD257" i="11"/>
  <c r="BA45" i="65" s="1"/>
  <c r="AL276" i="11"/>
  <c r="BI61" i="65" s="1"/>
  <c r="AC276" i="11"/>
  <c r="AZ61" i="65" s="1"/>
  <c r="AN276" i="11"/>
  <c r="BK61" i="65" s="1"/>
  <c r="AE276" i="11"/>
  <c r="BB61" i="65" s="1"/>
  <c r="Z206" i="11"/>
  <c r="Z208" i="11"/>
  <c r="Z210" i="11"/>
  <c r="Z212" i="11"/>
  <c r="AB228" i="11"/>
  <c r="Z231" i="11"/>
  <c r="AC235" i="11"/>
  <c r="AZ24" i="65" s="1"/>
  <c r="AC241" i="11"/>
  <c r="AZ30" i="65" s="1"/>
  <c r="AM242" i="11"/>
  <c r="BJ31" i="65" s="1"/>
  <c r="AD242" i="11"/>
  <c r="BA31" i="65" s="1"/>
  <c r="Z243" i="11"/>
  <c r="X246" i="11"/>
  <c r="R246" i="11"/>
  <c r="AM254" i="11"/>
  <c r="BJ42" i="65" s="1"/>
  <c r="AL255" i="11"/>
  <c r="BI43" i="65" s="1"/>
  <c r="AC257" i="11"/>
  <c r="AZ45" i="65" s="1"/>
  <c r="AF274" i="11"/>
  <c r="AN274" i="11"/>
  <c r="AL274" i="11"/>
  <c r="AE274" i="11"/>
  <c r="AD274" i="11"/>
  <c r="AC274" i="11"/>
  <c r="AD276" i="11"/>
  <c r="BA61" i="65" s="1"/>
  <c r="AF243" i="11"/>
  <c r="BC32" i="65" s="1"/>
  <c r="AD243" i="11"/>
  <c r="BA32" i="65" s="1"/>
  <c r="R251" i="11"/>
  <c r="T251" i="11" s="1"/>
  <c r="X251" i="11"/>
  <c r="AL258" i="11"/>
  <c r="BI46" i="65" s="1"/>
  <c r="AE258" i="11"/>
  <c r="BB46" i="65" s="1"/>
  <c r="AC258" i="11"/>
  <c r="AZ46" i="65" s="1"/>
  <c r="AM258" i="11"/>
  <c r="BJ46" i="65" s="1"/>
  <c r="AF276" i="11"/>
  <c r="BC61" i="65" s="1"/>
  <c r="X285" i="11"/>
  <c r="R285" i="11"/>
  <c r="T285" i="11" s="1"/>
  <c r="AC214" i="11"/>
  <c r="AZ3" i="65" s="1"/>
  <c r="AC216" i="11"/>
  <c r="AZ5" i="65" s="1"/>
  <c r="AC218" i="11"/>
  <c r="AZ7" i="65" s="1"/>
  <c r="AC220" i="11"/>
  <c r="AZ9" i="65" s="1"/>
  <c r="AC222" i="11"/>
  <c r="AZ11" i="65" s="1"/>
  <c r="AC224" i="11"/>
  <c r="AZ13" i="65" s="1"/>
  <c r="AC226" i="11"/>
  <c r="AZ15" i="65" s="1"/>
  <c r="X232" i="11"/>
  <c r="AE235" i="11"/>
  <c r="BB24" i="65" s="1"/>
  <c r="AB236" i="11"/>
  <c r="Z237" i="11"/>
  <c r="AL241" i="11"/>
  <c r="BI30" i="65" s="1"/>
  <c r="AE242" i="11"/>
  <c r="BB31" i="65" s="1"/>
  <c r="AC243" i="11"/>
  <c r="AZ32" i="65" s="1"/>
  <c r="AB244" i="11"/>
  <c r="Z245" i="11"/>
  <c r="X248" i="11"/>
  <c r="R248" i="11"/>
  <c r="R249" i="11"/>
  <c r="X249" i="11"/>
  <c r="X250" i="11"/>
  <c r="R250" i="11"/>
  <c r="AM257" i="11"/>
  <c r="BJ45" i="65" s="1"/>
  <c r="AD258" i="11"/>
  <c r="BA46" i="65" s="1"/>
  <c r="AB266" i="11"/>
  <c r="AE267" i="11"/>
  <c r="BB54" i="65" s="1"/>
  <c r="AF267" i="11"/>
  <c r="BC54" i="65" s="1"/>
  <c r="AC267" i="11"/>
  <c r="AZ54" i="65" s="1"/>
  <c r="AM267" i="11"/>
  <c r="BJ54" i="65" s="1"/>
  <c r="AF268" i="11"/>
  <c r="BC55" i="65" s="1"/>
  <c r="AN268" i="11"/>
  <c r="BK55" i="65" s="1"/>
  <c r="AM268" i="11"/>
  <c r="BJ55" i="65" s="1"/>
  <c r="AL268" i="11"/>
  <c r="BI55" i="65" s="1"/>
  <c r="AC268" i="11"/>
  <c r="AZ55" i="65" s="1"/>
  <c r="AL273" i="11"/>
  <c r="BI60" i="65" s="1"/>
  <c r="AN273" i="11"/>
  <c r="BK60" i="65" s="1"/>
  <c r="AM273" i="11"/>
  <c r="BJ60" i="65" s="1"/>
  <c r="AF273" i="11"/>
  <c r="BC60" i="65" s="1"/>
  <c r="AC273" i="11"/>
  <c r="AZ60" i="65" s="1"/>
  <c r="AM276" i="11"/>
  <c r="BJ61" i="65" s="1"/>
  <c r="X281" i="11"/>
  <c r="X283" i="11"/>
  <c r="R283" i="11"/>
  <c r="X296" i="11"/>
  <c r="R296" i="11"/>
  <c r="T296" i="11" s="1"/>
  <c r="R302" i="11"/>
  <c r="AD214" i="11"/>
  <c r="BA3" i="65" s="1"/>
  <c r="AD216" i="11"/>
  <c r="BA5" i="65" s="1"/>
  <c r="AD218" i="11"/>
  <c r="BA7" i="65" s="1"/>
  <c r="AD220" i="11"/>
  <c r="BA9" i="65" s="1"/>
  <c r="AD222" i="11"/>
  <c r="BA11" i="65" s="1"/>
  <c r="AD224" i="11"/>
  <c r="BA13" i="65" s="1"/>
  <c r="AD226" i="11"/>
  <c r="BA15" i="65" s="1"/>
  <c r="X238" i="11"/>
  <c r="AE243" i="11"/>
  <c r="BB32" i="65" s="1"/>
  <c r="AF245" i="11"/>
  <c r="BC34" i="65" s="1"/>
  <c r="AD245" i="11"/>
  <c r="BA34" i="65" s="1"/>
  <c r="AF258" i="11"/>
  <c r="BC46" i="65" s="1"/>
  <c r="AL260" i="11"/>
  <c r="AF260" i="11"/>
  <c r="AD260" i="11"/>
  <c r="AN260" i="11"/>
  <c r="AN261" i="11"/>
  <c r="BK49" i="65" s="1"/>
  <c r="AM261" i="11"/>
  <c r="BJ49" i="65" s="1"/>
  <c r="AL261" i="11"/>
  <c r="BI49" i="65" s="1"/>
  <c r="AF261" i="11"/>
  <c r="BC49" i="65" s="1"/>
  <c r="AC261" i="11"/>
  <c r="AZ49" i="65" s="1"/>
  <c r="AD267" i="11"/>
  <c r="BA54" i="65" s="1"/>
  <c r="AD268" i="11"/>
  <c r="BA55" i="65" s="1"/>
  <c r="AM270" i="11"/>
  <c r="BJ57" i="65" s="1"/>
  <c r="AD270" i="11"/>
  <c r="BA57" i="65" s="1"/>
  <c r="AC270" i="11"/>
  <c r="AZ57" i="65" s="1"/>
  <c r="AF270" i="11"/>
  <c r="BC57" i="65" s="1"/>
  <c r="AD273" i="11"/>
  <c r="BA60" i="65" s="1"/>
  <c r="AL243" i="11"/>
  <c r="BI32" i="65" s="1"/>
  <c r="Z247" i="11"/>
  <c r="Z251" i="11"/>
  <c r="X255" i="11"/>
  <c r="R255" i="11"/>
  <c r="AB296" i="11"/>
  <c r="Z296" i="11"/>
  <c r="AF247" i="11"/>
  <c r="BC36" i="65" s="1"/>
  <c r="AD247" i="11"/>
  <c r="BA36" i="65" s="1"/>
  <c r="AB250" i="11"/>
  <c r="Z250" i="11"/>
  <c r="AM251" i="11"/>
  <c r="AF251" i="11"/>
  <c r="AD251" i="11"/>
  <c r="AL292" i="11"/>
  <c r="AE292" i="11"/>
  <c r="AC292" i="11"/>
  <c r="AM292" i="11"/>
  <c r="AF292" i="11"/>
  <c r="AD292" i="11"/>
  <c r="AL294" i="11"/>
  <c r="BI71" i="65" s="1"/>
  <c r="AE294" i="11"/>
  <c r="BB71" i="65" s="1"/>
  <c r="AC294" i="11"/>
  <c r="AZ71" i="65" s="1"/>
  <c r="AN294" i="11"/>
  <c r="BK71" i="65" s="1"/>
  <c r="AM294" i="11"/>
  <c r="BJ71" i="65" s="1"/>
  <c r="AF294" i="11"/>
  <c r="BC71" i="65" s="1"/>
  <c r="AL302" i="11"/>
  <c r="BI79" i="65" s="1"/>
  <c r="AE302" i="11"/>
  <c r="BB79" i="65" s="1"/>
  <c r="AC302" i="11"/>
  <c r="AZ79" i="65" s="1"/>
  <c r="AM302" i="11"/>
  <c r="BJ79" i="65" s="1"/>
  <c r="AF302" i="11"/>
  <c r="BC79" i="65" s="1"/>
  <c r="AD302" i="11"/>
  <c r="BA79" i="65" s="1"/>
  <c r="AC229" i="11"/>
  <c r="AZ20" i="65" s="1"/>
  <c r="AE237" i="11"/>
  <c r="BB26" i="65" s="1"/>
  <c r="AB238" i="11"/>
  <c r="AN243" i="11"/>
  <c r="BK32" i="65" s="1"/>
  <c r="AC247" i="11"/>
  <c r="AZ36" i="65" s="1"/>
  <c r="AB248" i="11"/>
  <c r="AM249" i="11"/>
  <c r="BJ38" i="65" s="1"/>
  <c r="AF249" i="11"/>
  <c r="BC38" i="65" s="1"/>
  <c r="AD249" i="11"/>
  <c r="BA38" i="65" s="1"/>
  <c r="AC251" i="11"/>
  <c r="AB252" i="11"/>
  <c r="Z252" i="11"/>
  <c r="X277" i="11"/>
  <c r="R277" i="11"/>
  <c r="T277" i="11" s="1"/>
  <c r="AN283" i="11"/>
  <c r="BK68" i="65" s="1"/>
  <c r="AL283" i="11"/>
  <c r="BI68" i="65" s="1"/>
  <c r="AF283" i="11"/>
  <c r="BC68" i="65" s="1"/>
  <c r="AE283" i="11"/>
  <c r="BB68" i="65" s="1"/>
  <c r="AD283" i="11"/>
  <c r="BA68" i="65" s="1"/>
  <c r="AN292" i="11"/>
  <c r="AD294" i="11"/>
  <c r="BA71" i="65" s="1"/>
  <c r="X301" i="11"/>
  <c r="R301" i="11"/>
  <c r="AN302" i="11"/>
  <c r="BK79" i="65" s="1"/>
  <c r="AB305" i="11"/>
  <c r="Z305" i="11"/>
  <c r="AN366" i="11"/>
  <c r="BK137" i="65" s="1"/>
  <c r="AL366" i="11"/>
  <c r="BI137" i="65" s="1"/>
  <c r="AM366" i="11"/>
  <c r="BJ137" i="65" s="1"/>
  <c r="AF366" i="11"/>
  <c r="BC137" i="65" s="1"/>
  <c r="AD366" i="11"/>
  <c r="BA137" i="65" s="1"/>
  <c r="AC366" i="11"/>
  <c r="AZ137" i="65" s="1"/>
  <c r="AE366" i="11"/>
  <c r="BB137" i="65" s="1"/>
  <c r="AD263" i="11"/>
  <c r="BA51" i="65" s="1"/>
  <c r="AE279" i="11"/>
  <c r="BB64" i="65" s="1"/>
  <c r="X299" i="11"/>
  <c r="R299" i="11"/>
  <c r="AM319" i="11"/>
  <c r="BJ94" i="65" s="1"/>
  <c r="AN319" i="11"/>
  <c r="BK94" i="65" s="1"/>
  <c r="AL319" i="11"/>
  <c r="BI94" i="65" s="1"/>
  <c r="AF319" i="11"/>
  <c r="BC94" i="65" s="1"/>
  <c r="AE319" i="11"/>
  <c r="BB94" i="65" s="1"/>
  <c r="AD319" i="11"/>
  <c r="BA94" i="65" s="1"/>
  <c r="AL327" i="11"/>
  <c r="BI102" i="65" s="1"/>
  <c r="AD327" i="11"/>
  <c r="BA102" i="65" s="1"/>
  <c r="AN327" i="11"/>
  <c r="BK102" i="65" s="1"/>
  <c r="AM327" i="11"/>
  <c r="BJ102" i="65" s="1"/>
  <c r="AE327" i="11"/>
  <c r="BB102" i="65" s="1"/>
  <c r="AC327" i="11"/>
  <c r="AZ102" i="65" s="1"/>
  <c r="X346" i="11"/>
  <c r="R346" i="11"/>
  <c r="X357" i="11"/>
  <c r="R357" i="11"/>
  <c r="T357" i="11" s="1"/>
  <c r="AN323" i="11"/>
  <c r="BK98" i="65" s="1"/>
  <c r="AM323" i="11"/>
  <c r="BJ98" i="65" s="1"/>
  <c r="AM279" i="11"/>
  <c r="BJ64" i="65" s="1"/>
  <c r="AN287" i="11"/>
  <c r="AL287" i="11"/>
  <c r="AN291" i="11"/>
  <c r="AL291" i="11"/>
  <c r="AB322" i="11"/>
  <c r="Z322" i="11"/>
  <c r="AB351" i="11"/>
  <c r="Z351" i="11"/>
  <c r="Z260" i="11"/>
  <c r="R263" i="11"/>
  <c r="AN263" i="11"/>
  <c r="BK51" i="65" s="1"/>
  <c r="Z272" i="11"/>
  <c r="R279" i="11"/>
  <c r="T279" i="11" s="1"/>
  <c r="AC287" i="11"/>
  <c r="AC291" i="11"/>
  <c r="AB299" i="11"/>
  <c r="X305" i="11"/>
  <c r="R305" i="11"/>
  <c r="T305" i="11" s="1"/>
  <c r="R315" i="11"/>
  <c r="T315" i="11" s="1"/>
  <c r="AD287" i="11"/>
  <c r="AD291" i="11"/>
  <c r="AB300" i="11"/>
  <c r="Z300" i="11"/>
  <c r="AB301" i="11"/>
  <c r="X304" i="11"/>
  <c r="X307" i="11"/>
  <c r="R307" i="11"/>
  <c r="R312" i="11"/>
  <c r="T312" i="11" s="1"/>
  <c r="AB315" i="11"/>
  <c r="Z315" i="11"/>
  <c r="AB316" i="11"/>
  <c r="Z316" i="11"/>
  <c r="X328" i="11"/>
  <c r="R328" i="11"/>
  <c r="T328" i="11" s="1"/>
  <c r="AC262" i="11"/>
  <c r="AZ50" i="65" s="1"/>
  <c r="R268" i="11"/>
  <c r="T268" i="11" s="1"/>
  <c r="AD269" i="11"/>
  <c r="BA56" i="65" s="1"/>
  <c r="AC272" i="11"/>
  <c r="AZ59" i="65" s="1"/>
  <c r="AL278" i="11"/>
  <c r="BI63" i="65" s="1"/>
  <c r="AC278" i="11"/>
  <c r="AZ63" i="65" s="1"/>
  <c r="AL284" i="11"/>
  <c r="BI69" i="65" s="1"/>
  <c r="AE284" i="11"/>
  <c r="BB69" i="65" s="1"/>
  <c r="AC284" i="11"/>
  <c r="AZ69" i="65" s="1"/>
  <c r="AE287" i="11"/>
  <c r="AE291" i="11"/>
  <c r="AB303" i="11"/>
  <c r="Z303" i="11"/>
  <c r="X309" i="11"/>
  <c r="R309" i="11"/>
  <c r="AE262" i="11"/>
  <c r="BB50" i="65" s="1"/>
  <c r="AF269" i="11"/>
  <c r="BC56" i="65" s="1"/>
  <c r="AE272" i="11"/>
  <c r="BB59" i="65" s="1"/>
  <c r="AE275" i="11"/>
  <c r="Z276" i="11"/>
  <c r="AE278" i="11"/>
  <c r="BB63" i="65" s="1"/>
  <c r="AE281" i="11"/>
  <c r="BB66" i="65" s="1"/>
  <c r="Z282" i="11"/>
  <c r="AF284" i="11"/>
  <c r="BC69" i="65" s="1"/>
  <c r="AM287" i="11"/>
  <c r="AM291" i="11"/>
  <c r="AM304" i="11"/>
  <c r="BJ81" i="65" s="1"/>
  <c r="AF304" i="11"/>
  <c r="BC81" i="65" s="1"/>
  <c r="AD304" i="11"/>
  <c r="BA81" i="65" s="1"/>
  <c r="Z306" i="11"/>
  <c r="AB307" i="11"/>
  <c r="Z307" i="11"/>
  <c r="X310" i="11"/>
  <c r="AN289" i="11"/>
  <c r="AL289" i="11"/>
  <c r="AN293" i="11"/>
  <c r="BK70" i="65" s="1"/>
  <c r="AL293" i="11"/>
  <c r="BI70" i="65" s="1"/>
  <c r="AM306" i="11"/>
  <c r="BJ83" i="65" s="1"/>
  <c r="AF306" i="11"/>
  <c r="BC83" i="65" s="1"/>
  <c r="AD306" i="11"/>
  <c r="BA83" i="65" s="1"/>
  <c r="AB309" i="11"/>
  <c r="Z309" i="11"/>
  <c r="AM311" i="11"/>
  <c r="BJ88" i="65" s="1"/>
  <c r="AF311" i="11"/>
  <c r="BC88" i="65" s="1"/>
  <c r="AE311" i="11"/>
  <c r="BB88" i="65" s="1"/>
  <c r="AD311" i="11"/>
  <c r="BA88" i="65" s="1"/>
  <c r="AE312" i="11"/>
  <c r="BB89" i="65" s="1"/>
  <c r="AC312" i="11"/>
  <c r="AZ89" i="65" s="1"/>
  <c r="Z314" i="11"/>
  <c r="AB314" i="11"/>
  <c r="X317" i="11"/>
  <c r="R317" i="11"/>
  <c r="AM262" i="11"/>
  <c r="BJ50" i="65" s="1"/>
  <c r="AM269" i="11"/>
  <c r="BJ56" i="65" s="1"/>
  <c r="AM272" i="11"/>
  <c r="BJ59" i="65" s="1"/>
  <c r="AL275" i="11"/>
  <c r="AM278" i="11"/>
  <c r="BJ63" i="65" s="1"/>
  <c r="AC279" i="11"/>
  <c r="AZ64" i="65" s="1"/>
  <c r="AN284" i="11"/>
  <c r="BK69" i="65" s="1"/>
  <c r="AC289" i="11"/>
  <c r="AC293" i="11"/>
  <c r="AZ70" i="65" s="1"/>
  <c r="AC306" i="11"/>
  <c r="AZ83" i="65" s="1"/>
  <c r="AM308" i="11"/>
  <c r="BJ85" i="65" s="1"/>
  <c r="AF308" i="11"/>
  <c r="BC85" i="65" s="1"/>
  <c r="AD308" i="11"/>
  <c r="BA85" i="65" s="1"/>
  <c r="AC311" i="11"/>
  <c r="AZ88" i="65" s="1"/>
  <c r="AD312" i="11"/>
  <c r="BA89" i="65" s="1"/>
  <c r="AB313" i="11"/>
  <c r="AB317" i="11"/>
  <c r="Z317" i="11"/>
  <c r="X333" i="11"/>
  <c r="R333" i="11"/>
  <c r="X372" i="11"/>
  <c r="AF375" i="11"/>
  <c r="BC145" i="65" s="1"/>
  <c r="X379" i="11"/>
  <c r="R379" i="11"/>
  <c r="AF329" i="11"/>
  <c r="BC103" i="65" s="1"/>
  <c r="AN353" i="11"/>
  <c r="BK123" i="65" s="1"/>
  <c r="AM353" i="11"/>
  <c r="BJ123" i="65" s="1"/>
  <c r="AF353" i="11"/>
  <c r="BC123" i="65" s="1"/>
  <c r="AD353" i="11"/>
  <c r="BA123" i="65" s="1"/>
  <c r="AC353" i="11"/>
  <c r="AZ123" i="65" s="1"/>
  <c r="R366" i="11"/>
  <c r="T366" i="11" s="1"/>
  <c r="X366" i="11"/>
  <c r="AL401" i="11"/>
  <c r="BI170" i="65" s="1"/>
  <c r="AE352" i="11"/>
  <c r="BB122" i="65" s="1"/>
  <c r="AC352" i="11"/>
  <c r="AZ122" i="65" s="1"/>
  <c r="AM352" i="11"/>
  <c r="BJ122" i="65" s="1"/>
  <c r="AL352" i="11"/>
  <c r="BI122" i="65" s="1"/>
  <c r="AM362" i="11"/>
  <c r="BJ132" i="65" s="1"/>
  <c r="AL362" i="11"/>
  <c r="BI132" i="65" s="1"/>
  <c r="AE362" i="11"/>
  <c r="BB132" i="65" s="1"/>
  <c r="AN362" i="11"/>
  <c r="BK132" i="65" s="1"/>
  <c r="AC362" i="11"/>
  <c r="AZ132" i="65" s="1"/>
  <c r="AN372" i="11"/>
  <c r="BK143" i="65" s="1"/>
  <c r="AL372" i="11"/>
  <c r="BI143" i="65" s="1"/>
  <c r="AM372" i="11"/>
  <c r="BJ143" i="65" s="1"/>
  <c r="AF372" i="11"/>
  <c r="BC143" i="65" s="1"/>
  <c r="AE372" i="11"/>
  <c r="BB143" i="65" s="1"/>
  <c r="AD372" i="11"/>
  <c r="BA143" i="65" s="1"/>
  <c r="AC372" i="11"/>
  <c r="AZ143" i="65" s="1"/>
  <c r="AM380" i="11"/>
  <c r="BJ150" i="65" s="1"/>
  <c r="AL380" i="11"/>
  <c r="BI150" i="65" s="1"/>
  <c r="AE380" i="11"/>
  <c r="BB150" i="65" s="1"/>
  <c r="AN380" i="11"/>
  <c r="BK150" i="65" s="1"/>
  <c r="AD380" i="11"/>
  <c r="BA150" i="65" s="1"/>
  <c r="AC380" i="11"/>
  <c r="AZ150" i="65" s="1"/>
  <c r="AN382" i="11"/>
  <c r="BK152" i="65" s="1"/>
  <c r="AL382" i="11"/>
  <c r="BI152" i="65" s="1"/>
  <c r="AC382" i="11"/>
  <c r="AZ152" i="65" s="1"/>
  <c r="AM382" i="11"/>
  <c r="BJ152" i="65" s="1"/>
  <c r="AE382" i="11"/>
  <c r="BB152" i="65" s="1"/>
  <c r="AD382" i="11"/>
  <c r="BA152" i="65" s="1"/>
  <c r="AF380" i="11"/>
  <c r="BC150" i="65" s="1"/>
  <c r="AF382" i="11"/>
  <c r="BC152" i="65" s="1"/>
  <c r="AB384" i="11"/>
  <c r="AL386" i="11"/>
  <c r="BI155" i="65" s="1"/>
  <c r="AN386" i="11"/>
  <c r="BK155" i="65" s="1"/>
  <c r="AM386" i="11"/>
  <c r="BJ155" i="65" s="1"/>
  <c r="AF386" i="11"/>
  <c r="BC155" i="65" s="1"/>
  <c r="AD386" i="11"/>
  <c r="BA155" i="65" s="1"/>
  <c r="AC386" i="11"/>
  <c r="AZ155" i="65" s="1"/>
  <c r="AN394" i="11"/>
  <c r="BK163" i="65" s="1"/>
  <c r="AL394" i="11"/>
  <c r="BI163" i="65" s="1"/>
  <c r="AC394" i="11"/>
  <c r="AZ163" i="65" s="1"/>
  <c r="AD394" i="11"/>
  <c r="BA163" i="65" s="1"/>
  <c r="AM394" i="11"/>
  <c r="BJ163" i="65" s="1"/>
  <c r="AM318" i="11"/>
  <c r="AE324" i="11"/>
  <c r="BB99" i="65" s="1"/>
  <c r="AM325" i="11"/>
  <c r="BJ100" i="65" s="1"/>
  <c r="AE325" i="11"/>
  <c r="BB100" i="65" s="1"/>
  <c r="Z327" i="11"/>
  <c r="AF352" i="11"/>
  <c r="BC122" i="65" s="1"/>
  <c r="AF362" i="11"/>
  <c r="BC132" i="65" s="1"/>
  <c r="AN318" i="11"/>
  <c r="AN320" i="11"/>
  <c r="BK95" i="65" s="1"/>
  <c r="AC320" i="11"/>
  <c r="AZ95" i="65" s="1"/>
  <c r="AF324" i="11"/>
  <c r="BC99" i="65" s="1"/>
  <c r="AC326" i="11"/>
  <c r="AZ101" i="65" s="1"/>
  <c r="AN326" i="11"/>
  <c r="BK101" i="65" s="1"/>
  <c r="AN352" i="11"/>
  <c r="BK122" i="65" s="1"/>
  <c r="AM360" i="11"/>
  <c r="BJ130" i="65" s="1"/>
  <c r="AE360" i="11"/>
  <c r="BB130" i="65" s="1"/>
  <c r="AN360" i="11"/>
  <c r="BK130" i="65" s="1"/>
  <c r="BI130" i="65"/>
  <c r="AD360" i="11"/>
  <c r="BA130" i="65" s="1"/>
  <c r="AC360" i="11"/>
  <c r="AZ130" i="65" s="1"/>
  <c r="R364" i="11"/>
  <c r="T364" i="11" s="1"/>
  <c r="X364" i="11"/>
  <c r="AD320" i="11"/>
  <c r="BA95" i="65" s="1"/>
  <c r="AM324" i="11"/>
  <c r="BJ99" i="65" s="1"/>
  <c r="AD325" i="11"/>
  <c r="BA100" i="65" s="1"/>
  <c r="AD326" i="11"/>
  <c r="BA101" i="65" s="1"/>
  <c r="Z328" i="11"/>
  <c r="AE331" i="11"/>
  <c r="BB105" i="65" s="1"/>
  <c r="R337" i="11"/>
  <c r="T337" i="11" s="1"/>
  <c r="R343" i="11"/>
  <c r="X348" i="11"/>
  <c r="AN357" i="11"/>
  <c r="BK127" i="65" s="1"/>
  <c r="AM357" i="11"/>
  <c r="BJ127" i="65" s="1"/>
  <c r="AF357" i="11"/>
  <c r="BC127" i="65" s="1"/>
  <c r="AD357" i="11"/>
  <c r="BA127" i="65" s="1"/>
  <c r="AC357" i="11"/>
  <c r="AZ127" i="65" s="1"/>
  <c r="AF360" i="11"/>
  <c r="BC130" i="65" s="1"/>
  <c r="X369" i="11"/>
  <c r="R369" i="11"/>
  <c r="T369" i="11" s="1"/>
  <c r="AM389" i="11"/>
  <c r="BJ158" i="65" s="1"/>
  <c r="AD389" i="11"/>
  <c r="BA158" i="65" s="1"/>
  <c r="AN389" i="11"/>
  <c r="BK158" i="65" s="1"/>
  <c r="AL389" i="11"/>
  <c r="BI158" i="65" s="1"/>
  <c r="AF389" i="11"/>
  <c r="BC158" i="65" s="1"/>
  <c r="AE389" i="11"/>
  <c r="BB158" i="65" s="1"/>
  <c r="AC389" i="11"/>
  <c r="AZ158" i="65" s="1"/>
  <c r="AD400" i="11"/>
  <c r="BA169" i="65" s="1"/>
  <c r="AC400" i="11"/>
  <c r="AZ169" i="65" s="1"/>
  <c r="AN400" i="11"/>
  <c r="BK169" i="65" s="1"/>
  <c r="AM400" i="11"/>
  <c r="BJ169" i="65" s="1"/>
  <c r="AF400" i="11"/>
  <c r="BC169" i="65" s="1"/>
  <c r="AE400" i="11"/>
  <c r="BB169" i="65" s="1"/>
  <c r="AE320" i="11"/>
  <c r="BB95" i="65" s="1"/>
  <c r="AN324" i="11"/>
  <c r="BK99" i="65" s="1"/>
  <c r="AF325" i="11"/>
  <c r="BC100" i="65" s="1"/>
  <c r="AE326" i="11"/>
  <c r="BB101" i="65" s="1"/>
  <c r="X329" i="11"/>
  <c r="AB343" i="11"/>
  <c r="Z343" i="11"/>
  <c r="AL346" i="11"/>
  <c r="BI116" i="65" s="1"/>
  <c r="AD346" i="11"/>
  <c r="BA116" i="65" s="1"/>
  <c r="AN364" i="11"/>
  <c r="BK135" i="65" s="1"/>
  <c r="AL364" i="11"/>
  <c r="BI135" i="65" s="1"/>
  <c r="AE364" i="11"/>
  <c r="BB135" i="65" s="1"/>
  <c r="AD365" i="11"/>
  <c r="BA136" i="65" s="1"/>
  <c r="AC365" i="11"/>
  <c r="AZ136" i="65" s="1"/>
  <c r="AN365" i="11"/>
  <c r="BK136" i="65" s="1"/>
  <c r="AL365" i="11"/>
  <c r="BI136" i="65" s="1"/>
  <c r="AF365" i="11"/>
  <c r="BC136" i="65" s="1"/>
  <c r="AF378" i="11"/>
  <c r="BC148" i="65" s="1"/>
  <c r="AE378" i="11"/>
  <c r="BB148" i="65" s="1"/>
  <c r="AC378" i="11"/>
  <c r="AZ148" i="65" s="1"/>
  <c r="AM378" i="11"/>
  <c r="BJ148" i="65" s="1"/>
  <c r="AL378" i="11"/>
  <c r="BI148" i="65" s="1"/>
  <c r="AD378" i="11"/>
  <c r="BA148" i="65" s="1"/>
  <c r="AF320" i="11"/>
  <c r="BC95" i="65" s="1"/>
  <c r="AC321" i="11"/>
  <c r="AZ96" i="65" s="1"/>
  <c r="R323" i="11"/>
  <c r="T323" i="11" s="1"/>
  <c r="AL325" i="11"/>
  <c r="BI100" i="65" s="1"/>
  <c r="AF326" i="11"/>
  <c r="BC101" i="65" s="1"/>
  <c r="AC328" i="11"/>
  <c r="AL331" i="11"/>
  <c r="BI105" i="65" s="1"/>
  <c r="AC332" i="11"/>
  <c r="AZ106" i="65" s="1"/>
  <c r="X336" i="11"/>
  <c r="AD344" i="11"/>
  <c r="AM344" i="11"/>
  <c r="AL344" i="11"/>
  <c r="AC346" i="11"/>
  <c r="AZ116" i="65" s="1"/>
  <c r="AM347" i="11"/>
  <c r="BJ117" i="65" s="1"/>
  <c r="AF347" i="11"/>
  <c r="BC117" i="65" s="1"/>
  <c r="AE347" i="11"/>
  <c r="BB117" i="65" s="1"/>
  <c r="AN348" i="11"/>
  <c r="BK118" i="65" s="1"/>
  <c r="AF348" i="11"/>
  <c r="BC118" i="65" s="1"/>
  <c r="AC348" i="11"/>
  <c r="AZ118" i="65" s="1"/>
  <c r="AD349" i="11"/>
  <c r="BA119" i="65" s="1"/>
  <c r="AM349" i="11"/>
  <c r="BJ119" i="65" s="1"/>
  <c r="AL349" i="11"/>
  <c r="BI119" i="65" s="1"/>
  <c r="AC350" i="11"/>
  <c r="AZ120" i="65" s="1"/>
  <c r="AN350" i="11"/>
  <c r="BK120" i="65" s="1"/>
  <c r="AM350" i="11"/>
  <c r="BJ120" i="65" s="1"/>
  <c r="AF350" i="11"/>
  <c r="BC120" i="65" s="1"/>
  <c r="AD350" i="11"/>
  <c r="BA120" i="65" s="1"/>
  <c r="AB355" i="11"/>
  <c r="Z355" i="11"/>
  <c r="AM356" i="11"/>
  <c r="BJ126" i="65" s="1"/>
  <c r="AE356" i="11"/>
  <c r="BB126" i="65" s="1"/>
  <c r="AL356" i="11"/>
  <c r="BI126" i="65" s="1"/>
  <c r="AF356" i="11"/>
  <c r="BC126" i="65" s="1"/>
  <c r="AL357" i="11"/>
  <c r="BI127" i="65" s="1"/>
  <c r="AC364" i="11"/>
  <c r="AZ135" i="65" s="1"/>
  <c r="AE365" i="11"/>
  <c r="BB136" i="65" s="1"/>
  <c r="AN378" i="11"/>
  <c r="BK148" i="65" s="1"/>
  <c r="AB381" i="11"/>
  <c r="Z381" i="11"/>
  <c r="AE383" i="11"/>
  <c r="BB153" i="65" s="1"/>
  <c r="AD383" i="11"/>
  <c r="BA153" i="65" s="1"/>
  <c r="AN383" i="11"/>
  <c r="BK153" i="65" s="1"/>
  <c r="AM383" i="11"/>
  <c r="BJ153" i="65" s="1"/>
  <c r="AF383" i="11"/>
  <c r="BC153" i="65" s="1"/>
  <c r="AC383" i="11"/>
  <c r="AZ153" i="65" s="1"/>
  <c r="AB399" i="11"/>
  <c r="Z399" i="11"/>
  <c r="AM334" i="11"/>
  <c r="BJ108" i="65" s="1"/>
  <c r="AL334" i="11"/>
  <c r="BI108" i="65" s="1"/>
  <c r="AB338" i="11"/>
  <c r="Z338" i="11"/>
  <c r="AN345" i="11"/>
  <c r="BK115" i="65" s="1"/>
  <c r="AF345" i="11"/>
  <c r="BC115" i="65" s="1"/>
  <c r="AD345" i="11"/>
  <c r="BA115" i="65" s="1"/>
  <c r="AC345" i="11"/>
  <c r="AZ115" i="65" s="1"/>
  <c r="X374" i="11"/>
  <c r="R374" i="11"/>
  <c r="Z385" i="11"/>
  <c r="AB385" i="11"/>
  <c r="AM320" i="11"/>
  <c r="BJ95" i="65" s="1"/>
  <c r="AF321" i="11"/>
  <c r="BC96" i="65" s="1"/>
  <c r="AM326" i="11"/>
  <c r="BJ101" i="65" s="1"/>
  <c r="AF328" i="11"/>
  <c r="AC329" i="11"/>
  <c r="AZ103" i="65" s="1"/>
  <c r="AN331" i="11"/>
  <c r="BK105" i="65" s="1"/>
  <c r="AC334" i="11"/>
  <c r="AZ108" i="65" s="1"/>
  <c r="Z335" i="11"/>
  <c r="AB336" i="11"/>
  <c r="AL337" i="11"/>
  <c r="AE337" i="11"/>
  <c r="AD337" i="11"/>
  <c r="AB339" i="11"/>
  <c r="Z341" i="11"/>
  <c r="AE344" i="11"/>
  <c r="AE345" i="11"/>
  <c r="BB115" i="65" s="1"/>
  <c r="AF346" i="11"/>
  <c r="BC116" i="65" s="1"/>
  <c r="AD347" i="11"/>
  <c r="BA117" i="65" s="1"/>
  <c r="AE348" i="11"/>
  <c r="BB118" i="65" s="1"/>
  <c r="AE349" i="11"/>
  <c r="BB119" i="65" s="1"/>
  <c r="AL350" i="11"/>
  <c r="BI120" i="65" s="1"/>
  <c r="AM354" i="11"/>
  <c r="BJ124" i="65" s="1"/>
  <c r="AE354" i="11"/>
  <c r="BB124" i="65" s="1"/>
  <c r="AL354" i="11"/>
  <c r="BI124" i="65" s="1"/>
  <c r="AF354" i="11"/>
  <c r="BC124" i="65" s="1"/>
  <c r="AC354" i="11"/>
  <c r="AZ124" i="65" s="1"/>
  <c r="AD356" i="11"/>
  <c r="BA126" i="65" s="1"/>
  <c r="AF364" i="11"/>
  <c r="BC135" i="65" s="1"/>
  <c r="X390" i="11"/>
  <c r="R390" i="11"/>
  <c r="T390" i="11" s="1"/>
  <c r="AD329" i="11"/>
  <c r="BA103" i="65" s="1"/>
  <c r="AD334" i="11"/>
  <c r="BA108" i="65" s="1"/>
  <c r="AM335" i="11"/>
  <c r="BJ109" i="65" s="1"/>
  <c r="AE335" i="11"/>
  <c r="BB109" i="65" s="1"/>
  <c r="AC335" i="11"/>
  <c r="AZ109" i="65" s="1"/>
  <c r="AE341" i="11"/>
  <c r="BB113" i="65" s="1"/>
  <c r="AN341" i="11"/>
  <c r="BK113" i="65" s="1"/>
  <c r="AM341" i="11"/>
  <c r="BJ113" i="65" s="1"/>
  <c r="AL345" i="11"/>
  <c r="BI115" i="65" s="1"/>
  <c r="X352" i="11"/>
  <c r="R352" i="11"/>
  <c r="X359" i="11"/>
  <c r="R359" i="11"/>
  <c r="T359" i="11" s="1"/>
  <c r="AD388" i="11"/>
  <c r="BA157" i="65" s="1"/>
  <c r="AC388" i="11"/>
  <c r="AZ157" i="65" s="1"/>
  <c r="AN388" i="11"/>
  <c r="BK157" i="65" s="1"/>
  <c r="AM388" i="11"/>
  <c r="BJ157" i="65" s="1"/>
  <c r="AL388" i="11"/>
  <c r="BI157" i="65" s="1"/>
  <c r="AF388" i="11"/>
  <c r="BC157" i="65" s="1"/>
  <c r="AE388" i="11"/>
  <c r="BB157" i="65" s="1"/>
  <c r="R441" i="11"/>
  <c r="X441" i="11"/>
  <c r="AB453" i="11"/>
  <c r="AF471" i="11"/>
  <c r="AE471" i="11"/>
  <c r="AD471" i="11"/>
  <c r="AC471" i="11"/>
  <c r="AN471" i="11"/>
  <c r="AM369" i="11"/>
  <c r="BJ140" i="65" s="1"/>
  <c r="AE370" i="11"/>
  <c r="BB141" i="65" s="1"/>
  <c r="AD376" i="11"/>
  <c r="BA146" i="65" s="1"/>
  <c r="AC376" i="11"/>
  <c r="AZ146" i="65" s="1"/>
  <c r="AL379" i="11"/>
  <c r="BI149" i="65" s="1"/>
  <c r="Z387" i="11"/>
  <c r="AM395" i="11"/>
  <c r="BJ164" i="65" s="1"/>
  <c r="AF398" i="11"/>
  <c r="BC167" i="65" s="1"/>
  <c r="AL419" i="11"/>
  <c r="BI187" i="65" s="1"/>
  <c r="AD444" i="11"/>
  <c r="BA212" i="65" s="1"/>
  <c r="AC444" i="11"/>
  <c r="AZ212" i="65" s="1"/>
  <c r="AF444" i="11"/>
  <c r="BC212" i="65" s="1"/>
  <c r="AN444" i="11"/>
  <c r="BK212" i="65" s="1"/>
  <c r="AM444" i="11"/>
  <c r="BJ212" i="65" s="1"/>
  <c r="AL444" i="11"/>
  <c r="BI212" i="65" s="1"/>
  <c r="AD371" i="11"/>
  <c r="BA142" i="65" s="1"/>
  <c r="AC371" i="11"/>
  <c r="AZ142" i="65" s="1"/>
  <c r="AM379" i="11"/>
  <c r="BJ149" i="65" s="1"/>
  <c r="AN387" i="11"/>
  <c r="BK156" i="65" s="1"/>
  <c r="AM387" i="11"/>
  <c r="BJ156" i="65" s="1"/>
  <c r="AF387" i="11"/>
  <c r="BC156" i="65" s="1"/>
  <c r="AM398" i="11"/>
  <c r="BJ167" i="65" s="1"/>
  <c r="AF402" i="11"/>
  <c r="BC171" i="65" s="1"/>
  <c r="AE402" i="11"/>
  <c r="BB171" i="65" s="1"/>
  <c r="AC402" i="11"/>
  <c r="AZ171" i="65" s="1"/>
  <c r="AN418" i="11"/>
  <c r="BK186" i="65" s="1"/>
  <c r="AL418" i="11"/>
  <c r="BI186" i="65" s="1"/>
  <c r="AE418" i="11"/>
  <c r="BB186" i="65" s="1"/>
  <c r="AM418" i="11"/>
  <c r="BJ186" i="65" s="1"/>
  <c r="X430" i="11"/>
  <c r="R430" i="11"/>
  <c r="T430" i="11" s="1"/>
  <c r="AM441" i="11"/>
  <c r="BJ209" i="65" s="1"/>
  <c r="AD441" i="11"/>
  <c r="BA209" i="65" s="1"/>
  <c r="R446" i="11"/>
  <c r="X446" i="11"/>
  <c r="R409" i="11"/>
  <c r="T409" i="11" s="1"/>
  <c r="X412" i="11"/>
  <c r="AC418" i="11"/>
  <c r="AZ186" i="65" s="1"/>
  <c r="Z425" i="11"/>
  <c r="AB430" i="11"/>
  <c r="Z430" i="11"/>
  <c r="AB431" i="11"/>
  <c r="X440" i="11"/>
  <c r="R440" i="11"/>
  <c r="T440" i="11" s="1"/>
  <c r="Z446" i="11"/>
  <c r="AD340" i="11"/>
  <c r="BA112" i="65" s="1"/>
  <c r="AD361" i="11"/>
  <c r="BA131" i="65" s="1"/>
  <c r="Z362" i="11"/>
  <c r="AD367" i="11"/>
  <c r="BA138" i="65" s="1"/>
  <c r="AC367" i="11"/>
  <c r="AZ138" i="65" s="1"/>
  <c r="AD418" i="11"/>
  <c r="BA186" i="65" s="1"/>
  <c r="AM425" i="11"/>
  <c r="BJ193" i="65" s="1"/>
  <c r="AL425" i="11"/>
  <c r="BI193" i="65" s="1"/>
  <c r="AE425" i="11"/>
  <c r="BB193" i="65" s="1"/>
  <c r="AD425" i="11"/>
  <c r="BA193" i="65" s="1"/>
  <c r="AC425" i="11"/>
  <c r="AZ193" i="65" s="1"/>
  <c r="AN443" i="11"/>
  <c r="BK211" i="65" s="1"/>
  <c r="AL443" i="11"/>
  <c r="BI211" i="65" s="1"/>
  <c r="AF443" i="11"/>
  <c r="BC211" i="65" s="1"/>
  <c r="AE443" i="11"/>
  <c r="BB211" i="65" s="1"/>
  <c r="AM443" i="11"/>
  <c r="BJ211" i="65" s="1"/>
  <c r="AD443" i="11"/>
  <c r="BA211" i="65" s="1"/>
  <c r="AM446" i="11"/>
  <c r="AL446" i="11"/>
  <c r="AE446" i="11"/>
  <c r="AD446" i="11"/>
  <c r="AC446" i="11"/>
  <c r="AB452" i="11"/>
  <c r="Z452" i="11"/>
  <c r="AF465" i="11"/>
  <c r="BC231" i="65" s="1"/>
  <c r="AE465" i="11"/>
  <c r="BB231" i="65" s="1"/>
  <c r="AD465" i="11"/>
  <c r="BA231" i="65" s="1"/>
  <c r="AC465" i="11"/>
  <c r="AZ231" i="65" s="1"/>
  <c r="BJ231" i="65"/>
  <c r="AN465" i="11"/>
  <c r="BK231" i="65" s="1"/>
  <c r="BI231" i="65"/>
  <c r="AB470" i="11"/>
  <c r="Z470" i="11"/>
  <c r="AM358" i="11"/>
  <c r="BJ128" i="65" s="1"/>
  <c r="AE358" i="11"/>
  <c r="BB128" i="65" s="1"/>
  <c r="AN368" i="11"/>
  <c r="BK139" i="65" s="1"/>
  <c r="AL368" i="11"/>
  <c r="BI139" i="65" s="1"/>
  <c r="AC390" i="11"/>
  <c r="AZ159" i="65" s="1"/>
  <c r="AD409" i="11"/>
  <c r="BA178" i="65" s="1"/>
  <c r="AC409" i="11"/>
  <c r="AZ178" i="65" s="1"/>
  <c r="AN409" i="11"/>
  <c r="BK178" i="65" s="1"/>
  <c r="AM423" i="11"/>
  <c r="BJ191" i="65" s="1"/>
  <c r="AL423" i="11"/>
  <c r="BI191" i="65" s="1"/>
  <c r="AE423" i="11"/>
  <c r="BB191" i="65" s="1"/>
  <c r="AD423" i="11"/>
  <c r="BA191" i="65" s="1"/>
  <c r="AC423" i="11"/>
  <c r="AZ191" i="65" s="1"/>
  <c r="AF423" i="11"/>
  <c r="BC191" i="65" s="1"/>
  <c r="X436" i="11"/>
  <c r="R436" i="11"/>
  <c r="T436" i="11" s="1"/>
  <c r="AN458" i="11"/>
  <c r="BK224" i="65" s="1"/>
  <c r="AM458" i="11"/>
  <c r="BJ224" i="65" s="1"/>
  <c r="AF458" i="11"/>
  <c r="BC224" i="65" s="1"/>
  <c r="AE458" i="11"/>
  <c r="BB224" i="65" s="1"/>
  <c r="AD458" i="11"/>
  <c r="BA224" i="65" s="1"/>
  <c r="AC358" i="11"/>
  <c r="AZ128" i="65" s="1"/>
  <c r="AB363" i="11"/>
  <c r="Z363" i="11"/>
  <c r="AC368" i="11"/>
  <c r="AZ139" i="65" s="1"/>
  <c r="X394" i="11"/>
  <c r="R395" i="11"/>
  <c r="T395" i="11" s="1"/>
  <c r="X396" i="11"/>
  <c r="R396" i="11"/>
  <c r="R398" i="11"/>
  <c r="AM404" i="11"/>
  <c r="BJ173" i="65" s="1"/>
  <c r="AL404" i="11"/>
  <c r="BI173" i="65" s="1"/>
  <c r="AE404" i="11"/>
  <c r="BB173" i="65" s="1"/>
  <c r="AB405" i="11"/>
  <c r="Z405" i="11"/>
  <c r="AE409" i="11"/>
  <c r="BB178" i="65" s="1"/>
  <c r="Z411" i="11"/>
  <c r="AN423" i="11"/>
  <c r="BK191" i="65" s="1"/>
  <c r="AN425" i="11"/>
  <c r="BK193" i="65" s="1"/>
  <c r="AN437" i="11"/>
  <c r="BK205" i="65" s="1"/>
  <c r="AL437" i="11"/>
  <c r="BI205" i="65" s="1"/>
  <c r="AF437" i="11"/>
  <c r="BC205" i="65" s="1"/>
  <c r="AE437" i="11"/>
  <c r="BB205" i="65" s="1"/>
  <c r="AM437" i="11"/>
  <c r="BJ205" i="65" s="1"/>
  <c r="AD437" i="11"/>
  <c r="BA205" i="65" s="1"/>
  <c r="AC437" i="11"/>
  <c r="AZ205" i="65" s="1"/>
  <c r="AN446" i="11"/>
  <c r="Z456" i="11"/>
  <c r="AC458" i="11"/>
  <c r="AZ224" i="65" s="1"/>
  <c r="AD358" i="11"/>
  <c r="BA128" i="65" s="1"/>
  <c r="AL367" i="11"/>
  <c r="BI138" i="65" s="1"/>
  <c r="AD368" i="11"/>
  <c r="BA139" i="65" s="1"/>
  <c r="X370" i="11"/>
  <c r="AN371" i="11"/>
  <c r="BK142" i="65" s="1"/>
  <c r="AL390" i="11"/>
  <c r="BI159" i="65" s="1"/>
  <c r="AC391" i="11"/>
  <c r="AZ160" i="65" s="1"/>
  <c r="Z394" i="11"/>
  <c r="AC404" i="11"/>
  <c r="AZ173" i="65" s="1"/>
  <c r="AF406" i="11"/>
  <c r="BC175" i="65" s="1"/>
  <c r="AM406" i="11"/>
  <c r="BJ175" i="65" s="1"/>
  <c r="AC406" i="11"/>
  <c r="AZ175" i="65" s="1"/>
  <c r="AB408" i="11"/>
  <c r="Z408" i="11"/>
  <c r="AF409" i="11"/>
  <c r="BC178" i="65" s="1"/>
  <c r="AL411" i="11"/>
  <c r="BI180" i="65" s="1"/>
  <c r="AF411" i="11"/>
  <c r="BC180" i="65" s="1"/>
  <c r="AN411" i="11"/>
  <c r="BK180" i="65" s="1"/>
  <c r="AC411" i="11"/>
  <c r="AZ180" i="65" s="1"/>
  <c r="AM415" i="11"/>
  <c r="BJ184" i="65" s="1"/>
  <c r="AF415" i="11"/>
  <c r="BC184" i="65" s="1"/>
  <c r="AN415" i="11"/>
  <c r="BK184" i="65" s="1"/>
  <c r="AF416" i="11"/>
  <c r="BC185" i="65" s="1"/>
  <c r="AE416" i="11"/>
  <c r="BB185" i="65" s="1"/>
  <c r="AC416" i="11"/>
  <c r="AZ185" i="65" s="1"/>
  <c r="AL416" i="11"/>
  <c r="BI185" i="65" s="1"/>
  <c r="Z433" i="11"/>
  <c r="AL456" i="11"/>
  <c r="BI222" i="65" s="1"/>
  <c r="AF456" i="11"/>
  <c r="BC222" i="65" s="1"/>
  <c r="AD456" i="11"/>
  <c r="BA222" i="65" s="1"/>
  <c r="AC456" i="11"/>
  <c r="AZ222" i="65" s="1"/>
  <c r="AN456" i="11"/>
  <c r="BK222" i="65" s="1"/>
  <c r="AE456" i="11"/>
  <c r="BB222" i="65" s="1"/>
  <c r="AL458" i="11"/>
  <c r="BI224" i="65" s="1"/>
  <c r="Z464" i="11"/>
  <c r="AB464" i="11"/>
  <c r="AN407" i="11"/>
  <c r="BK176" i="65" s="1"/>
  <c r="AL407" i="11"/>
  <c r="BI176" i="65" s="1"/>
  <c r="AF407" i="11"/>
  <c r="BC176" i="65" s="1"/>
  <c r="AD407" i="11"/>
  <c r="BA176" i="65" s="1"/>
  <c r="AD414" i="11"/>
  <c r="BA183" i="65" s="1"/>
  <c r="AC414" i="11"/>
  <c r="AZ183" i="65" s="1"/>
  <c r="AF414" i="11"/>
  <c r="BC183" i="65" s="1"/>
  <c r="AE414" i="11"/>
  <c r="BB183" i="65" s="1"/>
  <c r="AN433" i="11"/>
  <c r="BK201" i="65" s="1"/>
  <c r="AM433" i="11"/>
  <c r="BJ201" i="65" s="1"/>
  <c r="AF433" i="11"/>
  <c r="BC201" i="65" s="1"/>
  <c r="AE433" i="11"/>
  <c r="BB201" i="65" s="1"/>
  <c r="AD433" i="11"/>
  <c r="BA201" i="65" s="1"/>
  <c r="AL433" i="11"/>
  <c r="BI201" i="65" s="1"/>
  <c r="AC433" i="11"/>
  <c r="AZ201" i="65" s="1"/>
  <c r="Z469" i="11"/>
  <c r="AB469" i="11"/>
  <c r="AF368" i="11"/>
  <c r="BC139" i="65" s="1"/>
  <c r="AD369" i="11"/>
  <c r="BA140" i="65" s="1"/>
  <c r="AC369" i="11"/>
  <c r="AZ140" i="65" s="1"/>
  <c r="AC379" i="11"/>
  <c r="AZ149" i="65" s="1"/>
  <c r="X382" i="11"/>
  <c r="R383" i="11"/>
  <c r="T383" i="11" s="1"/>
  <c r="X384" i="11"/>
  <c r="R384" i="11"/>
  <c r="T384" i="11" s="1"/>
  <c r="R386" i="11"/>
  <c r="AN390" i="11"/>
  <c r="BK159" i="65" s="1"/>
  <c r="AE391" i="11"/>
  <c r="BB160" i="65" s="1"/>
  <c r="AM392" i="11"/>
  <c r="BJ161" i="65" s="1"/>
  <c r="AL392" i="11"/>
  <c r="BI161" i="65" s="1"/>
  <c r="AE392" i="11"/>
  <c r="BB161" i="65" s="1"/>
  <c r="AB393" i="11"/>
  <c r="Z393" i="11"/>
  <c r="AE395" i="11"/>
  <c r="BB164" i="65" s="1"/>
  <c r="AD395" i="11"/>
  <c r="BA164" i="65" s="1"/>
  <c r="AB396" i="11"/>
  <c r="AF404" i="11"/>
  <c r="BC173" i="65" s="1"/>
  <c r="AC407" i="11"/>
  <c r="AZ176" i="65" s="1"/>
  <c r="AM409" i="11"/>
  <c r="BJ178" i="65" s="1"/>
  <c r="AL414" i="11"/>
  <c r="BI183" i="65" s="1"/>
  <c r="AB432" i="11"/>
  <c r="Z432" i="11"/>
  <c r="AD442" i="11"/>
  <c r="BA210" i="65" s="1"/>
  <c r="AC442" i="11"/>
  <c r="AZ210" i="65" s="1"/>
  <c r="AF442" i="11"/>
  <c r="BC210" i="65" s="1"/>
  <c r="AN442" i="11"/>
  <c r="BK210" i="65" s="1"/>
  <c r="AM442" i="11"/>
  <c r="BJ210" i="65" s="1"/>
  <c r="AL442" i="11"/>
  <c r="BI210" i="65" s="1"/>
  <c r="AE442" i="11"/>
  <c r="BB210" i="65" s="1"/>
  <c r="Z451" i="11"/>
  <c r="Z455" i="11"/>
  <c r="AB455" i="11"/>
  <c r="AN358" i="11"/>
  <c r="BK128" i="65" s="1"/>
  <c r="AM368" i="11"/>
  <c r="BJ139" i="65" s="1"/>
  <c r="AN370" i="11"/>
  <c r="BK141" i="65" s="1"/>
  <c r="AL370" i="11"/>
  <c r="BI141" i="65" s="1"/>
  <c r="AE407" i="11"/>
  <c r="BB176" i="65" s="1"/>
  <c r="AN413" i="11"/>
  <c r="BK182" i="65" s="1"/>
  <c r="AM413" i="11"/>
  <c r="BJ182" i="65" s="1"/>
  <c r="AF413" i="11"/>
  <c r="BC182" i="65" s="1"/>
  <c r="AD413" i="11"/>
  <c r="BA182" i="65" s="1"/>
  <c r="AE413" i="11"/>
  <c r="BB182" i="65" s="1"/>
  <c r="AC413" i="11"/>
  <c r="AZ182" i="65" s="1"/>
  <c r="AM414" i="11"/>
  <c r="BJ183" i="65" s="1"/>
  <c r="AE419" i="11"/>
  <c r="BB187" i="65" s="1"/>
  <c r="AD419" i="11"/>
  <c r="BA187" i="65" s="1"/>
  <c r="AM419" i="11"/>
  <c r="BJ187" i="65" s="1"/>
  <c r="AN429" i="11"/>
  <c r="BK197" i="65" s="1"/>
  <c r="AM429" i="11"/>
  <c r="BJ197" i="65" s="1"/>
  <c r="AF429" i="11"/>
  <c r="BC197" i="65" s="1"/>
  <c r="AE429" i="11"/>
  <c r="BB197" i="65" s="1"/>
  <c r="AD429" i="11"/>
  <c r="BA197" i="65" s="1"/>
  <c r="AL429" i="11"/>
  <c r="BI197" i="65" s="1"/>
  <c r="Z439" i="11"/>
  <c r="AB439" i="11"/>
  <c r="AM445" i="11"/>
  <c r="BJ215" i="65" s="1"/>
  <c r="AL445" i="11"/>
  <c r="BI215" i="65" s="1"/>
  <c r="AF445" i="11"/>
  <c r="BC215" i="65" s="1"/>
  <c r="AN445" i="11"/>
  <c r="BK215" i="65" s="1"/>
  <c r="AE445" i="11"/>
  <c r="BB215" i="65" s="1"/>
  <c r="AD445" i="11"/>
  <c r="BA215" i="65" s="1"/>
  <c r="AM451" i="11"/>
  <c r="BJ217" i="65" s="1"/>
  <c r="AL451" i="11"/>
  <c r="BI217" i="65" s="1"/>
  <c r="AE451" i="11"/>
  <c r="BB217" i="65" s="1"/>
  <c r="AD451" i="11"/>
  <c r="BA217" i="65" s="1"/>
  <c r="AC451" i="11"/>
  <c r="AZ217" i="65" s="1"/>
  <c r="AN451" i="11"/>
  <c r="BK217" i="65" s="1"/>
  <c r="AF451" i="11"/>
  <c r="BC217" i="65" s="1"/>
  <c r="R453" i="11"/>
  <c r="X453" i="11"/>
  <c r="X468" i="11"/>
  <c r="R468" i="11"/>
  <c r="T468" i="11" s="1"/>
  <c r="AL421" i="11"/>
  <c r="BI189" i="65" s="1"/>
  <c r="AF421" i="11"/>
  <c r="BC189" i="65" s="1"/>
  <c r="AD421" i="11"/>
  <c r="BA189" i="65" s="1"/>
  <c r="AC421" i="11"/>
  <c r="AZ189" i="65" s="1"/>
  <c r="AB428" i="11"/>
  <c r="Z428" i="11"/>
  <c r="Z448" i="11"/>
  <c r="AB448" i="11"/>
  <c r="Z473" i="11"/>
  <c r="AB473" i="11"/>
  <c r="X479" i="11"/>
  <c r="AN421" i="11"/>
  <c r="BK189" i="65" s="1"/>
  <c r="AN427" i="11"/>
  <c r="BK195" i="65" s="1"/>
  <c r="AM427" i="11"/>
  <c r="BJ195" i="65" s="1"/>
  <c r="AF427" i="11"/>
  <c r="BC195" i="65" s="1"/>
  <c r="AE427" i="11"/>
  <c r="BB195" i="65" s="1"/>
  <c r="AD427" i="11"/>
  <c r="BA195" i="65" s="1"/>
  <c r="AB434" i="11"/>
  <c r="Z434" i="11"/>
  <c r="Z462" i="11"/>
  <c r="AB462" i="11"/>
  <c r="AF463" i="11"/>
  <c r="BC229" i="65" s="1"/>
  <c r="AE463" i="11"/>
  <c r="BB229" i="65" s="1"/>
  <c r="AC463" i="11"/>
  <c r="AZ229" i="65" s="1"/>
  <c r="BJ229" i="65"/>
  <c r="X472" i="11"/>
  <c r="R472" i="11"/>
  <c r="T472" i="11" s="1"/>
  <c r="X475" i="11"/>
  <c r="AN479" i="11"/>
  <c r="BK243" i="65" s="1"/>
  <c r="AF479" i="11"/>
  <c r="BC243" i="65" s="1"/>
  <c r="AE479" i="11"/>
  <c r="BB243" i="65" s="1"/>
  <c r="AD479" i="11"/>
  <c r="BA243" i="65" s="1"/>
  <c r="AC479" i="11"/>
  <c r="AZ243" i="65" s="1"/>
  <c r="BI229" i="65"/>
  <c r="AC472" i="11"/>
  <c r="AZ236" i="65" s="1"/>
  <c r="AE472" i="11"/>
  <c r="BB236" i="65" s="1"/>
  <c r="AN435" i="11"/>
  <c r="BK203" i="65" s="1"/>
  <c r="AL435" i="11"/>
  <c r="BI203" i="65" s="1"/>
  <c r="AF435" i="11"/>
  <c r="BC203" i="65" s="1"/>
  <c r="AE435" i="11"/>
  <c r="BB203" i="65" s="1"/>
  <c r="AN475" i="11"/>
  <c r="BK239" i="65" s="1"/>
  <c r="AF475" i="11"/>
  <c r="BC239" i="65" s="1"/>
  <c r="AE475" i="11"/>
  <c r="BB239" i="65" s="1"/>
  <c r="AD475" i="11"/>
  <c r="BA239" i="65" s="1"/>
  <c r="AC475" i="11"/>
  <c r="AZ239" i="65" s="1"/>
  <c r="X422" i="11"/>
  <c r="R422" i="11"/>
  <c r="T422" i="11" s="1"/>
  <c r="AC435" i="11"/>
  <c r="AZ203" i="65" s="1"/>
  <c r="AD436" i="11"/>
  <c r="BA204" i="65" s="1"/>
  <c r="AC436" i="11"/>
  <c r="AZ204" i="65" s="1"/>
  <c r="AD440" i="11"/>
  <c r="BA208" i="65" s="1"/>
  <c r="AC440" i="11"/>
  <c r="AZ208" i="65" s="1"/>
  <c r="AF440" i="11"/>
  <c r="BC208" i="65" s="1"/>
  <c r="Z467" i="11"/>
  <c r="AF472" i="11"/>
  <c r="BC236" i="65" s="1"/>
  <c r="AB478" i="11"/>
  <c r="AD435" i="11"/>
  <c r="BA203" i="65" s="1"/>
  <c r="AD438" i="11"/>
  <c r="BA206" i="65" s="1"/>
  <c r="AC438" i="11"/>
  <c r="AZ206" i="65" s="1"/>
  <c r="AF438" i="11"/>
  <c r="BC206" i="65" s="1"/>
  <c r="X457" i="11"/>
  <c r="R457" i="11"/>
  <c r="AN467" i="11"/>
  <c r="BK233" i="65" s="1"/>
  <c r="AF467" i="11"/>
  <c r="BC233" i="65" s="1"/>
  <c r="AE467" i="11"/>
  <c r="BB233" i="65" s="1"/>
  <c r="AD467" i="11"/>
  <c r="BA233" i="65" s="1"/>
  <c r="AC467" i="11"/>
  <c r="AZ233" i="65" s="1"/>
  <c r="AN472" i="11"/>
  <c r="BK236" i="65" s="1"/>
  <c r="X417" i="11"/>
  <c r="X424" i="11"/>
  <c r="R424" i="11"/>
  <c r="AM435" i="11"/>
  <c r="BJ203" i="65" s="1"/>
  <c r="AF436" i="11"/>
  <c r="BC204" i="65" s="1"/>
  <c r="AE438" i="11"/>
  <c r="BB206" i="65" s="1"/>
  <c r="AL440" i="11"/>
  <c r="BI208" i="65" s="1"/>
  <c r="R447" i="11"/>
  <c r="R480" i="11"/>
  <c r="T480" i="11" s="1"/>
  <c r="AB417" i="11"/>
  <c r="Z417" i="11"/>
  <c r="X426" i="11"/>
  <c r="R426" i="11"/>
  <c r="T426" i="11" s="1"/>
  <c r="AL436" i="11"/>
  <c r="BI204" i="65" s="1"/>
  <c r="AL438" i="11"/>
  <c r="BI206" i="65" s="1"/>
  <c r="AM440" i="11"/>
  <c r="BJ208" i="65" s="1"/>
  <c r="Z466" i="11"/>
  <c r="AB466" i="11"/>
  <c r="AB474" i="11"/>
  <c r="AF476" i="11"/>
  <c r="BC240" i="65" s="1"/>
  <c r="AF480" i="11"/>
  <c r="Z419" i="11"/>
  <c r="Z472" i="11"/>
  <c r="R473" i="11"/>
  <c r="T473" i="11" s="1"/>
  <c r="AC476" i="11"/>
  <c r="AZ240" i="65" s="1"/>
  <c r="AC480" i="11"/>
  <c r="Z481" i="11"/>
  <c r="AB481" i="11"/>
  <c r="BK298" i="58"/>
  <c r="BJ298" i="58"/>
  <c r="BI298" i="58"/>
  <c r="BC298" i="58"/>
  <c r="BB298" i="58"/>
  <c r="BA298" i="58"/>
  <c r="AZ298" i="58"/>
  <c r="AV298" i="58"/>
  <c r="AP298" i="58"/>
  <c r="AO298" i="58"/>
  <c r="AN298" i="58"/>
  <c r="AL298" i="58"/>
  <c r="AI298" i="58"/>
  <c r="AE298" i="58"/>
  <c r="AF298" i="58" s="1"/>
  <c r="AG298" i="58" s="1"/>
  <c r="AH298" i="58" s="1"/>
  <c r="J298" i="58"/>
  <c r="I298" i="58"/>
  <c r="H298" i="58"/>
  <c r="F298" i="58"/>
  <c r="BK297" i="58"/>
  <c r="BJ297" i="58"/>
  <c r="BI297" i="58"/>
  <c r="BC297" i="58"/>
  <c r="BB297" i="58"/>
  <c r="BA297" i="58"/>
  <c r="AZ297" i="58"/>
  <c r="AV297" i="58"/>
  <c r="AP297" i="58"/>
  <c r="AO297" i="58"/>
  <c r="AN297" i="58"/>
  <c r="AL297" i="58"/>
  <c r="AI297" i="58"/>
  <c r="AE297" i="58"/>
  <c r="AF297" i="58" s="1"/>
  <c r="AG297" i="58" s="1"/>
  <c r="AH297" i="58" s="1"/>
  <c r="J297" i="58"/>
  <c r="I297" i="58"/>
  <c r="H297" i="58"/>
  <c r="F297" i="58"/>
  <c r="BK296" i="58"/>
  <c r="BJ296" i="58"/>
  <c r="BI296" i="58"/>
  <c r="BC296" i="58"/>
  <c r="BB296" i="58"/>
  <c r="BA296" i="58"/>
  <c r="AZ296" i="58"/>
  <c r="AV296" i="58"/>
  <c r="AP296" i="58"/>
  <c r="AO296" i="58"/>
  <c r="AN296" i="58"/>
  <c r="AL296" i="58"/>
  <c r="AI296" i="58"/>
  <c r="AE296" i="58"/>
  <c r="AF296" i="58" s="1"/>
  <c r="AG296" i="58" s="1"/>
  <c r="AH296" i="58" s="1"/>
  <c r="J296" i="58"/>
  <c r="I296" i="58"/>
  <c r="H296" i="58"/>
  <c r="F296" i="58"/>
  <c r="BK295" i="58"/>
  <c r="BJ295" i="58"/>
  <c r="BI295" i="58"/>
  <c r="BC295" i="58"/>
  <c r="BB295" i="58"/>
  <c r="BA295" i="58"/>
  <c r="AZ295" i="58"/>
  <c r="AV295" i="58"/>
  <c r="AP295" i="58"/>
  <c r="AO295" i="58"/>
  <c r="AN295" i="58"/>
  <c r="AL295" i="58"/>
  <c r="AI295" i="58"/>
  <c r="AE295" i="58"/>
  <c r="AF295" i="58" s="1"/>
  <c r="AG295" i="58" s="1"/>
  <c r="AH295" i="58" s="1"/>
  <c r="J295" i="58"/>
  <c r="I295" i="58"/>
  <c r="H295" i="58"/>
  <c r="F295" i="58"/>
  <c r="BK294" i="58"/>
  <c r="BJ294" i="58"/>
  <c r="BI294" i="58"/>
  <c r="BC294" i="58"/>
  <c r="BB294" i="58"/>
  <c r="BA294" i="58"/>
  <c r="AZ294" i="58"/>
  <c r="AV294" i="58"/>
  <c r="AP294" i="58"/>
  <c r="AO294" i="58"/>
  <c r="AN294" i="58"/>
  <c r="AL294" i="58"/>
  <c r="AI294" i="58"/>
  <c r="AE294" i="58"/>
  <c r="AF294" i="58" s="1"/>
  <c r="AG294" i="58" s="1"/>
  <c r="AH294" i="58" s="1"/>
  <c r="J294" i="58"/>
  <c r="I294" i="58"/>
  <c r="H294" i="58"/>
  <c r="F294" i="58"/>
  <c r="BK293" i="58"/>
  <c r="BJ293" i="58"/>
  <c r="BI293" i="58"/>
  <c r="BC293" i="58"/>
  <c r="BB293" i="58"/>
  <c r="BA293" i="58"/>
  <c r="AZ293" i="58"/>
  <c r="AV293" i="58"/>
  <c r="AP293" i="58"/>
  <c r="AO293" i="58"/>
  <c r="AN293" i="58"/>
  <c r="AL293" i="58"/>
  <c r="AI293" i="58"/>
  <c r="AE293" i="58"/>
  <c r="AF293" i="58" s="1"/>
  <c r="AG293" i="58" s="1"/>
  <c r="AH293" i="58" s="1"/>
  <c r="J293" i="58"/>
  <c r="I293" i="58"/>
  <c r="H293" i="58"/>
  <c r="F293" i="58"/>
  <c r="BK292" i="58"/>
  <c r="BJ292" i="58"/>
  <c r="BI292" i="58"/>
  <c r="BC292" i="58"/>
  <c r="BB292" i="58"/>
  <c r="BA292" i="58"/>
  <c r="AZ292" i="58"/>
  <c r="AV292" i="58"/>
  <c r="AP292" i="58"/>
  <c r="AO292" i="58"/>
  <c r="AN292" i="58"/>
  <c r="AL292" i="58"/>
  <c r="AI292" i="58"/>
  <c r="AE292" i="58"/>
  <c r="AF292" i="58" s="1"/>
  <c r="AG292" i="58" s="1"/>
  <c r="AH292" i="58" s="1"/>
  <c r="J292" i="58"/>
  <c r="I292" i="58"/>
  <c r="H292" i="58"/>
  <c r="F292" i="58"/>
  <c r="BK291" i="58"/>
  <c r="BJ291" i="58"/>
  <c r="BI291" i="58"/>
  <c r="BC291" i="58"/>
  <c r="BB291" i="58"/>
  <c r="BA291" i="58"/>
  <c r="AZ291" i="58"/>
  <c r="AV291" i="58"/>
  <c r="AP291" i="58"/>
  <c r="AO291" i="58"/>
  <c r="AN291" i="58"/>
  <c r="AL291" i="58"/>
  <c r="AI291" i="58"/>
  <c r="AE291" i="58"/>
  <c r="AF291" i="58" s="1"/>
  <c r="AG291" i="58" s="1"/>
  <c r="AH291" i="58" s="1"/>
  <c r="J291" i="58"/>
  <c r="I291" i="58"/>
  <c r="H291" i="58"/>
  <c r="F291" i="58"/>
  <c r="BK290" i="58"/>
  <c r="BJ290" i="58"/>
  <c r="BI290" i="58"/>
  <c r="BC290" i="58"/>
  <c r="BB290" i="58"/>
  <c r="BA290" i="58"/>
  <c r="AZ290" i="58"/>
  <c r="AV290" i="58"/>
  <c r="AP290" i="58"/>
  <c r="AO290" i="58"/>
  <c r="AN290" i="58"/>
  <c r="AL290" i="58"/>
  <c r="AI290" i="58"/>
  <c r="AE290" i="58"/>
  <c r="AF290" i="58" s="1"/>
  <c r="AG290" i="58" s="1"/>
  <c r="AH290" i="58" s="1"/>
  <c r="J290" i="58"/>
  <c r="I290" i="58"/>
  <c r="H290" i="58"/>
  <c r="F290" i="58"/>
  <c r="BK289" i="58"/>
  <c r="BJ289" i="58"/>
  <c r="BI289" i="58"/>
  <c r="BC289" i="58"/>
  <c r="BB289" i="58"/>
  <c r="BA289" i="58"/>
  <c r="AZ289" i="58"/>
  <c r="AV289" i="58"/>
  <c r="AP289" i="58"/>
  <c r="AO289" i="58"/>
  <c r="AN289" i="58"/>
  <c r="AL289" i="58"/>
  <c r="AI289" i="58"/>
  <c r="AE289" i="58"/>
  <c r="AF289" i="58" s="1"/>
  <c r="AG289" i="58" s="1"/>
  <c r="AH289" i="58" s="1"/>
  <c r="J289" i="58"/>
  <c r="I289" i="58"/>
  <c r="H289" i="58"/>
  <c r="F289" i="58"/>
  <c r="BK288" i="58"/>
  <c r="BJ288" i="58"/>
  <c r="BI288" i="58"/>
  <c r="BC288" i="58"/>
  <c r="BB288" i="58"/>
  <c r="BA288" i="58"/>
  <c r="AZ288" i="58"/>
  <c r="AV288" i="58"/>
  <c r="AP288" i="58"/>
  <c r="AO288" i="58"/>
  <c r="AN288" i="58"/>
  <c r="AL288" i="58"/>
  <c r="AI288" i="58"/>
  <c r="AE288" i="58"/>
  <c r="AF288" i="58" s="1"/>
  <c r="AG288" i="58" s="1"/>
  <c r="AH288" i="58" s="1"/>
  <c r="J288" i="58"/>
  <c r="I288" i="58"/>
  <c r="H288" i="58"/>
  <c r="F288" i="58"/>
  <c r="BK287" i="58"/>
  <c r="BJ287" i="58"/>
  <c r="BI287" i="58"/>
  <c r="BC287" i="58"/>
  <c r="BB287" i="58"/>
  <c r="BA287" i="58"/>
  <c r="AZ287" i="58"/>
  <c r="AV287" i="58"/>
  <c r="AP287" i="58"/>
  <c r="AO287" i="58"/>
  <c r="AN287" i="58"/>
  <c r="AL287" i="58"/>
  <c r="AI287" i="58"/>
  <c r="AE287" i="58"/>
  <c r="AF287" i="58" s="1"/>
  <c r="AG287" i="58" s="1"/>
  <c r="AH287" i="58" s="1"/>
  <c r="J287" i="58"/>
  <c r="I287" i="58"/>
  <c r="H287" i="58"/>
  <c r="F287" i="58"/>
  <c r="BK286" i="58"/>
  <c r="BJ286" i="58"/>
  <c r="BI286" i="58"/>
  <c r="BC286" i="58"/>
  <c r="BB286" i="58"/>
  <c r="BA286" i="58"/>
  <c r="AZ286" i="58"/>
  <c r="AV286" i="58"/>
  <c r="AP286" i="58"/>
  <c r="AO286" i="58"/>
  <c r="AN286" i="58"/>
  <c r="AL286" i="58"/>
  <c r="AI286" i="58"/>
  <c r="AE286" i="58"/>
  <c r="AF286" i="58" s="1"/>
  <c r="AG286" i="58" s="1"/>
  <c r="AH286" i="58" s="1"/>
  <c r="J286" i="58"/>
  <c r="I286" i="58"/>
  <c r="H286" i="58"/>
  <c r="F286" i="58"/>
  <c r="BK285" i="58"/>
  <c r="BJ285" i="58"/>
  <c r="BI285" i="58"/>
  <c r="BC285" i="58"/>
  <c r="BB285" i="58"/>
  <c r="BA285" i="58"/>
  <c r="AZ285" i="58"/>
  <c r="AV285" i="58"/>
  <c r="AP285" i="58"/>
  <c r="AO285" i="58"/>
  <c r="AN285" i="58"/>
  <c r="AL285" i="58"/>
  <c r="AI285" i="58"/>
  <c r="AE285" i="58"/>
  <c r="AF285" i="58" s="1"/>
  <c r="AG285" i="58" s="1"/>
  <c r="AH285" i="58" s="1"/>
  <c r="J285" i="58"/>
  <c r="I285" i="58"/>
  <c r="H285" i="58"/>
  <c r="F285" i="58"/>
  <c r="BK284" i="58"/>
  <c r="BJ284" i="58"/>
  <c r="BI284" i="58"/>
  <c r="BC284" i="58"/>
  <c r="BB284" i="58"/>
  <c r="BA284" i="58"/>
  <c r="AZ284" i="58"/>
  <c r="AV284" i="58"/>
  <c r="AP284" i="58"/>
  <c r="AO284" i="58"/>
  <c r="AN284" i="58"/>
  <c r="AL284" i="58"/>
  <c r="AI284" i="58"/>
  <c r="AE284" i="58"/>
  <c r="AF284" i="58" s="1"/>
  <c r="AG284" i="58" s="1"/>
  <c r="AH284" i="58" s="1"/>
  <c r="J284" i="58"/>
  <c r="I284" i="58"/>
  <c r="H284" i="58"/>
  <c r="F284" i="58"/>
  <c r="BK283" i="58"/>
  <c r="BJ283" i="58"/>
  <c r="BI283" i="58"/>
  <c r="BC283" i="58"/>
  <c r="BB283" i="58"/>
  <c r="BA283" i="58"/>
  <c r="AZ283" i="58"/>
  <c r="AV283" i="58"/>
  <c r="AP283" i="58"/>
  <c r="AO283" i="58"/>
  <c r="AN283" i="58"/>
  <c r="AL283" i="58"/>
  <c r="AI283" i="58"/>
  <c r="AE283" i="58"/>
  <c r="AF283" i="58" s="1"/>
  <c r="AG283" i="58" s="1"/>
  <c r="AH283" i="58" s="1"/>
  <c r="J283" i="58"/>
  <c r="I283" i="58"/>
  <c r="H283" i="58"/>
  <c r="F283" i="58"/>
  <c r="BK282" i="58"/>
  <c r="BJ282" i="58"/>
  <c r="BI282" i="58"/>
  <c r="BC282" i="58"/>
  <c r="BB282" i="58"/>
  <c r="BA282" i="58"/>
  <c r="AZ282" i="58"/>
  <c r="AV282" i="58"/>
  <c r="AP282" i="58"/>
  <c r="AO282" i="58"/>
  <c r="AN282" i="58"/>
  <c r="AL282" i="58"/>
  <c r="AI282" i="58"/>
  <c r="AE282" i="58"/>
  <c r="AF282" i="58" s="1"/>
  <c r="AG282" i="58" s="1"/>
  <c r="AH282" i="58" s="1"/>
  <c r="J282" i="58"/>
  <c r="I282" i="58"/>
  <c r="H282" i="58"/>
  <c r="F282" i="58"/>
  <c r="BK281" i="58"/>
  <c r="BJ281" i="58"/>
  <c r="BI281" i="58"/>
  <c r="BC281" i="58"/>
  <c r="BB281" i="58"/>
  <c r="BA281" i="58"/>
  <c r="AZ281" i="58"/>
  <c r="AV281" i="58"/>
  <c r="AP281" i="58"/>
  <c r="AO281" i="58"/>
  <c r="AN281" i="58"/>
  <c r="AL281" i="58"/>
  <c r="AI281" i="58"/>
  <c r="AE281" i="58"/>
  <c r="AF281" i="58" s="1"/>
  <c r="AG281" i="58" s="1"/>
  <c r="AH281" i="58" s="1"/>
  <c r="J281" i="58"/>
  <c r="I281" i="58"/>
  <c r="H281" i="58"/>
  <c r="F281" i="58"/>
  <c r="BK280" i="58"/>
  <c r="BJ280" i="58"/>
  <c r="BI280" i="58"/>
  <c r="BC280" i="58"/>
  <c r="BB280" i="58"/>
  <c r="BA280" i="58"/>
  <c r="AZ280" i="58"/>
  <c r="AV280" i="58"/>
  <c r="AP280" i="58"/>
  <c r="AO280" i="58"/>
  <c r="AN280" i="58"/>
  <c r="AL280" i="58"/>
  <c r="AI280" i="58"/>
  <c r="AE280" i="58"/>
  <c r="AF280" i="58" s="1"/>
  <c r="AG280" i="58" s="1"/>
  <c r="AH280" i="58" s="1"/>
  <c r="J280" i="58"/>
  <c r="I280" i="58"/>
  <c r="H280" i="58"/>
  <c r="F280" i="58"/>
  <c r="BK279" i="58"/>
  <c r="BJ279" i="58"/>
  <c r="BI279" i="58"/>
  <c r="BC279" i="58"/>
  <c r="BB279" i="58"/>
  <c r="BA279" i="58"/>
  <c r="AZ279" i="58"/>
  <c r="AV279" i="58"/>
  <c r="AP279" i="58"/>
  <c r="AO279" i="58"/>
  <c r="AN279" i="58"/>
  <c r="AL279" i="58"/>
  <c r="AI279" i="58"/>
  <c r="AE279" i="58"/>
  <c r="AF279" i="58" s="1"/>
  <c r="AG279" i="58" s="1"/>
  <c r="AH279" i="58" s="1"/>
  <c r="J279" i="58"/>
  <c r="I279" i="58"/>
  <c r="H279" i="58"/>
  <c r="F279" i="58"/>
  <c r="BK278" i="58"/>
  <c r="BJ278" i="58"/>
  <c r="BI278" i="58"/>
  <c r="BC278" i="58"/>
  <c r="BB278" i="58"/>
  <c r="BA278" i="58"/>
  <c r="AZ278" i="58"/>
  <c r="AV278" i="58"/>
  <c r="AP278" i="58"/>
  <c r="AO278" i="58"/>
  <c r="AN278" i="58"/>
  <c r="AL278" i="58"/>
  <c r="AI278" i="58"/>
  <c r="AE278" i="58"/>
  <c r="AF278" i="58" s="1"/>
  <c r="AG278" i="58" s="1"/>
  <c r="AH278" i="58" s="1"/>
  <c r="J278" i="58"/>
  <c r="I278" i="58"/>
  <c r="H278" i="58"/>
  <c r="F278" i="58"/>
  <c r="BK277" i="58"/>
  <c r="BJ277" i="58"/>
  <c r="BI277" i="58"/>
  <c r="BC277" i="58"/>
  <c r="BB277" i="58"/>
  <c r="BA277" i="58"/>
  <c r="AZ277" i="58"/>
  <c r="AV277" i="58"/>
  <c r="AP277" i="58"/>
  <c r="AO277" i="58"/>
  <c r="AN277" i="58"/>
  <c r="AL277" i="58"/>
  <c r="AI277" i="58"/>
  <c r="AE277" i="58"/>
  <c r="AF277" i="58" s="1"/>
  <c r="AG277" i="58" s="1"/>
  <c r="AH277" i="58" s="1"/>
  <c r="J277" i="58"/>
  <c r="I277" i="58"/>
  <c r="H277" i="58"/>
  <c r="F277" i="58"/>
  <c r="BK276" i="58"/>
  <c r="BJ276" i="58"/>
  <c r="BI276" i="58"/>
  <c r="BC276" i="58"/>
  <c r="BB276" i="58"/>
  <c r="BA276" i="58"/>
  <c r="AZ276" i="58"/>
  <c r="AV276" i="58"/>
  <c r="AP276" i="58"/>
  <c r="AO276" i="58"/>
  <c r="AN276" i="58"/>
  <c r="AL276" i="58"/>
  <c r="AI276" i="58"/>
  <c r="AE276" i="58"/>
  <c r="AF276" i="58" s="1"/>
  <c r="AG276" i="58" s="1"/>
  <c r="AH276" i="58" s="1"/>
  <c r="J276" i="58"/>
  <c r="I276" i="58"/>
  <c r="H276" i="58"/>
  <c r="F276" i="58"/>
  <c r="BK275" i="58"/>
  <c r="BJ275" i="58"/>
  <c r="BI275" i="58"/>
  <c r="BC275" i="58"/>
  <c r="BB275" i="58"/>
  <c r="BA275" i="58"/>
  <c r="AZ275" i="58"/>
  <c r="AV275" i="58"/>
  <c r="AP275" i="58"/>
  <c r="AO275" i="58"/>
  <c r="AN275" i="58"/>
  <c r="AL275" i="58"/>
  <c r="AI275" i="58"/>
  <c r="AE275" i="58"/>
  <c r="AF275" i="58" s="1"/>
  <c r="AG275" i="58" s="1"/>
  <c r="AH275" i="58" s="1"/>
  <c r="J275" i="58"/>
  <c r="I275" i="58"/>
  <c r="H275" i="58"/>
  <c r="F275" i="58"/>
  <c r="BK274" i="58"/>
  <c r="BJ274" i="58"/>
  <c r="BI274" i="58"/>
  <c r="BC274" i="58"/>
  <c r="BB274" i="58"/>
  <c r="BA274" i="58"/>
  <c r="AZ274" i="58"/>
  <c r="AV274" i="58"/>
  <c r="AP274" i="58"/>
  <c r="AO274" i="58"/>
  <c r="AN274" i="58"/>
  <c r="AL274" i="58"/>
  <c r="AI274" i="58"/>
  <c r="AE274" i="58"/>
  <c r="AF274" i="58" s="1"/>
  <c r="AG274" i="58" s="1"/>
  <c r="AH274" i="58" s="1"/>
  <c r="J274" i="58"/>
  <c r="I274" i="58"/>
  <c r="H274" i="58"/>
  <c r="F274" i="58"/>
  <c r="BK273" i="58"/>
  <c r="BJ273" i="58"/>
  <c r="BI273" i="58"/>
  <c r="BC273" i="58"/>
  <c r="BB273" i="58"/>
  <c r="BA273" i="58"/>
  <c r="AZ273" i="58"/>
  <c r="AV273" i="58"/>
  <c r="AP273" i="58"/>
  <c r="AO273" i="58"/>
  <c r="AN273" i="58"/>
  <c r="AL273" i="58"/>
  <c r="AI273" i="58"/>
  <c r="AE273" i="58"/>
  <c r="AF273" i="58" s="1"/>
  <c r="AG273" i="58" s="1"/>
  <c r="AH273" i="58" s="1"/>
  <c r="J273" i="58"/>
  <c r="I273" i="58"/>
  <c r="H273" i="58"/>
  <c r="F273" i="58"/>
  <c r="BK272" i="58"/>
  <c r="BJ272" i="58"/>
  <c r="BI272" i="58"/>
  <c r="BC272" i="58"/>
  <c r="BB272" i="58"/>
  <c r="BA272" i="58"/>
  <c r="AZ272" i="58"/>
  <c r="AV272" i="58"/>
  <c r="AP272" i="58"/>
  <c r="AO272" i="58"/>
  <c r="AN272" i="58"/>
  <c r="AL272" i="58"/>
  <c r="AI272" i="58"/>
  <c r="AE272" i="58"/>
  <c r="AF272" i="58" s="1"/>
  <c r="AG272" i="58" s="1"/>
  <c r="AH272" i="58" s="1"/>
  <c r="J272" i="58"/>
  <c r="I272" i="58"/>
  <c r="H272" i="58"/>
  <c r="F272" i="58"/>
  <c r="BK271" i="58"/>
  <c r="BJ271" i="58"/>
  <c r="BI271" i="58"/>
  <c r="BC271" i="58"/>
  <c r="BB271" i="58"/>
  <c r="BA271" i="58"/>
  <c r="AZ271" i="58"/>
  <c r="AV271" i="58"/>
  <c r="AP271" i="58"/>
  <c r="AO271" i="58"/>
  <c r="AN271" i="58"/>
  <c r="AL271" i="58"/>
  <c r="AI271" i="58"/>
  <c r="AE271" i="58"/>
  <c r="AF271" i="58" s="1"/>
  <c r="AG271" i="58" s="1"/>
  <c r="AH271" i="58" s="1"/>
  <c r="J271" i="58"/>
  <c r="I271" i="58"/>
  <c r="H271" i="58"/>
  <c r="F271" i="58"/>
  <c r="BK270" i="58"/>
  <c r="BJ270" i="58"/>
  <c r="BI270" i="58"/>
  <c r="BC270" i="58"/>
  <c r="BB270" i="58"/>
  <c r="BA270" i="58"/>
  <c r="AZ270" i="58"/>
  <c r="AV270" i="58"/>
  <c r="AP270" i="58"/>
  <c r="AO270" i="58"/>
  <c r="AN270" i="58"/>
  <c r="AL270" i="58"/>
  <c r="AI270" i="58"/>
  <c r="AE270" i="58"/>
  <c r="AF270" i="58" s="1"/>
  <c r="AG270" i="58" s="1"/>
  <c r="AH270" i="58" s="1"/>
  <c r="J270" i="58"/>
  <c r="I270" i="58"/>
  <c r="H270" i="58"/>
  <c r="F270" i="58"/>
  <c r="BK269" i="58"/>
  <c r="BJ269" i="58"/>
  <c r="BI269" i="58"/>
  <c r="BC269" i="58"/>
  <c r="BB269" i="58"/>
  <c r="BA269" i="58"/>
  <c r="AZ269" i="58"/>
  <c r="AV269" i="58"/>
  <c r="AP269" i="58"/>
  <c r="AO269" i="58"/>
  <c r="AN269" i="58"/>
  <c r="AL269" i="58"/>
  <c r="AI269" i="58"/>
  <c r="AE269" i="58"/>
  <c r="AF269" i="58" s="1"/>
  <c r="AG269" i="58" s="1"/>
  <c r="AH269" i="58" s="1"/>
  <c r="J269" i="58"/>
  <c r="I269" i="58"/>
  <c r="H269" i="58"/>
  <c r="F269" i="58"/>
  <c r="BK268" i="58"/>
  <c r="BJ268" i="58"/>
  <c r="BI268" i="58"/>
  <c r="BC268" i="58"/>
  <c r="BB268" i="58"/>
  <c r="BA268" i="58"/>
  <c r="AZ268" i="58"/>
  <c r="AV268" i="58"/>
  <c r="AP268" i="58"/>
  <c r="AO268" i="58"/>
  <c r="AN268" i="58"/>
  <c r="AL268" i="58"/>
  <c r="AI268" i="58"/>
  <c r="AE268" i="58"/>
  <c r="AF268" i="58" s="1"/>
  <c r="AG268" i="58" s="1"/>
  <c r="AH268" i="58" s="1"/>
  <c r="J268" i="58"/>
  <c r="I268" i="58"/>
  <c r="H268" i="58"/>
  <c r="F268" i="58"/>
  <c r="BK267" i="58"/>
  <c r="BJ267" i="58"/>
  <c r="BI267" i="58"/>
  <c r="BC267" i="58"/>
  <c r="BB267" i="58"/>
  <c r="BA267" i="58"/>
  <c r="AZ267" i="58"/>
  <c r="AV267" i="58"/>
  <c r="AP267" i="58"/>
  <c r="AO267" i="58"/>
  <c r="AN267" i="58"/>
  <c r="AL267" i="58"/>
  <c r="AI267" i="58"/>
  <c r="AE267" i="58"/>
  <c r="AF267" i="58" s="1"/>
  <c r="AG267" i="58" s="1"/>
  <c r="AH267" i="58" s="1"/>
  <c r="J267" i="58"/>
  <c r="I267" i="58"/>
  <c r="H267" i="58"/>
  <c r="F267" i="58"/>
  <c r="BK266" i="58"/>
  <c r="BJ266" i="58"/>
  <c r="BI266" i="58"/>
  <c r="BC266" i="58"/>
  <c r="BB266" i="58"/>
  <c r="BA266" i="58"/>
  <c r="AZ266" i="58"/>
  <c r="AV266" i="58"/>
  <c r="AP266" i="58"/>
  <c r="AO266" i="58"/>
  <c r="AN266" i="58"/>
  <c r="AL266" i="58"/>
  <c r="AI266" i="58"/>
  <c r="AE266" i="58"/>
  <c r="AF266" i="58" s="1"/>
  <c r="AG266" i="58" s="1"/>
  <c r="AH266" i="58" s="1"/>
  <c r="J266" i="58"/>
  <c r="I266" i="58"/>
  <c r="H266" i="58"/>
  <c r="F266" i="58"/>
  <c r="BK265" i="58"/>
  <c r="BJ265" i="58"/>
  <c r="BI265" i="58"/>
  <c r="BC265" i="58"/>
  <c r="BB265" i="58"/>
  <c r="BA265" i="58"/>
  <c r="AZ265" i="58"/>
  <c r="AV265" i="58"/>
  <c r="AP265" i="58"/>
  <c r="AO265" i="58"/>
  <c r="AN265" i="58"/>
  <c r="AL265" i="58"/>
  <c r="AI265" i="58"/>
  <c r="AE265" i="58"/>
  <c r="AF265" i="58" s="1"/>
  <c r="AG265" i="58" s="1"/>
  <c r="AH265" i="58" s="1"/>
  <c r="J265" i="58"/>
  <c r="I265" i="58"/>
  <c r="H265" i="58"/>
  <c r="F265" i="58"/>
  <c r="BK264" i="58"/>
  <c r="BJ264" i="58"/>
  <c r="BI264" i="58"/>
  <c r="BC264" i="58"/>
  <c r="BB264" i="58"/>
  <c r="BA264" i="58"/>
  <c r="AZ264" i="58"/>
  <c r="AV264" i="58"/>
  <c r="AP264" i="58"/>
  <c r="AO264" i="58"/>
  <c r="AN264" i="58"/>
  <c r="AL264" i="58"/>
  <c r="AI264" i="58"/>
  <c r="AE264" i="58"/>
  <c r="AF264" i="58" s="1"/>
  <c r="AG264" i="58" s="1"/>
  <c r="AH264" i="58" s="1"/>
  <c r="J264" i="58"/>
  <c r="I264" i="58"/>
  <c r="H264" i="58"/>
  <c r="F264" i="58"/>
  <c r="BK263" i="58"/>
  <c r="BJ263" i="58"/>
  <c r="BI263" i="58"/>
  <c r="BC263" i="58"/>
  <c r="BB263" i="58"/>
  <c r="BA263" i="58"/>
  <c r="AZ263" i="58"/>
  <c r="AV263" i="58"/>
  <c r="AP263" i="58"/>
  <c r="AO263" i="58"/>
  <c r="AN263" i="58"/>
  <c r="AL263" i="58"/>
  <c r="AI263" i="58"/>
  <c r="AE263" i="58"/>
  <c r="AF263" i="58" s="1"/>
  <c r="AG263" i="58" s="1"/>
  <c r="AH263" i="58" s="1"/>
  <c r="J263" i="58"/>
  <c r="I263" i="58"/>
  <c r="H263" i="58"/>
  <c r="F263" i="58"/>
  <c r="BK262" i="58"/>
  <c r="BJ262" i="58"/>
  <c r="BI262" i="58"/>
  <c r="BC262" i="58"/>
  <c r="BB262" i="58"/>
  <c r="BA262" i="58"/>
  <c r="AZ262" i="58"/>
  <c r="AV262" i="58"/>
  <c r="AP262" i="58"/>
  <c r="AO262" i="58"/>
  <c r="AN262" i="58"/>
  <c r="AL262" i="58"/>
  <c r="AI262" i="58"/>
  <c r="AE262" i="58"/>
  <c r="AF262" i="58" s="1"/>
  <c r="AG262" i="58" s="1"/>
  <c r="AH262" i="58" s="1"/>
  <c r="J262" i="58"/>
  <c r="I262" i="58"/>
  <c r="H262" i="58"/>
  <c r="F262" i="58"/>
  <c r="BK261" i="58"/>
  <c r="BJ261" i="58"/>
  <c r="BI261" i="58"/>
  <c r="BC261" i="58"/>
  <c r="BB261" i="58"/>
  <c r="BA261" i="58"/>
  <c r="AZ261" i="58"/>
  <c r="AV261" i="58"/>
  <c r="AP261" i="58"/>
  <c r="AO261" i="58"/>
  <c r="AN261" i="58"/>
  <c r="AL261" i="58"/>
  <c r="AI261" i="58"/>
  <c r="AE261" i="58"/>
  <c r="AF261" i="58" s="1"/>
  <c r="AG261" i="58" s="1"/>
  <c r="AH261" i="58" s="1"/>
  <c r="J261" i="58"/>
  <c r="I261" i="58"/>
  <c r="H261" i="58"/>
  <c r="F261" i="58"/>
  <c r="BK260" i="58"/>
  <c r="BJ260" i="58"/>
  <c r="BI260" i="58"/>
  <c r="BC260" i="58"/>
  <c r="BB260" i="58"/>
  <c r="BA260" i="58"/>
  <c r="AZ260" i="58"/>
  <c r="AV260" i="58"/>
  <c r="AP260" i="58"/>
  <c r="AO260" i="58"/>
  <c r="AN260" i="58"/>
  <c r="AL260" i="58"/>
  <c r="AI260" i="58"/>
  <c r="AE260" i="58"/>
  <c r="AF260" i="58" s="1"/>
  <c r="AG260" i="58" s="1"/>
  <c r="AH260" i="58" s="1"/>
  <c r="J260" i="58"/>
  <c r="I260" i="58"/>
  <c r="H260" i="58"/>
  <c r="F260" i="58"/>
  <c r="BK259" i="58"/>
  <c r="BJ259" i="58"/>
  <c r="BI259" i="58"/>
  <c r="BC259" i="58"/>
  <c r="BB259" i="58"/>
  <c r="BA259" i="58"/>
  <c r="AZ259" i="58"/>
  <c r="AV259" i="58"/>
  <c r="AP259" i="58"/>
  <c r="AO259" i="58"/>
  <c r="AN259" i="58"/>
  <c r="AL259" i="58"/>
  <c r="AI259" i="58"/>
  <c r="AE259" i="58"/>
  <c r="AF259" i="58" s="1"/>
  <c r="AG259" i="58" s="1"/>
  <c r="AH259" i="58" s="1"/>
  <c r="J259" i="58"/>
  <c r="I259" i="58"/>
  <c r="H259" i="58"/>
  <c r="F259" i="58"/>
  <c r="BK258" i="58"/>
  <c r="BJ258" i="58"/>
  <c r="BI258" i="58"/>
  <c r="BC258" i="58"/>
  <c r="BB258" i="58"/>
  <c r="BA258" i="58"/>
  <c r="AZ258" i="58"/>
  <c r="AV258" i="58"/>
  <c r="AP258" i="58"/>
  <c r="AO258" i="58"/>
  <c r="AN258" i="58"/>
  <c r="AL258" i="58"/>
  <c r="AI258" i="58"/>
  <c r="AE258" i="58"/>
  <c r="AF258" i="58" s="1"/>
  <c r="AG258" i="58" s="1"/>
  <c r="AH258" i="58" s="1"/>
  <c r="J258" i="58"/>
  <c r="I258" i="58"/>
  <c r="H258" i="58"/>
  <c r="F258" i="58"/>
  <c r="BK257" i="58"/>
  <c r="BJ257" i="58"/>
  <c r="BI257" i="58"/>
  <c r="BC257" i="58"/>
  <c r="BB257" i="58"/>
  <c r="BA257" i="58"/>
  <c r="AZ257" i="58"/>
  <c r="AV257" i="58"/>
  <c r="AP257" i="58"/>
  <c r="AO257" i="58"/>
  <c r="AN257" i="58"/>
  <c r="AL257" i="58"/>
  <c r="AI257" i="58"/>
  <c r="AE257" i="58"/>
  <c r="AF257" i="58" s="1"/>
  <c r="AG257" i="58" s="1"/>
  <c r="AH257" i="58" s="1"/>
  <c r="J257" i="58"/>
  <c r="I257" i="58"/>
  <c r="H257" i="58"/>
  <c r="F257" i="58"/>
  <c r="BK256" i="58"/>
  <c r="BJ256" i="58"/>
  <c r="BI256" i="58"/>
  <c r="BC256" i="58"/>
  <c r="BB256" i="58"/>
  <c r="BA256" i="58"/>
  <c r="AZ256" i="58"/>
  <c r="AV256" i="58"/>
  <c r="AP256" i="58"/>
  <c r="AO256" i="58"/>
  <c r="AN256" i="58"/>
  <c r="AL256" i="58"/>
  <c r="AI256" i="58"/>
  <c r="AE256" i="58"/>
  <c r="AF256" i="58" s="1"/>
  <c r="AG256" i="58" s="1"/>
  <c r="AH256" i="58" s="1"/>
  <c r="J256" i="58"/>
  <c r="I256" i="58"/>
  <c r="H256" i="58"/>
  <c r="F256" i="58"/>
  <c r="BK255" i="58"/>
  <c r="BJ255" i="58"/>
  <c r="BI255" i="58"/>
  <c r="BC255" i="58"/>
  <c r="BB255" i="58"/>
  <c r="BA255" i="58"/>
  <c r="AZ255" i="58"/>
  <c r="AV255" i="58"/>
  <c r="AP255" i="58"/>
  <c r="AO255" i="58"/>
  <c r="AN255" i="58"/>
  <c r="AL255" i="58"/>
  <c r="AI255" i="58"/>
  <c r="AE255" i="58"/>
  <c r="AF255" i="58" s="1"/>
  <c r="AG255" i="58" s="1"/>
  <c r="AH255" i="58" s="1"/>
  <c r="J255" i="58"/>
  <c r="I255" i="58"/>
  <c r="H255" i="58"/>
  <c r="F255" i="58"/>
  <c r="BK254" i="58"/>
  <c r="BJ254" i="58"/>
  <c r="BI254" i="58"/>
  <c r="BC254" i="58"/>
  <c r="BB254" i="58"/>
  <c r="BA254" i="58"/>
  <c r="AZ254" i="58"/>
  <c r="AV254" i="58"/>
  <c r="AP254" i="58"/>
  <c r="AO254" i="58"/>
  <c r="AN254" i="58"/>
  <c r="AL254" i="58"/>
  <c r="AI254" i="58"/>
  <c r="AE254" i="58"/>
  <c r="AF254" i="58" s="1"/>
  <c r="AG254" i="58" s="1"/>
  <c r="AH254" i="58" s="1"/>
  <c r="J254" i="58"/>
  <c r="I254" i="58"/>
  <c r="H254" i="58"/>
  <c r="F254" i="58"/>
  <c r="BK253" i="58"/>
  <c r="BJ253" i="58"/>
  <c r="BI253" i="58"/>
  <c r="BC253" i="58"/>
  <c r="BB253" i="58"/>
  <c r="BA253" i="58"/>
  <c r="AZ253" i="58"/>
  <c r="AV253" i="58"/>
  <c r="AP253" i="58"/>
  <c r="AO253" i="58"/>
  <c r="AN253" i="58"/>
  <c r="AL253" i="58"/>
  <c r="AI253" i="58"/>
  <c r="AE253" i="58"/>
  <c r="AF253" i="58" s="1"/>
  <c r="AG253" i="58" s="1"/>
  <c r="AH253" i="58" s="1"/>
  <c r="J253" i="58"/>
  <c r="I253" i="58"/>
  <c r="H253" i="58"/>
  <c r="F253" i="58"/>
  <c r="BK252" i="58"/>
  <c r="BJ252" i="58"/>
  <c r="BI252" i="58"/>
  <c r="BC252" i="58"/>
  <c r="BB252" i="58"/>
  <c r="BA252" i="58"/>
  <c r="AZ252" i="58"/>
  <c r="AV252" i="58"/>
  <c r="AP252" i="58"/>
  <c r="AO252" i="58"/>
  <c r="AN252" i="58"/>
  <c r="AL252" i="58"/>
  <c r="AI252" i="58"/>
  <c r="AE252" i="58"/>
  <c r="AF252" i="58" s="1"/>
  <c r="AG252" i="58" s="1"/>
  <c r="AH252" i="58" s="1"/>
  <c r="J252" i="58"/>
  <c r="I252" i="58"/>
  <c r="H252" i="58"/>
  <c r="F252" i="58"/>
  <c r="BK251" i="58"/>
  <c r="BJ251" i="58"/>
  <c r="BI251" i="58"/>
  <c r="BC251" i="58"/>
  <c r="BB251" i="58"/>
  <c r="BA251" i="58"/>
  <c r="AZ251" i="58"/>
  <c r="AV251" i="58"/>
  <c r="AP251" i="58"/>
  <c r="AO251" i="58"/>
  <c r="AN251" i="58"/>
  <c r="AL251" i="58"/>
  <c r="AI251" i="58"/>
  <c r="AE251" i="58"/>
  <c r="AF251" i="58" s="1"/>
  <c r="AG251" i="58" s="1"/>
  <c r="AH251" i="58" s="1"/>
  <c r="J251" i="58"/>
  <c r="I251" i="58"/>
  <c r="H251" i="58"/>
  <c r="F251" i="58"/>
  <c r="BK250" i="58"/>
  <c r="BJ250" i="58"/>
  <c r="BI250" i="58"/>
  <c r="BC250" i="58"/>
  <c r="BB250" i="58"/>
  <c r="BA250" i="58"/>
  <c r="AZ250" i="58"/>
  <c r="AV250" i="58"/>
  <c r="AP250" i="58"/>
  <c r="AO250" i="58"/>
  <c r="AN250" i="58"/>
  <c r="AL250" i="58"/>
  <c r="AI250" i="58"/>
  <c r="AE250" i="58"/>
  <c r="AF250" i="58" s="1"/>
  <c r="AG250" i="58" s="1"/>
  <c r="AH250" i="58" s="1"/>
  <c r="J250" i="58"/>
  <c r="I250" i="58"/>
  <c r="H250" i="58"/>
  <c r="F250" i="58"/>
  <c r="BK249" i="58"/>
  <c r="BJ249" i="58"/>
  <c r="BI249" i="58"/>
  <c r="BC249" i="58"/>
  <c r="BB249" i="58"/>
  <c r="BA249" i="58"/>
  <c r="AZ249" i="58"/>
  <c r="AV249" i="58"/>
  <c r="AP249" i="58"/>
  <c r="AO249" i="58"/>
  <c r="AN249" i="58"/>
  <c r="AL249" i="58"/>
  <c r="AI249" i="58"/>
  <c r="AE249" i="58"/>
  <c r="AF249" i="58" s="1"/>
  <c r="AG249" i="58" s="1"/>
  <c r="AH249" i="58" s="1"/>
  <c r="J249" i="58"/>
  <c r="I249" i="58"/>
  <c r="H249" i="58"/>
  <c r="F249" i="58"/>
  <c r="BK248" i="58"/>
  <c r="BJ248" i="58"/>
  <c r="BI248" i="58"/>
  <c r="BC248" i="58"/>
  <c r="BB248" i="58"/>
  <c r="BA248" i="58"/>
  <c r="AZ248" i="58"/>
  <c r="AV248" i="58"/>
  <c r="AP248" i="58"/>
  <c r="AO248" i="58"/>
  <c r="AN248" i="58"/>
  <c r="AL248" i="58"/>
  <c r="AI248" i="58"/>
  <c r="AE248" i="58"/>
  <c r="AF248" i="58" s="1"/>
  <c r="AG248" i="58" s="1"/>
  <c r="AH248" i="58" s="1"/>
  <c r="J248" i="58"/>
  <c r="I248" i="58"/>
  <c r="H248" i="58"/>
  <c r="F248" i="58"/>
  <c r="BK247" i="58"/>
  <c r="BJ247" i="58"/>
  <c r="BI247" i="58"/>
  <c r="BC247" i="58"/>
  <c r="BB247" i="58"/>
  <c r="BA247" i="58"/>
  <c r="AZ247" i="58"/>
  <c r="AV247" i="58"/>
  <c r="AP247" i="58"/>
  <c r="AO247" i="58"/>
  <c r="AN247" i="58"/>
  <c r="AL247" i="58"/>
  <c r="AI247" i="58"/>
  <c r="AE247" i="58"/>
  <c r="AF247" i="58" s="1"/>
  <c r="AG247" i="58" s="1"/>
  <c r="AH247" i="58" s="1"/>
  <c r="J247" i="58"/>
  <c r="I247" i="58"/>
  <c r="H247" i="58"/>
  <c r="F247" i="58"/>
  <c r="BK246" i="58"/>
  <c r="BJ246" i="58"/>
  <c r="BI246" i="58"/>
  <c r="BC246" i="58"/>
  <c r="BB246" i="58"/>
  <c r="BA246" i="58"/>
  <c r="AZ246" i="58"/>
  <c r="AV246" i="58"/>
  <c r="AP246" i="58"/>
  <c r="AO246" i="58"/>
  <c r="AN246" i="58"/>
  <c r="AL246" i="58"/>
  <c r="AI246" i="58"/>
  <c r="AE246" i="58"/>
  <c r="AF246" i="58" s="1"/>
  <c r="AG246" i="58" s="1"/>
  <c r="AH246" i="58" s="1"/>
  <c r="J246" i="58"/>
  <c r="I246" i="58"/>
  <c r="H246" i="58"/>
  <c r="F246" i="58"/>
  <c r="BK245" i="58"/>
  <c r="BJ245" i="58"/>
  <c r="BI245" i="58"/>
  <c r="BC245" i="58"/>
  <c r="BB245" i="58"/>
  <c r="BA245" i="58"/>
  <c r="AZ245" i="58"/>
  <c r="AV245" i="58"/>
  <c r="AP245" i="58"/>
  <c r="AO245" i="58"/>
  <c r="AN245" i="58"/>
  <c r="AL245" i="58"/>
  <c r="AI245" i="58"/>
  <c r="AE245" i="58"/>
  <c r="AF245" i="58" s="1"/>
  <c r="AG245" i="58" s="1"/>
  <c r="AH245" i="58" s="1"/>
  <c r="J245" i="58"/>
  <c r="I245" i="58"/>
  <c r="H245" i="58"/>
  <c r="F245" i="58"/>
  <c r="BK244" i="58"/>
  <c r="BJ244" i="58"/>
  <c r="BI244" i="58"/>
  <c r="BC244" i="58"/>
  <c r="BB244" i="58"/>
  <c r="BA244" i="58"/>
  <c r="AZ244" i="58"/>
  <c r="AV244" i="58"/>
  <c r="AP244" i="58"/>
  <c r="AO244" i="58"/>
  <c r="AN244" i="58"/>
  <c r="AL244" i="58"/>
  <c r="AI244" i="58"/>
  <c r="AE244" i="58"/>
  <c r="AF244" i="58" s="1"/>
  <c r="AG244" i="58" s="1"/>
  <c r="AH244" i="58" s="1"/>
  <c r="J244" i="58"/>
  <c r="I244" i="58"/>
  <c r="H244" i="58"/>
  <c r="F244" i="58"/>
  <c r="BK243" i="58"/>
  <c r="BJ243" i="58"/>
  <c r="BI243" i="58"/>
  <c r="BC243" i="58"/>
  <c r="BB243" i="58"/>
  <c r="BA243" i="58"/>
  <c r="AZ243" i="58"/>
  <c r="AV243" i="58"/>
  <c r="AP243" i="58"/>
  <c r="AO243" i="58"/>
  <c r="AN243" i="58"/>
  <c r="AL243" i="58"/>
  <c r="AI243" i="58"/>
  <c r="AE243" i="58"/>
  <c r="AF243" i="58" s="1"/>
  <c r="AG243" i="58" s="1"/>
  <c r="AH243" i="58" s="1"/>
  <c r="J243" i="58"/>
  <c r="I243" i="58"/>
  <c r="H243" i="58"/>
  <c r="F243" i="58"/>
  <c r="BK242" i="58"/>
  <c r="BJ242" i="58"/>
  <c r="BI242" i="58"/>
  <c r="BC242" i="58"/>
  <c r="BB242" i="58"/>
  <c r="BA242" i="58"/>
  <c r="AZ242" i="58"/>
  <c r="AV242" i="58"/>
  <c r="AP242" i="58"/>
  <c r="AO242" i="58"/>
  <c r="AN242" i="58"/>
  <c r="AL242" i="58"/>
  <c r="AI242" i="58"/>
  <c r="AE242" i="58"/>
  <c r="AF242" i="58" s="1"/>
  <c r="AG242" i="58" s="1"/>
  <c r="AH242" i="58" s="1"/>
  <c r="J242" i="58"/>
  <c r="I242" i="58"/>
  <c r="H242" i="58"/>
  <c r="F242" i="58"/>
  <c r="BK241" i="58"/>
  <c r="BJ241" i="58"/>
  <c r="BI241" i="58"/>
  <c r="BC241" i="58"/>
  <c r="BB241" i="58"/>
  <c r="BA241" i="58"/>
  <c r="AZ241" i="58"/>
  <c r="AV241" i="58"/>
  <c r="AP241" i="58"/>
  <c r="AO241" i="58"/>
  <c r="AN241" i="58"/>
  <c r="AL241" i="58"/>
  <c r="AI241" i="58"/>
  <c r="AE241" i="58"/>
  <c r="AF241" i="58" s="1"/>
  <c r="AG241" i="58" s="1"/>
  <c r="AH241" i="58" s="1"/>
  <c r="J241" i="58"/>
  <c r="I241" i="58"/>
  <c r="H241" i="58"/>
  <c r="F241" i="58"/>
  <c r="BK240" i="58"/>
  <c r="BJ240" i="58"/>
  <c r="BI240" i="58"/>
  <c r="BC240" i="58"/>
  <c r="BB240" i="58"/>
  <c r="BA240" i="58"/>
  <c r="AZ240" i="58"/>
  <c r="AV240" i="58"/>
  <c r="AP240" i="58"/>
  <c r="AO240" i="58"/>
  <c r="AN240" i="58"/>
  <c r="AL240" i="58"/>
  <c r="AI240" i="58"/>
  <c r="AE240" i="58"/>
  <c r="AF240" i="58" s="1"/>
  <c r="AG240" i="58" s="1"/>
  <c r="AH240" i="58" s="1"/>
  <c r="J240" i="58"/>
  <c r="I240" i="58"/>
  <c r="H240" i="58"/>
  <c r="F240" i="58"/>
  <c r="BK239" i="58"/>
  <c r="BJ239" i="58"/>
  <c r="BI239" i="58"/>
  <c r="BC239" i="58"/>
  <c r="BB239" i="58"/>
  <c r="BA239" i="58"/>
  <c r="AZ239" i="58"/>
  <c r="AV239" i="58"/>
  <c r="AP239" i="58"/>
  <c r="AO239" i="58"/>
  <c r="AN239" i="58"/>
  <c r="AL239" i="58"/>
  <c r="AI239" i="58"/>
  <c r="AE239" i="58"/>
  <c r="AF239" i="58" s="1"/>
  <c r="AG239" i="58" s="1"/>
  <c r="AH239" i="58" s="1"/>
  <c r="J239" i="58"/>
  <c r="I239" i="58"/>
  <c r="H239" i="58"/>
  <c r="F239" i="58"/>
  <c r="BK238" i="58"/>
  <c r="BJ238" i="58"/>
  <c r="BI238" i="58"/>
  <c r="BC238" i="58"/>
  <c r="BB238" i="58"/>
  <c r="BA238" i="58"/>
  <c r="AZ238" i="58"/>
  <c r="AV238" i="58"/>
  <c r="AP238" i="58"/>
  <c r="AO238" i="58"/>
  <c r="AN238" i="58"/>
  <c r="AL238" i="58"/>
  <c r="AI238" i="58"/>
  <c r="AE238" i="58"/>
  <c r="AF238" i="58" s="1"/>
  <c r="AG238" i="58" s="1"/>
  <c r="AH238" i="58" s="1"/>
  <c r="J238" i="58"/>
  <c r="I238" i="58"/>
  <c r="H238" i="58"/>
  <c r="F238" i="58"/>
  <c r="BK237" i="58"/>
  <c r="BJ237" i="58"/>
  <c r="BI237" i="58"/>
  <c r="BC237" i="58"/>
  <c r="BB237" i="58"/>
  <c r="BA237" i="58"/>
  <c r="AZ237" i="58"/>
  <c r="AV237" i="58"/>
  <c r="AP237" i="58"/>
  <c r="AO237" i="58"/>
  <c r="AN237" i="58"/>
  <c r="AL237" i="58"/>
  <c r="AI237" i="58"/>
  <c r="AE237" i="58"/>
  <c r="AF237" i="58" s="1"/>
  <c r="AG237" i="58" s="1"/>
  <c r="AH237" i="58" s="1"/>
  <c r="J237" i="58"/>
  <c r="I237" i="58"/>
  <c r="H237" i="58"/>
  <c r="F237" i="58"/>
  <c r="BK236" i="58"/>
  <c r="BJ236" i="58"/>
  <c r="BI236" i="58"/>
  <c r="BC236" i="58"/>
  <c r="BB236" i="58"/>
  <c r="BA236" i="58"/>
  <c r="AZ236" i="58"/>
  <c r="AV236" i="58"/>
  <c r="AP236" i="58"/>
  <c r="AO236" i="58"/>
  <c r="AN236" i="58"/>
  <c r="AL236" i="58"/>
  <c r="AI236" i="58"/>
  <c r="AE236" i="58"/>
  <c r="AF236" i="58" s="1"/>
  <c r="AG236" i="58" s="1"/>
  <c r="AH236" i="58" s="1"/>
  <c r="J236" i="58"/>
  <c r="I236" i="58"/>
  <c r="H236" i="58"/>
  <c r="F236" i="58"/>
  <c r="BK235" i="58"/>
  <c r="BJ235" i="58"/>
  <c r="BI235" i="58"/>
  <c r="BC235" i="58"/>
  <c r="BB235" i="58"/>
  <c r="BA235" i="58"/>
  <c r="AZ235" i="58"/>
  <c r="AV235" i="58"/>
  <c r="AP235" i="58"/>
  <c r="AO235" i="58"/>
  <c r="AN235" i="58"/>
  <c r="AL235" i="58"/>
  <c r="AI235" i="58"/>
  <c r="AE235" i="58"/>
  <c r="AF235" i="58" s="1"/>
  <c r="AG235" i="58" s="1"/>
  <c r="AH235" i="58" s="1"/>
  <c r="J235" i="58"/>
  <c r="I235" i="58"/>
  <c r="H235" i="58"/>
  <c r="F235" i="58"/>
  <c r="BK234" i="58"/>
  <c r="BJ234" i="58"/>
  <c r="BI234" i="58"/>
  <c r="BC234" i="58"/>
  <c r="BB234" i="58"/>
  <c r="BA234" i="58"/>
  <c r="AZ234" i="58"/>
  <c r="AV234" i="58"/>
  <c r="AP234" i="58"/>
  <c r="AO234" i="58"/>
  <c r="AN234" i="58"/>
  <c r="AL234" i="58"/>
  <c r="AI234" i="58"/>
  <c r="AE234" i="58"/>
  <c r="AF234" i="58" s="1"/>
  <c r="AG234" i="58" s="1"/>
  <c r="AH234" i="58" s="1"/>
  <c r="J234" i="58"/>
  <c r="I234" i="58"/>
  <c r="H234" i="58"/>
  <c r="F234" i="58"/>
  <c r="BK233" i="58"/>
  <c r="BJ233" i="58"/>
  <c r="BI233" i="58"/>
  <c r="BC233" i="58"/>
  <c r="BB233" i="58"/>
  <c r="BA233" i="58"/>
  <c r="AZ233" i="58"/>
  <c r="AV233" i="58"/>
  <c r="AP233" i="58"/>
  <c r="AO233" i="58"/>
  <c r="AN233" i="58"/>
  <c r="AL233" i="58"/>
  <c r="AI233" i="58"/>
  <c r="AE233" i="58"/>
  <c r="AF233" i="58" s="1"/>
  <c r="AG233" i="58" s="1"/>
  <c r="AH233" i="58" s="1"/>
  <c r="J233" i="58"/>
  <c r="I233" i="58"/>
  <c r="H233" i="58"/>
  <c r="F233" i="58"/>
  <c r="BK232" i="58"/>
  <c r="BJ232" i="58"/>
  <c r="BI232" i="58"/>
  <c r="BC232" i="58"/>
  <c r="BB232" i="58"/>
  <c r="BA232" i="58"/>
  <c r="AZ232" i="58"/>
  <c r="AV232" i="58"/>
  <c r="AP232" i="58"/>
  <c r="AO232" i="58"/>
  <c r="AN232" i="58"/>
  <c r="AL232" i="58"/>
  <c r="AI232" i="58"/>
  <c r="AE232" i="58"/>
  <c r="AF232" i="58" s="1"/>
  <c r="AG232" i="58" s="1"/>
  <c r="AH232" i="58" s="1"/>
  <c r="J232" i="58"/>
  <c r="I232" i="58"/>
  <c r="H232" i="58"/>
  <c r="F232" i="58"/>
  <c r="BK231" i="58"/>
  <c r="BJ231" i="58"/>
  <c r="BI231" i="58"/>
  <c r="BC231" i="58"/>
  <c r="BB231" i="58"/>
  <c r="BA231" i="58"/>
  <c r="AZ231" i="58"/>
  <c r="AV231" i="58"/>
  <c r="AP231" i="58"/>
  <c r="AO231" i="58"/>
  <c r="AN231" i="58"/>
  <c r="AL231" i="58"/>
  <c r="AI231" i="58"/>
  <c r="AE231" i="58"/>
  <c r="AF231" i="58" s="1"/>
  <c r="AG231" i="58" s="1"/>
  <c r="AH231" i="58" s="1"/>
  <c r="J231" i="58"/>
  <c r="I231" i="58"/>
  <c r="H231" i="58"/>
  <c r="F231" i="58"/>
  <c r="BK230" i="58"/>
  <c r="BJ230" i="58"/>
  <c r="BI230" i="58"/>
  <c r="BC230" i="58"/>
  <c r="BB230" i="58"/>
  <c r="BA230" i="58"/>
  <c r="AZ230" i="58"/>
  <c r="AV230" i="58"/>
  <c r="AP230" i="58"/>
  <c r="AO230" i="58"/>
  <c r="AN230" i="58"/>
  <c r="AL230" i="58"/>
  <c r="AI230" i="58"/>
  <c r="AE230" i="58"/>
  <c r="AF230" i="58" s="1"/>
  <c r="AG230" i="58" s="1"/>
  <c r="AH230" i="58" s="1"/>
  <c r="J230" i="58"/>
  <c r="I230" i="58"/>
  <c r="H230" i="58"/>
  <c r="F230" i="58"/>
  <c r="BK229" i="58"/>
  <c r="BJ229" i="58"/>
  <c r="BI229" i="58"/>
  <c r="BC229" i="58"/>
  <c r="BB229" i="58"/>
  <c r="BA229" i="58"/>
  <c r="AZ229" i="58"/>
  <c r="AV229" i="58"/>
  <c r="AP229" i="58"/>
  <c r="AO229" i="58"/>
  <c r="AN229" i="58"/>
  <c r="AL229" i="58"/>
  <c r="AI229" i="58"/>
  <c r="AE229" i="58"/>
  <c r="AF229" i="58" s="1"/>
  <c r="AG229" i="58" s="1"/>
  <c r="AH229" i="58" s="1"/>
  <c r="J229" i="58"/>
  <c r="I229" i="58"/>
  <c r="H229" i="58"/>
  <c r="F229" i="58"/>
  <c r="BK228" i="58"/>
  <c r="BJ228" i="58"/>
  <c r="BI228" i="58"/>
  <c r="BC228" i="58"/>
  <c r="BB228" i="58"/>
  <c r="BA228" i="58"/>
  <c r="AZ228" i="58"/>
  <c r="AV228" i="58"/>
  <c r="AP228" i="58"/>
  <c r="AO228" i="58"/>
  <c r="AN228" i="58"/>
  <c r="AL228" i="58"/>
  <c r="AI228" i="58"/>
  <c r="AE228" i="58"/>
  <c r="AF228" i="58" s="1"/>
  <c r="AG228" i="58" s="1"/>
  <c r="AH228" i="58" s="1"/>
  <c r="J228" i="58"/>
  <c r="I228" i="58"/>
  <c r="H228" i="58"/>
  <c r="F228" i="58"/>
  <c r="BK227" i="58"/>
  <c r="BJ227" i="58"/>
  <c r="BI227" i="58"/>
  <c r="BC227" i="58"/>
  <c r="BB227" i="58"/>
  <c r="BA227" i="58"/>
  <c r="AZ227" i="58"/>
  <c r="AV227" i="58"/>
  <c r="AP227" i="58"/>
  <c r="AO227" i="58"/>
  <c r="AN227" i="58"/>
  <c r="AL227" i="58"/>
  <c r="AI227" i="58"/>
  <c r="AE227" i="58"/>
  <c r="AF227" i="58" s="1"/>
  <c r="AG227" i="58" s="1"/>
  <c r="AH227" i="58" s="1"/>
  <c r="J227" i="58"/>
  <c r="I227" i="58"/>
  <c r="H227" i="58"/>
  <c r="F227" i="58"/>
  <c r="BK226" i="58"/>
  <c r="BJ226" i="58"/>
  <c r="BI226" i="58"/>
  <c r="BC226" i="58"/>
  <c r="BB226" i="58"/>
  <c r="BA226" i="58"/>
  <c r="AZ226" i="58"/>
  <c r="AV226" i="58"/>
  <c r="AP226" i="58"/>
  <c r="AO226" i="58"/>
  <c r="AN226" i="58"/>
  <c r="AL226" i="58"/>
  <c r="AI226" i="58"/>
  <c r="AE226" i="58"/>
  <c r="AF226" i="58" s="1"/>
  <c r="AG226" i="58" s="1"/>
  <c r="AH226" i="58" s="1"/>
  <c r="J226" i="58"/>
  <c r="I226" i="58"/>
  <c r="H226" i="58"/>
  <c r="F226" i="58"/>
  <c r="BK225" i="58"/>
  <c r="BJ225" i="58"/>
  <c r="BI225" i="58"/>
  <c r="BC225" i="58"/>
  <c r="BB225" i="58"/>
  <c r="BA225" i="58"/>
  <c r="AZ225" i="58"/>
  <c r="AV225" i="58"/>
  <c r="AP225" i="58"/>
  <c r="AO225" i="58"/>
  <c r="AN225" i="58"/>
  <c r="AL225" i="58"/>
  <c r="AI225" i="58"/>
  <c r="AE225" i="58"/>
  <c r="AF225" i="58" s="1"/>
  <c r="AG225" i="58" s="1"/>
  <c r="AH225" i="58" s="1"/>
  <c r="J225" i="58"/>
  <c r="I225" i="58"/>
  <c r="H225" i="58"/>
  <c r="F225" i="58"/>
  <c r="BK224" i="58"/>
  <c r="BJ224" i="58"/>
  <c r="BI224" i="58"/>
  <c r="BC224" i="58"/>
  <c r="BB224" i="58"/>
  <c r="BA224" i="58"/>
  <c r="AZ224" i="58"/>
  <c r="AV224" i="58"/>
  <c r="AP224" i="58"/>
  <c r="AO224" i="58"/>
  <c r="AN224" i="58"/>
  <c r="AL224" i="58"/>
  <c r="AI224" i="58"/>
  <c r="AE224" i="58"/>
  <c r="AF224" i="58" s="1"/>
  <c r="AG224" i="58" s="1"/>
  <c r="AH224" i="58" s="1"/>
  <c r="J224" i="58"/>
  <c r="I224" i="58"/>
  <c r="H224" i="58"/>
  <c r="F224" i="58"/>
  <c r="BK223" i="58"/>
  <c r="BJ223" i="58"/>
  <c r="BI223" i="58"/>
  <c r="BC223" i="58"/>
  <c r="BB223" i="58"/>
  <c r="BA223" i="58"/>
  <c r="AZ223" i="58"/>
  <c r="AV223" i="58"/>
  <c r="AP223" i="58"/>
  <c r="AO223" i="58"/>
  <c r="AN223" i="58"/>
  <c r="AL223" i="58"/>
  <c r="AI223" i="58"/>
  <c r="AE223" i="58"/>
  <c r="AF223" i="58" s="1"/>
  <c r="AG223" i="58" s="1"/>
  <c r="AH223" i="58" s="1"/>
  <c r="J223" i="58"/>
  <c r="I223" i="58"/>
  <c r="H223" i="58"/>
  <c r="F223" i="58"/>
  <c r="BK222" i="58"/>
  <c r="BJ222" i="58"/>
  <c r="BI222" i="58"/>
  <c r="BC222" i="58"/>
  <c r="BB222" i="58"/>
  <c r="BA222" i="58"/>
  <c r="AZ222" i="58"/>
  <c r="AV222" i="58"/>
  <c r="AP222" i="58"/>
  <c r="AO222" i="58"/>
  <c r="AN222" i="58"/>
  <c r="AL222" i="58"/>
  <c r="AI222" i="58"/>
  <c r="AE222" i="58"/>
  <c r="AF222" i="58" s="1"/>
  <c r="AG222" i="58" s="1"/>
  <c r="AH222" i="58" s="1"/>
  <c r="J222" i="58"/>
  <c r="I222" i="58"/>
  <c r="H222" i="58"/>
  <c r="F222" i="58"/>
  <c r="BK221" i="58"/>
  <c r="BJ221" i="58"/>
  <c r="BI221" i="58"/>
  <c r="BC221" i="58"/>
  <c r="BB221" i="58"/>
  <c r="BA221" i="58"/>
  <c r="AZ221" i="58"/>
  <c r="AV221" i="58"/>
  <c r="AP221" i="58"/>
  <c r="AO221" i="58"/>
  <c r="AN221" i="58"/>
  <c r="AL221" i="58"/>
  <c r="AI221" i="58"/>
  <c r="AE221" i="58"/>
  <c r="AF221" i="58" s="1"/>
  <c r="AG221" i="58" s="1"/>
  <c r="AH221" i="58" s="1"/>
  <c r="J221" i="58"/>
  <c r="I221" i="58"/>
  <c r="H221" i="58"/>
  <c r="F221" i="58"/>
  <c r="BK220" i="58"/>
  <c r="BJ220" i="58"/>
  <c r="BI220" i="58"/>
  <c r="BC220" i="58"/>
  <c r="BB220" i="58"/>
  <c r="BA220" i="58"/>
  <c r="AZ220" i="58"/>
  <c r="AV220" i="58"/>
  <c r="AP220" i="58"/>
  <c r="AO220" i="58"/>
  <c r="AN220" i="58"/>
  <c r="AL220" i="58"/>
  <c r="AI220" i="58"/>
  <c r="AE220" i="58"/>
  <c r="AF220" i="58" s="1"/>
  <c r="AG220" i="58" s="1"/>
  <c r="AH220" i="58" s="1"/>
  <c r="J220" i="58"/>
  <c r="I220" i="58"/>
  <c r="H220" i="58"/>
  <c r="F220" i="58"/>
  <c r="BK219" i="58"/>
  <c r="BJ219" i="58"/>
  <c r="BI219" i="58"/>
  <c r="BC219" i="58"/>
  <c r="BB219" i="58"/>
  <c r="BA219" i="58"/>
  <c r="AZ219" i="58"/>
  <c r="AV219" i="58"/>
  <c r="AP219" i="58"/>
  <c r="AO219" i="58"/>
  <c r="AN219" i="58"/>
  <c r="AL219" i="58"/>
  <c r="AI219" i="58"/>
  <c r="AE219" i="58"/>
  <c r="AF219" i="58" s="1"/>
  <c r="AG219" i="58" s="1"/>
  <c r="AH219" i="58" s="1"/>
  <c r="J219" i="58"/>
  <c r="I219" i="58"/>
  <c r="H219" i="58"/>
  <c r="F219" i="58"/>
  <c r="BK218" i="58"/>
  <c r="BJ218" i="58"/>
  <c r="BI218" i="58"/>
  <c r="BC218" i="58"/>
  <c r="BB218" i="58"/>
  <c r="BA218" i="58"/>
  <c r="AZ218" i="58"/>
  <c r="AV218" i="58"/>
  <c r="AP218" i="58"/>
  <c r="AO218" i="58"/>
  <c r="AN218" i="58"/>
  <c r="AL218" i="58"/>
  <c r="AI218" i="58"/>
  <c r="AE218" i="58"/>
  <c r="AF218" i="58" s="1"/>
  <c r="AG218" i="58" s="1"/>
  <c r="AH218" i="58" s="1"/>
  <c r="J218" i="58"/>
  <c r="I218" i="58"/>
  <c r="H218" i="58"/>
  <c r="F218" i="58"/>
  <c r="BK217" i="58"/>
  <c r="BJ217" i="58"/>
  <c r="BI217" i="58"/>
  <c r="BC217" i="58"/>
  <c r="BB217" i="58"/>
  <c r="BA217" i="58"/>
  <c r="AZ217" i="58"/>
  <c r="AV217" i="58"/>
  <c r="AP217" i="58"/>
  <c r="AO217" i="58"/>
  <c r="AN217" i="58"/>
  <c r="AL217" i="58"/>
  <c r="AI217" i="58"/>
  <c r="AE217" i="58"/>
  <c r="AF217" i="58" s="1"/>
  <c r="AG217" i="58" s="1"/>
  <c r="AH217" i="58" s="1"/>
  <c r="J217" i="58"/>
  <c r="I217" i="58"/>
  <c r="H217" i="58"/>
  <c r="F217" i="58"/>
  <c r="BK216" i="58"/>
  <c r="BJ216" i="58"/>
  <c r="BI216" i="58"/>
  <c r="BC216" i="58"/>
  <c r="BB216" i="58"/>
  <c r="BA216" i="58"/>
  <c r="AZ216" i="58"/>
  <c r="AV216" i="58"/>
  <c r="AP216" i="58"/>
  <c r="AO216" i="58"/>
  <c r="AN216" i="58"/>
  <c r="AL216" i="58"/>
  <c r="AI216" i="58"/>
  <c r="AE216" i="58"/>
  <c r="AF216" i="58" s="1"/>
  <c r="AG216" i="58" s="1"/>
  <c r="AH216" i="58" s="1"/>
  <c r="J216" i="58"/>
  <c r="I216" i="58"/>
  <c r="H216" i="58"/>
  <c r="F216" i="58"/>
  <c r="BK215" i="58"/>
  <c r="BJ215" i="58"/>
  <c r="BI215" i="58"/>
  <c r="BC215" i="58"/>
  <c r="BB215" i="58"/>
  <c r="BA215" i="58"/>
  <c r="AZ215" i="58"/>
  <c r="AV215" i="58"/>
  <c r="AP215" i="58"/>
  <c r="AO215" i="58"/>
  <c r="AN215" i="58"/>
  <c r="AL215" i="58"/>
  <c r="AI215" i="58"/>
  <c r="AE215" i="58"/>
  <c r="AF215" i="58" s="1"/>
  <c r="AG215" i="58" s="1"/>
  <c r="AH215" i="58" s="1"/>
  <c r="J215" i="58"/>
  <c r="I215" i="58"/>
  <c r="H215" i="58"/>
  <c r="F215" i="58"/>
  <c r="BK214" i="58"/>
  <c r="BJ214" i="58"/>
  <c r="BI214" i="58"/>
  <c r="BC214" i="58"/>
  <c r="BB214" i="58"/>
  <c r="BA214" i="58"/>
  <c r="AZ214" i="58"/>
  <c r="AV214" i="58"/>
  <c r="AP214" i="58"/>
  <c r="AO214" i="58"/>
  <c r="AN214" i="58"/>
  <c r="AL214" i="58"/>
  <c r="AI214" i="58"/>
  <c r="AE214" i="58"/>
  <c r="AF214" i="58" s="1"/>
  <c r="AG214" i="58" s="1"/>
  <c r="AH214" i="58" s="1"/>
  <c r="J214" i="58"/>
  <c r="I214" i="58"/>
  <c r="H214" i="58"/>
  <c r="F214" i="58"/>
  <c r="BK213" i="58"/>
  <c r="BJ213" i="58"/>
  <c r="BI213" i="58"/>
  <c r="BC213" i="58"/>
  <c r="BB213" i="58"/>
  <c r="BA213" i="58"/>
  <c r="AZ213" i="58"/>
  <c r="AV213" i="58"/>
  <c r="AP213" i="58"/>
  <c r="AO213" i="58"/>
  <c r="AN213" i="58"/>
  <c r="AL213" i="58"/>
  <c r="AI213" i="58"/>
  <c r="AE213" i="58"/>
  <c r="AF213" i="58" s="1"/>
  <c r="AG213" i="58" s="1"/>
  <c r="AH213" i="58" s="1"/>
  <c r="J213" i="58"/>
  <c r="I213" i="58"/>
  <c r="H213" i="58"/>
  <c r="F213" i="58"/>
  <c r="BK212" i="58"/>
  <c r="BJ212" i="58"/>
  <c r="BI212" i="58"/>
  <c r="BC212" i="58"/>
  <c r="BB212" i="58"/>
  <c r="BA212" i="58"/>
  <c r="AZ212" i="58"/>
  <c r="AV212" i="58"/>
  <c r="AP212" i="58"/>
  <c r="AO212" i="58"/>
  <c r="AN212" i="58"/>
  <c r="AL212" i="58"/>
  <c r="AI212" i="58"/>
  <c r="AE212" i="58"/>
  <c r="AF212" i="58" s="1"/>
  <c r="AG212" i="58" s="1"/>
  <c r="AH212" i="58" s="1"/>
  <c r="J212" i="58"/>
  <c r="I212" i="58"/>
  <c r="H212" i="58"/>
  <c r="F212" i="58"/>
  <c r="BK211" i="58"/>
  <c r="BJ211" i="58"/>
  <c r="BI211" i="58"/>
  <c r="BC211" i="58"/>
  <c r="BB211" i="58"/>
  <c r="BA211" i="58"/>
  <c r="AZ211" i="58"/>
  <c r="AV211" i="58"/>
  <c r="AP211" i="58"/>
  <c r="AO211" i="58"/>
  <c r="AN211" i="58"/>
  <c r="AL211" i="58"/>
  <c r="AI211" i="58"/>
  <c r="AE211" i="58"/>
  <c r="AF211" i="58" s="1"/>
  <c r="AG211" i="58" s="1"/>
  <c r="AH211" i="58" s="1"/>
  <c r="J211" i="58"/>
  <c r="I211" i="58"/>
  <c r="H211" i="58"/>
  <c r="F211" i="58"/>
  <c r="BK210" i="58"/>
  <c r="BJ210" i="58"/>
  <c r="BI210" i="58"/>
  <c r="BC210" i="58"/>
  <c r="BB210" i="58"/>
  <c r="BA210" i="58"/>
  <c r="AZ210" i="58"/>
  <c r="AV210" i="58"/>
  <c r="AP210" i="58"/>
  <c r="AO210" i="58"/>
  <c r="AN210" i="58"/>
  <c r="AL210" i="58"/>
  <c r="AI210" i="58"/>
  <c r="AE210" i="58"/>
  <c r="AF210" i="58" s="1"/>
  <c r="AG210" i="58" s="1"/>
  <c r="AH210" i="58" s="1"/>
  <c r="J210" i="58"/>
  <c r="I210" i="58"/>
  <c r="H210" i="58"/>
  <c r="F210" i="58"/>
  <c r="BK209" i="58"/>
  <c r="BJ209" i="58"/>
  <c r="BI209" i="58"/>
  <c r="BC209" i="58"/>
  <c r="BB209" i="58"/>
  <c r="BA209" i="58"/>
  <c r="AZ209" i="58"/>
  <c r="AV209" i="58"/>
  <c r="AP209" i="58"/>
  <c r="AO209" i="58"/>
  <c r="AN209" i="58"/>
  <c r="AL209" i="58"/>
  <c r="AI209" i="58"/>
  <c r="AE209" i="58"/>
  <c r="AF209" i="58" s="1"/>
  <c r="AG209" i="58" s="1"/>
  <c r="AH209" i="58" s="1"/>
  <c r="J209" i="58"/>
  <c r="I209" i="58"/>
  <c r="H209" i="58"/>
  <c r="F209" i="58"/>
  <c r="BK208" i="58"/>
  <c r="BJ208" i="58"/>
  <c r="BI208" i="58"/>
  <c r="BC208" i="58"/>
  <c r="BB208" i="58"/>
  <c r="BA208" i="58"/>
  <c r="AZ208" i="58"/>
  <c r="AV208" i="58"/>
  <c r="AP208" i="58"/>
  <c r="AO208" i="58"/>
  <c r="AN208" i="58"/>
  <c r="AL208" i="58"/>
  <c r="AI208" i="58"/>
  <c r="AE208" i="58"/>
  <c r="AF208" i="58" s="1"/>
  <c r="AG208" i="58" s="1"/>
  <c r="AH208" i="58" s="1"/>
  <c r="J208" i="58"/>
  <c r="I208" i="58"/>
  <c r="H208" i="58"/>
  <c r="F208" i="58"/>
  <c r="BK207" i="58"/>
  <c r="BJ207" i="58"/>
  <c r="BI207" i="58"/>
  <c r="BC207" i="58"/>
  <c r="BB207" i="58"/>
  <c r="BA207" i="58"/>
  <c r="AZ207" i="58"/>
  <c r="AV207" i="58"/>
  <c r="AP207" i="58"/>
  <c r="AO207" i="58"/>
  <c r="AN207" i="58"/>
  <c r="AL207" i="58"/>
  <c r="AI207" i="58"/>
  <c r="AE207" i="58"/>
  <c r="AF207" i="58" s="1"/>
  <c r="AG207" i="58" s="1"/>
  <c r="AH207" i="58" s="1"/>
  <c r="J207" i="58"/>
  <c r="I207" i="58"/>
  <c r="H207" i="58"/>
  <c r="F207" i="58"/>
  <c r="BK206" i="58"/>
  <c r="BJ206" i="58"/>
  <c r="BI206" i="58"/>
  <c r="BC206" i="58"/>
  <c r="BB206" i="58"/>
  <c r="BA206" i="58"/>
  <c r="AZ206" i="58"/>
  <c r="AV206" i="58"/>
  <c r="AP206" i="58"/>
  <c r="AO206" i="58"/>
  <c r="AN206" i="58"/>
  <c r="AL206" i="58"/>
  <c r="AI206" i="58"/>
  <c r="AE206" i="58"/>
  <c r="AF206" i="58" s="1"/>
  <c r="AG206" i="58" s="1"/>
  <c r="AH206" i="58" s="1"/>
  <c r="J206" i="58"/>
  <c r="I206" i="58"/>
  <c r="H206" i="58"/>
  <c r="F206" i="58"/>
  <c r="BK205" i="58"/>
  <c r="BJ205" i="58"/>
  <c r="BI205" i="58"/>
  <c r="BC205" i="58"/>
  <c r="BB205" i="58"/>
  <c r="BA205" i="58"/>
  <c r="AZ205" i="58"/>
  <c r="AV205" i="58"/>
  <c r="AP205" i="58"/>
  <c r="AO205" i="58"/>
  <c r="AN205" i="58"/>
  <c r="AL205" i="58"/>
  <c r="AI205" i="58"/>
  <c r="AE205" i="58"/>
  <c r="AF205" i="58" s="1"/>
  <c r="AG205" i="58" s="1"/>
  <c r="AH205" i="58" s="1"/>
  <c r="J205" i="58"/>
  <c r="I205" i="58"/>
  <c r="H205" i="58"/>
  <c r="F205" i="58"/>
  <c r="BK204" i="58"/>
  <c r="BJ204" i="58"/>
  <c r="BI204" i="58"/>
  <c r="BC204" i="58"/>
  <c r="BB204" i="58"/>
  <c r="BA204" i="58"/>
  <c r="AZ204" i="58"/>
  <c r="AV204" i="58"/>
  <c r="AP204" i="58"/>
  <c r="AO204" i="58"/>
  <c r="AN204" i="58"/>
  <c r="AL204" i="58"/>
  <c r="AI204" i="58"/>
  <c r="AE204" i="58"/>
  <c r="AF204" i="58" s="1"/>
  <c r="AG204" i="58" s="1"/>
  <c r="AH204" i="58" s="1"/>
  <c r="J204" i="58"/>
  <c r="I204" i="58"/>
  <c r="H204" i="58"/>
  <c r="F204" i="58"/>
  <c r="BK203" i="58"/>
  <c r="BJ203" i="58"/>
  <c r="BI203" i="58"/>
  <c r="BC203" i="58"/>
  <c r="BB203" i="58"/>
  <c r="BA203" i="58"/>
  <c r="AZ203" i="58"/>
  <c r="AV203" i="58"/>
  <c r="AP203" i="58"/>
  <c r="AO203" i="58"/>
  <c r="AN203" i="58"/>
  <c r="AL203" i="58"/>
  <c r="AI203" i="58"/>
  <c r="AE203" i="58"/>
  <c r="AF203" i="58" s="1"/>
  <c r="AG203" i="58" s="1"/>
  <c r="AH203" i="58" s="1"/>
  <c r="J203" i="58"/>
  <c r="I203" i="58"/>
  <c r="H203" i="58"/>
  <c r="F203" i="58"/>
  <c r="BK202" i="58"/>
  <c r="BJ202" i="58"/>
  <c r="BI202" i="58"/>
  <c r="BC202" i="58"/>
  <c r="BB202" i="58"/>
  <c r="BA202" i="58"/>
  <c r="AZ202" i="58"/>
  <c r="AV202" i="58"/>
  <c r="AP202" i="58"/>
  <c r="AO202" i="58"/>
  <c r="AN202" i="58"/>
  <c r="AL202" i="58"/>
  <c r="AI202" i="58"/>
  <c r="AE202" i="58"/>
  <c r="AF202" i="58" s="1"/>
  <c r="AG202" i="58" s="1"/>
  <c r="AH202" i="58" s="1"/>
  <c r="J202" i="58"/>
  <c r="I202" i="58"/>
  <c r="H202" i="58"/>
  <c r="F202" i="58"/>
  <c r="BK201" i="58"/>
  <c r="BJ201" i="58"/>
  <c r="BI201" i="58"/>
  <c r="BC201" i="58"/>
  <c r="BB201" i="58"/>
  <c r="BA201" i="58"/>
  <c r="AZ201" i="58"/>
  <c r="AV201" i="58"/>
  <c r="AP201" i="58"/>
  <c r="AO201" i="58"/>
  <c r="AN201" i="58"/>
  <c r="AL201" i="58"/>
  <c r="AI201" i="58"/>
  <c r="AE201" i="58"/>
  <c r="AF201" i="58" s="1"/>
  <c r="AG201" i="58" s="1"/>
  <c r="AH201" i="58" s="1"/>
  <c r="J201" i="58"/>
  <c r="I201" i="58"/>
  <c r="H201" i="58"/>
  <c r="F201" i="58"/>
  <c r="BK200" i="58"/>
  <c r="BJ200" i="58"/>
  <c r="BI200" i="58"/>
  <c r="BC200" i="58"/>
  <c r="BB200" i="58"/>
  <c r="BA200" i="58"/>
  <c r="AZ200" i="58"/>
  <c r="AV200" i="58"/>
  <c r="AP200" i="58"/>
  <c r="AO200" i="58"/>
  <c r="AN200" i="58"/>
  <c r="AL200" i="58"/>
  <c r="AI200" i="58"/>
  <c r="AE200" i="58"/>
  <c r="AF200" i="58" s="1"/>
  <c r="AG200" i="58" s="1"/>
  <c r="AH200" i="58" s="1"/>
  <c r="J200" i="58"/>
  <c r="I200" i="58"/>
  <c r="H200" i="58"/>
  <c r="F200" i="58"/>
  <c r="BK199" i="58"/>
  <c r="BJ199" i="58"/>
  <c r="BI199" i="58"/>
  <c r="BC199" i="58"/>
  <c r="BB199" i="58"/>
  <c r="BA199" i="58"/>
  <c r="AZ199" i="58"/>
  <c r="AV199" i="58"/>
  <c r="AP199" i="58"/>
  <c r="AO199" i="58"/>
  <c r="AN199" i="58"/>
  <c r="AL199" i="58"/>
  <c r="AI199" i="58"/>
  <c r="AE199" i="58"/>
  <c r="AF199" i="58" s="1"/>
  <c r="AG199" i="58" s="1"/>
  <c r="AH199" i="58" s="1"/>
  <c r="J199" i="58"/>
  <c r="I199" i="58"/>
  <c r="H199" i="58"/>
  <c r="F199" i="58"/>
  <c r="AV19" i="58"/>
  <c r="BK16" i="58"/>
  <c r="BJ16" i="58"/>
  <c r="BI16" i="58"/>
  <c r="BC16" i="58"/>
  <c r="BB16" i="58"/>
  <c r="BA16" i="58"/>
  <c r="AZ16" i="58"/>
  <c r="AY16" i="58"/>
  <c r="AX16" i="58"/>
  <c r="AW16" i="58"/>
  <c r="AV16" i="58"/>
  <c r="AP16" i="58"/>
  <c r="AO16" i="58"/>
  <c r="AN16" i="58"/>
  <c r="AM16" i="58"/>
  <c r="AL16" i="58"/>
  <c r="AK16" i="58"/>
  <c r="AJ16" i="58"/>
  <c r="AI16" i="58"/>
  <c r="AE16" i="58"/>
  <c r="AF16" i="58" s="1"/>
  <c r="AG16" i="58" s="1"/>
  <c r="AH16" i="58" s="1"/>
  <c r="L16" i="58"/>
  <c r="K16" i="58"/>
  <c r="J16" i="58"/>
  <c r="I16" i="58"/>
  <c r="H16" i="58"/>
  <c r="F16" i="58"/>
  <c r="D16" i="58"/>
  <c r="BK15" i="58"/>
  <c r="BJ15" i="58"/>
  <c r="BI15" i="58"/>
  <c r="BC15" i="58"/>
  <c r="BB15" i="58"/>
  <c r="BA15" i="58"/>
  <c r="AZ15" i="58"/>
  <c r="AY15" i="58"/>
  <c r="AX15" i="58"/>
  <c r="AW15" i="58"/>
  <c r="AV15" i="58"/>
  <c r="AP15" i="58"/>
  <c r="AO15" i="58"/>
  <c r="AN15" i="58"/>
  <c r="AM15" i="58"/>
  <c r="AL15" i="58"/>
  <c r="AK15" i="58"/>
  <c r="AJ15" i="58"/>
  <c r="AI15" i="58"/>
  <c r="AE15" i="58"/>
  <c r="AF15" i="58" s="1"/>
  <c r="AG15" i="58" s="1"/>
  <c r="AH15" i="58" s="1"/>
  <c r="L15" i="58"/>
  <c r="K15" i="58"/>
  <c r="J15" i="58"/>
  <c r="I15" i="58"/>
  <c r="H15" i="58"/>
  <c r="F15" i="58"/>
  <c r="D15" i="58"/>
  <c r="BK14" i="58"/>
  <c r="BJ14" i="58"/>
  <c r="BI14" i="58"/>
  <c r="BC14" i="58"/>
  <c r="BB14" i="58"/>
  <c r="BA14" i="58"/>
  <c r="AZ14" i="58"/>
  <c r="AY14" i="58"/>
  <c r="AX14" i="58"/>
  <c r="AW14" i="58"/>
  <c r="AV14" i="58"/>
  <c r="AP14" i="58"/>
  <c r="AO14" i="58"/>
  <c r="AN14" i="58"/>
  <c r="AM14" i="58"/>
  <c r="AL14" i="58"/>
  <c r="AK14" i="58"/>
  <c r="AJ14" i="58"/>
  <c r="AI14" i="58"/>
  <c r="AE14" i="58"/>
  <c r="AF14" i="58" s="1"/>
  <c r="AG14" i="58" s="1"/>
  <c r="AH14" i="58" s="1"/>
  <c r="L14" i="58"/>
  <c r="K14" i="58"/>
  <c r="J14" i="58"/>
  <c r="I14" i="58"/>
  <c r="H14" i="58"/>
  <c r="F14" i="58"/>
  <c r="D14" i="58"/>
  <c r="BK13" i="58"/>
  <c r="BJ13" i="58"/>
  <c r="BI13" i="58"/>
  <c r="BC13" i="58"/>
  <c r="BB13" i="58"/>
  <c r="BA13" i="58"/>
  <c r="AZ13" i="58"/>
  <c r="AY13" i="58"/>
  <c r="AX13" i="58"/>
  <c r="AW13" i="58"/>
  <c r="AV13" i="58"/>
  <c r="AP13" i="58"/>
  <c r="AO13" i="58"/>
  <c r="AN13" i="58"/>
  <c r="AM13" i="58"/>
  <c r="AL13" i="58"/>
  <c r="AK13" i="58"/>
  <c r="AJ13" i="58"/>
  <c r="AI13" i="58"/>
  <c r="AE13" i="58"/>
  <c r="AF13" i="58" s="1"/>
  <c r="AG13" i="58" s="1"/>
  <c r="AH13" i="58" s="1"/>
  <c r="L13" i="58"/>
  <c r="K13" i="58"/>
  <c r="J13" i="58"/>
  <c r="I13" i="58"/>
  <c r="H13" i="58"/>
  <c r="F13" i="58"/>
  <c r="D13" i="58"/>
  <c r="BK12" i="58"/>
  <c r="BJ12" i="58"/>
  <c r="BI12" i="58"/>
  <c r="BC12" i="58"/>
  <c r="BB12" i="58"/>
  <c r="BA12" i="58"/>
  <c r="AZ12" i="58"/>
  <c r="AY12" i="58"/>
  <c r="AX12" i="58"/>
  <c r="AW12" i="58"/>
  <c r="AV12" i="58"/>
  <c r="AP12" i="58"/>
  <c r="AO12" i="58"/>
  <c r="AN12" i="58"/>
  <c r="AM12" i="58"/>
  <c r="AL12" i="58"/>
  <c r="AK12" i="58"/>
  <c r="AJ12" i="58"/>
  <c r="AI12" i="58"/>
  <c r="AE12" i="58"/>
  <c r="AF12" i="58" s="1"/>
  <c r="AG12" i="58" s="1"/>
  <c r="AH12" i="58" s="1"/>
  <c r="L12" i="58"/>
  <c r="K12" i="58"/>
  <c r="J12" i="58"/>
  <c r="I12" i="58"/>
  <c r="H12" i="58"/>
  <c r="F12" i="58"/>
  <c r="D12" i="58"/>
  <c r="BK11" i="58"/>
  <c r="BJ11" i="58"/>
  <c r="BI11" i="58"/>
  <c r="BC11" i="58"/>
  <c r="BB11" i="58"/>
  <c r="BA11" i="58"/>
  <c r="AZ11" i="58"/>
  <c r="AY11" i="58"/>
  <c r="AX11" i="58"/>
  <c r="AW11" i="58"/>
  <c r="AV11" i="58"/>
  <c r="AP11" i="58"/>
  <c r="AO11" i="58"/>
  <c r="AN11" i="58"/>
  <c r="AM11" i="58"/>
  <c r="AL11" i="58"/>
  <c r="AK11" i="58"/>
  <c r="AJ11" i="58"/>
  <c r="AI11" i="58"/>
  <c r="AE11" i="58"/>
  <c r="AF11" i="58" s="1"/>
  <c r="AG11" i="58" s="1"/>
  <c r="AH11" i="58" s="1"/>
  <c r="L11" i="58"/>
  <c r="K11" i="58"/>
  <c r="J11" i="58"/>
  <c r="I11" i="58"/>
  <c r="H11" i="58"/>
  <c r="F11" i="58"/>
  <c r="D11" i="58"/>
  <c r="BK10" i="58"/>
  <c r="BJ10" i="58"/>
  <c r="BI10" i="58"/>
  <c r="BC10" i="58"/>
  <c r="BB10" i="58"/>
  <c r="BA10" i="58"/>
  <c r="AZ10" i="58"/>
  <c r="AY10" i="58"/>
  <c r="AX10" i="58"/>
  <c r="AW10" i="58"/>
  <c r="AV10" i="58"/>
  <c r="AP10" i="58"/>
  <c r="AO10" i="58"/>
  <c r="AN10" i="58"/>
  <c r="AM10" i="58"/>
  <c r="AL10" i="58"/>
  <c r="AK10" i="58"/>
  <c r="AJ10" i="58"/>
  <c r="AI10" i="58"/>
  <c r="AE10" i="58"/>
  <c r="AF10" i="58" s="1"/>
  <c r="AG10" i="58" s="1"/>
  <c r="AH10" i="58" s="1"/>
  <c r="L10" i="58"/>
  <c r="K10" i="58"/>
  <c r="J10" i="58"/>
  <c r="I10" i="58"/>
  <c r="H10" i="58"/>
  <c r="F10" i="58"/>
  <c r="D10" i="58"/>
  <c r="BK9" i="58"/>
  <c r="BJ9" i="58"/>
  <c r="BI9" i="58"/>
  <c r="BC9" i="58"/>
  <c r="BB9" i="58"/>
  <c r="BA9" i="58"/>
  <c r="AZ9" i="58"/>
  <c r="AY9" i="58"/>
  <c r="AX9" i="58"/>
  <c r="AW9" i="58"/>
  <c r="AV9" i="58"/>
  <c r="AP9" i="58"/>
  <c r="AO9" i="58"/>
  <c r="AN9" i="58"/>
  <c r="AM9" i="58"/>
  <c r="AL9" i="58"/>
  <c r="AK9" i="58"/>
  <c r="AJ9" i="58"/>
  <c r="AI9" i="58"/>
  <c r="AE9" i="58"/>
  <c r="AF9" i="58" s="1"/>
  <c r="AG9" i="58" s="1"/>
  <c r="AH9" i="58" s="1"/>
  <c r="L9" i="58"/>
  <c r="K9" i="58"/>
  <c r="J9" i="58"/>
  <c r="I9" i="58"/>
  <c r="H9" i="58"/>
  <c r="F9" i="58"/>
  <c r="D9" i="58"/>
  <c r="BK8" i="58"/>
  <c r="BJ8" i="58"/>
  <c r="BI8" i="58"/>
  <c r="BC8" i="58"/>
  <c r="BB8" i="58"/>
  <c r="BA8" i="58"/>
  <c r="AZ8" i="58"/>
  <c r="AY8" i="58"/>
  <c r="AX8" i="58"/>
  <c r="AW8" i="58"/>
  <c r="AV8" i="58"/>
  <c r="AP8" i="58"/>
  <c r="AO8" i="58"/>
  <c r="AN8" i="58"/>
  <c r="AM8" i="58"/>
  <c r="AL8" i="58"/>
  <c r="AK8" i="58"/>
  <c r="AJ8" i="58"/>
  <c r="AI8" i="58"/>
  <c r="AE8" i="58"/>
  <c r="AF8" i="58" s="1"/>
  <c r="AG8" i="58" s="1"/>
  <c r="AH8" i="58" s="1"/>
  <c r="L8" i="58"/>
  <c r="K8" i="58"/>
  <c r="J8" i="58"/>
  <c r="I8" i="58"/>
  <c r="H8" i="58"/>
  <c r="F8" i="58"/>
  <c r="D8" i="58"/>
  <c r="BK7" i="58"/>
  <c r="BJ7" i="58"/>
  <c r="BI7" i="58"/>
  <c r="BC7" i="58"/>
  <c r="BB7" i="58"/>
  <c r="BA7" i="58"/>
  <c r="AZ7" i="58"/>
  <c r="AY7" i="58"/>
  <c r="AX7" i="58"/>
  <c r="AW7" i="58"/>
  <c r="AV7" i="58"/>
  <c r="AP7" i="58"/>
  <c r="AO7" i="58"/>
  <c r="AN7" i="58"/>
  <c r="AM7" i="58"/>
  <c r="AL7" i="58"/>
  <c r="AK7" i="58"/>
  <c r="AJ7" i="58"/>
  <c r="AI7" i="58"/>
  <c r="AE7" i="58"/>
  <c r="AF7" i="58" s="1"/>
  <c r="AG7" i="58" s="1"/>
  <c r="AH7" i="58" s="1"/>
  <c r="L7" i="58"/>
  <c r="K7" i="58"/>
  <c r="J7" i="58"/>
  <c r="I7" i="58"/>
  <c r="H7" i="58"/>
  <c r="F7" i="58"/>
  <c r="D7" i="58"/>
  <c r="BK6" i="58"/>
  <c r="BJ6" i="58"/>
  <c r="BI6" i="58"/>
  <c r="BC6" i="58"/>
  <c r="BB6" i="58"/>
  <c r="BA6" i="58"/>
  <c r="AZ6" i="58"/>
  <c r="AY6" i="58"/>
  <c r="AX6" i="58"/>
  <c r="AW6" i="58"/>
  <c r="AV6" i="58"/>
  <c r="AP6" i="58"/>
  <c r="AO6" i="58"/>
  <c r="AN6" i="58"/>
  <c r="AM6" i="58"/>
  <c r="AL6" i="58"/>
  <c r="AK6" i="58"/>
  <c r="AJ6" i="58"/>
  <c r="AI6" i="58"/>
  <c r="AE6" i="58"/>
  <c r="AF6" i="58" s="1"/>
  <c r="AG6" i="58" s="1"/>
  <c r="AH6" i="58" s="1"/>
  <c r="L6" i="58"/>
  <c r="K6" i="58"/>
  <c r="J6" i="58"/>
  <c r="I6" i="58"/>
  <c r="H6" i="58"/>
  <c r="F6" i="58"/>
  <c r="D6" i="58"/>
  <c r="BK5" i="58"/>
  <c r="BJ5" i="58"/>
  <c r="BI5" i="58"/>
  <c r="BC5" i="58"/>
  <c r="BB5" i="58"/>
  <c r="BA5" i="58"/>
  <c r="AZ5" i="58"/>
  <c r="AY5" i="58"/>
  <c r="AX5" i="58"/>
  <c r="AW5" i="58"/>
  <c r="AV5" i="58"/>
  <c r="AP5" i="58"/>
  <c r="AO5" i="58"/>
  <c r="AN5" i="58"/>
  <c r="AM5" i="58"/>
  <c r="AL5" i="58"/>
  <c r="AK5" i="58"/>
  <c r="AJ5" i="58"/>
  <c r="AI5" i="58"/>
  <c r="AE5" i="58"/>
  <c r="AF5" i="58" s="1"/>
  <c r="AG5" i="58" s="1"/>
  <c r="AH5" i="58" s="1"/>
  <c r="L5" i="58"/>
  <c r="K5" i="58"/>
  <c r="J5" i="58"/>
  <c r="I5" i="58"/>
  <c r="H5" i="58"/>
  <c r="F5" i="58"/>
  <c r="D5" i="58"/>
  <c r="BK4" i="58"/>
  <c r="BJ4" i="58"/>
  <c r="BI4" i="58"/>
  <c r="BC4" i="58"/>
  <c r="BB4" i="58"/>
  <c r="BA4" i="58"/>
  <c r="AZ4" i="58"/>
  <c r="AY4" i="58"/>
  <c r="AX4" i="58"/>
  <c r="AW4" i="58"/>
  <c r="AV4" i="58"/>
  <c r="AP4" i="58"/>
  <c r="AO4" i="58"/>
  <c r="AN4" i="58"/>
  <c r="AM4" i="58"/>
  <c r="AL4" i="58"/>
  <c r="AK4" i="58"/>
  <c r="AJ4" i="58"/>
  <c r="AI4" i="58"/>
  <c r="AE4" i="58"/>
  <c r="AF4" i="58" s="1"/>
  <c r="AG4" i="58" s="1"/>
  <c r="AH4" i="58" s="1"/>
  <c r="L4" i="58"/>
  <c r="K4" i="58"/>
  <c r="J4" i="58"/>
  <c r="I4" i="58"/>
  <c r="H4" i="58"/>
  <c r="F4" i="58"/>
  <c r="D4" i="58"/>
  <c r="BK3" i="58"/>
  <c r="BJ3" i="58"/>
  <c r="BI3" i="58"/>
  <c r="BC3" i="58"/>
  <c r="BB3" i="58"/>
  <c r="BA3" i="58"/>
  <c r="AZ3" i="58"/>
  <c r="AY3" i="58"/>
  <c r="AX3" i="58"/>
  <c r="AW3" i="58"/>
  <c r="AV3" i="58"/>
  <c r="AP3" i="58"/>
  <c r="AO3" i="58"/>
  <c r="AN3" i="58"/>
  <c r="AM3" i="58"/>
  <c r="AL3" i="58"/>
  <c r="AK3" i="58"/>
  <c r="AJ3" i="58"/>
  <c r="AI3" i="58"/>
  <c r="AE3" i="58"/>
  <c r="AF3" i="58" s="1"/>
  <c r="AG3" i="58" s="1"/>
  <c r="AH3" i="58" s="1"/>
  <c r="L3" i="58"/>
  <c r="K3" i="58"/>
  <c r="J3" i="58"/>
  <c r="I3" i="58"/>
  <c r="H3" i="58"/>
  <c r="F3" i="58"/>
  <c r="D3" i="58"/>
  <c r="BK2" i="58"/>
  <c r="BJ2" i="58"/>
  <c r="BI2" i="58"/>
  <c r="BC2" i="58"/>
  <c r="BB2" i="58"/>
  <c r="BA2" i="58"/>
  <c r="AZ2" i="58"/>
  <c r="AY2" i="58"/>
  <c r="AX2" i="58"/>
  <c r="AW2" i="58"/>
  <c r="AV2" i="58"/>
  <c r="AP2" i="58"/>
  <c r="AO2" i="58"/>
  <c r="AN2" i="58"/>
  <c r="AM2" i="58"/>
  <c r="AL2" i="58"/>
  <c r="AK2" i="58"/>
  <c r="AJ2" i="58"/>
  <c r="AI2" i="58"/>
  <c r="AE2" i="58"/>
  <c r="AF2" i="58" s="1"/>
  <c r="AG2" i="58" s="1"/>
  <c r="AH2" i="58" s="1"/>
  <c r="L2" i="58"/>
  <c r="K2" i="58"/>
  <c r="J2" i="58"/>
  <c r="I2" i="58"/>
  <c r="H2" i="58"/>
  <c r="F2" i="58"/>
  <c r="D2" i="58"/>
  <c r="AF289" i="11" l="1"/>
  <c r="AM289" i="11"/>
  <c r="AE289" i="11"/>
  <c r="AF136" i="11"/>
  <c r="AN477" i="11"/>
  <c r="BK241" i="65" s="1"/>
  <c r="AE441" i="11"/>
  <c r="BB209" i="65" s="1"/>
  <c r="AV13" i="65"/>
  <c r="AF401" i="11"/>
  <c r="BC170" i="65" s="1"/>
  <c r="AF342" i="11"/>
  <c r="BC114" i="65" s="1"/>
  <c r="AC377" i="11"/>
  <c r="AZ147" i="65" s="1"/>
  <c r="AV134" i="65"/>
  <c r="AD271" i="11"/>
  <c r="BA58" i="65" s="1"/>
  <c r="AN342" i="11"/>
  <c r="BK114" i="65" s="1"/>
  <c r="AM136" i="11"/>
  <c r="AN401" i="11"/>
  <c r="BK170" i="65" s="1"/>
  <c r="AV173" i="65"/>
  <c r="AF397" i="11"/>
  <c r="BC166" i="65" s="1"/>
  <c r="AL397" i="11"/>
  <c r="BI166" i="65" s="1"/>
  <c r="AV121" i="65"/>
  <c r="AL424" i="11"/>
  <c r="BI192" i="65" s="1"/>
  <c r="AC401" i="11"/>
  <c r="AZ170" i="65" s="1"/>
  <c r="AC232" i="11"/>
  <c r="AZ21" i="65" s="1"/>
  <c r="AN232" i="11"/>
  <c r="BK21" i="65" s="1"/>
  <c r="AE401" i="11"/>
  <c r="BB170" i="65" s="1"/>
  <c r="AD401" i="11"/>
  <c r="BA170" i="65" s="1"/>
  <c r="AD323" i="11"/>
  <c r="BA98" i="65" s="1"/>
  <c r="AV62" i="65"/>
  <c r="AC93" i="11"/>
  <c r="AL93" i="11"/>
  <c r="AF450" i="11"/>
  <c r="BC216" i="65" s="1"/>
  <c r="AM125" i="11"/>
  <c r="AN93" i="11"/>
  <c r="AL68" i="11"/>
  <c r="AL33" i="11"/>
  <c r="AV138" i="65"/>
  <c r="AN56" i="11"/>
  <c r="AD447" i="11"/>
  <c r="AL447" i="11"/>
  <c r="AL262" i="11"/>
  <c r="BI50" i="65" s="1"/>
  <c r="AD262" i="11"/>
  <c r="BA50" i="65" s="1"/>
  <c r="AD450" i="11"/>
  <c r="BA216" i="65" s="1"/>
  <c r="AL332" i="11"/>
  <c r="BI106" i="65" s="1"/>
  <c r="AF332" i="11"/>
  <c r="BC106" i="65" s="1"/>
  <c r="AD80" i="11"/>
  <c r="AM56" i="11"/>
  <c r="AM420" i="11"/>
  <c r="BJ188" i="65" s="1"/>
  <c r="AF80" i="11"/>
  <c r="AF56" i="11"/>
  <c r="AF75" i="11"/>
  <c r="AL353" i="11"/>
  <c r="BI123" i="65" s="1"/>
  <c r="AE353" i="11"/>
  <c r="BB123" i="65" s="1"/>
  <c r="AF278" i="11"/>
  <c r="BC63" i="65" s="1"/>
  <c r="AN278" i="11"/>
  <c r="BK63" i="65" s="1"/>
  <c r="AD278" i="11"/>
  <c r="BA63" i="65" s="1"/>
  <c r="AV6" i="65"/>
  <c r="AV60" i="65"/>
  <c r="AM424" i="11"/>
  <c r="BJ192" i="65" s="1"/>
  <c r="AE390" i="11"/>
  <c r="BB159" i="65" s="1"/>
  <c r="AE33" i="11"/>
  <c r="AD424" i="11"/>
  <c r="BA192" i="65" s="1"/>
  <c r="AF390" i="11"/>
  <c r="BC159" i="65" s="1"/>
  <c r="AF68" i="11"/>
  <c r="AF33" i="11"/>
  <c r="AF424" i="11"/>
  <c r="BC192" i="65" s="1"/>
  <c r="AL324" i="11"/>
  <c r="BI99" i="65" s="1"/>
  <c r="AC324" i="11"/>
  <c r="AZ99" i="65" s="1"/>
  <c r="AD390" i="11"/>
  <c r="BA159" i="65" s="1"/>
  <c r="AC68" i="11"/>
  <c r="AN33" i="11"/>
  <c r="AM33" i="11"/>
  <c r="AE424" i="11"/>
  <c r="BB192" i="65" s="1"/>
  <c r="AM371" i="11"/>
  <c r="BJ142" i="65" s="1"/>
  <c r="AF371" i="11"/>
  <c r="BC142" i="65" s="1"/>
  <c r="AE371" i="11"/>
  <c r="BB142" i="65" s="1"/>
  <c r="AC318" i="11"/>
  <c r="AD318" i="11"/>
  <c r="AN450" i="11"/>
  <c r="BK216" i="65" s="1"/>
  <c r="AE450" i="11"/>
  <c r="BB216" i="65" s="1"/>
  <c r="AN105" i="11"/>
  <c r="AE93" i="11"/>
  <c r="AD93" i="11"/>
  <c r="AF468" i="11"/>
  <c r="BC234" i="65" s="1"/>
  <c r="AF93" i="11"/>
  <c r="AV140" i="65"/>
  <c r="AC48" i="11"/>
  <c r="AL48" i="11"/>
  <c r="AL478" i="11"/>
  <c r="BI242" i="65" s="1"/>
  <c r="AM478" i="11"/>
  <c r="BJ242" i="65" s="1"/>
  <c r="AD397" i="11"/>
  <c r="BA166" i="65" s="1"/>
  <c r="AM464" i="11"/>
  <c r="AL464" i="11"/>
  <c r="AC342" i="11"/>
  <c r="AZ114" i="65" s="1"/>
  <c r="AM332" i="11"/>
  <c r="BJ106" i="65" s="1"/>
  <c r="AM375" i="11"/>
  <c r="BJ145" i="65" s="1"/>
  <c r="AL242" i="11"/>
  <c r="BI31" i="65" s="1"/>
  <c r="AC441" i="11"/>
  <c r="AZ209" i="65" s="1"/>
  <c r="AN375" i="11"/>
  <c r="BK145" i="65" s="1"/>
  <c r="AM477" i="11"/>
  <c r="BJ241" i="65" s="1"/>
  <c r="AL477" i="11"/>
  <c r="BI241" i="65" s="1"/>
  <c r="AV227" i="65"/>
  <c r="AN242" i="11"/>
  <c r="BK31" i="65" s="1"/>
  <c r="AE41" i="11"/>
  <c r="AC21" i="11"/>
  <c r="AL21" i="11"/>
  <c r="AL473" i="11"/>
  <c r="BI237" i="65" s="1"/>
  <c r="AM473" i="11"/>
  <c r="BJ237" i="65" s="1"/>
  <c r="AL450" i="11"/>
  <c r="BI216" i="65" s="1"/>
  <c r="AC450" i="11"/>
  <c r="AZ216" i="65" s="1"/>
  <c r="AL470" i="11"/>
  <c r="AM470" i="11"/>
  <c r="AF441" i="11"/>
  <c r="BC209" i="65" s="1"/>
  <c r="AF377" i="11"/>
  <c r="BC147" i="65" s="1"/>
  <c r="AC323" i="11"/>
  <c r="AZ98" i="65" s="1"/>
  <c r="AL271" i="11"/>
  <c r="BI58" i="65" s="1"/>
  <c r="AF125" i="11"/>
  <c r="AM41" i="11"/>
  <c r="AF242" i="11"/>
  <c r="BC31" i="65" s="1"/>
  <c r="T266" i="11"/>
  <c r="AL466" i="11"/>
  <c r="AM466" i="11"/>
  <c r="AL441" i="11"/>
  <c r="BI209" i="65" s="1"/>
  <c r="AL377" i="11"/>
  <c r="BI147" i="65" s="1"/>
  <c r="AC333" i="11"/>
  <c r="AZ107" i="65" s="1"/>
  <c r="AN271" i="11"/>
  <c r="BK58" i="65" s="1"/>
  <c r="AC125" i="11"/>
  <c r="AD125" i="11"/>
  <c r="AD41" i="11"/>
  <c r="AV55" i="65"/>
  <c r="AD454" i="11"/>
  <c r="BA220" i="65" s="1"/>
  <c r="AN454" i="11"/>
  <c r="BK220" i="65" s="1"/>
  <c r="AM454" i="11"/>
  <c r="BJ220" i="65" s="1"/>
  <c r="AL454" i="11"/>
  <c r="BI220" i="65" s="1"/>
  <c r="AL474" i="11"/>
  <c r="BI238" i="65" s="1"/>
  <c r="AM474" i="11"/>
  <c r="BJ238" i="65" s="1"/>
  <c r="AE125" i="11"/>
  <c r="AM469" i="11"/>
  <c r="AL469" i="11"/>
  <c r="AN377" i="11"/>
  <c r="BK147" i="65" s="1"/>
  <c r="AE333" i="11"/>
  <c r="BB107" i="65" s="1"/>
  <c r="AL125" i="11"/>
  <c r="AE377" i="11"/>
  <c r="BB147" i="65" s="1"/>
  <c r="AL468" i="11"/>
  <c r="BI234" i="65" s="1"/>
  <c r="AM468" i="11"/>
  <c r="BJ234" i="65" s="1"/>
  <c r="AM462" i="11"/>
  <c r="AL462" i="11"/>
  <c r="AD377" i="11"/>
  <c r="BA147" i="65" s="1"/>
  <c r="AD375" i="11"/>
  <c r="BA145" i="65" s="1"/>
  <c r="AE271" i="11"/>
  <c r="BB58" i="65" s="1"/>
  <c r="AF271" i="11"/>
  <c r="BC58" i="65" s="1"/>
  <c r="AC271" i="11"/>
  <c r="AZ58" i="65" s="1"/>
  <c r="AV212" i="65"/>
  <c r="AC13" i="11"/>
  <c r="AL13" i="11"/>
  <c r="AL107" i="11"/>
  <c r="AE107" i="11"/>
  <c r="AL481" i="11"/>
  <c r="AM481" i="11"/>
  <c r="AN246" i="11"/>
  <c r="BK35" i="65" s="1"/>
  <c r="AC246" i="11"/>
  <c r="AZ35" i="65" s="1"/>
  <c r="AL246" i="11"/>
  <c r="BI35" i="65" s="1"/>
  <c r="AF246" i="11"/>
  <c r="BC35" i="65" s="1"/>
  <c r="AN44" i="11"/>
  <c r="AD44" i="11"/>
  <c r="AV128" i="65"/>
  <c r="T398" i="11"/>
  <c r="AV167" i="65"/>
  <c r="T379" i="11"/>
  <c r="AV149" i="65"/>
  <c r="T237" i="11"/>
  <c r="AV26" i="65"/>
  <c r="T378" i="11"/>
  <c r="AV148" i="65"/>
  <c r="AD468" i="11"/>
  <c r="BA234" i="65" s="1"/>
  <c r="AN468" i="11"/>
  <c r="BK234" i="65" s="1"/>
  <c r="AE468" i="11"/>
  <c r="BB234" i="65" s="1"/>
  <c r="AD332" i="11"/>
  <c r="BA106" i="65" s="1"/>
  <c r="AN332" i="11"/>
  <c r="BK106" i="65" s="1"/>
  <c r="AV28" i="65"/>
  <c r="T239" i="11"/>
  <c r="AV136" i="65"/>
  <c r="AV235" i="65"/>
  <c r="AV64" i="65"/>
  <c r="AV153" i="65"/>
  <c r="AV178" i="65"/>
  <c r="T396" i="11"/>
  <c r="AV165" i="65"/>
  <c r="AE246" i="11"/>
  <c r="BB35" i="65" s="1"/>
  <c r="T283" i="11"/>
  <c r="AV68" i="65"/>
  <c r="AD105" i="11"/>
  <c r="T214" i="11"/>
  <c r="AV3" i="65"/>
  <c r="T238" i="11"/>
  <c r="AV27" i="65"/>
  <c r="AV154" i="65"/>
  <c r="T352" i="11"/>
  <c r="AV122" i="65"/>
  <c r="T346" i="11"/>
  <c r="AV116" i="65"/>
  <c r="AD246" i="11"/>
  <c r="BA35" i="65" s="1"/>
  <c r="AF105" i="11"/>
  <c r="T293" i="11"/>
  <c r="AV70" i="65"/>
  <c r="AM68" i="11"/>
  <c r="AD68" i="11"/>
  <c r="AE68" i="11"/>
  <c r="T319" i="11"/>
  <c r="AV94" i="65"/>
  <c r="T257" i="11"/>
  <c r="AV45" i="65"/>
  <c r="AV213" i="65"/>
  <c r="AV129" i="65"/>
  <c r="AV127" i="65"/>
  <c r="AV193" i="65"/>
  <c r="AV125" i="65"/>
  <c r="AV89" i="65"/>
  <c r="AV160" i="65"/>
  <c r="AV237" i="65"/>
  <c r="AV225" i="65"/>
  <c r="T386" i="11"/>
  <c r="AV155" i="65"/>
  <c r="T307" i="11"/>
  <c r="AV84" i="65"/>
  <c r="AM246" i="11"/>
  <c r="BJ35" i="65" s="1"/>
  <c r="T250" i="11"/>
  <c r="AV39" i="65"/>
  <c r="T242" i="11"/>
  <c r="AV31" i="65"/>
  <c r="T465" i="11"/>
  <c r="AV231" i="65"/>
  <c r="T432" i="11"/>
  <c r="AV200" i="65"/>
  <c r="AV137" i="65"/>
  <c r="AV135" i="65"/>
  <c r="AV198" i="65"/>
  <c r="AV164" i="65"/>
  <c r="AV112" i="65"/>
  <c r="T393" i="11"/>
  <c r="AV162" i="65"/>
  <c r="AL105" i="11"/>
  <c r="AE105" i="11"/>
  <c r="T240" i="11"/>
  <c r="AV29" i="65"/>
  <c r="T453" i="11"/>
  <c r="AV219" i="65"/>
  <c r="T309" i="11"/>
  <c r="AV86" i="65"/>
  <c r="T423" i="11"/>
  <c r="AV191" i="65"/>
  <c r="T401" i="11"/>
  <c r="AV170" i="65"/>
  <c r="T227" i="11"/>
  <c r="AV16" i="65"/>
  <c r="AF477" i="11"/>
  <c r="BC241" i="65" s="1"/>
  <c r="AE477" i="11"/>
  <c r="BB241" i="65" s="1"/>
  <c r="AD477" i="11"/>
  <c r="BA241" i="65" s="1"/>
  <c r="AV161" i="65"/>
  <c r="T301" i="11"/>
  <c r="AV78" i="65"/>
  <c r="T249" i="11"/>
  <c r="AV38" i="65"/>
  <c r="T259" i="11"/>
  <c r="AV47" i="65"/>
  <c r="AN41" i="11"/>
  <c r="AL41" i="11"/>
  <c r="AV210" i="65"/>
  <c r="AV228" i="65"/>
  <c r="AV194" i="65"/>
  <c r="AV208" i="65"/>
  <c r="AV73" i="65"/>
  <c r="AV234" i="65"/>
  <c r="AE420" i="11"/>
  <c r="BB188" i="65" s="1"/>
  <c r="AD420" i="11"/>
  <c r="BA188" i="65" s="1"/>
  <c r="AC420" i="11"/>
  <c r="AZ188" i="65" s="1"/>
  <c r="T457" i="11"/>
  <c r="AV223" i="65"/>
  <c r="T248" i="11"/>
  <c r="AV37" i="65"/>
  <c r="T229" i="11"/>
  <c r="AV20" i="65"/>
  <c r="T243" i="11"/>
  <c r="AV32" i="65"/>
  <c r="T244" i="11"/>
  <c r="AV33" i="65"/>
  <c r="AC105" i="11"/>
  <c r="AF44" i="11"/>
  <c r="AL342" i="11"/>
  <c r="BI114" i="65" s="1"/>
  <c r="AE342" i="11"/>
  <c r="BB114" i="65" s="1"/>
  <c r="AM342" i="11"/>
  <c r="BJ114" i="65" s="1"/>
  <c r="AL375" i="11"/>
  <c r="BI145" i="65" s="1"/>
  <c r="AC375" i="11"/>
  <c r="AZ145" i="65" s="1"/>
  <c r="T267" i="11"/>
  <c r="AV54" i="65"/>
  <c r="T225" i="11"/>
  <c r="AV14" i="65"/>
  <c r="T258" i="11"/>
  <c r="AV46" i="65"/>
  <c r="AV204" i="65"/>
  <c r="AV98" i="65"/>
  <c r="T333" i="11"/>
  <c r="AV107" i="65"/>
  <c r="T263" i="11"/>
  <c r="AV51" i="65"/>
  <c r="AL44" i="11"/>
  <c r="AE323" i="11"/>
  <c r="BB98" i="65" s="1"/>
  <c r="AL323" i="11"/>
  <c r="BI98" i="65" s="1"/>
  <c r="AN397" i="11"/>
  <c r="BK166" i="65" s="1"/>
  <c r="AE397" i="11"/>
  <c r="BB166" i="65" s="1"/>
  <c r="AC397" i="11"/>
  <c r="AZ166" i="65" s="1"/>
  <c r="AL333" i="11"/>
  <c r="BI107" i="65" s="1"/>
  <c r="AD333" i="11"/>
  <c r="BA107" i="65" s="1"/>
  <c r="AM333" i="11"/>
  <c r="BJ107" i="65" s="1"/>
  <c r="AN333" i="11"/>
  <c r="BK107" i="65" s="1"/>
  <c r="AM232" i="11"/>
  <c r="BJ21" i="65" s="1"/>
  <c r="AL232" i="11"/>
  <c r="BI21" i="65" s="1"/>
  <c r="AE232" i="11"/>
  <c r="BB21" i="65" s="1"/>
  <c r="AD232" i="11"/>
  <c r="BA21" i="65" s="1"/>
  <c r="AV190" i="65"/>
  <c r="AV159" i="65"/>
  <c r="AV187" i="65"/>
  <c r="AF420" i="11"/>
  <c r="BC188" i="65" s="1"/>
  <c r="AC44" i="11"/>
  <c r="T414" i="11"/>
  <c r="AV183" i="65"/>
  <c r="AV11" i="65"/>
  <c r="T222" i="11"/>
  <c r="AV92" i="65"/>
  <c r="AV82" i="65"/>
  <c r="AV179" i="65"/>
  <c r="AV106" i="65"/>
  <c r="AV236" i="65"/>
  <c r="T441" i="11"/>
  <c r="AV209" i="65"/>
  <c r="T299" i="11"/>
  <c r="AV76" i="65"/>
  <c r="T424" i="11"/>
  <c r="AV192" i="65"/>
  <c r="AL420" i="11"/>
  <c r="BI188" i="65" s="1"/>
  <c r="T374" i="11"/>
  <c r="AV144" i="65"/>
  <c r="T255" i="11"/>
  <c r="AV43" i="65"/>
  <c r="T302" i="11"/>
  <c r="AV79" i="65"/>
  <c r="T246" i="11"/>
  <c r="AV35" i="65"/>
  <c r="T245" i="11"/>
  <c r="AV34" i="65"/>
  <c r="AM44" i="11"/>
  <c r="AV9" i="65"/>
  <c r="T220" i="11"/>
  <c r="T389" i="11"/>
  <c r="AV158" i="65"/>
  <c r="AV131" i="65"/>
  <c r="AV221" i="65"/>
  <c r="T213" i="11"/>
  <c r="AV2" i="65"/>
  <c r="AN80" i="11"/>
  <c r="AL80" i="11"/>
  <c r="AE80" i="11"/>
  <c r="AD75" i="11"/>
  <c r="AE75" i="11"/>
  <c r="AN75" i="11"/>
  <c r="AM75" i="11"/>
  <c r="AC75" i="11"/>
  <c r="AV52" i="65"/>
  <c r="T265" i="11"/>
  <c r="T221" i="11"/>
  <c r="AV10" i="65"/>
  <c r="AN162" i="11"/>
  <c r="AE162" i="11"/>
  <c r="AN24" i="11"/>
  <c r="AM24" i="11"/>
  <c r="AD24" i="11"/>
  <c r="AF24" i="11"/>
  <c r="AE24" i="11"/>
  <c r="AC24" i="11"/>
  <c r="AM70" i="11"/>
  <c r="AL70" i="11"/>
  <c r="AD70" i="11"/>
  <c r="AN43" i="11"/>
  <c r="AL43" i="11"/>
  <c r="AN270" i="11"/>
  <c r="BK57" i="65" s="1"/>
  <c r="AL270" i="11"/>
  <c r="BI57" i="65" s="1"/>
  <c r="AE270" i="11"/>
  <c r="BB57" i="65" s="1"/>
  <c r="T247" i="11"/>
  <c r="AV36" i="65"/>
  <c r="AN39" i="11"/>
  <c r="AL39" i="11"/>
  <c r="T234" i="11"/>
  <c r="AV23" i="65"/>
  <c r="AE308" i="11"/>
  <c r="BB85" i="65" s="1"/>
  <c r="AN308" i="11"/>
  <c r="BK85" i="65" s="1"/>
  <c r="AC308" i="11"/>
  <c r="AZ85" i="65" s="1"/>
  <c r="AL308" i="11"/>
  <c r="BI85" i="65" s="1"/>
  <c r="AL199" i="11"/>
  <c r="AE199" i="11"/>
  <c r="AD321" i="11"/>
  <c r="BA96" i="65" s="1"/>
  <c r="AN321" i="11"/>
  <c r="BK96" i="65" s="1"/>
  <c r="AM321" i="11"/>
  <c r="BJ96" i="65" s="1"/>
  <c r="AE321" i="11"/>
  <c r="BB96" i="65" s="1"/>
  <c r="AL321" i="11"/>
  <c r="BI96" i="65" s="1"/>
  <c r="T228" i="11"/>
  <c r="AV17" i="65"/>
  <c r="AF229" i="11"/>
  <c r="BC20" i="65" s="1"/>
  <c r="AM229" i="11"/>
  <c r="BJ20" i="65" s="1"/>
  <c r="AD229" i="11"/>
  <c r="BA20" i="65" s="1"/>
  <c r="AE229" i="11"/>
  <c r="BB20" i="65" s="1"/>
  <c r="AN311" i="11"/>
  <c r="BK88" i="65" s="1"/>
  <c r="AL311" i="11"/>
  <c r="BI88" i="65" s="1"/>
  <c r="AV25" i="65"/>
  <c r="T236" i="11"/>
  <c r="AM126" i="11"/>
  <c r="AF126" i="11"/>
  <c r="AL358" i="11"/>
  <c r="BI128" i="65" s="1"/>
  <c r="AF358" i="11"/>
  <c r="BC128" i="65" s="1"/>
  <c r="AV21" i="65"/>
  <c r="T232" i="11"/>
  <c r="AD57" i="11"/>
  <c r="AM57" i="11"/>
  <c r="AE57" i="11"/>
  <c r="AL57" i="11"/>
  <c r="AF57" i="11"/>
  <c r="AC57" i="11"/>
  <c r="AV40" i="65"/>
  <c r="T252" i="11"/>
  <c r="T223" i="11"/>
  <c r="AV12" i="65"/>
  <c r="AN448" i="11"/>
  <c r="BK213" i="65" s="1"/>
  <c r="AM448" i="11"/>
  <c r="BJ213" i="65" s="1"/>
  <c r="AL448" i="11"/>
  <c r="BI213" i="65" s="1"/>
  <c r="AE448" i="11"/>
  <c r="BB213" i="65" s="1"/>
  <c r="AF448" i="11"/>
  <c r="BC213" i="65" s="1"/>
  <c r="AD448" i="11"/>
  <c r="BA213" i="65" s="1"/>
  <c r="AC448" i="11"/>
  <c r="AZ213" i="65" s="1"/>
  <c r="AN439" i="11"/>
  <c r="BK207" i="65" s="1"/>
  <c r="AL439" i="11"/>
  <c r="BI207" i="65" s="1"/>
  <c r="AF439" i="11"/>
  <c r="BC207" i="65" s="1"/>
  <c r="AE439" i="11"/>
  <c r="BB207" i="65" s="1"/>
  <c r="AM439" i="11"/>
  <c r="BJ207" i="65" s="1"/>
  <c r="AD439" i="11"/>
  <c r="BA207" i="65" s="1"/>
  <c r="AC439" i="11"/>
  <c r="AZ207" i="65" s="1"/>
  <c r="AC452" i="11"/>
  <c r="AZ218" i="65" s="1"/>
  <c r="AE452" i="11"/>
  <c r="BB218" i="65" s="1"/>
  <c r="AN452" i="11"/>
  <c r="BK218" i="65" s="1"/>
  <c r="AM452" i="11"/>
  <c r="BJ218" i="65" s="1"/>
  <c r="AD452" i="11"/>
  <c r="BA218" i="65" s="1"/>
  <c r="AL452" i="11"/>
  <c r="BI218" i="65" s="1"/>
  <c r="AF452" i="11"/>
  <c r="BC218" i="65" s="1"/>
  <c r="AM185" i="11"/>
  <c r="AE185" i="11"/>
  <c r="AN185" i="11"/>
  <c r="AL185" i="11"/>
  <c r="AD185" i="11"/>
  <c r="AC185" i="11"/>
  <c r="AF185" i="11"/>
  <c r="AF200" i="11"/>
  <c r="AC200" i="11"/>
  <c r="AN200" i="11"/>
  <c r="AL200" i="11"/>
  <c r="AE200" i="11"/>
  <c r="AD200" i="11"/>
  <c r="AM200" i="11"/>
  <c r="AD92" i="11"/>
  <c r="AC92" i="11"/>
  <c r="AN92" i="11"/>
  <c r="AM92" i="11"/>
  <c r="AL92" i="11"/>
  <c r="AF92" i="11"/>
  <c r="AE92" i="11"/>
  <c r="AN32" i="11"/>
  <c r="AF32" i="11"/>
  <c r="AE32" i="11"/>
  <c r="AL32" i="11"/>
  <c r="AM32" i="11"/>
  <c r="AD32" i="11"/>
  <c r="AC32" i="11"/>
  <c r="AD61" i="11"/>
  <c r="AC61" i="11"/>
  <c r="AN61" i="11"/>
  <c r="AM61" i="11"/>
  <c r="AL61" i="11"/>
  <c r="AF61" i="11"/>
  <c r="AE61" i="11"/>
  <c r="AN28" i="11"/>
  <c r="AF28" i="11"/>
  <c r="AE28" i="11"/>
  <c r="AD28" i="11"/>
  <c r="AM28" i="11"/>
  <c r="AL28" i="11"/>
  <c r="AC28" i="11"/>
  <c r="AC434" i="11"/>
  <c r="AZ202" i="65" s="1"/>
  <c r="AN434" i="11"/>
  <c r="BK202" i="65" s="1"/>
  <c r="AM434" i="11"/>
  <c r="BJ202" i="65" s="1"/>
  <c r="AL434" i="11"/>
  <c r="BI202" i="65" s="1"/>
  <c r="AF434" i="11"/>
  <c r="BC202" i="65" s="1"/>
  <c r="AE434" i="11"/>
  <c r="BB202" i="65" s="1"/>
  <c r="AD434" i="11"/>
  <c r="BA202" i="65" s="1"/>
  <c r="AC432" i="11"/>
  <c r="AZ200" i="65" s="1"/>
  <c r="AN432" i="11"/>
  <c r="BK200" i="65" s="1"/>
  <c r="AM432" i="11"/>
  <c r="BJ200" i="65" s="1"/>
  <c r="AL432" i="11"/>
  <c r="BI200" i="65" s="1"/>
  <c r="AD432" i="11"/>
  <c r="BA200" i="65" s="1"/>
  <c r="AE432" i="11"/>
  <c r="BB200" i="65" s="1"/>
  <c r="AF432" i="11"/>
  <c r="BC200" i="65" s="1"/>
  <c r="AC405" i="11"/>
  <c r="AZ174" i="65" s="1"/>
  <c r="AM405" i="11"/>
  <c r="BJ174" i="65" s="1"/>
  <c r="AL405" i="11"/>
  <c r="BI174" i="65" s="1"/>
  <c r="AF405" i="11"/>
  <c r="BC174" i="65" s="1"/>
  <c r="AE405" i="11"/>
  <c r="BB174" i="65" s="1"/>
  <c r="AD405" i="11"/>
  <c r="BA174" i="65" s="1"/>
  <c r="AN405" i="11"/>
  <c r="BK174" i="65" s="1"/>
  <c r="AC363" i="11"/>
  <c r="AZ134" i="65" s="1"/>
  <c r="AL363" i="11"/>
  <c r="BI134" i="65" s="1"/>
  <c r="AD363" i="11"/>
  <c r="BA134" i="65" s="1"/>
  <c r="AE363" i="11"/>
  <c r="BB134" i="65" s="1"/>
  <c r="AN363" i="11"/>
  <c r="BK134" i="65" s="1"/>
  <c r="AM363" i="11"/>
  <c r="BJ134" i="65" s="1"/>
  <c r="AF363" i="11"/>
  <c r="BC134" i="65" s="1"/>
  <c r="AL385" i="11"/>
  <c r="AF385" i="11"/>
  <c r="AD385" i="11"/>
  <c r="AN385" i="11"/>
  <c r="AM385" i="11"/>
  <c r="AC385" i="11"/>
  <c r="AE385" i="11"/>
  <c r="AM303" i="11"/>
  <c r="BJ80" i="65" s="1"/>
  <c r="AF303" i="11"/>
  <c r="BC80" i="65" s="1"/>
  <c r="AE303" i="11"/>
  <c r="BB80" i="65" s="1"/>
  <c r="AD303" i="11"/>
  <c r="BA80" i="65" s="1"/>
  <c r="AN303" i="11"/>
  <c r="BK80" i="65" s="1"/>
  <c r="AL303" i="11"/>
  <c r="BI80" i="65" s="1"/>
  <c r="AC303" i="11"/>
  <c r="AZ80" i="65" s="1"/>
  <c r="AF300" i="11"/>
  <c r="BC77" i="65" s="1"/>
  <c r="AD300" i="11"/>
  <c r="BA77" i="65" s="1"/>
  <c r="AN300" i="11"/>
  <c r="BK77" i="65" s="1"/>
  <c r="AM300" i="11"/>
  <c r="BJ77" i="65" s="1"/>
  <c r="AL300" i="11"/>
  <c r="BI77" i="65" s="1"/>
  <c r="AC300" i="11"/>
  <c r="AZ77" i="65" s="1"/>
  <c r="AE300" i="11"/>
  <c r="BB77" i="65" s="1"/>
  <c r="AL280" i="11"/>
  <c r="BI65" i="65" s="1"/>
  <c r="AM280" i="11"/>
  <c r="BJ65" i="65" s="1"/>
  <c r="AF280" i="11"/>
  <c r="BC65" i="65" s="1"/>
  <c r="AE280" i="11"/>
  <c r="BB65" i="65" s="1"/>
  <c r="AD280" i="11"/>
  <c r="BA65" i="65" s="1"/>
  <c r="AN280" i="11"/>
  <c r="BK65" i="65" s="1"/>
  <c r="AF198" i="11"/>
  <c r="AC198" i="11"/>
  <c r="AN198" i="11"/>
  <c r="AE198" i="11"/>
  <c r="AL198" i="11"/>
  <c r="AD198" i="11"/>
  <c r="AM198" i="11"/>
  <c r="AL123" i="11"/>
  <c r="AD123" i="11"/>
  <c r="AN123" i="11"/>
  <c r="AM123" i="11"/>
  <c r="AF123" i="11"/>
  <c r="AE123" i="11"/>
  <c r="AC123" i="11"/>
  <c r="AD90" i="11"/>
  <c r="AC90" i="11"/>
  <c r="AN90" i="11"/>
  <c r="AM90" i="11"/>
  <c r="AL90" i="11"/>
  <c r="AF90" i="11"/>
  <c r="AE90" i="11"/>
  <c r="AN153" i="11"/>
  <c r="AL153" i="11"/>
  <c r="AD153" i="11"/>
  <c r="AF153" i="11"/>
  <c r="AE153" i="11"/>
  <c r="AC153" i="11"/>
  <c r="AM153" i="11"/>
  <c r="AN30" i="11"/>
  <c r="AF30" i="11"/>
  <c r="AD30" i="11"/>
  <c r="AM30" i="11"/>
  <c r="AL30" i="11"/>
  <c r="AE30" i="11"/>
  <c r="AC30" i="11"/>
  <c r="AM179" i="11"/>
  <c r="AF179" i="11"/>
  <c r="AC179" i="11"/>
  <c r="AN179" i="11"/>
  <c r="AL179" i="11"/>
  <c r="AE179" i="11"/>
  <c r="AD179" i="11"/>
  <c r="AD102" i="11"/>
  <c r="AC102" i="11"/>
  <c r="AN102" i="11"/>
  <c r="AM102" i="11"/>
  <c r="AL102" i="11"/>
  <c r="AF102" i="11"/>
  <c r="AE102" i="11"/>
  <c r="AN131" i="11"/>
  <c r="AL131" i="11"/>
  <c r="AD131" i="11"/>
  <c r="AF131" i="11"/>
  <c r="AE131" i="11"/>
  <c r="AM131" i="11"/>
  <c r="AC131" i="11"/>
  <c r="AD100" i="11"/>
  <c r="AC100" i="11"/>
  <c r="AN100" i="11"/>
  <c r="AM100" i="11"/>
  <c r="AL100" i="11"/>
  <c r="AF100" i="11"/>
  <c r="AE100" i="11"/>
  <c r="AN470" i="11"/>
  <c r="AF470" i="11"/>
  <c r="AE470" i="11"/>
  <c r="AD470" i="11"/>
  <c r="AC470" i="11"/>
  <c r="AM244" i="11"/>
  <c r="BJ33" i="65" s="1"/>
  <c r="AD244" i="11"/>
  <c r="BA33" i="65" s="1"/>
  <c r="AL244" i="11"/>
  <c r="BI33" i="65" s="1"/>
  <c r="AF244" i="11"/>
  <c r="BC33" i="65" s="1"/>
  <c r="AE244" i="11"/>
  <c r="BB33" i="65" s="1"/>
  <c r="AC244" i="11"/>
  <c r="AZ33" i="65" s="1"/>
  <c r="AN244" i="11"/>
  <c r="BK33" i="65" s="1"/>
  <c r="AF233" i="11"/>
  <c r="BC22" i="65" s="1"/>
  <c r="AN233" i="11"/>
  <c r="BK22" i="65" s="1"/>
  <c r="AM233" i="11"/>
  <c r="BJ22" i="65" s="1"/>
  <c r="AL233" i="11"/>
  <c r="BI22" i="65" s="1"/>
  <c r="AD233" i="11"/>
  <c r="BA22" i="65" s="1"/>
  <c r="AC233" i="11"/>
  <c r="AZ22" i="65" s="1"/>
  <c r="AE233" i="11"/>
  <c r="BB22" i="65" s="1"/>
  <c r="AD94" i="11"/>
  <c r="AC94" i="11"/>
  <c r="AN94" i="11"/>
  <c r="AM94" i="11"/>
  <c r="AL94" i="11"/>
  <c r="AF94" i="11"/>
  <c r="AE94" i="11"/>
  <c r="AN149" i="11"/>
  <c r="AL149" i="11"/>
  <c r="AD149" i="11"/>
  <c r="AF149" i="11"/>
  <c r="AE149" i="11"/>
  <c r="AM149" i="11"/>
  <c r="AC149" i="11"/>
  <c r="AN34" i="11"/>
  <c r="AF34" i="11"/>
  <c r="AE34" i="11"/>
  <c r="AC34" i="11"/>
  <c r="AM34" i="11"/>
  <c r="AD34" i="11"/>
  <c r="AL34" i="11"/>
  <c r="AN455" i="11"/>
  <c r="BK221" i="65" s="1"/>
  <c r="AM455" i="11"/>
  <c r="BJ221" i="65" s="1"/>
  <c r="AL455" i="11"/>
  <c r="BI221" i="65" s="1"/>
  <c r="AF455" i="11"/>
  <c r="BC221" i="65" s="1"/>
  <c r="AC455" i="11"/>
  <c r="AZ221" i="65" s="1"/>
  <c r="AD455" i="11"/>
  <c r="BA221" i="65" s="1"/>
  <c r="AE455" i="11"/>
  <c r="BB221" i="65" s="1"/>
  <c r="AL256" i="11"/>
  <c r="BI44" i="65" s="1"/>
  <c r="AD256" i="11"/>
  <c r="BA44" i="65" s="1"/>
  <c r="AF256" i="11"/>
  <c r="BC44" i="65" s="1"/>
  <c r="AN256" i="11"/>
  <c r="BK44" i="65" s="1"/>
  <c r="AM256" i="11"/>
  <c r="BJ44" i="65" s="1"/>
  <c r="AE256" i="11"/>
  <c r="BB44" i="65" s="1"/>
  <c r="AC256" i="11"/>
  <c r="AZ44" i="65" s="1"/>
  <c r="AC430" i="11"/>
  <c r="AZ198" i="65" s="1"/>
  <c r="AN430" i="11"/>
  <c r="BK198" i="65" s="1"/>
  <c r="AM430" i="11"/>
  <c r="BJ198" i="65" s="1"/>
  <c r="AE430" i="11"/>
  <c r="BB198" i="65" s="1"/>
  <c r="AL430" i="11"/>
  <c r="BI198" i="65" s="1"/>
  <c r="AF430" i="11"/>
  <c r="BC198" i="65" s="1"/>
  <c r="AD430" i="11"/>
  <c r="BA198" i="65" s="1"/>
  <c r="AE317" i="11"/>
  <c r="AD317" i="11"/>
  <c r="AN317" i="11"/>
  <c r="AM317" i="11"/>
  <c r="AF317" i="11"/>
  <c r="AL317" i="11"/>
  <c r="AC317" i="11"/>
  <c r="AM351" i="11"/>
  <c r="BJ121" i="65" s="1"/>
  <c r="AE351" i="11"/>
  <c r="BB121" i="65" s="1"/>
  <c r="AD351" i="11"/>
  <c r="BA121" i="65" s="1"/>
  <c r="AN351" i="11"/>
  <c r="BK121" i="65" s="1"/>
  <c r="AL351" i="11"/>
  <c r="BI121" i="65" s="1"/>
  <c r="AF351" i="11"/>
  <c r="BC121" i="65" s="1"/>
  <c r="AC351" i="11"/>
  <c r="AZ121" i="65" s="1"/>
  <c r="AM248" i="11"/>
  <c r="BJ37" i="65" s="1"/>
  <c r="AD248" i="11"/>
  <c r="BA37" i="65" s="1"/>
  <c r="AN248" i="11"/>
  <c r="BK37" i="65" s="1"/>
  <c r="AF248" i="11"/>
  <c r="BC37" i="65" s="1"/>
  <c r="AL248" i="11"/>
  <c r="BI37" i="65" s="1"/>
  <c r="AE248" i="11"/>
  <c r="BB37" i="65" s="1"/>
  <c r="AC248" i="11"/>
  <c r="AZ37" i="65" s="1"/>
  <c r="AM175" i="11"/>
  <c r="AF175" i="11"/>
  <c r="AC175" i="11"/>
  <c r="AN175" i="11"/>
  <c r="AL175" i="11"/>
  <c r="AE175" i="11"/>
  <c r="AD175" i="11"/>
  <c r="AF204" i="11"/>
  <c r="AC204" i="11"/>
  <c r="AN204" i="11"/>
  <c r="AE204" i="11"/>
  <c r="AM204" i="11"/>
  <c r="AL204" i="11"/>
  <c r="AD204" i="11"/>
  <c r="AD81" i="11"/>
  <c r="AC81" i="11"/>
  <c r="AN81" i="11"/>
  <c r="AM81" i="11"/>
  <c r="AL81" i="11"/>
  <c r="AF81" i="11"/>
  <c r="AE81" i="11"/>
  <c r="AD77" i="11"/>
  <c r="AN77" i="11"/>
  <c r="AM77" i="11"/>
  <c r="AL77" i="11"/>
  <c r="AE77" i="11"/>
  <c r="AC77" i="11"/>
  <c r="AF77" i="11"/>
  <c r="AM167" i="11"/>
  <c r="AF167" i="11"/>
  <c r="AC167" i="11"/>
  <c r="AN167" i="11"/>
  <c r="AL167" i="11"/>
  <c r="AE167" i="11"/>
  <c r="AD167" i="11"/>
  <c r="AC393" i="11"/>
  <c r="AZ162" i="65" s="1"/>
  <c r="AM393" i="11"/>
  <c r="BJ162" i="65" s="1"/>
  <c r="AD393" i="11"/>
  <c r="BA162" i="65" s="1"/>
  <c r="AN393" i="11"/>
  <c r="BK162" i="65" s="1"/>
  <c r="AL393" i="11"/>
  <c r="BI162" i="65" s="1"/>
  <c r="AF393" i="11"/>
  <c r="BC162" i="65" s="1"/>
  <c r="AE393" i="11"/>
  <c r="BB162" i="65" s="1"/>
  <c r="AN431" i="11"/>
  <c r="BK199" i="65" s="1"/>
  <c r="AM431" i="11"/>
  <c r="BJ199" i="65" s="1"/>
  <c r="AF431" i="11"/>
  <c r="BC199" i="65" s="1"/>
  <c r="AE431" i="11"/>
  <c r="BB199" i="65" s="1"/>
  <c r="AD431" i="11"/>
  <c r="BA199" i="65" s="1"/>
  <c r="AL431" i="11"/>
  <c r="BI199" i="65" s="1"/>
  <c r="AC431" i="11"/>
  <c r="AZ199" i="65" s="1"/>
  <c r="AF336" i="11"/>
  <c r="BC110" i="65" s="1"/>
  <c r="AC336" i="11"/>
  <c r="AZ110" i="65" s="1"/>
  <c r="AN336" i="11"/>
  <c r="BK110" i="65" s="1"/>
  <c r="AD336" i="11"/>
  <c r="BA110" i="65" s="1"/>
  <c r="AL336" i="11"/>
  <c r="BI110" i="65" s="1"/>
  <c r="AM336" i="11"/>
  <c r="BJ110" i="65" s="1"/>
  <c r="AE336" i="11"/>
  <c r="BB110" i="65" s="1"/>
  <c r="AN399" i="11"/>
  <c r="BK168" i="65" s="1"/>
  <c r="AM399" i="11"/>
  <c r="BJ168" i="65" s="1"/>
  <c r="AF399" i="11"/>
  <c r="BC168" i="65" s="1"/>
  <c r="AE399" i="11"/>
  <c r="BB168" i="65" s="1"/>
  <c r="AD399" i="11"/>
  <c r="BA168" i="65" s="1"/>
  <c r="AL399" i="11"/>
  <c r="BI168" i="65" s="1"/>
  <c r="AC399" i="11"/>
  <c r="AZ168" i="65" s="1"/>
  <c r="AF296" i="11"/>
  <c r="BC73" i="65" s="1"/>
  <c r="AD296" i="11"/>
  <c r="BA73" i="65" s="1"/>
  <c r="AL296" i="11"/>
  <c r="BI73" i="65" s="1"/>
  <c r="AE296" i="11"/>
  <c r="BB73" i="65" s="1"/>
  <c r="AC296" i="11"/>
  <c r="AZ73" i="65" s="1"/>
  <c r="AN296" i="11"/>
  <c r="BK73" i="65" s="1"/>
  <c r="AM296" i="11"/>
  <c r="BJ73" i="65" s="1"/>
  <c r="AN469" i="11"/>
  <c r="BK235" i="65" s="1"/>
  <c r="AF469" i="11"/>
  <c r="BC235" i="65" s="1"/>
  <c r="AE469" i="11"/>
  <c r="BB235" i="65" s="1"/>
  <c r="AD469" i="11"/>
  <c r="BA235" i="65" s="1"/>
  <c r="AC469" i="11"/>
  <c r="AZ235" i="65" s="1"/>
  <c r="AM313" i="11"/>
  <c r="BJ90" i="65" s="1"/>
  <c r="AL313" i="11"/>
  <c r="BI90" i="65" s="1"/>
  <c r="AF313" i="11"/>
  <c r="BC90" i="65" s="1"/>
  <c r="AN313" i="11"/>
  <c r="BK90" i="65" s="1"/>
  <c r="AD313" i="11"/>
  <c r="BA90" i="65" s="1"/>
  <c r="AC313" i="11"/>
  <c r="AZ90" i="65" s="1"/>
  <c r="AE313" i="11"/>
  <c r="BB90" i="65" s="1"/>
  <c r="AL266" i="11"/>
  <c r="BI53" i="65" s="1"/>
  <c r="AN266" i="11"/>
  <c r="BK53" i="65" s="1"/>
  <c r="AF266" i="11"/>
  <c r="BC53" i="65" s="1"/>
  <c r="AE266" i="11"/>
  <c r="BB53" i="65" s="1"/>
  <c r="AD266" i="11"/>
  <c r="BA53" i="65" s="1"/>
  <c r="AC266" i="11"/>
  <c r="AZ53" i="65" s="1"/>
  <c r="AM266" i="11"/>
  <c r="BJ53" i="65" s="1"/>
  <c r="AN230" i="11"/>
  <c r="BK18" i="65" s="1"/>
  <c r="AM230" i="11"/>
  <c r="BJ18" i="65" s="1"/>
  <c r="AL230" i="11"/>
  <c r="BI18" i="65" s="1"/>
  <c r="AF230" i="11"/>
  <c r="BC18" i="65" s="1"/>
  <c r="AE230" i="11"/>
  <c r="BB18" i="65" s="1"/>
  <c r="AD230" i="11"/>
  <c r="BA18" i="65" s="1"/>
  <c r="AC230" i="11"/>
  <c r="AZ18" i="65" s="1"/>
  <c r="AN195" i="11"/>
  <c r="AM195" i="11"/>
  <c r="AF195" i="11"/>
  <c r="AC195" i="11"/>
  <c r="AL195" i="11"/>
  <c r="AE195" i="11"/>
  <c r="AD195" i="11"/>
  <c r="AD106" i="11"/>
  <c r="AC106" i="11"/>
  <c r="AE106" i="11"/>
  <c r="AN106" i="11"/>
  <c r="AM106" i="11"/>
  <c r="AL106" i="11"/>
  <c r="AF106" i="11"/>
  <c r="AN42" i="11"/>
  <c r="AF42" i="11"/>
  <c r="AE42" i="11"/>
  <c r="AD42" i="11"/>
  <c r="AL42" i="11"/>
  <c r="AC42" i="11"/>
  <c r="AM42" i="11"/>
  <c r="AM307" i="11"/>
  <c r="BJ84" i="65" s="1"/>
  <c r="AD307" i="11"/>
  <c r="BA84" i="65" s="1"/>
  <c r="AC307" i="11"/>
  <c r="AZ84" i="65" s="1"/>
  <c r="AF307" i="11"/>
  <c r="BC84" i="65" s="1"/>
  <c r="AN307" i="11"/>
  <c r="BK84" i="65" s="1"/>
  <c r="AL307" i="11"/>
  <c r="BI84" i="65" s="1"/>
  <c r="AE307" i="11"/>
  <c r="BB84" i="65" s="1"/>
  <c r="AL315" i="11"/>
  <c r="BI92" i="65" s="1"/>
  <c r="AD315" i="11"/>
  <c r="BA92" i="65" s="1"/>
  <c r="AN315" i="11"/>
  <c r="BK92" i="65" s="1"/>
  <c r="AM315" i="11"/>
  <c r="BJ92" i="65" s="1"/>
  <c r="AF315" i="11"/>
  <c r="BC92" i="65" s="1"/>
  <c r="AC315" i="11"/>
  <c r="AZ92" i="65" s="1"/>
  <c r="AE315" i="11"/>
  <c r="BB92" i="65" s="1"/>
  <c r="AM322" i="11"/>
  <c r="BJ97" i="65" s="1"/>
  <c r="AE322" i="11"/>
  <c r="BB97" i="65" s="1"/>
  <c r="AC322" i="11"/>
  <c r="AZ97" i="65" s="1"/>
  <c r="AF322" i="11"/>
  <c r="BC97" i="65" s="1"/>
  <c r="AN322" i="11"/>
  <c r="BK97" i="65" s="1"/>
  <c r="AL322" i="11"/>
  <c r="BI97" i="65" s="1"/>
  <c r="AD322" i="11"/>
  <c r="BA97" i="65" s="1"/>
  <c r="AF239" i="11"/>
  <c r="BC28" i="65" s="1"/>
  <c r="AN239" i="11"/>
  <c r="BK28" i="65" s="1"/>
  <c r="AM239" i="11"/>
  <c r="BJ28" i="65" s="1"/>
  <c r="AL239" i="11"/>
  <c r="BI28" i="65" s="1"/>
  <c r="AD239" i="11"/>
  <c r="BA28" i="65" s="1"/>
  <c r="AE239" i="11"/>
  <c r="BB28" i="65" s="1"/>
  <c r="AC239" i="11"/>
  <c r="AZ28" i="65" s="1"/>
  <c r="AM171" i="11"/>
  <c r="AF171" i="11"/>
  <c r="AC171" i="11"/>
  <c r="AN171" i="11"/>
  <c r="AL171" i="11"/>
  <c r="AE171" i="11"/>
  <c r="AD171" i="11"/>
  <c r="AM189" i="11"/>
  <c r="AL189" i="11"/>
  <c r="AE189" i="11"/>
  <c r="AC189" i="11"/>
  <c r="AN189" i="11"/>
  <c r="AF189" i="11"/>
  <c r="AD189" i="11"/>
  <c r="AN209" i="11"/>
  <c r="AM209" i="11"/>
  <c r="AL209" i="11"/>
  <c r="AF209" i="11"/>
  <c r="AE209" i="11"/>
  <c r="AC209" i="11"/>
  <c r="AD209" i="11"/>
  <c r="AN26" i="11"/>
  <c r="AC26" i="11"/>
  <c r="AL26" i="11"/>
  <c r="AM26" i="11"/>
  <c r="AD26" i="11"/>
  <c r="AF26" i="11"/>
  <c r="AE26" i="11"/>
  <c r="AC428" i="11"/>
  <c r="AZ196" i="65" s="1"/>
  <c r="AN428" i="11"/>
  <c r="BK196" i="65" s="1"/>
  <c r="AF428" i="11"/>
  <c r="BC196" i="65" s="1"/>
  <c r="AE428" i="11"/>
  <c r="BB196" i="65" s="1"/>
  <c r="AD428" i="11"/>
  <c r="BA196" i="65" s="1"/>
  <c r="AM428" i="11"/>
  <c r="BJ196" i="65" s="1"/>
  <c r="AL428" i="11"/>
  <c r="BI196" i="65" s="1"/>
  <c r="AN453" i="11"/>
  <c r="BK219" i="65" s="1"/>
  <c r="AL453" i="11"/>
  <c r="BI219" i="65" s="1"/>
  <c r="AF453" i="11"/>
  <c r="BC219" i="65" s="1"/>
  <c r="AE453" i="11"/>
  <c r="BB219" i="65" s="1"/>
  <c r="AC453" i="11"/>
  <c r="AZ219" i="65" s="1"/>
  <c r="AM453" i="11"/>
  <c r="BJ219" i="65" s="1"/>
  <c r="AD453" i="11"/>
  <c r="BA219" i="65" s="1"/>
  <c r="AM343" i="11"/>
  <c r="AE343" i="11"/>
  <c r="AL343" i="11"/>
  <c r="AF343" i="11"/>
  <c r="AD343" i="11"/>
  <c r="AC343" i="11"/>
  <c r="AN343" i="11"/>
  <c r="AN384" i="11"/>
  <c r="BK154" i="65" s="1"/>
  <c r="AE384" i="11"/>
  <c r="BB154" i="65" s="1"/>
  <c r="AM384" i="11"/>
  <c r="BJ154" i="65" s="1"/>
  <c r="AL384" i="11"/>
  <c r="BI154" i="65" s="1"/>
  <c r="AD384" i="11"/>
  <c r="BA154" i="65" s="1"/>
  <c r="AC384" i="11"/>
  <c r="AZ154" i="65" s="1"/>
  <c r="AF384" i="11"/>
  <c r="BC154" i="65" s="1"/>
  <c r="AM299" i="11"/>
  <c r="BJ76" i="65" s="1"/>
  <c r="AF299" i="11"/>
  <c r="BC76" i="65" s="1"/>
  <c r="AN299" i="11"/>
  <c r="BK76" i="65" s="1"/>
  <c r="AL299" i="11"/>
  <c r="BI76" i="65" s="1"/>
  <c r="AD299" i="11"/>
  <c r="BA76" i="65" s="1"/>
  <c r="AC299" i="11"/>
  <c r="AZ76" i="65" s="1"/>
  <c r="AE299" i="11"/>
  <c r="BB76" i="65" s="1"/>
  <c r="AN207" i="11"/>
  <c r="AM207" i="11"/>
  <c r="AL207" i="11"/>
  <c r="AF207" i="11"/>
  <c r="AE207" i="11"/>
  <c r="AC207" i="11"/>
  <c r="AD207" i="11"/>
  <c r="AN205" i="11"/>
  <c r="AM205" i="11"/>
  <c r="AF205" i="11"/>
  <c r="AE205" i="11"/>
  <c r="AC205" i="11"/>
  <c r="AL205" i="11"/>
  <c r="AD205" i="11"/>
  <c r="AN40" i="11"/>
  <c r="AF40" i="11"/>
  <c r="AE40" i="11"/>
  <c r="AD40" i="11"/>
  <c r="AC40" i="11"/>
  <c r="AL40" i="11"/>
  <c r="AM40" i="11"/>
  <c r="AN478" i="11"/>
  <c r="BK242" i="65" s="1"/>
  <c r="AF478" i="11"/>
  <c r="BC242" i="65" s="1"/>
  <c r="AE478" i="11"/>
  <c r="BB242" i="65" s="1"/>
  <c r="AD478" i="11"/>
  <c r="BA242" i="65" s="1"/>
  <c r="AC478" i="11"/>
  <c r="AZ242" i="65" s="1"/>
  <c r="AE481" i="11"/>
  <c r="AD481" i="11"/>
  <c r="AC481" i="11"/>
  <c r="AN481" i="11"/>
  <c r="AF481" i="11"/>
  <c r="AL355" i="11"/>
  <c r="BI125" i="65" s="1"/>
  <c r="AD355" i="11"/>
  <c r="BA125" i="65" s="1"/>
  <c r="AC355" i="11"/>
  <c r="AZ125" i="65" s="1"/>
  <c r="AM355" i="11"/>
  <c r="BJ125" i="65" s="1"/>
  <c r="AF355" i="11"/>
  <c r="BC125" i="65" s="1"/>
  <c r="AE355" i="11"/>
  <c r="BB125" i="65" s="1"/>
  <c r="AN355" i="11"/>
  <c r="BK125" i="65" s="1"/>
  <c r="AM309" i="11"/>
  <c r="BJ86" i="65" s="1"/>
  <c r="AC309" i="11"/>
  <c r="AZ86" i="65" s="1"/>
  <c r="AN309" i="11"/>
  <c r="BK86" i="65" s="1"/>
  <c r="AL309" i="11"/>
  <c r="BI86" i="65" s="1"/>
  <c r="AE309" i="11"/>
  <c r="BB86" i="65" s="1"/>
  <c r="AD309" i="11"/>
  <c r="BA86" i="65" s="1"/>
  <c r="AF309" i="11"/>
  <c r="BC86" i="65" s="1"/>
  <c r="AM238" i="11"/>
  <c r="BJ27" i="65" s="1"/>
  <c r="AD238" i="11"/>
  <c r="BA27" i="65" s="1"/>
  <c r="AN238" i="11"/>
  <c r="BK27" i="65" s="1"/>
  <c r="AF238" i="11"/>
  <c r="BC27" i="65" s="1"/>
  <c r="AL238" i="11"/>
  <c r="BI27" i="65" s="1"/>
  <c r="AE238" i="11"/>
  <c r="BB27" i="65" s="1"/>
  <c r="AC238" i="11"/>
  <c r="AZ27" i="65" s="1"/>
  <c r="AM236" i="11"/>
  <c r="BJ25" i="65" s="1"/>
  <c r="AD236" i="11"/>
  <c r="BA25" i="65" s="1"/>
  <c r="AL236" i="11"/>
  <c r="BI25" i="65" s="1"/>
  <c r="AF236" i="11"/>
  <c r="BC25" i="65" s="1"/>
  <c r="AE236" i="11"/>
  <c r="BB25" i="65" s="1"/>
  <c r="AC236" i="11"/>
  <c r="AZ25" i="65" s="1"/>
  <c r="AN236" i="11"/>
  <c r="BK25" i="65" s="1"/>
  <c r="AN201" i="11"/>
  <c r="AM201" i="11"/>
  <c r="AF201" i="11"/>
  <c r="AC201" i="11"/>
  <c r="AL201" i="11"/>
  <c r="AE201" i="11"/>
  <c r="AD201" i="11"/>
  <c r="AF196" i="11"/>
  <c r="AC196" i="11"/>
  <c r="AN196" i="11"/>
  <c r="AE196" i="11"/>
  <c r="AM196" i="11"/>
  <c r="AL196" i="11"/>
  <c r="AD196" i="11"/>
  <c r="AN197" i="11"/>
  <c r="AM197" i="11"/>
  <c r="AF197" i="11"/>
  <c r="AC197" i="11"/>
  <c r="AL197" i="11"/>
  <c r="AE197" i="11"/>
  <c r="AD197" i="11"/>
  <c r="AD96" i="11"/>
  <c r="AC96" i="11"/>
  <c r="AN96" i="11"/>
  <c r="AM96" i="11"/>
  <c r="AL96" i="11"/>
  <c r="AF96" i="11"/>
  <c r="AE96" i="11"/>
  <c r="AN99" i="11"/>
  <c r="AM99" i="11"/>
  <c r="AF99" i="11"/>
  <c r="AD99" i="11"/>
  <c r="AL99" i="11"/>
  <c r="AE99" i="11"/>
  <c r="AC99" i="11"/>
  <c r="AN143" i="11"/>
  <c r="AL143" i="11"/>
  <c r="AD143" i="11"/>
  <c r="AF143" i="11"/>
  <c r="AE143" i="11"/>
  <c r="AM143" i="11"/>
  <c r="AC143" i="11"/>
  <c r="AD67" i="11"/>
  <c r="AL67" i="11"/>
  <c r="AE67" i="11"/>
  <c r="AC67" i="11"/>
  <c r="AN67" i="11"/>
  <c r="AM67" i="11"/>
  <c r="AF67" i="11"/>
  <c r="AC417" i="11"/>
  <c r="AM417" i="11"/>
  <c r="AN417" i="11"/>
  <c r="AL417" i="11"/>
  <c r="AF417" i="11"/>
  <c r="AE417" i="11"/>
  <c r="AD417" i="11"/>
  <c r="AN474" i="11"/>
  <c r="BK238" i="65" s="1"/>
  <c r="AF474" i="11"/>
  <c r="BC238" i="65" s="1"/>
  <c r="AE474" i="11"/>
  <c r="BB238" i="65" s="1"/>
  <c r="AD474" i="11"/>
  <c r="BA238" i="65" s="1"/>
  <c r="AC474" i="11"/>
  <c r="AZ238" i="65" s="1"/>
  <c r="AN473" i="11"/>
  <c r="BK237" i="65" s="1"/>
  <c r="AF473" i="11"/>
  <c r="BC237" i="65" s="1"/>
  <c r="AE473" i="11"/>
  <c r="BB237" i="65" s="1"/>
  <c r="AD473" i="11"/>
  <c r="BA237" i="65" s="1"/>
  <c r="AC473" i="11"/>
  <c r="AZ237" i="65" s="1"/>
  <c r="AN408" i="11"/>
  <c r="BK177" i="65" s="1"/>
  <c r="AM408" i="11"/>
  <c r="BJ177" i="65" s="1"/>
  <c r="AD408" i="11"/>
  <c r="BA177" i="65" s="1"/>
  <c r="AC408" i="11"/>
  <c r="AZ177" i="65" s="1"/>
  <c r="AL408" i="11"/>
  <c r="BI177" i="65" s="1"/>
  <c r="AF408" i="11"/>
  <c r="BC177" i="65" s="1"/>
  <c r="AE408" i="11"/>
  <c r="BB177" i="65" s="1"/>
  <c r="AM305" i="11"/>
  <c r="BJ82" i="65" s="1"/>
  <c r="AE305" i="11"/>
  <c r="BB82" i="65" s="1"/>
  <c r="AD305" i="11"/>
  <c r="BA82" i="65" s="1"/>
  <c r="AC305" i="11"/>
  <c r="AZ82" i="65" s="1"/>
  <c r="AL305" i="11"/>
  <c r="BI82" i="65" s="1"/>
  <c r="AN305" i="11"/>
  <c r="BK82" i="65" s="1"/>
  <c r="AF305" i="11"/>
  <c r="BC82" i="65" s="1"/>
  <c r="AN211" i="11"/>
  <c r="AM211" i="11"/>
  <c r="AL211" i="11"/>
  <c r="AF211" i="11"/>
  <c r="AE211" i="11"/>
  <c r="AC211" i="11"/>
  <c r="AD211" i="11"/>
  <c r="AD79" i="11"/>
  <c r="AF79" i="11"/>
  <c r="AE79" i="11"/>
  <c r="AC79" i="11"/>
  <c r="AN79" i="11"/>
  <c r="AM79" i="11"/>
  <c r="AL79" i="11"/>
  <c r="AD86" i="11"/>
  <c r="AC86" i="11"/>
  <c r="AM86" i="11"/>
  <c r="AL86" i="11"/>
  <c r="AF86" i="11"/>
  <c r="AE86" i="11"/>
  <c r="AN86" i="11"/>
  <c r="AD88" i="11"/>
  <c r="AC88" i="11"/>
  <c r="AN88" i="11"/>
  <c r="AM88" i="11"/>
  <c r="AL88" i="11"/>
  <c r="AF88" i="11"/>
  <c r="AE88" i="11"/>
  <c r="AN38" i="11"/>
  <c r="AF38" i="11"/>
  <c r="AE38" i="11"/>
  <c r="AD38" i="11"/>
  <c r="AC38" i="11"/>
  <c r="AL38" i="11"/>
  <c r="AM38" i="11"/>
  <c r="AM64" i="11"/>
  <c r="AE64" i="11"/>
  <c r="AC64" i="11"/>
  <c r="AN64" i="11"/>
  <c r="AL64" i="11"/>
  <c r="AF64" i="11"/>
  <c r="AD64" i="11"/>
  <c r="AD49" i="11"/>
  <c r="AM49" i="11"/>
  <c r="AL49" i="11"/>
  <c r="AE49" i="11"/>
  <c r="AN49" i="11"/>
  <c r="AF49" i="11"/>
  <c r="AC49" i="11"/>
  <c r="AM31" i="11"/>
  <c r="AF31" i="11"/>
  <c r="AC31" i="11"/>
  <c r="AN31" i="11"/>
  <c r="AL31" i="11"/>
  <c r="AE31" i="11"/>
  <c r="AD31" i="11"/>
  <c r="AN466" i="11"/>
  <c r="AF466" i="11"/>
  <c r="BC232" i="65" s="1"/>
  <c r="AD466" i="11"/>
  <c r="BA232" i="65" s="1"/>
  <c r="AE466" i="11"/>
  <c r="BB232" i="65" s="1"/>
  <c r="AC466" i="11"/>
  <c r="AZ232" i="65" s="1"/>
  <c r="AN462" i="11"/>
  <c r="BK228" i="65" s="1"/>
  <c r="BJ228" i="65"/>
  <c r="BI228" i="65"/>
  <c r="AF462" i="11"/>
  <c r="BC228" i="65" s="1"/>
  <c r="AE462" i="11"/>
  <c r="BB228" i="65" s="1"/>
  <c r="AD462" i="11"/>
  <c r="BA228" i="65" s="1"/>
  <c r="AC462" i="11"/>
  <c r="AZ228" i="65" s="1"/>
  <c r="AN396" i="11"/>
  <c r="BK165" i="65" s="1"/>
  <c r="AE396" i="11"/>
  <c r="BB165" i="65" s="1"/>
  <c r="AC396" i="11"/>
  <c r="AZ165" i="65" s="1"/>
  <c r="AM396" i="11"/>
  <c r="BJ165" i="65" s="1"/>
  <c r="AL396" i="11"/>
  <c r="BI165" i="65" s="1"/>
  <c r="AF396" i="11"/>
  <c r="BC165" i="65" s="1"/>
  <c r="AD396" i="11"/>
  <c r="BA165" i="65" s="1"/>
  <c r="AN464" i="11"/>
  <c r="BK230" i="65" s="1"/>
  <c r="BJ230" i="65"/>
  <c r="BI230" i="65"/>
  <c r="AF464" i="11"/>
  <c r="BC230" i="65" s="1"/>
  <c r="AD464" i="11"/>
  <c r="BA230" i="65" s="1"/>
  <c r="AC464" i="11"/>
  <c r="AZ230" i="65" s="1"/>
  <c r="AE464" i="11"/>
  <c r="BB230" i="65" s="1"/>
  <c r="AC339" i="11"/>
  <c r="AZ111" i="65" s="1"/>
  <c r="AN339" i="11"/>
  <c r="BK111" i="65" s="1"/>
  <c r="AL339" i="11"/>
  <c r="BI111" i="65" s="1"/>
  <c r="AF339" i="11"/>
  <c r="BC111" i="65" s="1"/>
  <c r="AD339" i="11"/>
  <c r="BA111" i="65" s="1"/>
  <c r="AM339" i="11"/>
  <c r="BJ111" i="65" s="1"/>
  <c r="AE339" i="11"/>
  <c r="BB111" i="65" s="1"/>
  <c r="AM338" i="11"/>
  <c r="AE338" i="11"/>
  <c r="AD338" i="11"/>
  <c r="AC338" i="11"/>
  <c r="AL338" i="11"/>
  <c r="AN338" i="11"/>
  <c r="AF338" i="11"/>
  <c r="AC381" i="11"/>
  <c r="AZ151" i="65" s="1"/>
  <c r="AM381" i="11"/>
  <c r="BJ151" i="65" s="1"/>
  <c r="AN381" i="11"/>
  <c r="BK151" i="65" s="1"/>
  <c r="AL381" i="11"/>
  <c r="BI151" i="65" s="1"/>
  <c r="AE381" i="11"/>
  <c r="BB151" i="65" s="1"/>
  <c r="AD381" i="11"/>
  <c r="BA151" i="65" s="1"/>
  <c r="AF381" i="11"/>
  <c r="BC151" i="65" s="1"/>
  <c r="AM250" i="11"/>
  <c r="BJ39" i="65" s="1"/>
  <c r="AD250" i="11"/>
  <c r="BA39" i="65" s="1"/>
  <c r="AC250" i="11"/>
  <c r="AZ39" i="65" s="1"/>
  <c r="AL250" i="11"/>
  <c r="BI39" i="65" s="1"/>
  <c r="AE250" i="11"/>
  <c r="BB39" i="65" s="1"/>
  <c r="AN250" i="11"/>
  <c r="BK39" i="65" s="1"/>
  <c r="AF250" i="11"/>
  <c r="BC39" i="65" s="1"/>
  <c r="AF202" i="11"/>
  <c r="AC202" i="11"/>
  <c r="AN202" i="11"/>
  <c r="AM202" i="11"/>
  <c r="AE202" i="11"/>
  <c r="AL202" i="11"/>
  <c r="AD202" i="11"/>
  <c r="AD65" i="11"/>
  <c r="AN65" i="11"/>
  <c r="AM65" i="11"/>
  <c r="AL65" i="11"/>
  <c r="AF65" i="11"/>
  <c r="AE65" i="11"/>
  <c r="AC65" i="11"/>
  <c r="AM29" i="11"/>
  <c r="AF29" i="11"/>
  <c r="AC29" i="11"/>
  <c r="AE29" i="11"/>
  <c r="AL29" i="11"/>
  <c r="AN29" i="11"/>
  <c r="AD29" i="11"/>
  <c r="AM314" i="11"/>
  <c r="BJ91" i="65" s="1"/>
  <c r="AF314" i="11"/>
  <c r="BC91" i="65" s="1"/>
  <c r="AD314" i="11"/>
  <c r="BA91" i="65" s="1"/>
  <c r="AC314" i="11"/>
  <c r="AZ91" i="65" s="1"/>
  <c r="AE314" i="11"/>
  <c r="BB91" i="65" s="1"/>
  <c r="AN314" i="11"/>
  <c r="BK91" i="65" s="1"/>
  <c r="AL314" i="11"/>
  <c r="BI91" i="65" s="1"/>
  <c r="AM301" i="11"/>
  <c r="BJ78" i="65" s="1"/>
  <c r="AF301" i="11"/>
  <c r="BC78" i="65" s="1"/>
  <c r="AN301" i="11"/>
  <c r="BK78" i="65" s="1"/>
  <c r="AL301" i="11"/>
  <c r="BI78" i="65" s="1"/>
  <c r="AE301" i="11"/>
  <c r="BB78" i="65" s="1"/>
  <c r="AC301" i="11"/>
  <c r="AZ78" i="65" s="1"/>
  <c r="AD301" i="11"/>
  <c r="BA78" i="65" s="1"/>
  <c r="AL252" i="11"/>
  <c r="BI40" i="65" s="1"/>
  <c r="AN252" i="11"/>
  <c r="BK40" i="65" s="1"/>
  <c r="AD252" i="11"/>
  <c r="BA40" i="65" s="1"/>
  <c r="AF252" i="11"/>
  <c r="BC40" i="65" s="1"/>
  <c r="AM252" i="11"/>
  <c r="BJ40" i="65" s="1"/>
  <c r="AE252" i="11"/>
  <c r="BB40" i="65" s="1"/>
  <c r="AC252" i="11"/>
  <c r="AZ40" i="65" s="1"/>
  <c r="AM228" i="11"/>
  <c r="BJ17" i="65" s="1"/>
  <c r="AL228" i="11"/>
  <c r="BI17" i="65" s="1"/>
  <c r="AF228" i="11"/>
  <c r="BC17" i="65" s="1"/>
  <c r="AE228" i="11"/>
  <c r="BB17" i="65" s="1"/>
  <c r="AD228" i="11"/>
  <c r="BA17" i="65" s="1"/>
  <c r="AC228" i="11"/>
  <c r="AZ17" i="65" s="1"/>
  <c r="AN228" i="11"/>
  <c r="BK17" i="65" s="1"/>
  <c r="AM183" i="11"/>
  <c r="AF183" i="11"/>
  <c r="AD183" i="11"/>
  <c r="AC183" i="11"/>
  <c r="AN183" i="11"/>
  <c r="AL183" i="11"/>
  <c r="AE183" i="11"/>
  <c r="AF194" i="11"/>
  <c r="AC194" i="11"/>
  <c r="AN194" i="11"/>
  <c r="AM194" i="11"/>
  <c r="AE194" i="11"/>
  <c r="AL194" i="11"/>
  <c r="AD194" i="11"/>
  <c r="AN137" i="11"/>
  <c r="AL137" i="11"/>
  <c r="AD137" i="11"/>
  <c r="AF137" i="11"/>
  <c r="AE137" i="11"/>
  <c r="AM137" i="11"/>
  <c r="AC137" i="11"/>
  <c r="AD104" i="11"/>
  <c r="AC104" i="11"/>
  <c r="AE104" i="11"/>
  <c r="AN104" i="11"/>
  <c r="AM104" i="11"/>
  <c r="AL104" i="11"/>
  <c r="AF104" i="11"/>
  <c r="AN203" i="11"/>
  <c r="AM203" i="11"/>
  <c r="AF203" i="11"/>
  <c r="AC203" i="11"/>
  <c r="AL203" i="11"/>
  <c r="AE203" i="11"/>
  <c r="AD203" i="11"/>
  <c r="AD98" i="11"/>
  <c r="AC98" i="11"/>
  <c r="AN98" i="11"/>
  <c r="AM98" i="11"/>
  <c r="AL98" i="11"/>
  <c r="AF98" i="11"/>
  <c r="AE98" i="11"/>
  <c r="AN36" i="11"/>
  <c r="AF36" i="11"/>
  <c r="AE36" i="11"/>
  <c r="AD36" i="11"/>
  <c r="AC36" i="11"/>
  <c r="AM36" i="11"/>
  <c r="AL36" i="11"/>
  <c r="AM62" i="11"/>
  <c r="AL62" i="11"/>
  <c r="AF62" i="11"/>
  <c r="AE62" i="11"/>
  <c r="AD62" i="11"/>
  <c r="AC62" i="11"/>
  <c r="AN62" i="11"/>
  <c r="AM58" i="11"/>
  <c r="AN58" i="11"/>
  <c r="AL58" i="11"/>
  <c r="AF58" i="11"/>
  <c r="AE58" i="11"/>
  <c r="AD58" i="11"/>
  <c r="AC58" i="11"/>
  <c r="AM27" i="11"/>
  <c r="AF27" i="11"/>
  <c r="AC27" i="11"/>
  <c r="AN27" i="11"/>
  <c r="AL27" i="11"/>
  <c r="AE27" i="11"/>
  <c r="AD27" i="11"/>
  <c r="D196" i="25" l="1"/>
  <c r="C193" i="25"/>
  <c r="C192" i="25"/>
  <c r="C72" i="25"/>
  <c r="C184" i="25" l="1"/>
  <c r="C182" i="25"/>
  <c r="C181" i="25"/>
  <c r="C170" i="25"/>
  <c r="C159" i="25"/>
  <c r="C158" i="25"/>
  <c r="C166" i="25" l="1"/>
  <c r="C160" i="25"/>
  <c r="C156" i="25"/>
  <c r="C142" i="25"/>
  <c r="C161" i="25"/>
  <c r="C136" i="25"/>
  <c r="C167" i="25" l="1"/>
  <c r="A133" i="25"/>
  <c r="C127" i="25"/>
  <c r="C122" i="25"/>
  <c r="C117" i="25" l="1"/>
  <c r="C103" i="25"/>
  <c r="C102" i="25"/>
  <c r="C104" i="25" l="1"/>
  <c r="C94" i="25"/>
  <c r="C98" i="25"/>
  <c r="C93" i="25"/>
  <c r="C101" i="25" l="1"/>
  <c r="C95" i="25"/>
  <c r="C91" i="25"/>
  <c r="C78" i="25"/>
  <c r="C75" i="25"/>
  <c r="C71" i="25"/>
  <c r="C96" i="25"/>
  <c r="C74" i="25" l="1"/>
  <c r="C105" i="25"/>
  <c r="C66" i="25"/>
  <c r="C59" i="25" l="1"/>
  <c r="A59" i="25" s="1"/>
  <c r="C53" i="25"/>
  <c r="C51" i="25" l="1" a="1"/>
  <c r="C51" i="25" s="1"/>
  <c r="C43" i="25"/>
  <c r="D43" i="25" l="1"/>
  <c r="D23" i="25"/>
  <c r="C23" i="25"/>
  <c r="C21" i="25"/>
  <c r="B21" i="25"/>
  <c r="C37" i="25" l="1"/>
  <c r="C24" i="25"/>
  <c r="C25" i="25" s="1"/>
  <c r="C22" i="25"/>
  <c r="C31" i="25" l="1"/>
  <c r="C26" i="25"/>
  <c r="C32" i="25" s="1"/>
  <c r="E203" i="60"/>
  <c r="E202" i="60"/>
  <c r="E201" i="60"/>
  <c r="E200" i="60"/>
  <c r="E199" i="60" l="1"/>
  <c r="E198" i="60"/>
  <c r="E197" i="60"/>
  <c r="E196" i="60"/>
  <c r="E195" i="60" l="1"/>
  <c r="E194" i="60" l="1"/>
  <c r="H222" i="35"/>
  <c r="H221" i="35"/>
  <c r="H220" i="35"/>
  <c r="H219" i="35"/>
  <c r="H218" i="35"/>
  <c r="H217" i="35"/>
  <c r="H216" i="35"/>
  <c r="H215" i="35"/>
  <c r="H214" i="35"/>
  <c r="H213" i="35"/>
  <c r="H212" i="35"/>
  <c r="H211" i="35"/>
  <c r="H210" i="35"/>
  <c r="H209" i="35"/>
  <c r="H208" i="35"/>
  <c r="H207" i="35"/>
  <c r="H206" i="35"/>
  <c r="H205" i="35"/>
  <c r="H204" i="35"/>
  <c r="H203" i="35"/>
  <c r="H202" i="35"/>
  <c r="H201" i="35"/>
  <c r="H200" i="35"/>
  <c r="H199" i="35"/>
  <c r="H198" i="35"/>
  <c r="H197" i="35"/>
  <c r="H196" i="35"/>
  <c r="H195" i="35"/>
  <c r="H194" i="35"/>
  <c r="H193" i="35"/>
  <c r="H192" i="35"/>
  <c r="H191" i="35"/>
  <c r="H190" i="35"/>
  <c r="H189" i="35"/>
  <c r="H188" i="35"/>
  <c r="H187" i="35"/>
  <c r="H186" i="35"/>
  <c r="H185" i="35"/>
  <c r="H184" i="35"/>
  <c r="H183" i="35"/>
  <c r="H182" i="35"/>
  <c r="H181" i="35"/>
  <c r="H180" i="35"/>
  <c r="H179" i="35"/>
  <c r="H178" i="35"/>
  <c r="H177" i="35"/>
  <c r="H176" i="35"/>
  <c r="H175" i="35"/>
  <c r="H174" i="35"/>
  <c r="H173" i="35"/>
  <c r="H172" i="35"/>
  <c r="H171" i="35"/>
  <c r="H170" i="35"/>
  <c r="H169" i="35"/>
  <c r="H168" i="35"/>
  <c r="H167" i="35"/>
  <c r="H166" i="35"/>
  <c r="H165" i="35"/>
  <c r="H164" i="35"/>
  <c r="H163" i="35"/>
  <c r="H162" i="35"/>
  <c r="H161" i="35"/>
  <c r="H160" i="35"/>
  <c r="H159" i="35"/>
  <c r="H158" i="35"/>
  <c r="H157" i="35"/>
  <c r="H156" i="35"/>
  <c r="H155" i="35"/>
  <c r="H154" i="35"/>
  <c r="H153" i="35"/>
  <c r="H152" i="35"/>
  <c r="H151" i="35"/>
  <c r="H150" i="35"/>
  <c r="H149" i="35"/>
  <c r="H148" i="35"/>
  <c r="H147" i="35"/>
  <c r="H146" i="35"/>
  <c r="H145" i="35"/>
  <c r="H144" i="35"/>
  <c r="H143" i="35"/>
  <c r="H142" i="35"/>
  <c r="H141" i="35"/>
  <c r="H140" i="35"/>
  <c r="H139" i="35"/>
  <c r="H138" i="35"/>
  <c r="H137" i="35"/>
  <c r="H136" i="35"/>
  <c r="H135" i="35"/>
  <c r="H134" i="35"/>
  <c r="H133" i="35"/>
  <c r="H132" i="35"/>
  <c r="H131" i="35"/>
  <c r="H130" i="35"/>
  <c r="H129" i="35"/>
  <c r="H128" i="35"/>
  <c r="H127" i="35"/>
  <c r="H126" i="35"/>
  <c r="H125" i="35"/>
  <c r="H124" i="35"/>
  <c r="H123" i="35"/>
  <c r="H122" i="35"/>
  <c r="H121" i="35"/>
  <c r="H120" i="35"/>
  <c r="H119" i="35"/>
  <c r="H118" i="35"/>
  <c r="H117" i="35"/>
  <c r="H116" i="35"/>
  <c r="H115" i="35"/>
  <c r="H114" i="35"/>
  <c r="H113" i="35"/>
  <c r="H112" i="35"/>
  <c r="H111" i="35"/>
  <c r="H110" i="35"/>
  <c r="H109" i="35"/>
  <c r="H108" i="35"/>
  <c r="H107" i="35"/>
  <c r="H106" i="35"/>
  <c r="H105" i="35"/>
  <c r="H104" i="35"/>
  <c r="H103" i="35"/>
  <c r="H102" i="35"/>
  <c r="H101" i="35"/>
  <c r="H100" i="35"/>
  <c r="H99" i="35"/>
  <c r="H98" i="35"/>
  <c r="H97" i="35"/>
  <c r="H96" i="35"/>
  <c r="H95" i="35"/>
  <c r="H94" i="35"/>
  <c r="H93" i="35"/>
  <c r="H92" i="35"/>
  <c r="H91" i="35"/>
  <c r="H90" i="35"/>
  <c r="H89" i="35"/>
  <c r="H88" i="35"/>
  <c r="H87" i="35"/>
  <c r="H86" i="35"/>
  <c r="H85" i="35"/>
  <c r="H84" i="35"/>
  <c r="H83" i="35"/>
  <c r="H82" i="35"/>
  <c r="H81" i="35"/>
  <c r="H80" i="35"/>
  <c r="H79" i="35"/>
  <c r="H78" i="35"/>
  <c r="H77" i="35"/>
  <c r="H76" i="35"/>
  <c r="H75" i="35"/>
  <c r="H74" i="35"/>
  <c r="H73" i="35"/>
  <c r="H72" i="35"/>
  <c r="H71" i="35"/>
  <c r="H70" i="35"/>
  <c r="H69" i="35"/>
  <c r="H68" i="35"/>
  <c r="H67" i="35"/>
  <c r="H66" i="35"/>
  <c r="H65" i="35"/>
  <c r="H64" i="35"/>
  <c r="H63" i="35"/>
  <c r="H62" i="35"/>
  <c r="H61" i="35"/>
  <c r="H60" i="35"/>
  <c r="H59" i="35"/>
  <c r="H58" i="35"/>
  <c r="H57" i="35"/>
  <c r="H56" i="35"/>
  <c r="H55" i="35"/>
  <c r="H54" i="35"/>
  <c r="H53" i="35"/>
  <c r="H52" i="35"/>
  <c r="H51" i="35"/>
  <c r="H50" i="35"/>
  <c r="H49" i="35"/>
  <c r="H48" i="35"/>
  <c r="H47" i="35"/>
  <c r="H46" i="35"/>
  <c r="H45" i="35"/>
  <c r="H44" i="35"/>
  <c r="H43" i="35"/>
  <c r="H42" i="35"/>
  <c r="H41" i="35"/>
  <c r="H40" i="35"/>
  <c r="H39" i="35"/>
  <c r="H38" i="35"/>
  <c r="H37" i="35"/>
  <c r="H36" i="35"/>
  <c r="H35" i="35"/>
  <c r="H34" i="35"/>
  <c r="H33" i="35"/>
  <c r="H32" i="35"/>
  <c r="H31" i="35"/>
  <c r="H30" i="35"/>
  <c r="H29" i="35"/>
  <c r="H28" i="35"/>
  <c r="H27" i="35"/>
  <c r="H26" i="35"/>
  <c r="H25" i="35"/>
  <c r="H24" i="35"/>
  <c r="H23" i="35"/>
  <c r="H22" i="35"/>
  <c r="H21" i="35"/>
  <c r="H20" i="35"/>
  <c r="H19" i="35"/>
  <c r="H18" i="35"/>
  <c r="H17" i="35"/>
  <c r="H16" i="35"/>
  <c r="H15" i="35"/>
  <c r="H14" i="35"/>
  <c r="H13" i="35"/>
  <c r="H12" i="35"/>
  <c r="A7" i="35"/>
  <c r="I222" i="35" s="1"/>
  <c r="A50" i="62"/>
  <c r="A49" i="62"/>
  <c r="A48" i="62"/>
  <c r="A47" i="62"/>
  <c r="A46" i="62"/>
  <c r="A45" i="62"/>
  <c r="A44" i="62"/>
  <c r="A43" i="62"/>
  <c r="A42" i="62"/>
  <c r="A41" i="62"/>
  <c r="A40" i="62"/>
  <c r="A39" i="62"/>
  <c r="A38" i="62"/>
  <c r="A37" i="62"/>
  <c r="A36" i="62"/>
  <c r="A35" i="62"/>
  <c r="A34" i="62"/>
  <c r="A33" i="62"/>
  <c r="A32" i="62"/>
  <c r="A31" i="62"/>
  <c r="A30" i="62"/>
  <c r="A29" i="62"/>
  <c r="A28" i="62"/>
  <c r="A27" i="62"/>
  <c r="A26" i="62"/>
  <c r="A25" i="62"/>
  <c r="A24" i="62"/>
  <c r="A23" i="62"/>
  <c r="A22" i="62"/>
  <c r="A21" i="62"/>
  <c r="A20" i="62"/>
  <c r="A19" i="62"/>
  <c r="A18" i="62"/>
  <c r="A17" i="62"/>
  <c r="A16" i="62"/>
  <c r="A15" i="62"/>
  <c r="A14" i="62"/>
  <c r="A13" i="62"/>
  <c r="A12" i="62"/>
  <c r="A11" i="62"/>
  <c r="A10" i="62"/>
  <c r="A9" i="62"/>
  <c r="A8" i="62"/>
  <c r="A7" i="62"/>
  <c r="A6" i="62"/>
  <c r="A5" i="62"/>
  <c r="A4" i="62"/>
  <c r="A3" i="62"/>
  <c r="A2" i="62"/>
  <c r="A3" i="61"/>
  <c r="Q22" i="23"/>
  <c r="N22" i="23"/>
  <c r="P22" i="23" s="1"/>
  <c r="J22" i="23"/>
  <c r="C22" i="23"/>
  <c r="E22" i="23" s="1"/>
  <c r="Q21" i="23"/>
  <c r="N21" i="23"/>
  <c r="P21" i="23" s="1"/>
  <c r="J21" i="23"/>
  <c r="C21" i="23"/>
  <c r="E21" i="23" s="1"/>
  <c r="Q20" i="23"/>
  <c r="N20" i="23"/>
  <c r="P20" i="23" s="1"/>
  <c r="J20" i="23"/>
  <c r="C20" i="23"/>
  <c r="E20" i="23" s="1"/>
  <c r="Q19" i="23"/>
  <c r="N19" i="23"/>
  <c r="P19" i="23" s="1"/>
  <c r="J19" i="23"/>
  <c r="C19" i="23"/>
  <c r="E19" i="23" s="1"/>
  <c r="Q18" i="23"/>
  <c r="N18" i="23"/>
  <c r="P18" i="23" s="1"/>
  <c r="J18" i="23"/>
  <c r="C18" i="23"/>
  <c r="E18" i="23" s="1"/>
  <c r="Q17" i="23"/>
  <c r="N17" i="23"/>
  <c r="P17" i="23" s="1"/>
  <c r="J17" i="23"/>
  <c r="C17" i="23"/>
  <c r="E17" i="23" s="1"/>
  <c r="Q16" i="23"/>
  <c r="N16" i="23"/>
  <c r="P16" i="23" s="1"/>
  <c r="J16" i="23"/>
  <c r="C16" i="23"/>
  <c r="E16" i="23" s="1"/>
  <c r="Q15" i="23"/>
  <c r="N15" i="23"/>
  <c r="P15" i="23" s="1"/>
  <c r="J15" i="23"/>
  <c r="C15" i="23"/>
  <c r="E15" i="23" s="1"/>
  <c r="Q14" i="23"/>
  <c r="N14" i="23"/>
  <c r="P14" i="23" s="1"/>
  <c r="J14" i="23"/>
  <c r="C14" i="23"/>
  <c r="E14" i="23" s="1"/>
  <c r="Q13" i="23"/>
  <c r="N13" i="23"/>
  <c r="P13" i="23" s="1"/>
  <c r="J13" i="23"/>
  <c r="C13" i="23"/>
  <c r="E13" i="23" s="1"/>
  <c r="Q12" i="23"/>
  <c r="J12" i="23"/>
  <c r="N12" i="23" s="1"/>
  <c r="P12" i="23" s="1"/>
  <c r="C12" i="23"/>
  <c r="E12" i="23" s="1"/>
  <c r="Q11" i="23"/>
  <c r="J11" i="23"/>
  <c r="N11" i="23" s="1"/>
  <c r="C11" i="23"/>
  <c r="N54" i="34"/>
  <c r="R54" i="34" s="1"/>
  <c r="F54" i="34"/>
  <c r="R53" i="34"/>
  <c r="N53" i="34"/>
  <c r="F53" i="34"/>
  <c r="R52" i="34"/>
  <c r="N52" i="34"/>
  <c r="F52" i="34"/>
  <c r="R51" i="34"/>
  <c r="N51" i="34"/>
  <c r="F51" i="34"/>
  <c r="N50" i="34"/>
  <c r="R50" i="34" s="1"/>
  <c r="F50" i="34"/>
  <c r="R49" i="34"/>
  <c r="N49" i="34"/>
  <c r="F49" i="34"/>
  <c r="D31" i="44"/>
  <c r="B9" i="44"/>
  <c r="D27" i="44" s="1"/>
  <c r="H179" i="48"/>
  <c r="H178" i="48"/>
  <c r="H180" i="48" s="1"/>
  <c r="H175" i="48"/>
  <c r="H174" i="48"/>
  <c r="H176" i="48" s="1"/>
  <c r="H171" i="48"/>
  <c r="H170" i="48"/>
  <c r="H172" i="48" s="1"/>
  <c r="H167" i="48"/>
  <c r="H166" i="48"/>
  <c r="H168" i="48" s="1"/>
  <c r="H163" i="48"/>
  <c r="H162" i="48"/>
  <c r="H164" i="48" s="1"/>
  <c r="G159" i="48"/>
  <c r="H159" i="48" s="1"/>
  <c r="H160" i="48" s="1"/>
  <c r="H158" i="48"/>
  <c r="G155" i="48"/>
  <c r="H155" i="48" s="1"/>
  <c r="H154" i="48"/>
  <c r="H156" i="48" s="1"/>
  <c r="E100" i="48"/>
  <c r="C138" i="48" s="1"/>
  <c r="X82" i="48"/>
  <c r="M82" i="48"/>
  <c r="X80" i="48"/>
  <c r="M80" i="48"/>
  <c r="X79" i="48"/>
  <c r="M79" i="48"/>
  <c r="X78" i="48"/>
  <c r="M78" i="48"/>
  <c r="X77" i="48"/>
  <c r="M77" i="48"/>
  <c r="X76" i="48"/>
  <c r="M76" i="48"/>
  <c r="X75" i="48"/>
  <c r="M75" i="48"/>
  <c r="X74" i="48"/>
  <c r="M74" i="48"/>
  <c r="AB73" i="48"/>
  <c r="X73" i="48"/>
  <c r="Q73" i="48"/>
  <c r="M73" i="48"/>
  <c r="AB72" i="48"/>
  <c r="X72" i="48"/>
  <c r="Q72" i="48"/>
  <c r="M72" i="48"/>
  <c r="AB71" i="48"/>
  <c r="X71" i="48"/>
  <c r="Q71" i="48"/>
  <c r="M71" i="48"/>
  <c r="AB70" i="48"/>
  <c r="X70" i="48"/>
  <c r="Q70" i="48"/>
  <c r="M70" i="48"/>
  <c r="C70" i="48"/>
  <c r="AB69" i="48"/>
  <c r="X69" i="48"/>
  <c r="Q69" i="48"/>
  <c r="M69" i="48"/>
  <c r="AB68" i="48"/>
  <c r="X68" i="48"/>
  <c r="Q68" i="48"/>
  <c r="M68" i="48"/>
  <c r="AB67" i="48"/>
  <c r="X67" i="48"/>
  <c r="Q67" i="48"/>
  <c r="M67" i="48"/>
  <c r="AB66" i="48"/>
  <c r="X66" i="48"/>
  <c r="Q66" i="48"/>
  <c r="M66" i="48"/>
  <c r="AB65" i="48"/>
  <c r="X65" i="48"/>
  <c r="Q65" i="48"/>
  <c r="M65" i="48"/>
  <c r="AB64" i="48"/>
  <c r="X64" i="48"/>
  <c r="Q64" i="48"/>
  <c r="M64" i="48"/>
  <c r="AB63" i="48"/>
  <c r="X63" i="48"/>
  <c r="Q63" i="48"/>
  <c r="M63" i="48"/>
  <c r="AB62" i="48"/>
  <c r="X62" i="48"/>
  <c r="Q62" i="48"/>
  <c r="M62" i="48"/>
  <c r="AB61" i="48"/>
  <c r="X61" i="48"/>
  <c r="Q61" i="48"/>
  <c r="M61" i="48"/>
  <c r="AB60" i="48"/>
  <c r="X60" i="48"/>
  <c r="Q60" i="48"/>
  <c r="M60" i="48"/>
  <c r="AB59" i="48"/>
  <c r="X59" i="48"/>
  <c r="Q59" i="48"/>
  <c r="M59" i="48"/>
  <c r="AB58" i="48"/>
  <c r="X58" i="48"/>
  <c r="Q58" i="48"/>
  <c r="M58" i="48"/>
  <c r="AB57" i="48"/>
  <c r="X57" i="48"/>
  <c r="Q57" i="48"/>
  <c r="M57" i="48"/>
  <c r="AB56" i="48"/>
  <c r="X56" i="48"/>
  <c r="Q56" i="48"/>
  <c r="M56" i="48"/>
  <c r="AB55" i="48"/>
  <c r="X55" i="48"/>
  <c r="Q55" i="48"/>
  <c r="M55" i="48"/>
  <c r="AB54" i="48"/>
  <c r="X54" i="48"/>
  <c r="Q54" i="48"/>
  <c r="M54" i="48"/>
  <c r="AB53" i="48"/>
  <c r="X53" i="48"/>
  <c r="Q53" i="48"/>
  <c r="M53" i="48"/>
  <c r="AB52" i="48"/>
  <c r="X52" i="48"/>
  <c r="Q52" i="48"/>
  <c r="M52" i="48"/>
  <c r="AB51" i="48"/>
  <c r="X51" i="48"/>
  <c r="Q51" i="48"/>
  <c r="M51" i="48"/>
  <c r="AB50" i="48"/>
  <c r="X50" i="48"/>
  <c r="Q50" i="48"/>
  <c r="M50" i="48"/>
  <c r="AB49" i="48"/>
  <c r="X49" i="48"/>
  <c r="Q49" i="48"/>
  <c r="M49" i="48"/>
  <c r="AB48" i="48"/>
  <c r="X48" i="48"/>
  <c r="Q48" i="48"/>
  <c r="M48" i="48"/>
  <c r="AB47" i="48"/>
  <c r="X47" i="48"/>
  <c r="Q47" i="48"/>
  <c r="M47" i="48"/>
  <c r="AB46" i="48"/>
  <c r="X46" i="48"/>
  <c r="Q46" i="48"/>
  <c r="M46" i="48"/>
  <c r="AB45" i="48"/>
  <c r="X45" i="48"/>
  <c r="Q45" i="48"/>
  <c r="M45" i="48"/>
  <c r="AB44" i="48"/>
  <c r="X44" i="48"/>
  <c r="Q44" i="48"/>
  <c r="M44" i="48"/>
  <c r="E43" i="48"/>
  <c r="X41" i="48"/>
  <c r="M41" i="48"/>
  <c r="X38" i="48"/>
  <c r="M38" i="48"/>
  <c r="Z37" i="48"/>
  <c r="X37" i="48"/>
  <c r="AB41" i="48" s="1"/>
  <c r="O37" i="48"/>
  <c r="M37" i="48"/>
  <c r="Q41" i="48" s="1"/>
  <c r="G32" i="48"/>
  <c r="H29" i="48"/>
  <c r="H32" i="48" s="1"/>
  <c r="H25" i="48"/>
  <c r="C13" i="48"/>
  <c r="B7" i="48"/>
  <c r="C100" i="48" s="1"/>
  <c r="W349" i="50"/>
  <c r="W348" i="50"/>
  <c r="W347" i="50"/>
  <c r="W346" i="50"/>
  <c r="W345" i="50"/>
  <c r="W344" i="50"/>
  <c r="W343" i="50"/>
  <c r="W342" i="50"/>
  <c r="W341" i="50"/>
  <c r="W340" i="50"/>
  <c r="W339" i="50"/>
  <c r="W338" i="50"/>
  <c r="W337" i="50"/>
  <c r="W336" i="50"/>
  <c r="W335" i="50"/>
  <c r="W334" i="50"/>
  <c r="W333" i="50"/>
  <c r="W332" i="50"/>
  <c r="W331" i="50"/>
  <c r="W330" i="50"/>
  <c r="W329" i="50"/>
  <c r="W328" i="50"/>
  <c r="W327" i="50"/>
  <c r="W326" i="50"/>
  <c r="W325" i="50"/>
  <c r="W324" i="50"/>
  <c r="W323" i="50"/>
  <c r="W221" i="50"/>
  <c r="W220" i="50"/>
  <c r="W219" i="50"/>
  <c r="W218" i="50"/>
  <c r="W217" i="50"/>
  <c r="W216" i="50"/>
  <c r="W215" i="50"/>
  <c r="W214" i="50"/>
  <c r="W213" i="50"/>
  <c r="W212" i="50"/>
  <c r="W211" i="50"/>
  <c r="W210" i="50"/>
  <c r="W209" i="50"/>
  <c r="W208" i="50"/>
  <c r="W207" i="50"/>
  <c r="W206" i="50"/>
  <c r="W205" i="50"/>
  <c r="W204" i="50"/>
  <c r="W203" i="50"/>
  <c r="W202" i="50"/>
  <c r="W201" i="50"/>
  <c r="W200" i="50"/>
  <c r="W199" i="50"/>
  <c r="W198" i="50"/>
  <c r="W197" i="50"/>
  <c r="W196" i="50"/>
  <c r="W195" i="50"/>
  <c r="W194" i="50"/>
  <c r="W193" i="50"/>
  <c r="W192" i="50"/>
  <c r="W191" i="50"/>
  <c r="W190" i="50"/>
  <c r="W189" i="50"/>
  <c r="W188" i="50"/>
  <c r="W187" i="50"/>
  <c r="W186" i="50"/>
  <c r="W185" i="50"/>
  <c r="W184" i="50"/>
  <c r="W183" i="50"/>
  <c r="W182" i="50"/>
  <c r="W181" i="50"/>
  <c r="W180" i="50"/>
  <c r="W179" i="50"/>
  <c r="W178" i="50"/>
  <c r="W177" i="50"/>
  <c r="W176" i="50"/>
  <c r="W175" i="50"/>
  <c r="W174" i="50"/>
  <c r="W173" i="50"/>
  <c r="W172" i="50"/>
  <c r="W171" i="50"/>
  <c r="W170" i="50"/>
  <c r="W169" i="50"/>
  <c r="W168" i="50"/>
  <c r="W167" i="50"/>
  <c r="W166" i="50"/>
  <c r="W165" i="50"/>
  <c r="W164" i="50"/>
  <c r="W163" i="50"/>
  <c r="W162" i="50"/>
  <c r="W161" i="50"/>
  <c r="W160" i="50"/>
  <c r="W159" i="50"/>
  <c r="W158" i="50"/>
  <c r="W157" i="50"/>
  <c r="W156" i="50"/>
  <c r="W155" i="50"/>
  <c r="W154" i="50"/>
  <c r="W153" i="50"/>
  <c r="W152" i="50"/>
  <c r="W151" i="50"/>
  <c r="W150" i="50"/>
  <c r="W149" i="50"/>
  <c r="W148" i="50"/>
  <c r="W147" i="50"/>
  <c r="W146" i="50"/>
  <c r="W145" i="50"/>
  <c r="W144" i="50"/>
  <c r="W143" i="50"/>
  <c r="W142" i="50"/>
  <c r="W141" i="50"/>
  <c r="W140" i="50"/>
  <c r="W139" i="50"/>
  <c r="W138" i="50"/>
  <c r="W137" i="50"/>
  <c r="W136" i="50"/>
  <c r="W135" i="50"/>
  <c r="W134" i="50"/>
  <c r="W133" i="50"/>
  <c r="W132" i="50"/>
  <c r="T132" i="50"/>
  <c r="W131" i="50"/>
  <c r="W130" i="50"/>
  <c r="W129" i="50"/>
  <c r="W128" i="50"/>
  <c r="W127" i="50"/>
  <c r="W126" i="50"/>
  <c r="W125" i="50"/>
  <c r="W124" i="50"/>
  <c r="W123" i="50"/>
  <c r="W122" i="50"/>
  <c r="W121" i="50"/>
  <c r="W120" i="50"/>
  <c r="W119" i="50"/>
  <c r="W118" i="50"/>
  <c r="W117" i="50"/>
  <c r="F13" i="23"/>
  <c r="AA43" i="48"/>
  <c r="G22" i="23"/>
  <c r="G20" i="23"/>
  <c r="G18" i="23"/>
  <c r="D24" i="44"/>
  <c r="F22" i="23"/>
  <c r="F20" i="23"/>
  <c r="F18" i="23"/>
  <c r="G16" i="23"/>
  <c r="G12" i="23"/>
  <c r="AC43" i="48"/>
  <c r="F16" i="23"/>
  <c r="G14" i="23"/>
  <c r="F12" i="23"/>
  <c r="F14" i="23"/>
  <c r="W43" i="48"/>
  <c r="AA37" i="48"/>
  <c r="L43" i="48"/>
  <c r="P37" i="48"/>
  <c r="F15" i="23"/>
  <c r="G13" i="23"/>
  <c r="Y43" i="48"/>
  <c r="G21" i="23"/>
  <c r="G19" i="23"/>
  <c r="N43" i="48"/>
  <c r="F21" i="23"/>
  <c r="F19" i="23"/>
  <c r="G17" i="23"/>
  <c r="G15" i="23"/>
  <c r="F17" i="23"/>
  <c r="X336" i="50"/>
  <c r="X346" i="50"/>
  <c r="V347" i="50"/>
  <c r="V221" i="50"/>
  <c r="V193" i="50"/>
  <c r="X166" i="50"/>
  <c r="V146" i="50"/>
  <c r="X324" i="50"/>
  <c r="V121" i="50"/>
  <c r="X129" i="50"/>
  <c r="V324" i="50"/>
  <c r="X176" i="50"/>
  <c r="X349" i="50"/>
  <c r="V144" i="50"/>
  <c r="V139" i="50"/>
  <c r="X140" i="50"/>
  <c r="V171" i="50"/>
  <c r="V185" i="50"/>
  <c r="V200" i="50"/>
  <c r="X348" i="50"/>
  <c r="X120" i="50"/>
  <c r="V339" i="50"/>
  <c r="X145" i="50"/>
  <c r="V341" i="50"/>
  <c r="V333" i="50"/>
  <c r="V168" i="50"/>
  <c r="X171" i="50"/>
  <c r="V180" i="50"/>
  <c r="V331" i="50"/>
  <c r="X186" i="50"/>
  <c r="X341" i="50"/>
  <c r="V205" i="50"/>
  <c r="X177" i="50"/>
  <c r="V194" i="50"/>
  <c r="X174" i="50"/>
  <c r="V159" i="50"/>
  <c r="X157" i="50"/>
  <c r="X134" i="50"/>
  <c r="V129" i="50"/>
  <c r="X200" i="50"/>
  <c r="V175" i="50"/>
  <c r="V176" i="50"/>
  <c r="V130" i="50"/>
  <c r="X187" i="50"/>
  <c r="V218" i="50"/>
  <c r="V167" i="50"/>
  <c r="X206" i="50"/>
  <c r="X125" i="50"/>
  <c r="X328" i="50"/>
  <c r="X141" i="50"/>
  <c r="X131" i="50"/>
  <c r="X118" i="50"/>
  <c r="X343" i="50"/>
  <c r="X334" i="50"/>
  <c r="X117" i="50"/>
  <c r="X137" i="50"/>
  <c r="V343" i="50"/>
  <c r="V346" i="50"/>
  <c r="V190" i="50"/>
  <c r="X333" i="50"/>
  <c r="X142" i="50"/>
  <c r="X214" i="50"/>
  <c r="X164" i="50"/>
  <c r="X153" i="50"/>
  <c r="V117" i="50"/>
  <c r="V344" i="50"/>
  <c r="X345" i="50"/>
  <c r="X122" i="50"/>
  <c r="X326" i="50"/>
  <c r="V207" i="50"/>
  <c r="V133" i="50"/>
  <c r="V141" i="50"/>
  <c r="X191" i="50"/>
  <c r="X195" i="50"/>
  <c r="V349" i="50"/>
  <c r="V210" i="50"/>
  <c r="X210" i="50"/>
  <c r="X127" i="50"/>
  <c r="V199" i="50"/>
  <c r="V327" i="50"/>
  <c r="X183" i="50"/>
  <c r="V213" i="50"/>
  <c r="X172" i="50"/>
  <c r="V142" i="50"/>
  <c r="X189" i="50"/>
  <c r="V195" i="50"/>
  <c r="X162" i="50"/>
  <c r="X151" i="50"/>
  <c r="V164" i="50"/>
  <c r="X202" i="50"/>
  <c r="V172" i="50"/>
  <c r="V328" i="50"/>
  <c r="V348" i="50"/>
  <c r="V181" i="50"/>
  <c r="V161" i="50"/>
  <c r="X121" i="50"/>
  <c r="V118" i="50"/>
  <c r="V340" i="50"/>
  <c r="V174" i="50"/>
  <c r="V179" i="50"/>
  <c r="V131" i="50"/>
  <c r="V208" i="50"/>
  <c r="X196" i="50"/>
  <c r="X143" i="50"/>
  <c r="X152" i="50"/>
  <c r="V211" i="50"/>
  <c r="X180" i="50"/>
  <c r="X330" i="50"/>
  <c r="V155" i="50"/>
  <c r="V156" i="50"/>
  <c r="V135" i="50"/>
  <c r="X161" i="50"/>
  <c r="X165" i="50"/>
  <c r="X193" i="50"/>
  <c r="V216" i="50"/>
  <c r="X133" i="50"/>
  <c r="X344" i="50"/>
  <c r="V188" i="50"/>
  <c r="V201" i="50"/>
  <c r="X159" i="50"/>
  <c r="V165" i="50"/>
  <c r="V178" i="50"/>
  <c r="V189" i="50"/>
  <c r="V186" i="50"/>
  <c r="V160" i="50"/>
  <c r="X138" i="50"/>
  <c r="X178" i="50"/>
  <c r="X208" i="50"/>
  <c r="V149" i="50"/>
  <c r="X160" i="50"/>
  <c r="V204" i="50"/>
  <c r="X192" i="50"/>
  <c r="V163" i="50"/>
  <c r="X213" i="50"/>
  <c r="V137" i="50"/>
  <c r="V197" i="50"/>
  <c r="X205" i="50"/>
  <c r="X175" i="50"/>
  <c r="X139" i="50"/>
  <c r="V148" i="50"/>
  <c r="V338" i="50"/>
  <c r="V336" i="50"/>
  <c r="X156" i="50"/>
  <c r="V153" i="50"/>
  <c r="X155" i="50"/>
  <c r="V145" i="50"/>
  <c r="V125" i="50"/>
  <c r="X130" i="50"/>
  <c r="V120" i="50"/>
  <c r="V150" i="50"/>
  <c r="V126" i="50"/>
  <c r="X347" i="50"/>
  <c r="V128" i="50"/>
  <c r="X150" i="50"/>
  <c r="X340" i="50"/>
  <c r="X154" i="50"/>
  <c r="V219" i="50"/>
  <c r="X149" i="50"/>
  <c r="X181" i="50"/>
  <c r="X218" i="50"/>
  <c r="V134" i="50"/>
  <c r="V119" i="50"/>
  <c r="V334" i="50"/>
  <c r="V191" i="50"/>
  <c r="X209" i="50"/>
  <c r="X219" i="50"/>
  <c r="X144" i="50"/>
  <c r="X332" i="50"/>
  <c r="X148" i="50"/>
  <c r="V209" i="50"/>
  <c r="X216" i="50"/>
  <c r="V345" i="50"/>
  <c r="X182" i="50"/>
  <c r="X221" i="50"/>
  <c r="X179" i="50"/>
  <c r="V170" i="50"/>
  <c r="V184" i="50"/>
  <c r="X217" i="50"/>
  <c r="X204" i="50"/>
  <c r="V177" i="50"/>
  <c r="X163" i="50"/>
  <c r="X323" i="50"/>
  <c r="V187" i="50"/>
  <c r="X335" i="50"/>
  <c r="X124" i="50"/>
  <c r="V124" i="50"/>
  <c r="V337" i="50"/>
  <c r="X194" i="50"/>
  <c r="V332" i="50"/>
  <c r="V158" i="50"/>
  <c r="X119" i="50"/>
  <c r="X220" i="50"/>
  <c r="X173" i="50"/>
  <c r="V325" i="50"/>
  <c r="X338" i="50"/>
  <c r="X147" i="50"/>
  <c r="V217" i="50"/>
  <c r="V151" i="50"/>
  <c r="X170" i="50"/>
  <c r="V196" i="50"/>
  <c r="X337" i="50"/>
  <c r="V212" i="50"/>
  <c r="X199" i="50"/>
  <c r="V203" i="50"/>
  <c r="V138" i="50"/>
  <c r="V202" i="50"/>
  <c r="X132" i="50"/>
  <c r="X197" i="50"/>
  <c r="V323" i="50"/>
  <c r="X327" i="50"/>
  <c r="X167" i="50"/>
  <c r="V206" i="50"/>
  <c r="V183" i="50"/>
  <c r="V169" i="50"/>
  <c r="V154" i="50"/>
  <c r="V342" i="50"/>
  <c r="V335" i="50"/>
  <c r="V166" i="50"/>
  <c r="X123" i="50"/>
  <c r="V326" i="50"/>
  <c r="X342" i="50"/>
  <c r="X325" i="50"/>
  <c r="V173" i="50"/>
  <c r="V136" i="50"/>
  <c r="X184" i="50"/>
  <c r="V143" i="50"/>
  <c r="V123" i="50"/>
  <c r="V132" i="50"/>
  <c r="V330" i="50"/>
  <c r="V220" i="50"/>
  <c r="X215" i="50"/>
  <c r="V192" i="50"/>
  <c r="V140" i="50"/>
  <c r="V157" i="50"/>
  <c r="X190" i="50"/>
  <c r="X135" i="50"/>
  <c r="X198" i="50"/>
  <c r="X339" i="50"/>
  <c r="X207" i="50"/>
  <c r="X146" i="50"/>
  <c r="V152" i="50"/>
  <c r="X168" i="50"/>
  <c r="X201" i="50"/>
  <c r="X158" i="50"/>
  <c r="X331" i="50"/>
  <c r="V182" i="50"/>
  <c r="V127" i="50"/>
  <c r="V162" i="50"/>
  <c r="X185" i="50"/>
  <c r="X128" i="50"/>
  <c r="X136" i="50"/>
  <c r="X203" i="50"/>
  <c r="X188" i="50"/>
  <c r="V214" i="50"/>
  <c r="V147" i="50"/>
  <c r="X126" i="50"/>
  <c r="X329" i="50"/>
  <c r="V198" i="50"/>
  <c r="X211" i="50"/>
  <c r="V329" i="50"/>
  <c r="V215" i="50"/>
  <c r="X169" i="50"/>
  <c r="X212" i="50"/>
  <c r="V122" i="50"/>
  <c r="X116" i="50"/>
  <c r="E69" i="61" l="1"/>
  <c r="F69" i="61" s="1"/>
  <c r="E72" i="61"/>
  <c r="F72" i="61" s="1"/>
  <c r="E95" i="61"/>
  <c r="F95" i="61" s="1"/>
  <c r="E109" i="61"/>
  <c r="F109" i="61" s="1"/>
  <c r="E112" i="61"/>
  <c r="F112" i="61" s="1"/>
  <c r="E75" i="61"/>
  <c r="F75" i="61" s="1"/>
  <c r="E84" i="61"/>
  <c r="F84" i="61" s="1"/>
  <c r="E115" i="61"/>
  <c r="F115" i="61" s="1"/>
  <c r="E129" i="61"/>
  <c r="F129" i="61" s="1"/>
  <c r="E55" i="61"/>
  <c r="F55" i="61" s="1"/>
  <c r="E81" i="61"/>
  <c r="F81" i="61" s="1"/>
  <c r="E123" i="61"/>
  <c r="F123" i="61" s="1"/>
  <c r="E61" i="61"/>
  <c r="F61" i="61" s="1"/>
  <c r="E64" i="61"/>
  <c r="F64" i="61" s="1"/>
  <c r="E87" i="61"/>
  <c r="F87" i="61" s="1"/>
  <c r="E101" i="61"/>
  <c r="F101" i="61" s="1"/>
  <c r="E104" i="61"/>
  <c r="F104" i="61" s="1"/>
  <c r="E142" i="61"/>
  <c r="F142" i="61" s="1"/>
  <c r="E5" i="61"/>
  <c r="E17" i="61"/>
  <c r="E23" i="61"/>
  <c r="E29" i="61"/>
  <c r="E35" i="61"/>
  <c r="E41" i="61"/>
  <c r="E47" i="61"/>
  <c r="E67" i="61"/>
  <c r="F67" i="61" s="1"/>
  <c r="E124" i="61"/>
  <c r="F124" i="61" s="1"/>
  <c r="E89" i="61"/>
  <c r="F89" i="61" s="1"/>
  <c r="E11" i="61"/>
  <c r="E107" i="61"/>
  <c r="F107" i="61" s="1"/>
  <c r="E121" i="61"/>
  <c r="F121" i="61" s="1"/>
  <c r="E136" i="61"/>
  <c r="F136" i="61" s="1"/>
  <c r="E135" i="61"/>
  <c r="F135" i="61" s="1"/>
  <c r="E93" i="61"/>
  <c r="F93" i="61" s="1"/>
  <c r="E96" i="61"/>
  <c r="F96" i="61" s="1"/>
  <c r="E146" i="61"/>
  <c r="F146" i="61" s="1"/>
  <c r="E79" i="61"/>
  <c r="F79" i="61" s="1"/>
  <c r="E134" i="61"/>
  <c r="F134" i="61" s="1"/>
  <c r="E120" i="61"/>
  <c r="F120" i="61" s="1"/>
  <c r="E39" i="61"/>
  <c r="E92" i="61"/>
  <c r="F92" i="61" s="1"/>
  <c r="E53" i="61"/>
  <c r="F53" i="61" s="1"/>
  <c r="E59" i="61"/>
  <c r="F59" i="61" s="1"/>
  <c r="E73" i="61"/>
  <c r="F73" i="61" s="1"/>
  <c r="E76" i="61"/>
  <c r="F76" i="61" s="1"/>
  <c r="E99" i="61"/>
  <c r="F99" i="61" s="1"/>
  <c r="E113" i="61"/>
  <c r="F113" i="61" s="1"/>
  <c r="E116" i="61"/>
  <c r="F116" i="61" s="1"/>
  <c r="E127" i="61"/>
  <c r="F127" i="61" s="1"/>
  <c r="E130" i="61"/>
  <c r="F130" i="61" s="1"/>
  <c r="E140" i="61"/>
  <c r="F140" i="61" s="1"/>
  <c r="E85" i="61"/>
  <c r="F85" i="61" s="1"/>
  <c r="E117" i="61"/>
  <c r="F117" i="61" s="1"/>
  <c r="E27" i="61"/>
  <c r="E88" i="61"/>
  <c r="F88" i="61" s="1"/>
  <c r="E119" i="61"/>
  <c r="F119" i="61" s="1"/>
  <c r="E103" i="61"/>
  <c r="F103" i="61" s="1"/>
  <c r="E33" i="61"/>
  <c r="E7" i="61"/>
  <c r="E13" i="61"/>
  <c r="E19" i="61"/>
  <c r="E25" i="61"/>
  <c r="E31" i="61"/>
  <c r="E37" i="61"/>
  <c r="E43" i="61"/>
  <c r="E49" i="61"/>
  <c r="E65" i="61"/>
  <c r="F65" i="61" s="1"/>
  <c r="E68" i="61"/>
  <c r="F68" i="61" s="1"/>
  <c r="E91" i="61"/>
  <c r="F91" i="61" s="1"/>
  <c r="E105" i="61"/>
  <c r="F105" i="61" s="1"/>
  <c r="E108" i="61"/>
  <c r="F108" i="61" s="1"/>
  <c r="E63" i="61"/>
  <c r="F63" i="61" s="1"/>
  <c r="E141" i="61"/>
  <c r="F141" i="61" s="1"/>
  <c r="E21" i="61"/>
  <c r="E45" i="61"/>
  <c r="E71" i="61"/>
  <c r="F71" i="61" s="1"/>
  <c r="E111" i="61"/>
  <c r="F111" i="61" s="1"/>
  <c r="E125" i="61"/>
  <c r="F125" i="61" s="1"/>
  <c r="E60" i="61"/>
  <c r="F60" i="61" s="1"/>
  <c r="E80" i="61"/>
  <c r="F80" i="61" s="1"/>
  <c r="E100" i="61"/>
  <c r="F100" i="61" s="1"/>
  <c r="E77" i="61"/>
  <c r="F77" i="61" s="1"/>
  <c r="E15" i="61"/>
  <c r="E57" i="61"/>
  <c r="F57" i="61" s="1"/>
  <c r="E83" i="61"/>
  <c r="F83" i="61" s="1"/>
  <c r="E97" i="61"/>
  <c r="F97" i="61" s="1"/>
  <c r="E147" i="61"/>
  <c r="F147" i="61" s="1"/>
  <c r="E9" i="61"/>
  <c r="E51" i="61"/>
  <c r="E131" i="61"/>
  <c r="F131" i="61" s="1"/>
  <c r="E46" i="61"/>
  <c r="E137" i="61"/>
  <c r="F137" i="61" s="1"/>
  <c r="E144" i="61"/>
  <c r="F144" i="61" s="1"/>
  <c r="E8" i="61"/>
  <c r="E126" i="61"/>
  <c r="F126" i="61" s="1"/>
  <c r="E106" i="61"/>
  <c r="F106" i="61" s="1"/>
  <c r="E24" i="61"/>
  <c r="E145" i="61"/>
  <c r="F145" i="61" s="1"/>
  <c r="E22" i="61"/>
  <c r="E32" i="61"/>
  <c r="E52" i="61"/>
  <c r="F52" i="61" s="1"/>
  <c r="E4" i="61"/>
  <c r="E122" i="61"/>
  <c r="F122" i="61" s="1"/>
  <c r="E50" i="61"/>
  <c r="E118" i="61"/>
  <c r="F118" i="61" s="1"/>
  <c r="E138" i="61"/>
  <c r="F138" i="61" s="1"/>
  <c r="E132" i="61"/>
  <c r="F132" i="61" s="1"/>
  <c r="E114" i="61"/>
  <c r="F114" i="61" s="1"/>
  <c r="E82" i="61"/>
  <c r="F82" i="61" s="1"/>
  <c r="E133" i="61"/>
  <c r="F133" i="61" s="1"/>
  <c r="E143" i="61"/>
  <c r="F143" i="61" s="1"/>
  <c r="E139" i="61"/>
  <c r="F139" i="61" s="1"/>
  <c r="E110" i="61"/>
  <c r="F110" i="61" s="1"/>
  <c r="E42" i="61"/>
  <c r="E18" i="61"/>
  <c r="E28" i="61"/>
  <c r="E94" i="61"/>
  <c r="F94" i="61" s="1"/>
  <c r="E70" i="61"/>
  <c r="F70" i="61" s="1"/>
  <c r="E16" i="61"/>
  <c r="E62" i="61"/>
  <c r="F62" i="61" s="1"/>
  <c r="E36" i="61"/>
  <c r="E102" i="61"/>
  <c r="F102" i="61" s="1"/>
  <c r="E128" i="61"/>
  <c r="F128" i="61" s="1"/>
  <c r="E54" i="61"/>
  <c r="F54" i="61" s="1"/>
  <c r="E38" i="61"/>
  <c r="E48" i="61"/>
  <c r="E14" i="61"/>
  <c r="E40" i="61"/>
  <c r="E74" i="61"/>
  <c r="F74" i="61" s="1"/>
  <c r="E66" i="61"/>
  <c r="F66" i="61" s="1"/>
  <c r="E58" i="61"/>
  <c r="F58" i="61" s="1"/>
  <c r="E86" i="61"/>
  <c r="F86" i="61" s="1"/>
  <c r="E34" i="61"/>
  <c r="E98" i="61"/>
  <c r="F98" i="61" s="1"/>
  <c r="E44" i="61"/>
  <c r="E20" i="61"/>
  <c r="E6" i="61"/>
  <c r="E26" i="61"/>
  <c r="E78" i="61"/>
  <c r="F78" i="61" s="1"/>
  <c r="E10" i="61"/>
  <c r="E90" i="61"/>
  <c r="F90" i="61" s="1"/>
  <c r="E30" i="61"/>
  <c r="E56" i="61"/>
  <c r="F56" i="61" s="1"/>
  <c r="E12" i="61"/>
  <c r="E51" i="62"/>
  <c r="E11" i="23"/>
  <c r="C180" i="25" a="1"/>
  <c r="C180" i="25" s="1"/>
  <c r="E9" i="62"/>
  <c r="E21" i="62"/>
  <c r="E33" i="62"/>
  <c r="E45" i="62"/>
  <c r="E35" i="62"/>
  <c r="E12" i="62"/>
  <c r="E36" i="62"/>
  <c r="E24" i="62"/>
  <c r="E50" i="62"/>
  <c r="E29" i="62"/>
  <c r="E42" i="62"/>
  <c r="F43" i="48"/>
  <c r="D43" i="48"/>
  <c r="G43" i="48"/>
  <c r="C83" i="48" s="1"/>
  <c r="M43" i="48"/>
  <c r="G100" i="48"/>
  <c r="F100" i="48"/>
  <c r="D100" i="48"/>
  <c r="X43" i="48"/>
  <c r="D25" i="44"/>
  <c r="D32" i="44" s="1"/>
  <c r="AB43" i="48"/>
  <c r="I19" i="35"/>
  <c r="I31" i="35"/>
  <c r="I43" i="35"/>
  <c r="I55" i="35"/>
  <c r="I67" i="35"/>
  <c r="I79" i="35"/>
  <c r="I91" i="35"/>
  <c r="I103" i="35"/>
  <c r="I115" i="35"/>
  <c r="I127" i="35"/>
  <c r="I139" i="35"/>
  <c r="I151" i="35"/>
  <c r="I163" i="35"/>
  <c r="I175" i="35"/>
  <c r="I199" i="35"/>
  <c r="I211" i="35"/>
  <c r="I187" i="35"/>
  <c r="I20" i="35"/>
  <c r="I32" i="35"/>
  <c r="I44" i="35"/>
  <c r="I56" i="35"/>
  <c r="I68" i="35"/>
  <c r="I80" i="35"/>
  <c r="I92" i="35"/>
  <c r="I104" i="35"/>
  <c r="I116" i="35"/>
  <c r="I14" i="35"/>
  <c r="I26" i="35"/>
  <c r="I38" i="35"/>
  <c r="I50" i="35"/>
  <c r="I62" i="35"/>
  <c r="I74" i="35"/>
  <c r="I86" i="35"/>
  <c r="I128" i="35"/>
  <c r="I98" i="35"/>
  <c r="I110" i="35"/>
  <c r="I122" i="35"/>
  <c r="I140" i="35"/>
  <c r="I152" i="35"/>
  <c r="I164" i="35"/>
  <c r="I176" i="35"/>
  <c r="I188" i="35"/>
  <c r="I200" i="35"/>
  <c r="I212" i="35"/>
  <c r="I21" i="35"/>
  <c r="I33" i="35"/>
  <c r="I45" i="35"/>
  <c r="I57" i="35"/>
  <c r="I69" i="35"/>
  <c r="I81" i="35"/>
  <c r="I93" i="35"/>
  <c r="I105" i="35"/>
  <c r="I117" i="35"/>
  <c r="I129" i="35"/>
  <c r="I141" i="35"/>
  <c r="I153" i="35"/>
  <c r="I165" i="35"/>
  <c r="I177" i="35"/>
  <c r="I189" i="35"/>
  <c r="I201" i="35"/>
  <c r="I213" i="35"/>
  <c r="I22" i="35"/>
  <c r="I34" i="35"/>
  <c r="I46" i="35"/>
  <c r="I58" i="35"/>
  <c r="I70" i="35"/>
  <c r="I82" i="35"/>
  <c r="I94" i="35"/>
  <c r="I106" i="35"/>
  <c r="I118" i="35"/>
  <c r="I130" i="35"/>
  <c r="I142" i="35"/>
  <c r="I23" i="35"/>
  <c r="I35" i="35"/>
  <c r="I47" i="35"/>
  <c r="I59" i="35"/>
  <c r="I71" i="35"/>
  <c r="I83" i="35"/>
  <c r="I95" i="35"/>
  <c r="I107" i="35"/>
  <c r="I119" i="35"/>
  <c r="I131" i="35"/>
  <c r="I143" i="35"/>
  <c r="I155" i="35"/>
  <c r="I167" i="35"/>
  <c r="I179" i="35"/>
  <c r="I191" i="35"/>
  <c r="I203" i="35"/>
  <c r="I215" i="35"/>
  <c r="I12" i="35"/>
  <c r="I24" i="35"/>
  <c r="I36" i="35"/>
  <c r="I48" i="35"/>
  <c r="I60" i="35"/>
  <c r="I72" i="35"/>
  <c r="I84" i="35"/>
  <c r="I96" i="35"/>
  <c r="I108" i="35"/>
  <c r="I120" i="35"/>
  <c r="I132" i="35"/>
  <c r="I144" i="35"/>
  <c r="I13" i="35"/>
  <c r="I25" i="35"/>
  <c r="I37" i="35"/>
  <c r="I49" i="35"/>
  <c r="I61" i="35"/>
  <c r="I73" i="35"/>
  <c r="I85" i="35"/>
  <c r="I97" i="35"/>
  <c r="I109" i="35"/>
  <c r="I121" i="35"/>
  <c r="I133" i="35"/>
  <c r="I145" i="35"/>
  <c r="I157" i="35"/>
  <c r="I169" i="35"/>
  <c r="I181" i="35"/>
  <c r="I193" i="35"/>
  <c r="I205" i="35"/>
  <c r="I217" i="35"/>
  <c r="I134" i="35"/>
  <c r="I146" i="35"/>
  <c r="I158" i="35"/>
  <c r="I170" i="35"/>
  <c r="I182" i="35"/>
  <c r="I194" i="35"/>
  <c r="I206" i="35"/>
  <c r="I218" i="35"/>
  <c r="I15" i="35"/>
  <c r="I27" i="35"/>
  <c r="I39" i="35"/>
  <c r="I51" i="35"/>
  <c r="I63" i="35"/>
  <c r="I75" i="35"/>
  <c r="I87" i="35"/>
  <c r="I99" i="35"/>
  <c r="I111" i="35"/>
  <c r="I123" i="35"/>
  <c r="I135" i="35"/>
  <c r="I147" i="35"/>
  <c r="I159" i="35"/>
  <c r="I171" i="35"/>
  <c r="I183" i="35"/>
  <c r="I195" i="35"/>
  <c r="I207" i="35"/>
  <c r="I219" i="35"/>
  <c r="I16" i="35"/>
  <c r="I28" i="35"/>
  <c r="I40" i="35"/>
  <c r="I52" i="35"/>
  <c r="I64" i="35"/>
  <c r="I76" i="35"/>
  <c r="I88" i="35"/>
  <c r="I100" i="35"/>
  <c r="I112" i="35"/>
  <c r="I124" i="35"/>
  <c r="I136" i="35"/>
  <c r="I17" i="35"/>
  <c r="I29" i="35"/>
  <c r="I41" i="35"/>
  <c r="I53" i="35"/>
  <c r="I65" i="35"/>
  <c r="I77" i="35"/>
  <c r="I89" i="35"/>
  <c r="I101" i="35"/>
  <c r="I113" i="35"/>
  <c r="I125" i="35"/>
  <c r="I137" i="35"/>
  <c r="I149" i="35"/>
  <c r="I161" i="35"/>
  <c r="I173" i="35"/>
  <c r="I185" i="35"/>
  <c r="I197" i="35"/>
  <c r="I209" i="35"/>
  <c r="I221" i="35"/>
  <c r="I18" i="35"/>
  <c r="I30" i="35"/>
  <c r="I42" i="35"/>
  <c r="I54" i="35"/>
  <c r="I66" i="35"/>
  <c r="I78" i="35"/>
  <c r="I90" i="35"/>
  <c r="I102" i="35"/>
  <c r="I114" i="35"/>
  <c r="I126" i="35"/>
  <c r="I138" i="35"/>
  <c r="C43" i="48"/>
  <c r="E4" i="62"/>
  <c r="E7" i="62"/>
  <c r="E10" i="62"/>
  <c r="E13" i="62"/>
  <c r="E16" i="62"/>
  <c r="E19" i="62"/>
  <c r="E22" i="62"/>
  <c r="E25" i="62"/>
  <c r="E28" i="62"/>
  <c r="E31" i="62"/>
  <c r="E34" i="62"/>
  <c r="E37" i="62"/>
  <c r="E40" i="62"/>
  <c r="E43" i="62"/>
  <c r="E46" i="62"/>
  <c r="E49" i="62"/>
  <c r="O38" i="48"/>
  <c r="E3" i="61"/>
  <c r="E2" i="62"/>
  <c r="E5" i="62"/>
  <c r="E8" i="62"/>
  <c r="E11" i="62"/>
  <c r="E14" i="62"/>
  <c r="E17" i="62"/>
  <c r="E20" i="62"/>
  <c r="E23" i="62"/>
  <c r="E26" i="62"/>
  <c r="E32" i="62"/>
  <c r="E38" i="62"/>
  <c r="E41" i="62"/>
  <c r="E44" i="62"/>
  <c r="E47" i="62"/>
  <c r="Z38" i="48"/>
  <c r="M40" i="48"/>
  <c r="E3" i="62"/>
  <c r="E6" i="62"/>
  <c r="E15" i="62"/>
  <c r="E18" i="62"/>
  <c r="E27" i="62"/>
  <c r="E30" i="62"/>
  <c r="E39" i="62"/>
  <c r="E48" i="62"/>
  <c r="C11" i="48"/>
  <c r="I148" i="35"/>
  <c r="I154" i="35"/>
  <c r="I160" i="35"/>
  <c r="I166" i="35"/>
  <c r="I172" i="35"/>
  <c r="I178" i="35"/>
  <c r="I184" i="35"/>
  <c r="I190" i="35"/>
  <c r="I196" i="35"/>
  <c r="I202" i="35"/>
  <c r="I208" i="35"/>
  <c r="I214" i="35"/>
  <c r="I220" i="35"/>
  <c r="C7" i="35"/>
  <c r="I150" i="35"/>
  <c r="I156" i="35"/>
  <c r="I162" i="35"/>
  <c r="I168" i="35"/>
  <c r="I174" i="35"/>
  <c r="I180" i="35"/>
  <c r="I186" i="35"/>
  <c r="I192" i="35"/>
  <c r="I198" i="35"/>
  <c r="I204" i="35"/>
  <c r="I210" i="35"/>
  <c r="I216" i="35"/>
  <c r="W116" i="50"/>
  <c r="P43" i="48"/>
  <c r="R43" i="48"/>
  <c r="V116" i="50"/>
  <c r="Q43" i="48" l="1"/>
  <c r="X40" i="48"/>
  <c r="F60" i="48"/>
  <c r="C59" i="48"/>
  <c r="F56" i="48"/>
  <c r="C55" i="48"/>
  <c r="F52" i="48"/>
  <c r="C51" i="48"/>
  <c r="F48" i="48"/>
  <c r="C47" i="48"/>
  <c r="F44" i="48"/>
  <c r="F57" i="48"/>
  <c r="C56" i="48"/>
  <c r="F53" i="48"/>
  <c r="F49" i="48"/>
  <c r="F45" i="48"/>
  <c r="C44" i="48"/>
  <c r="D49" i="48"/>
  <c r="F50" i="48"/>
  <c r="E60" i="48"/>
  <c r="E56" i="48"/>
  <c r="E52" i="48"/>
  <c r="E48" i="48"/>
  <c r="E44" i="48"/>
  <c r="G61" i="48"/>
  <c r="D60" i="48"/>
  <c r="G57" i="48"/>
  <c r="D56" i="48"/>
  <c r="G53" i="48"/>
  <c r="D52" i="48"/>
  <c r="G49" i="48"/>
  <c r="D48" i="48"/>
  <c r="G45" i="48"/>
  <c r="D44" i="48"/>
  <c r="F61" i="48"/>
  <c r="C60" i="48"/>
  <c r="C52" i="48"/>
  <c r="C82" i="48" s="1"/>
  <c r="C48" i="48"/>
  <c r="E61" i="48"/>
  <c r="E57" i="48"/>
  <c r="E53" i="48"/>
  <c r="E49" i="48"/>
  <c r="E45" i="48"/>
  <c r="D61" i="48"/>
  <c r="G58" i="48"/>
  <c r="D57" i="48"/>
  <c r="G54" i="48"/>
  <c r="D53" i="48"/>
  <c r="G50" i="48"/>
  <c r="G46" i="48"/>
  <c r="C61" i="48"/>
  <c r="C57" i="48"/>
  <c r="C45" i="48"/>
  <c r="E58" i="48"/>
  <c r="E54" i="48"/>
  <c r="E50" i="48"/>
  <c r="E46" i="48"/>
  <c r="D50" i="48"/>
  <c r="C54" i="48"/>
  <c r="C46" i="48"/>
  <c r="E59" i="48"/>
  <c r="G60" i="48"/>
  <c r="D55" i="48"/>
  <c r="G48" i="48"/>
  <c r="D45" i="48"/>
  <c r="F54" i="48"/>
  <c r="G59" i="48"/>
  <c r="D58" i="48"/>
  <c r="G55" i="48"/>
  <c r="D54" i="48"/>
  <c r="G51" i="48"/>
  <c r="G47" i="48"/>
  <c r="D46" i="48"/>
  <c r="C50" i="48"/>
  <c r="F47" i="48"/>
  <c r="E55" i="48"/>
  <c r="E51" i="48"/>
  <c r="G56" i="48"/>
  <c r="F59" i="48"/>
  <c r="C58" i="48"/>
  <c r="F55" i="48"/>
  <c r="F51" i="48"/>
  <c r="E47" i="48"/>
  <c r="D51" i="48"/>
  <c r="G44" i="48"/>
  <c r="F46" i="48"/>
  <c r="D59" i="48"/>
  <c r="G52" i="48"/>
  <c r="D47" i="48"/>
  <c r="F58" i="48"/>
  <c r="C53" i="48"/>
  <c r="C49" i="48"/>
  <c r="W115" i="50"/>
  <c r="W114" i="50"/>
  <c r="W113" i="50"/>
  <c r="W112" i="50"/>
  <c r="W111" i="50"/>
  <c r="W110" i="50"/>
  <c r="W109" i="50"/>
  <c r="W108" i="50"/>
  <c r="W107" i="50"/>
  <c r="W106" i="50"/>
  <c r="W105" i="50"/>
  <c r="W104" i="50"/>
  <c r="W103" i="50"/>
  <c r="W102" i="50"/>
  <c r="W101" i="50"/>
  <c r="V115" i="50"/>
  <c r="V112" i="50"/>
  <c r="V104" i="50"/>
  <c r="X107" i="50"/>
  <c r="V110" i="50"/>
  <c r="X109" i="50"/>
  <c r="V107" i="50"/>
  <c r="V106" i="50"/>
  <c r="X110" i="50"/>
  <c r="X108" i="50"/>
  <c r="X113" i="50"/>
  <c r="X115" i="50"/>
  <c r="X100" i="50"/>
  <c r="V111" i="50"/>
  <c r="V101" i="50"/>
  <c r="V108" i="50"/>
  <c r="X103" i="50"/>
  <c r="X104" i="50"/>
  <c r="V100" i="50"/>
  <c r="X105" i="50"/>
  <c r="V102" i="50"/>
  <c r="X114" i="50"/>
  <c r="V105" i="50"/>
  <c r="X102" i="50"/>
  <c r="X106" i="50"/>
  <c r="X101" i="50"/>
  <c r="V113" i="50"/>
  <c r="V109" i="50"/>
  <c r="X111" i="50"/>
  <c r="X112" i="50"/>
  <c r="V114" i="50"/>
  <c r="V103" i="50"/>
  <c r="G117" i="48" l="1"/>
  <c r="E115" i="48"/>
  <c r="C113" i="48"/>
  <c r="F110" i="48"/>
  <c r="D108" i="48"/>
  <c r="G105" i="48"/>
  <c r="E103" i="48"/>
  <c r="C101" i="48"/>
  <c r="G111" i="48"/>
  <c r="F117" i="48"/>
  <c r="D115" i="48"/>
  <c r="G112" i="48"/>
  <c r="E110" i="48"/>
  <c r="C108" i="48"/>
  <c r="F105" i="48"/>
  <c r="D103" i="48"/>
  <c r="E117" i="48"/>
  <c r="C115" i="48"/>
  <c r="F112" i="48"/>
  <c r="D110" i="48"/>
  <c r="G107" i="48"/>
  <c r="E105" i="48"/>
  <c r="C103" i="48"/>
  <c r="D117" i="48"/>
  <c r="G114" i="48"/>
  <c r="E112" i="48"/>
  <c r="C110" i="48"/>
  <c r="F107" i="48"/>
  <c r="D105" i="48"/>
  <c r="G102" i="48"/>
  <c r="C117" i="48"/>
  <c r="F114" i="48"/>
  <c r="D112" i="48"/>
  <c r="G109" i="48"/>
  <c r="E107" i="48"/>
  <c r="C105" i="48"/>
  <c r="F102" i="48"/>
  <c r="G116" i="48"/>
  <c r="E114" i="48"/>
  <c r="C112" i="48"/>
  <c r="F109" i="48"/>
  <c r="D107" i="48"/>
  <c r="G104" i="48"/>
  <c r="E102" i="48"/>
  <c r="D114" i="48"/>
  <c r="C107" i="48"/>
  <c r="F116" i="48"/>
  <c r="G118" i="48"/>
  <c r="E116" i="48"/>
  <c r="C114" i="48"/>
  <c r="F111" i="48"/>
  <c r="D109" i="48"/>
  <c r="G106" i="48"/>
  <c r="E104" i="48"/>
  <c r="C102" i="48"/>
  <c r="G115" i="48"/>
  <c r="F108" i="48"/>
  <c r="E101" i="48"/>
  <c r="C118" i="48"/>
  <c r="C106" i="48"/>
  <c r="F118" i="48"/>
  <c r="D116" i="48"/>
  <c r="G113" i="48"/>
  <c r="E111" i="48"/>
  <c r="C109" i="48"/>
  <c r="F106" i="48"/>
  <c r="D104" i="48"/>
  <c r="G101" i="48"/>
  <c r="C111" i="48"/>
  <c r="D106" i="48"/>
  <c r="D113" i="48"/>
  <c r="E108" i="48"/>
  <c r="F103" i="48"/>
  <c r="E109" i="48"/>
  <c r="E118" i="48"/>
  <c r="C116" i="48"/>
  <c r="F113" i="48"/>
  <c r="D111" i="48"/>
  <c r="G108" i="48"/>
  <c r="E106" i="48"/>
  <c r="C104" i="48"/>
  <c r="F101" i="48"/>
  <c r="D118" i="48"/>
  <c r="E113" i="48"/>
  <c r="G103" i="48"/>
  <c r="F115" i="48"/>
  <c r="G110" i="48"/>
  <c r="F104" i="48"/>
  <c r="D101" i="48"/>
  <c r="D102" i="48"/>
  <c r="C84" i="48"/>
  <c r="C85" i="48" s="1"/>
  <c r="C87" i="48" s="1"/>
  <c r="K100" i="50"/>
  <c r="C100" i="50"/>
  <c r="V99" i="50"/>
  <c r="H100" i="50"/>
  <c r="F100" i="50"/>
  <c r="G100" i="50"/>
  <c r="J100" i="50"/>
  <c r="X99" i="50"/>
  <c r="T100" i="50" l="1"/>
  <c r="C139" i="48"/>
  <c r="C140" i="48" s="1"/>
  <c r="C142" i="48" s="1"/>
  <c r="L100" i="50"/>
  <c r="K99" i="50"/>
  <c r="C99" i="50"/>
  <c r="D100" i="50"/>
  <c r="V98" i="50"/>
  <c r="G99" i="50"/>
  <c r="I100" i="50"/>
  <c r="J99" i="50"/>
  <c r="H99" i="50"/>
  <c r="F99" i="50"/>
  <c r="X98" i="50"/>
  <c r="E100" i="50"/>
  <c r="M100" i="50"/>
  <c r="T99" i="50" l="1"/>
  <c r="L99" i="50"/>
  <c r="N100" i="50"/>
  <c r="Q100" i="50"/>
  <c r="R100" i="50" s="1"/>
  <c r="W100" i="50"/>
  <c r="K98" i="50"/>
  <c r="C98" i="50"/>
  <c r="H98" i="50"/>
  <c r="G98" i="50"/>
  <c r="F98" i="50"/>
  <c r="D99" i="50"/>
  <c r="I99" i="50"/>
  <c r="X97" i="50"/>
  <c r="E99" i="50"/>
  <c r="V97" i="50"/>
  <c r="M99" i="50"/>
  <c r="T98" i="50" l="1"/>
  <c r="W99" i="50"/>
  <c r="Q99" i="50"/>
  <c r="R99" i="50" s="1"/>
  <c r="N99" i="50"/>
  <c r="K97" i="50"/>
  <c r="C97" i="50"/>
  <c r="H97" i="50"/>
  <c r="G97" i="50"/>
  <c r="F97" i="50"/>
  <c r="E97" i="50"/>
  <c r="X96" i="50"/>
  <c r="E98" i="50"/>
  <c r="J98" i="50"/>
  <c r="V96" i="50"/>
  <c r="I98" i="50"/>
  <c r="D98" i="50"/>
  <c r="T97" i="50" l="1"/>
  <c r="Q97" i="50"/>
  <c r="R97" i="50" s="1"/>
  <c r="W98" i="50"/>
  <c r="Q98" i="50"/>
  <c r="R98" i="50" s="1"/>
  <c r="L98" i="50"/>
  <c r="K96" i="50"/>
  <c r="C96" i="50"/>
  <c r="H96" i="50"/>
  <c r="G96" i="50"/>
  <c r="F96" i="50"/>
  <c r="D96" i="50"/>
  <c r="J97" i="50"/>
  <c r="X95" i="50"/>
  <c r="V95" i="50"/>
  <c r="I97" i="50"/>
  <c r="D97" i="50"/>
  <c r="M98" i="50"/>
  <c r="T96" i="50" l="1"/>
  <c r="W97" i="50"/>
  <c r="L97" i="50"/>
  <c r="N98" i="50"/>
  <c r="K95" i="50"/>
  <c r="C95" i="50"/>
  <c r="V94" i="50"/>
  <c r="I96" i="50"/>
  <c r="G95" i="50"/>
  <c r="H95" i="50"/>
  <c r="X94" i="50"/>
  <c r="F95" i="50"/>
  <c r="J96" i="50"/>
  <c r="E96" i="50"/>
  <c r="M97" i="50"/>
  <c r="T95" i="50" l="1"/>
  <c r="W96" i="50"/>
  <c r="L96" i="50"/>
  <c r="Q96" i="50"/>
  <c r="R96" i="50" s="1"/>
  <c r="N97" i="50"/>
  <c r="K94" i="50"/>
  <c r="C94" i="50"/>
  <c r="E94" i="50"/>
  <c r="D95" i="50"/>
  <c r="X93" i="50"/>
  <c r="V93" i="50"/>
  <c r="H94" i="50"/>
  <c r="I94" i="50"/>
  <c r="G94" i="50"/>
  <c r="J95" i="50"/>
  <c r="J94" i="50"/>
  <c r="I95" i="50"/>
  <c r="F94" i="50"/>
  <c r="E95" i="50"/>
  <c r="M96" i="50"/>
  <c r="T94" i="50" l="1"/>
  <c r="N96" i="50"/>
  <c r="L95" i="50"/>
  <c r="W95" i="50"/>
  <c r="Q95" i="50"/>
  <c r="R95" i="50" s="1"/>
  <c r="Q94" i="50"/>
  <c r="R94" i="50" s="1"/>
  <c r="W94" i="50"/>
  <c r="L94" i="50"/>
  <c r="K93" i="50"/>
  <c r="C93" i="50"/>
  <c r="X92" i="50"/>
  <c r="F93" i="50"/>
  <c r="I93" i="50"/>
  <c r="V92" i="50"/>
  <c r="G93" i="50"/>
  <c r="H93" i="50"/>
  <c r="D94" i="50"/>
  <c r="M94" i="50"/>
  <c r="M95" i="50"/>
  <c r="T93" i="50" l="1"/>
  <c r="N95" i="50"/>
  <c r="W93" i="50"/>
  <c r="N94" i="50"/>
  <c r="K92" i="50"/>
  <c r="C92" i="50"/>
  <c r="F92" i="50"/>
  <c r="H92" i="50"/>
  <c r="G92" i="50"/>
  <c r="V91" i="50"/>
  <c r="X91" i="50"/>
  <c r="J92" i="50"/>
  <c r="E93" i="50"/>
  <c r="D93" i="50"/>
  <c r="E92" i="50"/>
  <c r="J93" i="50"/>
  <c r="T92" i="50" l="1"/>
  <c r="L92" i="50"/>
  <c r="Q93" i="50"/>
  <c r="R93" i="50" s="1"/>
  <c r="Q92" i="50"/>
  <c r="R92" i="50" s="1"/>
  <c r="L93" i="50"/>
  <c r="K91" i="50"/>
  <c r="C91" i="50"/>
  <c r="H91" i="50"/>
  <c r="G91" i="50"/>
  <c r="F91" i="50"/>
  <c r="I92" i="50"/>
  <c r="X90" i="50"/>
  <c r="V90" i="50"/>
  <c r="J91" i="50"/>
  <c r="D92" i="50"/>
  <c r="M92" i="50"/>
  <c r="M93" i="50"/>
  <c r="T91" i="50" l="1"/>
  <c r="L91" i="50"/>
  <c r="N93" i="50"/>
  <c r="W92" i="50"/>
  <c r="N92" i="50"/>
  <c r="K90" i="50"/>
  <c r="C90" i="50"/>
  <c r="G90" i="50"/>
  <c r="F90" i="50"/>
  <c r="H90" i="50"/>
  <c r="X89" i="50"/>
  <c r="D91" i="50"/>
  <c r="I91" i="50"/>
  <c r="V89" i="50"/>
  <c r="E91" i="50"/>
  <c r="M91" i="50"/>
  <c r="T90" i="50" l="1"/>
  <c r="Q91" i="50"/>
  <c r="R91" i="50" s="1"/>
  <c r="N91" i="50"/>
  <c r="W91" i="50"/>
  <c r="K89" i="50"/>
  <c r="C89" i="50"/>
  <c r="G89" i="50"/>
  <c r="F89" i="50"/>
  <c r="H89" i="50"/>
  <c r="J89" i="50"/>
  <c r="J90" i="50"/>
  <c r="I90" i="50"/>
  <c r="V88" i="50"/>
  <c r="E90" i="50"/>
  <c r="X88" i="50"/>
  <c r="D90" i="50"/>
  <c r="T89" i="50" l="1"/>
  <c r="L89" i="50"/>
  <c r="Q90" i="50"/>
  <c r="R90" i="50" s="1"/>
  <c r="L90" i="50"/>
  <c r="W90" i="50"/>
  <c r="K88" i="50"/>
  <c r="C88" i="50"/>
  <c r="X87" i="50"/>
  <c r="F88" i="50"/>
  <c r="H88" i="50"/>
  <c r="G88" i="50"/>
  <c r="J88" i="50"/>
  <c r="I89" i="50"/>
  <c r="E89" i="50"/>
  <c r="V87" i="50"/>
  <c r="D89" i="50"/>
  <c r="M90" i="50"/>
  <c r="M89" i="50"/>
  <c r="T88" i="50" l="1"/>
  <c r="L88" i="50"/>
  <c r="N90" i="50"/>
  <c r="W89" i="50"/>
  <c r="Q89" i="50"/>
  <c r="R89" i="50" s="1"/>
  <c r="N89" i="50"/>
  <c r="K87" i="50"/>
  <c r="C87" i="50"/>
  <c r="X86" i="50"/>
  <c r="V86" i="50"/>
  <c r="E88" i="50"/>
  <c r="D88" i="50"/>
  <c r="H87" i="50"/>
  <c r="F87" i="50"/>
  <c r="G87" i="50"/>
  <c r="I88" i="50"/>
  <c r="M88" i="50"/>
  <c r="T87" i="50" l="1"/>
  <c r="W88" i="50"/>
  <c r="Q88" i="50"/>
  <c r="R88" i="50" s="1"/>
  <c r="N88" i="50"/>
  <c r="K86" i="50"/>
  <c r="C86" i="50"/>
  <c r="X85" i="50"/>
  <c r="I87" i="50"/>
  <c r="D87" i="50"/>
  <c r="H86" i="50"/>
  <c r="G86" i="50"/>
  <c r="F86" i="50"/>
  <c r="E87" i="50"/>
  <c r="J86" i="50"/>
  <c r="V85" i="50"/>
  <c r="J87" i="50"/>
  <c r="T86" i="50" l="1"/>
  <c r="Q87" i="50"/>
  <c r="R87" i="50" s="1"/>
  <c r="W87" i="50"/>
  <c r="L87" i="50"/>
  <c r="L86" i="50"/>
  <c r="K85" i="50"/>
  <c r="C85" i="50"/>
  <c r="I85" i="50"/>
  <c r="F85" i="50"/>
  <c r="H85" i="50"/>
  <c r="G85" i="50"/>
  <c r="V84" i="50"/>
  <c r="X84" i="50"/>
  <c r="I86" i="50"/>
  <c r="D86" i="50"/>
  <c r="J85" i="50"/>
  <c r="E86" i="50"/>
  <c r="M86" i="50"/>
  <c r="M87" i="50"/>
  <c r="T85" i="50" l="1"/>
  <c r="N87" i="50"/>
  <c r="N86" i="50"/>
  <c r="Q86" i="50"/>
  <c r="R86" i="50" s="1"/>
  <c r="W85" i="50"/>
  <c r="W86" i="50"/>
  <c r="L85" i="50"/>
  <c r="K84" i="50"/>
  <c r="C84" i="50"/>
  <c r="E85" i="50"/>
  <c r="H84" i="50"/>
  <c r="F84" i="50"/>
  <c r="D85" i="50"/>
  <c r="G84" i="50"/>
  <c r="V83" i="50"/>
  <c r="I84" i="50"/>
  <c r="X83" i="50"/>
  <c r="M85" i="50"/>
  <c r="T84" i="50" l="1"/>
  <c r="W84" i="50"/>
  <c r="Q85" i="50"/>
  <c r="R85" i="50" s="1"/>
  <c r="N85" i="50"/>
  <c r="K83" i="50"/>
  <c r="C83" i="50"/>
  <c r="H83" i="50"/>
  <c r="G83" i="50"/>
  <c r="F83" i="50"/>
  <c r="X82" i="50"/>
  <c r="E84" i="50"/>
  <c r="V82" i="50"/>
  <c r="J84" i="50"/>
  <c r="D84" i="50"/>
  <c r="I83" i="50"/>
  <c r="T83" i="50" l="1"/>
  <c r="W83" i="50"/>
  <c r="L84" i="50"/>
  <c r="Q84" i="50"/>
  <c r="R84" i="50" s="1"/>
  <c r="K82" i="50"/>
  <c r="C82" i="50"/>
  <c r="G82" i="50"/>
  <c r="H82" i="50"/>
  <c r="F82" i="50"/>
  <c r="J82" i="50"/>
  <c r="E83" i="50"/>
  <c r="X81" i="50"/>
  <c r="D83" i="50"/>
  <c r="V81" i="50"/>
  <c r="J83" i="50"/>
  <c r="M84" i="50"/>
  <c r="T82" i="50" l="1"/>
  <c r="L82" i="50"/>
  <c r="Q83" i="50"/>
  <c r="R83" i="50" s="1"/>
  <c r="N84" i="50"/>
  <c r="L83" i="50"/>
  <c r="K81" i="50"/>
  <c r="C81" i="50"/>
  <c r="F81" i="50"/>
  <c r="H81" i="50"/>
  <c r="X80" i="50"/>
  <c r="G81" i="50"/>
  <c r="I82" i="50"/>
  <c r="E82" i="50"/>
  <c r="V80" i="50"/>
  <c r="D82" i="50"/>
  <c r="M82" i="50"/>
  <c r="M83" i="50"/>
  <c r="T81" i="50" l="1"/>
  <c r="Q82" i="50"/>
  <c r="R82" i="50" s="1"/>
  <c r="N82" i="50"/>
  <c r="N83" i="50"/>
  <c r="W82" i="50"/>
  <c r="K80" i="50"/>
  <c r="C80" i="50"/>
  <c r="H80" i="50"/>
  <c r="F80" i="50"/>
  <c r="G80" i="50"/>
  <c r="D81" i="50"/>
  <c r="I81" i="50"/>
  <c r="X79" i="50"/>
  <c r="V79" i="50"/>
  <c r="J80" i="50"/>
  <c r="E81" i="50"/>
  <c r="J81" i="50"/>
  <c r="T80" i="50" l="1"/>
  <c r="L80" i="50"/>
  <c r="W81" i="50"/>
  <c r="L81" i="50"/>
  <c r="Q81" i="50"/>
  <c r="R81" i="50" s="1"/>
  <c r="K79" i="50"/>
  <c r="C79" i="50"/>
  <c r="G79" i="50"/>
  <c r="F79" i="50"/>
  <c r="H79" i="50"/>
  <c r="E80" i="50"/>
  <c r="D80" i="50"/>
  <c r="J79" i="50"/>
  <c r="I80" i="50"/>
  <c r="X78" i="50"/>
  <c r="V78" i="50"/>
  <c r="M81" i="50"/>
  <c r="M80" i="50"/>
  <c r="T79" i="50" l="1"/>
  <c r="L79" i="50"/>
  <c r="Q80" i="50"/>
  <c r="R80" i="50" s="1"/>
  <c r="N80" i="50"/>
  <c r="W80" i="50"/>
  <c r="N81" i="50"/>
  <c r="K78" i="50"/>
  <c r="C78" i="50"/>
  <c r="E79" i="50"/>
  <c r="H78" i="50"/>
  <c r="V77" i="50"/>
  <c r="F78" i="50"/>
  <c r="D79" i="50"/>
  <c r="X77" i="50"/>
  <c r="I79" i="50"/>
  <c r="G78" i="50"/>
  <c r="M79" i="50"/>
  <c r="T78" i="50" l="1"/>
  <c r="W79" i="50"/>
  <c r="Q79" i="50"/>
  <c r="R79" i="50" s="1"/>
  <c r="N79" i="50"/>
  <c r="K77" i="50"/>
  <c r="C77" i="50"/>
  <c r="E78" i="50"/>
  <c r="H77" i="50"/>
  <c r="F77" i="50"/>
  <c r="I78" i="50"/>
  <c r="G77" i="50"/>
  <c r="J77" i="50"/>
  <c r="V76" i="50"/>
  <c r="D78" i="50"/>
  <c r="X76" i="50"/>
  <c r="J78" i="50"/>
  <c r="T77" i="50" l="1"/>
  <c r="L77" i="50"/>
  <c r="Q78" i="50"/>
  <c r="R78" i="50" s="1"/>
  <c r="W78" i="50"/>
  <c r="L78" i="50"/>
  <c r="K76" i="50"/>
  <c r="C76" i="50"/>
  <c r="X75" i="50"/>
  <c r="E77" i="50"/>
  <c r="V75" i="50"/>
  <c r="G76" i="50"/>
  <c r="F76" i="50"/>
  <c r="D77" i="50"/>
  <c r="I77" i="50"/>
  <c r="H76" i="50"/>
  <c r="M77" i="50"/>
  <c r="M78" i="50"/>
  <c r="T76" i="50" l="1"/>
  <c r="W77" i="50"/>
  <c r="N78" i="50"/>
  <c r="N77" i="50"/>
  <c r="Q77" i="50"/>
  <c r="R77" i="50" s="1"/>
  <c r="K75" i="50"/>
  <c r="C75" i="50"/>
  <c r="D76" i="50"/>
  <c r="G75" i="50"/>
  <c r="F75" i="50"/>
  <c r="H75" i="50"/>
  <c r="E76" i="50"/>
  <c r="V74" i="50"/>
  <c r="J76" i="50"/>
  <c r="X74" i="50"/>
  <c r="I75" i="50"/>
  <c r="J75" i="50"/>
  <c r="I76" i="50"/>
  <c r="T75" i="50" l="1"/>
  <c r="W75" i="50"/>
  <c r="L76" i="50"/>
  <c r="W76" i="50"/>
  <c r="L75" i="50"/>
  <c r="Q76" i="50"/>
  <c r="R76" i="50" s="1"/>
  <c r="K74" i="50"/>
  <c r="C74" i="50"/>
  <c r="E75" i="50"/>
  <c r="F74" i="50"/>
  <c r="H74" i="50"/>
  <c r="G74" i="50"/>
  <c r="D75" i="50"/>
  <c r="V73" i="50"/>
  <c r="J74" i="50"/>
  <c r="X73" i="50"/>
  <c r="M76" i="50"/>
  <c r="M75" i="50"/>
  <c r="T74" i="50" l="1"/>
  <c r="L74" i="50"/>
  <c r="Q75" i="50"/>
  <c r="R75" i="50" s="1"/>
  <c r="N75" i="50"/>
  <c r="N76" i="50"/>
  <c r="K73" i="50"/>
  <c r="C73" i="50"/>
  <c r="F73" i="50"/>
  <c r="G73" i="50"/>
  <c r="H73" i="50"/>
  <c r="I74" i="50"/>
  <c r="X72" i="50"/>
  <c r="D74" i="50"/>
  <c r="V72" i="50"/>
  <c r="J73" i="50"/>
  <c r="E74" i="50"/>
  <c r="M74" i="50"/>
  <c r="T73" i="50" l="1"/>
  <c r="L73" i="50"/>
  <c r="W74" i="50"/>
  <c r="Q74" i="50"/>
  <c r="R74" i="50" s="1"/>
  <c r="N74" i="50"/>
  <c r="K72" i="50"/>
  <c r="C72" i="50"/>
  <c r="G72" i="50"/>
  <c r="F72" i="50"/>
  <c r="H72" i="50"/>
  <c r="V71" i="50"/>
  <c r="D73" i="50"/>
  <c r="J72" i="50"/>
  <c r="X71" i="50"/>
  <c r="I73" i="50"/>
  <c r="E73" i="50"/>
  <c r="M73" i="50"/>
  <c r="T72" i="50" l="1"/>
  <c r="L72" i="50"/>
  <c r="W73" i="50"/>
  <c r="Q73" i="50"/>
  <c r="R73" i="50" s="1"/>
  <c r="N73" i="50"/>
  <c r="K71" i="50"/>
  <c r="C71" i="50"/>
  <c r="G71" i="50"/>
  <c r="F71" i="50"/>
  <c r="H71" i="50"/>
  <c r="V70" i="50"/>
  <c r="I72" i="50"/>
  <c r="E72" i="50"/>
  <c r="X70" i="50"/>
  <c r="J71" i="50"/>
  <c r="D72" i="50"/>
  <c r="M72" i="50"/>
  <c r="T71" i="50" l="1"/>
  <c r="L71" i="50"/>
  <c r="W72" i="50"/>
  <c r="Q72" i="50"/>
  <c r="R72" i="50" s="1"/>
  <c r="N72" i="50"/>
  <c r="K70" i="50"/>
  <c r="C70" i="50"/>
  <c r="I71" i="50"/>
  <c r="G70" i="50"/>
  <c r="F70" i="50"/>
  <c r="V69" i="50"/>
  <c r="H70" i="50"/>
  <c r="X69" i="50"/>
  <c r="D71" i="50"/>
  <c r="E71" i="50"/>
  <c r="J70" i="50"/>
  <c r="M71" i="50"/>
  <c r="T70" i="50" l="1"/>
  <c r="L70" i="50"/>
  <c r="W71" i="50"/>
  <c r="Q71" i="50"/>
  <c r="R71" i="50" s="1"/>
  <c r="N71" i="50"/>
  <c r="K69" i="50"/>
  <c r="C69" i="50"/>
  <c r="X68" i="50"/>
  <c r="D70" i="50"/>
  <c r="G69" i="50"/>
  <c r="V68" i="50"/>
  <c r="H69" i="50"/>
  <c r="F69" i="50"/>
  <c r="I70" i="50"/>
  <c r="E70" i="50"/>
  <c r="J69" i="50"/>
  <c r="M70" i="50"/>
  <c r="T69" i="50" l="1"/>
  <c r="L69" i="50"/>
  <c r="Q70" i="50"/>
  <c r="R70" i="50" s="1"/>
  <c r="N70" i="50"/>
  <c r="W70" i="50"/>
  <c r="K68" i="50"/>
  <c r="C68" i="50"/>
  <c r="G68" i="50"/>
  <c r="F68" i="50"/>
  <c r="H68" i="50"/>
  <c r="X67" i="50"/>
  <c r="E69" i="50"/>
  <c r="V67" i="50"/>
  <c r="I69" i="50"/>
  <c r="J68" i="50"/>
  <c r="D69" i="50"/>
  <c r="M69" i="50"/>
  <c r="T68" i="50" l="1"/>
  <c r="L68" i="50"/>
  <c r="Q69" i="50"/>
  <c r="R69" i="50" s="1"/>
  <c r="N69" i="50"/>
  <c r="W69" i="50"/>
  <c r="K67" i="50"/>
  <c r="C67" i="50"/>
  <c r="F67" i="50"/>
  <c r="H67" i="50"/>
  <c r="G67" i="50"/>
  <c r="E68" i="50"/>
  <c r="D68" i="50"/>
  <c r="V66" i="50"/>
  <c r="J67" i="50"/>
  <c r="I68" i="50"/>
  <c r="X66" i="50"/>
  <c r="M68" i="50"/>
  <c r="T67" i="50" l="1"/>
  <c r="L67" i="50"/>
  <c r="W68" i="50"/>
  <c r="N68" i="50"/>
  <c r="Q68" i="50"/>
  <c r="R68" i="50" s="1"/>
  <c r="K66" i="50"/>
  <c r="C66" i="50"/>
  <c r="G66" i="50"/>
  <c r="H66" i="50"/>
  <c r="F66" i="50"/>
  <c r="E67" i="50"/>
  <c r="J66" i="50"/>
  <c r="X65" i="50"/>
  <c r="I67" i="50"/>
  <c r="D67" i="50"/>
  <c r="V65" i="50"/>
  <c r="M67" i="50"/>
  <c r="T66" i="50" l="1"/>
  <c r="L66" i="50"/>
  <c r="W67" i="50"/>
  <c r="Q67" i="50"/>
  <c r="R67" i="50" s="1"/>
  <c r="N67" i="50"/>
  <c r="K65" i="50"/>
  <c r="C65" i="50"/>
  <c r="G65" i="50"/>
  <c r="F65" i="50"/>
  <c r="H65" i="50"/>
  <c r="I66" i="50"/>
  <c r="E66" i="50"/>
  <c r="V64" i="50"/>
  <c r="J65" i="50"/>
  <c r="D66" i="50"/>
  <c r="X64" i="50"/>
  <c r="M66" i="50"/>
  <c r="T65" i="50" l="1"/>
  <c r="L65" i="50"/>
  <c r="Q66" i="50"/>
  <c r="R66" i="50" s="1"/>
  <c r="N66" i="50"/>
  <c r="W66" i="50"/>
  <c r="K64" i="50"/>
  <c r="C64" i="50"/>
  <c r="H64" i="50"/>
  <c r="F64" i="50"/>
  <c r="G64" i="50"/>
  <c r="I65" i="50"/>
  <c r="E65" i="50"/>
  <c r="J64" i="50"/>
  <c r="V63" i="50"/>
  <c r="D65" i="50"/>
  <c r="X63" i="50"/>
  <c r="M65" i="50"/>
  <c r="T64" i="50" l="1"/>
  <c r="L64" i="50"/>
  <c r="Q65" i="50"/>
  <c r="R65" i="50" s="1"/>
  <c r="N65" i="50"/>
  <c r="W65" i="50"/>
  <c r="K63" i="50"/>
  <c r="C63" i="50"/>
  <c r="E64" i="50"/>
  <c r="G63" i="50"/>
  <c r="H63" i="50"/>
  <c r="F63" i="50"/>
  <c r="I64" i="50"/>
  <c r="J63" i="50"/>
  <c r="D64" i="50"/>
  <c r="M64" i="50"/>
  <c r="V62" i="50"/>
  <c r="X62" i="50"/>
  <c r="T63" i="50" l="1"/>
  <c r="L63" i="50"/>
  <c r="W64" i="50"/>
  <c r="Q64" i="50"/>
  <c r="R64" i="50" s="1"/>
  <c r="N64" i="50"/>
  <c r="K62" i="50"/>
  <c r="C62" i="50"/>
  <c r="I63" i="50"/>
  <c r="D63" i="50"/>
  <c r="E63" i="50"/>
  <c r="V61" i="50"/>
  <c r="X61" i="50"/>
  <c r="J62" i="50"/>
  <c r="H62" i="50"/>
  <c r="G62" i="50"/>
  <c r="M63" i="50"/>
  <c r="F62" i="50"/>
  <c r="AB62" i="50" l="1"/>
  <c r="T62" i="50"/>
  <c r="L62" i="50"/>
  <c r="M62" i="50" s="1"/>
  <c r="Q63" i="50"/>
  <c r="R63" i="50" s="1"/>
  <c r="N63" i="50"/>
  <c r="W63" i="50"/>
  <c r="K61" i="50"/>
  <c r="C61" i="50"/>
  <c r="F61" i="50"/>
  <c r="H61" i="50"/>
  <c r="G61" i="50"/>
  <c r="J61" i="50"/>
  <c r="I62" i="50"/>
  <c r="X60" i="50"/>
  <c r="D62" i="50"/>
  <c r="E62" i="50"/>
  <c r="T61" i="50" l="1"/>
  <c r="AA62" i="50"/>
  <c r="L61" i="50"/>
  <c r="M61" i="50" s="1"/>
  <c r="W62" i="50"/>
  <c r="Q62" i="50"/>
  <c r="R62" i="50" s="1"/>
  <c r="N62" i="50"/>
  <c r="O62" i="50" s="1"/>
  <c r="S62" i="50" s="1"/>
  <c r="I61" i="50"/>
  <c r="D61" i="50"/>
  <c r="V60" i="50"/>
  <c r="E61" i="50"/>
  <c r="AA61" i="50" l="1"/>
  <c r="W61" i="50"/>
  <c r="Q61" i="50"/>
  <c r="R61" i="50" s="1"/>
  <c r="N61" i="50"/>
  <c r="O61" i="50" s="1"/>
  <c r="S61" i="50" s="1"/>
  <c r="AC62" i="50" s="1"/>
  <c r="K60" i="50"/>
  <c r="C60" i="50"/>
  <c r="H60" i="50"/>
  <c r="D60" i="50"/>
  <c r="F60" i="50"/>
  <c r="J60" i="50"/>
  <c r="I60" i="50"/>
  <c r="G60" i="50"/>
  <c r="X59" i="50"/>
  <c r="E60" i="50"/>
  <c r="AB60" i="50" l="1"/>
  <c r="T60" i="50"/>
  <c r="AA60" i="50"/>
  <c r="L60" i="50"/>
  <c r="M60" i="50" s="1"/>
  <c r="W60" i="50"/>
  <c r="Q60" i="50"/>
  <c r="R60" i="50" s="1"/>
  <c r="V59" i="50"/>
  <c r="N60" i="50" l="1"/>
  <c r="O60" i="50" s="1"/>
  <c r="S60" i="50" s="1"/>
  <c r="AC61" i="50" s="1"/>
  <c r="K59" i="50"/>
  <c r="C59" i="50"/>
  <c r="J59" i="50"/>
  <c r="H59" i="50"/>
  <c r="I59" i="50"/>
  <c r="E59" i="50"/>
  <c r="D59" i="50"/>
  <c r="F59" i="50"/>
  <c r="G59" i="50"/>
  <c r="X58" i="50"/>
  <c r="AB59" i="50" l="1"/>
  <c r="T59" i="50"/>
  <c r="AA59" i="50"/>
  <c r="L59" i="50"/>
  <c r="M59" i="50" s="1"/>
  <c r="W59" i="50"/>
  <c r="Q59" i="50"/>
  <c r="R59" i="50" s="1"/>
  <c r="V58" i="50"/>
  <c r="N59" i="50" l="1"/>
  <c r="O59" i="50" s="1"/>
  <c r="S59" i="50" s="1"/>
  <c r="AC60" i="50" s="1"/>
  <c r="K58" i="50"/>
  <c r="C58" i="50"/>
  <c r="J58" i="50"/>
  <c r="D58" i="50"/>
  <c r="X57" i="50"/>
  <c r="F58" i="50"/>
  <c r="H58" i="50"/>
  <c r="E58" i="50"/>
  <c r="G58" i="50"/>
  <c r="I58" i="50"/>
  <c r="AB58" i="50" l="1"/>
  <c r="T58" i="50"/>
  <c r="AA58" i="50"/>
  <c r="L58" i="50"/>
  <c r="M58" i="50" s="1"/>
  <c r="W58" i="50"/>
  <c r="Q58" i="50"/>
  <c r="R58" i="50" s="1"/>
  <c r="V57" i="50"/>
  <c r="N58" i="50" l="1"/>
  <c r="O58" i="50" s="1"/>
  <c r="S58" i="50" s="1"/>
  <c r="AC59" i="50" s="1"/>
  <c r="K57" i="50"/>
  <c r="C57" i="50"/>
  <c r="J57" i="50"/>
  <c r="I57" i="50"/>
  <c r="F57" i="50"/>
  <c r="D57" i="50"/>
  <c r="H57" i="50"/>
  <c r="E57" i="50"/>
  <c r="X56" i="50"/>
  <c r="G57" i="50"/>
  <c r="AB57" i="50" l="1"/>
  <c r="T57" i="50"/>
  <c r="AA57" i="50"/>
  <c r="L57" i="50"/>
  <c r="M57" i="50" s="1"/>
  <c r="W57" i="50"/>
  <c r="Q57" i="50"/>
  <c r="R57" i="50" s="1"/>
  <c r="V56" i="50"/>
  <c r="N57" i="50" l="1"/>
  <c r="O57" i="50" s="1"/>
  <c r="S57" i="50" s="1"/>
  <c r="AC58" i="50" s="1"/>
  <c r="K56" i="50"/>
  <c r="C56" i="50"/>
  <c r="D56" i="50"/>
  <c r="E56" i="50"/>
  <c r="G56" i="50"/>
  <c r="F56" i="50"/>
  <c r="J56" i="50"/>
  <c r="I56" i="50"/>
  <c r="H56" i="50"/>
  <c r="X55" i="50"/>
  <c r="AB56" i="50" l="1"/>
  <c r="T56" i="50"/>
  <c r="AA56" i="50"/>
  <c r="L56" i="50"/>
  <c r="M56" i="50" s="1"/>
  <c r="W56" i="50"/>
  <c r="Q56" i="50"/>
  <c r="R56" i="50" s="1"/>
  <c r="V55" i="50"/>
  <c r="N56" i="50" l="1"/>
  <c r="O56" i="50" s="1"/>
  <c r="S56" i="50" s="1"/>
  <c r="AC57" i="50" s="1"/>
  <c r="K55" i="50"/>
  <c r="C55" i="50"/>
  <c r="F55" i="50"/>
  <c r="J55" i="50"/>
  <c r="I55" i="50"/>
  <c r="H55" i="50"/>
  <c r="D55" i="50"/>
  <c r="G55" i="50"/>
  <c r="X54" i="50"/>
  <c r="E55" i="50"/>
  <c r="AB55" i="50" l="1"/>
  <c r="T55" i="50"/>
  <c r="AA55" i="50"/>
  <c r="L55" i="50"/>
  <c r="M55" i="50" s="1"/>
  <c r="W55" i="50"/>
  <c r="Q55" i="50"/>
  <c r="R55" i="50" s="1"/>
  <c r="V54" i="50"/>
  <c r="N55" i="50" l="1"/>
  <c r="O55" i="50" s="1"/>
  <c r="S55" i="50" s="1"/>
  <c r="AC56" i="50" s="1"/>
  <c r="K54" i="50"/>
  <c r="C54" i="50"/>
  <c r="I54" i="50"/>
  <c r="D54" i="50"/>
  <c r="H54" i="50"/>
  <c r="E54" i="50"/>
  <c r="F54" i="50"/>
  <c r="G54" i="50"/>
  <c r="J54" i="50"/>
  <c r="X53" i="50"/>
  <c r="AB54" i="50" l="1"/>
  <c r="T54" i="50"/>
  <c r="AA54" i="50"/>
  <c r="L54" i="50"/>
  <c r="M54" i="50" s="1"/>
  <c r="W54" i="50"/>
  <c r="Q54" i="50"/>
  <c r="R54" i="50" s="1"/>
  <c r="V53" i="50"/>
  <c r="N54" i="50" l="1"/>
  <c r="O54" i="50" s="1"/>
  <c r="S54" i="50" s="1"/>
  <c r="AC55" i="50" s="1"/>
  <c r="K53" i="50"/>
  <c r="C53" i="50"/>
  <c r="D53" i="50"/>
  <c r="F53" i="50"/>
  <c r="I53" i="50"/>
  <c r="H53" i="50"/>
  <c r="J53" i="50"/>
  <c r="G53" i="50"/>
  <c r="X52" i="50"/>
  <c r="E53" i="50"/>
  <c r="AB53" i="50" l="1"/>
  <c r="T53" i="50"/>
  <c r="AA53" i="50"/>
  <c r="L53" i="50"/>
  <c r="M53" i="50" s="1"/>
  <c r="W53" i="50"/>
  <c r="Q53" i="50"/>
  <c r="R53" i="50" s="1"/>
  <c r="V52" i="50"/>
  <c r="N53" i="50" l="1"/>
  <c r="O53" i="50" s="1"/>
  <c r="S53" i="50" s="1"/>
  <c r="AC54" i="50" s="1"/>
  <c r="K52" i="50"/>
  <c r="C52" i="50"/>
  <c r="D52" i="50"/>
  <c r="J52" i="50"/>
  <c r="X51" i="50"/>
  <c r="H52" i="50"/>
  <c r="G52" i="50"/>
  <c r="F52" i="50"/>
  <c r="E52" i="50"/>
  <c r="I52" i="50"/>
  <c r="AB52" i="50" l="1"/>
  <c r="T52" i="50"/>
  <c r="AA52" i="50"/>
  <c r="L52" i="50"/>
  <c r="M52" i="50" s="1"/>
  <c r="W52" i="50"/>
  <c r="Q52" i="50"/>
  <c r="R52" i="50" s="1"/>
  <c r="V51" i="50"/>
  <c r="N52" i="50" l="1"/>
  <c r="O52" i="50" s="1"/>
  <c r="S52" i="50" s="1"/>
  <c r="AC53" i="50" s="1"/>
  <c r="K51" i="50"/>
  <c r="C51" i="50"/>
  <c r="E51" i="50"/>
  <c r="J51" i="50"/>
  <c r="G51" i="50"/>
  <c r="F51" i="50"/>
  <c r="D51" i="50"/>
  <c r="I51" i="50"/>
  <c r="H51" i="50"/>
  <c r="X50" i="50"/>
  <c r="T51" i="50" l="1"/>
  <c r="AA51" i="50"/>
  <c r="L51" i="50"/>
  <c r="M51" i="50" s="1"/>
  <c r="W51" i="50"/>
  <c r="Q51" i="50"/>
  <c r="R51" i="50" s="1"/>
  <c r="V50" i="50"/>
  <c r="N51" i="50" l="1"/>
  <c r="O51" i="50" s="1"/>
  <c r="S51" i="50" s="1"/>
  <c r="AC52" i="50" s="1"/>
  <c r="K50" i="50"/>
  <c r="C50" i="50"/>
  <c r="J50" i="50"/>
  <c r="H50" i="50"/>
  <c r="I50" i="50"/>
  <c r="G50" i="50"/>
  <c r="F50" i="50"/>
  <c r="D50" i="50"/>
  <c r="E50" i="50"/>
  <c r="X49" i="50"/>
  <c r="AB50" i="50" l="1"/>
  <c r="T50" i="50"/>
  <c r="AA50" i="50"/>
  <c r="L50" i="50"/>
  <c r="M50" i="50" s="1"/>
  <c r="W50" i="50"/>
  <c r="Q50" i="50"/>
  <c r="R50" i="50" s="1"/>
  <c r="V49" i="50"/>
  <c r="N50" i="50" l="1"/>
  <c r="O50" i="50" s="1"/>
  <c r="S50" i="50" s="1"/>
  <c r="AC51" i="50" s="1"/>
  <c r="K49" i="50"/>
  <c r="C49" i="50"/>
  <c r="D49" i="50"/>
  <c r="J49" i="50"/>
  <c r="H49" i="50"/>
  <c r="X48" i="50"/>
  <c r="I49" i="50"/>
  <c r="G49" i="50"/>
  <c r="F49" i="50"/>
  <c r="E49" i="50"/>
  <c r="AB49" i="50" l="1"/>
  <c r="T49" i="50"/>
  <c r="AA49" i="50"/>
  <c r="L49" i="50"/>
  <c r="M49" i="50" s="1"/>
  <c r="W49" i="50"/>
  <c r="Q49" i="50"/>
  <c r="R49" i="50" s="1"/>
  <c r="V48" i="50"/>
  <c r="N49" i="50" l="1"/>
  <c r="O49" i="50" s="1"/>
  <c r="S49" i="50" s="1"/>
  <c r="AC50" i="50" s="1"/>
  <c r="K48" i="50"/>
  <c r="C48" i="50"/>
  <c r="J48" i="50"/>
  <c r="D48" i="50"/>
  <c r="I48" i="50"/>
  <c r="G48" i="50"/>
  <c r="F48" i="50"/>
  <c r="X47" i="50"/>
  <c r="E48" i="50"/>
  <c r="H48" i="50"/>
  <c r="AB48" i="50" l="1"/>
  <c r="T48" i="50"/>
  <c r="AA48" i="50"/>
  <c r="L48" i="50"/>
  <c r="M48" i="50" s="1"/>
  <c r="W48" i="50"/>
  <c r="Q48" i="50"/>
  <c r="R48" i="50" s="1"/>
  <c r="V47" i="50"/>
  <c r="N48" i="50" l="1"/>
  <c r="O48" i="50" s="1"/>
  <c r="S48" i="50" s="1"/>
  <c r="AC49" i="50" s="1"/>
  <c r="K47" i="50"/>
  <c r="C47" i="50"/>
  <c r="I47" i="50"/>
  <c r="J47" i="50"/>
  <c r="D47" i="50"/>
  <c r="F47" i="50"/>
  <c r="E47" i="50"/>
  <c r="G47" i="50"/>
  <c r="H47" i="50"/>
  <c r="X46" i="50"/>
  <c r="AB47" i="50" l="1"/>
  <c r="T47" i="50"/>
  <c r="Q47" i="50"/>
  <c r="R47" i="50" s="1"/>
  <c r="AA47" i="50"/>
  <c r="L47" i="50"/>
  <c r="M47" i="50" s="1"/>
  <c r="W47" i="50"/>
  <c r="V46" i="50"/>
  <c r="N47" i="50" l="1"/>
  <c r="O47" i="50" s="1"/>
  <c r="S47" i="50" s="1"/>
  <c r="AC48" i="50" s="1"/>
  <c r="K46" i="50"/>
  <c r="C46" i="50"/>
  <c r="H46" i="50"/>
  <c r="E46" i="50"/>
  <c r="J46" i="50"/>
  <c r="X45" i="50"/>
  <c r="D46" i="50"/>
  <c r="I46" i="50"/>
  <c r="F46" i="50"/>
  <c r="G46" i="50"/>
  <c r="AB46" i="50" l="1"/>
  <c r="T46" i="50"/>
  <c r="AA46" i="50"/>
  <c r="L46" i="50"/>
  <c r="M46" i="50" s="1"/>
  <c r="W46" i="50"/>
  <c r="Q46" i="50"/>
  <c r="R46" i="50" s="1"/>
  <c r="V45" i="50"/>
  <c r="N46" i="50" l="1"/>
  <c r="O46" i="50" s="1"/>
  <c r="S46" i="50" s="1"/>
  <c r="AC47" i="50" s="1"/>
  <c r="K45" i="50"/>
  <c r="C45" i="50"/>
  <c r="D45" i="50"/>
  <c r="J45" i="50"/>
  <c r="G45" i="50"/>
  <c r="E45" i="50"/>
  <c r="X44" i="50"/>
  <c r="I45" i="50"/>
  <c r="F45" i="50"/>
  <c r="H45" i="50"/>
  <c r="AB45" i="50" l="1"/>
  <c r="T45" i="50"/>
  <c r="AA45" i="50"/>
  <c r="L45" i="50"/>
  <c r="M45" i="50" s="1"/>
  <c r="W45" i="50"/>
  <c r="Q45" i="50"/>
  <c r="R45" i="50" s="1"/>
  <c r="V44" i="50"/>
  <c r="N45" i="50" l="1"/>
  <c r="O45" i="50" s="1"/>
  <c r="S45" i="50" s="1"/>
  <c r="AC46" i="50" s="1"/>
  <c r="K44" i="50"/>
  <c r="C44" i="50"/>
  <c r="D44" i="50"/>
  <c r="I44" i="50"/>
  <c r="J44" i="50"/>
  <c r="E44" i="50"/>
  <c r="H44" i="50"/>
  <c r="F44" i="50"/>
  <c r="G44" i="50"/>
  <c r="X43" i="50"/>
  <c r="AB44" i="50" l="1"/>
  <c r="T44" i="50"/>
  <c r="AA44" i="50"/>
  <c r="L44" i="50"/>
  <c r="M44" i="50" s="1"/>
  <c r="W44" i="50"/>
  <c r="Q44" i="50"/>
  <c r="R44" i="50" s="1"/>
  <c r="V43" i="50"/>
  <c r="N44" i="50" l="1"/>
  <c r="O44" i="50" s="1"/>
  <c r="S44" i="50" s="1"/>
  <c r="AC45" i="50" s="1"/>
  <c r="K43" i="50"/>
  <c r="C43" i="50"/>
  <c r="J43" i="50"/>
  <c r="I43" i="50"/>
  <c r="D43" i="50"/>
  <c r="X42" i="50"/>
  <c r="F43" i="50"/>
  <c r="E43" i="50"/>
  <c r="H43" i="50"/>
  <c r="G43" i="50"/>
  <c r="AB43" i="50" l="1"/>
  <c r="T43" i="50"/>
  <c r="AA43" i="50"/>
  <c r="L43" i="50"/>
  <c r="M43" i="50" s="1"/>
  <c r="W43" i="50"/>
  <c r="Q43" i="50"/>
  <c r="R43" i="50" s="1"/>
  <c r="V42" i="50"/>
  <c r="N43" i="50" l="1"/>
  <c r="O43" i="50" s="1"/>
  <c r="S43" i="50" s="1"/>
  <c r="AC44" i="50" s="1"/>
  <c r="K42" i="50"/>
  <c r="C42" i="50"/>
  <c r="X41" i="50"/>
  <c r="J42" i="50"/>
  <c r="D42" i="50"/>
  <c r="F42" i="50"/>
  <c r="H42" i="50"/>
  <c r="E42" i="50"/>
  <c r="G42" i="50"/>
  <c r="I42" i="50"/>
  <c r="AB42" i="50" l="1"/>
  <c r="T42" i="50"/>
  <c r="AA42" i="50"/>
  <c r="L42" i="50"/>
  <c r="M42" i="50" s="1"/>
  <c r="W42" i="50"/>
  <c r="Q42" i="50"/>
  <c r="R42" i="50" s="1"/>
  <c r="V41" i="50"/>
  <c r="N42" i="50" l="1"/>
  <c r="O42" i="50" s="1"/>
  <c r="S42" i="50" s="1"/>
  <c r="AC43" i="50" s="1"/>
  <c r="K41" i="50"/>
  <c r="C41" i="50"/>
  <c r="H41" i="50"/>
  <c r="E41" i="50"/>
  <c r="I41" i="50"/>
  <c r="J41" i="50"/>
  <c r="G41" i="50"/>
  <c r="D41" i="50"/>
  <c r="F41" i="50"/>
  <c r="X40" i="50"/>
  <c r="AB41" i="50" l="1"/>
  <c r="T41" i="50"/>
  <c r="AA41" i="50"/>
  <c r="L41" i="50"/>
  <c r="M41" i="50" s="1"/>
  <c r="W41" i="50"/>
  <c r="Q41" i="50"/>
  <c r="R41" i="50" s="1"/>
  <c r="V40" i="50"/>
  <c r="N41" i="50" l="1"/>
  <c r="O41" i="50" s="1"/>
  <c r="S41" i="50" s="1"/>
  <c r="AC42" i="50" s="1"/>
  <c r="K40" i="50"/>
  <c r="C40" i="50"/>
  <c r="F40" i="50"/>
  <c r="I40" i="50"/>
  <c r="D40" i="50"/>
  <c r="J40" i="50"/>
  <c r="H40" i="50"/>
  <c r="G40" i="50"/>
  <c r="X39" i="50"/>
  <c r="E40" i="50"/>
  <c r="AB40" i="50" l="1"/>
  <c r="T40" i="50"/>
  <c r="AA40" i="50"/>
  <c r="L40" i="50"/>
  <c r="M40" i="50" s="1"/>
  <c r="W40" i="50"/>
  <c r="Q40" i="50"/>
  <c r="R40" i="50" s="1"/>
  <c r="V39" i="50"/>
  <c r="N40" i="50" l="1"/>
  <c r="O40" i="50" s="1"/>
  <c r="S40" i="50" s="1"/>
  <c r="AC41" i="50" s="1"/>
  <c r="K39" i="50"/>
  <c r="C39" i="50"/>
  <c r="F39" i="50"/>
  <c r="E39" i="50"/>
  <c r="H39" i="50"/>
  <c r="D39" i="50"/>
  <c r="J39" i="50"/>
  <c r="G39" i="50"/>
  <c r="I39" i="50"/>
  <c r="X38" i="50"/>
  <c r="AB39" i="50" l="1"/>
  <c r="T39" i="50"/>
  <c r="Q39" i="50"/>
  <c r="R39" i="50" s="1"/>
  <c r="AA39" i="50"/>
  <c r="L39" i="50"/>
  <c r="M39" i="50" s="1"/>
  <c r="W39" i="50"/>
  <c r="V38" i="50"/>
  <c r="N39" i="50" l="1"/>
  <c r="O39" i="50" s="1"/>
  <c r="S39" i="50" s="1"/>
  <c r="AC40" i="50" s="1"/>
  <c r="K38" i="50"/>
  <c r="C38" i="50"/>
  <c r="D38" i="50"/>
  <c r="I38" i="50"/>
  <c r="J38" i="50"/>
  <c r="E38" i="50"/>
  <c r="H38" i="50"/>
  <c r="G38" i="50"/>
  <c r="X37" i="50"/>
  <c r="F38" i="50"/>
  <c r="AB38" i="50" l="1"/>
  <c r="T38" i="50"/>
  <c r="AA38" i="50"/>
  <c r="L38" i="50"/>
  <c r="M38" i="50" s="1"/>
  <c r="W38" i="50"/>
  <c r="Q38" i="50"/>
  <c r="R38" i="50" s="1"/>
  <c r="V37" i="50"/>
  <c r="N38" i="50" l="1"/>
  <c r="O38" i="50" s="1"/>
  <c r="S38" i="50" s="1"/>
  <c r="AC39" i="50" s="1"/>
  <c r="K37" i="50"/>
  <c r="C37" i="50"/>
  <c r="I37" i="50"/>
  <c r="J37" i="50"/>
  <c r="X36" i="50"/>
  <c r="E37" i="50"/>
  <c r="H37" i="50"/>
  <c r="G37" i="50"/>
  <c r="D37" i="50"/>
  <c r="F37" i="50"/>
  <c r="AB37" i="50" l="1"/>
  <c r="T37" i="50"/>
  <c r="AA37" i="50"/>
  <c r="L37" i="50"/>
  <c r="M37" i="50" s="1"/>
  <c r="W37" i="50"/>
  <c r="Q37" i="50"/>
  <c r="R37" i="50" s="1"/>
  <c r="V36" i="50"/>
  <c r="N37" i="50" l="1"/>
  <c r="O37" i="50" s="1"/>
  <c r="S37" i="50" s="1"/>
  <c r="AC38" i="50" s="1"/>
  <c r="K36" i="50"/>
  <c r="C36" i="50"/>
  <c r="D36" i="50"/>
  <c r="J36" i="50"/>
  <c r="E36" i="50"/>
  <c r="I36" i="50"/>
  <c r="X35" i="50"/>
  <c r="H36" i="50"/>
  <c r="G36" i="50"/>
  <c r="F36" i="50"/>
  <c r="AB36" i="50" l="1"/>
  <c r="T36" i="50"/>
  <c r="AA36" i="50"/>
  <c r="L36" i="50"/>
  <c r="M36" i="50" s="1"/>
  <c r="W36" i="50"/>
  <c r="Q36" i="50"/>
  <c r="R36" i="50" s="1"/>
  <c r="V35" i="50"/>
  <c r="N36" i="50" l="1"/>
  <c r="O36" i="50" s="1"/>
  <c r="S36" i="50" s="1"/>
  <c r="AC37" i="50" s="1"/>
  <c r="K35" i="50"/>
  <c r="C35" i="50"/>
  <c r="E35" i="50"/>
  <c r="X34" i="50"/>
  <c r="I35" i="50"/>
  <c r="J35" i="50"/>
  <c r="G35" i="50"/>
  <c r="H35" i="50"/>
  <c r="D35" i="50"/>
  <c r="F35" i="50"/>
  <c r="T35" i="50" l="1"/>
  <c r="AA35" i="50"/>
  <c r="L35" i="50"/>
  <c r="M35" i="50" s="1"/>
  <c r="W35" i="50"/>
  <c r="Q35" i="50"/>
  <c r="R35" i="50" s="1"/>
  <c r="V34" i="50"/>
  <c r="N35" i="50" l="1"/>
  <c r="O35" i="50" s="1"/>
  <c r="S35" i="50" s="1"/>
  <c r="AC36" i="50" s="1"/>
  <c r="K34" i="50"/>
  <c r="C34" i="50"/>
  <c r="X33" i="50"/>
  <c r="E34" i="50"/>
  <c r="F34" i="50"/>
  <c r="H34" i="50"/>
  <c r="J34" i="50"/>
  <c r="G34" i="50"/>
  <c r="I34" i="50"/>
  <c r="D34" i="50"/>
  <c r="T34" i="50" l="1"/>
  <c r="AA34" i="50"/>
  <c r="L34" i="50"/>
  <c r="M34" i="50" s="1"/>
  <c r="W34" i="50"/>
  <c r="Q34" i="50"/>
  <c r="R34" i="50" s="1"/>
  <c r="V33" i="50"/>
  <c r="N34" i="50" l="1"/>
  <c r="O34" i="50" s="1"/>
  <c r="S34" i="50" s="1"/>
  <c r="AC35" i="50" s="1"/>
  <c r="K33" i="50"/>
  <c r="C33" i="50"/>
  <c r="F33" i="50"/>
  <c r="G33" i="50"/>
  <c r="D33" i="50"/>
  <c r="H33" i="50"/>
  <c r="I33" i="50"/>
  <c r="J33" i="50"/>
  <c r="E33" i="50"/>
  <c r="X32" i="50"/>
  <c r="T33" i="50" l="1"/>
  <c r="AA33" i="50"/>
  <c r="L33" i="50"/>
  <c r="M33" i="50" s="1"/>
  <c r="W33" i="50"/>
  <c r="Q33" i="50"/>
  <c r="R33" i="50" s="1"/>
  <c r="V32" i="50"/>
  <c r="N33" i="50" l="1"/>
  <c r="O33" i="50" s="1"/>
  <c r="S33" i="50" s="1"/>
  <c r="AC34" i="50" s="1"/>
  <c r="K32" i="50"/>
  <c r="C32" i="50"/>
  <c r="E32" i="50"/>
  <c r="H32" i="50"/>
  <c r="I32" i="50"/>
  <c r="J32" i="50"/>
  <c r="D32" i="50"/>
  <c r="X31" i="50"/>
  <c r="G32" i="50"/>
  <c r="F32" i="50"/>
  <c r="AB32" i="50" l="1"/>
  <c r="T32" i="50"/>
  <c r="AA32" i="50"/>
  <c r="L32" i="50"/>
  <c r="M32" i="50" s="1"/>
  <c r="W32" i="50"/>
  <c r="Q32" i="50"/>
  <c r="R32" i="50" s="1"/>
  <c r="V31" i="50"/>
  <c r="N32" i="50" l="1"/>
  <c r="O32" i="50" s="1"/>
  <c r="S32" i="50" s="1"/>
  <c r="AC33" i="50" s="1"/>
  <c r="K31" i="50"/>
  <c r="C31" i="50"/>
  <c r="D31" i="50"/>
  <c r="J31" i="50"/>
  <c r="G31" i="50"/>
  <c r="I31" i="50"/>
  <c r="E31" i="50"/>
  <c r="F31" i="50"/>
  <c r="H31" i="50"/>
  <c r="X30" i="50"/>
  <c r="AB31" i="50" l="1"/>
  <c r="T31" i="50"/>
  <c r="AA31" i="50"/>
  <c r="L31" i="50"/>
  <c r="M31" i="50" s="1"/>
  <c r="W31" i="50"/>
  <c r="Q31" i="50"/>
  <c r="R31" i="50" s="1"/>
  <c r="V30" i="50"/>
  <c r="N31" i="50" l="1"/>
  <c r="O31" i="50" s="1"/>
  <c r="S31" i="50" s="1"/>
  <c r="AC32" i="50" s="1"/>
  <c r="K30" i="50"/>
  <c r="C30" i="50"/>
  <c r="D30" i="50"/>
  <c r="I30" i="50"/>
  <c r="J30" i="50"/>
  <c r="H30" i="50"/>
  <c r="E30" i="50"/>
  <c r="X29" i="50"/>
  <c r="F30" i="50"/>
  <c r="G30" i="50"/>
  <c r="AB30" i="50" l="1"/>
  <c r="T30" i="50"/>
  <c r="AA30" i="50"/>
  <c r="L30" i="50"/>
  <c r="M30" i="50" s="1"/>
  <c r="W30" i="50"/>
  <c r="Q30" i="50"/>
  <c r="R30" i="50" s="1"/>
  <c r="V29" i="50"/>
  <c r="N30" i="50" l="1"/>
  <c r="O30" i="50" s="1"/>
  <c r="S30" i="50" s="1"/>
  <c r="AC31" i="50" s="1"/>
  <c r="K29" i="50"/>
  <c r="C29" i="50"/>
  <c r="J29" i="50"/>
  <c r="D29" i="50"/>
  <c r="E29" i="50"/>
  <c r="G29" i="50"/>
  <c r="H29" i="50"/>
  <c r="X28" i="50"/>
  <c r="I29" i="50"/>
  <c r="F29" i="50"/>
  <c r="AB29" i="50" l="1"/>
  <c r="T29" i="50"/>
  <c r="AA29" i="50"/>
  <c r="L29" i="50"/>
  <c r="M29" i="50" s="1"/>
  <c r="W29" i="50"/>
  <c r="Q29" i="50"/>
  <c r="R29" i="50" s="1"/>
  <c r="V28" i="50"/>
  <c r="N29" i="50" l="1"/>
  <c r="O29" i="50" s="1"/>
  <c r="S29" i="50" s="1"/>
  <c r="AC30" i="50" s="1"/>
  <c r="K28" i="50"/>
  <c r="C28" i="50"/>
  <c r="J28" i="50"/>
  <c r="D28" i="50"/>
  <c r="I28" i="50"/>
  <c r="H28" i="50"/>
  <c r="E28" i="50"/>
  <c r="F28" i="50"/>
  <c r="G28" i="50"/>
  <c r="X27" i="50"/>
  <c r="AB28" i="50" l="1"/>
  <c r="T28" i="50"/>
  <c r="AA28" i="50"/>
  <c r="L28" i="50"/>
  <c r="M28" i="50" s="1"/>
  <c r="W28" i="50"/>
  <c r="Q28" i="50"/>
  <c r="R28" i="50" s="1"/>
  <c r="V27" i="50"/>
  <c r="N28" i="50" l="1"/>
  <c r="O28" i="50" s="1"/>
  <c r="S28" i="50" s="1"/>
  <c r="AC29" i="50" s="1"/>
  <c r="K27" i="50"/>
  <c r="C27" i="50"/>
  <c r="E27" i="50"/>
  <c r="X26" i="50"/>
  <c r="J27" i="50"/>
  <c r="D27" i="50"/>
  <c r="I27" i="50"/>
  <c r="G27" i="50"/>
  <c r="F27" i="50"/>
  <c r="H27" i="50"/>
  <c r="AB27" i="50" l="1"/>
  <c r="T27" i="50"/>
  <c r="AA27" i="50"/>
  <c r="L27" i="50"/>
  <c r="M27" i="50" s="1"/>
  <c r="W27" i="50"/>
  <c r="Q27" i="50"/>
  <c r="R27" i="50" s="1"/>
  <c r="V26" i="50"/>
  <c r="N27" i="50" l="1"/>
  <c r="O27" i="50" s="1"/>
  <c r="S27" i="50" s="1"/>
  <c r="AC28" i="50" s="1"/>
  <c r="K26" i="50"/>
  <c r="C26" i="50"/>
  <c r="X25" i="50"/>
  <c r="J26" i="50"/>
  <c r="G26" i="50"/>
  <c r="F26" i="50"/>
  <c r="D26" i="50"/>
  <c r="I26" i="50"/>
  <c r="H26" i="50"/>
  <c r="E26" i="50"/>
  <c r="AB26" i="50" l="1"/>
  <c r="U26" i="50"/>
  <c r="T26" i="50"/>
  <c r="AA26" i="50"/>
  <c r="L26" i="50"/>
  <c r="M26" i="50" s="1"/>
  <c r="W26" i="50"/>
  <c r="Q26" i="50"/>
  <c r="R26" i="50" s="1"/>
  <c r="V25" i="50"/>
  <c r="N26" i="50" l="1"/>
  <c r="O26" i="50" s="1"/>
  <c r="S26" i="50" s="1"/>
  <c r="AC27" i="50" s="1"/>
  <c r="K25" i="50"/>
  <c r="C25" i="50"/>
  <c r="J25" i="50"/>
  <c r="G25" i="50"/>
  <c r="D25" i="50"/>
  <c r="E25" i="50"/>
  <c r="I25" i="50"/>
  <c r="X24" i="50"/>
  <c r="F25" i="50"/>
  <c r="H25" i="50"/>
  <c r="AB25" i="50" l="1"/>
  <c r="T25" i="50"/>
  <c r="AA25" i="50"/>
  <c r="L25" i="50"/>
  <c r="M25" i="50" s="1"/>
  <c r="W25" i="50"/>
  <c r="Q25" i="50"/>
  <c r="R25" i="50" s="1"/>
  <c r="V24" i="50"/>
  <c r="N25" i="50" l="1"/>
  <c r="O25" i="50" s="1"/>
  <c r="S25" i="50" s="1"/>
  <c r="AC26" i="50" s="1"/>
  <c r="K24" i="50"/>
  <c r="C24" i="50"/>
  <c r="E24" i="50"/>
  <c r="J24" i="50"/>
  <c r="D24" i="50"/>
  <c r="I24" i="50"/>
  <c r="X23" i="50"/>
  <c r="F24" i="50"/>
  <c r="G24" i="50"/>
  <c r="H24" i="50"/>
  <c r="AB24" i="50" l="1"/>
  <c r="T24" i="50"/>
  <c r="AA24" i="50"/>
  <c r="L24" i="50"/>
  <c r="M24" i="50" s="1"/>
  <c r="W24" i="50"/>
  <c r="Q24" i="50"/>
  <c r="R24" i="50" s="1"/>
  <c r="V23" i="50"/>
  <c r="N24" i="50" l="1"/>
  <c r="O24" i="50" s="1"/>
  <c r="S24" i="50" s="1"/>
  <c r="AC25" i="50" s="1"/>
  <c r="K23" i="50"/>
  <c r="C23" i="50"/>
  <c r="I23" i="50"/>
  <c r="J23" i="50"/>
  <c r="D23" i="50"/>
  <c r="X22" i="50"/>
  <c r="G23" i="50"/>
  <c r="F23" i="50"/>
  <c r="H23" i="50"/>
  <c r="E23" i="50"/>
  <c r="AB23" i="50" l="1"/>
  <c r="T23" i="50"/>
  <c r="AA23" i="50"/>
  <c r="L23" i="50"/>
  <c r="M23" i="50" s="1"/>
  <c r="W23" i="50"/>
  <c r="Q23" i="50"/>
  <c r="R23" i="50" s="1"/>
  <c r="V22" i="50"/>
  <c r="N23" i="50" l="1"/>
  <c r="O23" i="50" s="1"/>
  <c r="S23" i="50" s="1"/>
  <c r="AC24" i="50" s="1"/>
  <c r="K22" i="50"/>
  <c r="C22" i="50"/>
  <c r="H22" i="50"/>
  <c r="F22" i="50"/>
  <c r="I22" i="50"/>
  <c r="J22" i="50"/>
  <c r="D22" i="50"/>
  <c r="E22" i="50"/>
  <c r="X21" i="50"/>
  <c r="G22" i="50"/>
  <c r="AB22" i="50" l="1"/>
  <c r="T22" i="50"/>
  <c r="AA22" i="50"/>
  <c r="L22" i="50"/>
  <c r="M22" i="50" s="1"/>
  <c r="W22" i="50"/>
  <c r="Q22" i="50"/>
  <c r="R22" i="50" s="1"/>
  <c r="V21" i="50"/>
  <c r="N22" i="50" l="1"/>
  <c r="O22" i="50" s="1"/>
  <c r="S22" i="50" s="1"/>
  <c r="AC23" i="50" s="1"/>
  <c r="K21" i="50"/>
  <c r="C21" i="50"/>
  <c r="J21" i="50"/>
  <c r="F21" i="50"/>
  <c r="G21" i="50"/>
  <c r="E21" i="50"/>
  <c r="D21" i="50"/>
  <c r="H21" i="50"/>
  <c r="I21" i="50"/>
  <c r="X20" i="50"/>
  <c r="AB21" i="50" l="1"/>
  <c r="T21" i="50"/>
  <c r="AA21" i="50"/>
  <c r="L21" i="50"/>
  <c r="M21" i="50" s="1"/>
  <c r="W21" i="50"/>
  <c r="Q21" i="50"/>
  <c r="R21" i="50" s="1"/>
  <c r="V20" i="50"/>
  <c r="N21" i="50" l="1"/>
  <c r="O21" i="50" s="1"/>
  <c r="S21" i="50" s="1"/>
  <c r="AC22" i="50" s="1"/>
  <c r="K20" i="50"/>
  <c r="C20" i="50"/>
  <c r="I20" i="50"/>
  <c r="J20" i="50"/>
  <c r="H20" i="50"/>
  <c r="D20" i="50"/>
  <c r="X19" i="50"/>
  <c r="F20" i="50"/>
  <c r="G20" i="50"/>
  <c r="E20" i="50"/>
  <c r="AB20" i="50" l="1"/>
  <c r="T20" i="50"/>
  <c r="AA20" i="50"/>
  <c r="L20" i="50"/>
  <c r="M20" i="50" s="1"/>
  <c r="W20" i="50"/>
  <c r="Q20" i="50"/>
  <c r="R20" i="50" s="1"/>
  <c r="V19" i="50"/>
  <c r="N20" i="50" l="1"/>
  <c r="O20" i="50" s="1"/>
  <c r="S20" i="50" s="1"/>
  <c r="AC21" i="50" s="1"/>
  <c r="K19" i="50"/>
  <c r="C19" i="50"/>
  <c r="E19" i="50"/>
  <c r="H19" i="50"/>
  <c r="J19" i="50"/>
  <c r="D19" i="50"/>
  <c r="I19" i="50"/>
  <c r="G19" i="50"/>
  <c r="F19" i="50"/>
  <c r="X18" i="50"/>
  <c r="AB19" i="50" l="1"/>
  <c r="T19" i="50"/>
  <c r="AA19" i="50"/>
  <c r="L19" i="50"/>
  <c r="M19" i="50" s="1"/>
  <c r="W19" i="50"/>
  <c r="Q19" i="50"/>
  <c r="R19" i="50" s="1"/>
  <c r="V18" i="50"/>
  <c r="N19" i="50" l="1"/>
  <c r="O19" i="50" s="1"/>
  <c r="S19" i="50" s="1"/>
  <c r="AC20" i="50" s="1"/>
  <c r="K18" i="50"/>
  <c r="C18" i="50"/>
  <c r="H18" i="50"/>
  <c r="I18" i="50"/>
  <c r="J18" i="50"/>
  <c r="X17" i="50"/>
  <c r="D18" i="50"/>
  <c r="E18" i="50"/>
  <c r="G18" i="50"/>
  <c r="F18" i="50"/>
  <c r="AB18" i="50" l="1"/>
  <c r="T18" i="50"/>
  <c r="AA18" i="50"/>
  <c r="L18" i="50"/>
  <c r="M18" i="50" s="1"/>
  <c r="W18" i="50"/>
  <c r="Q18" i="50"/>
  <c r="R18" i="50" s="1"/>
  <c r="V17" i="50"/>
  <c r="N18" i="50" l="1"/>
  <c r="O18" i="50" s="1"/>
  <c r="S18" i="50" s="1"/>
  <c r="AC19" i="50" s="1"/>
  <c r="K17" i="50"/>
  <c r="C17" i="50"/>
  <c r="E17" i="50"/>
  <c r="F17" i="50"/>
  <c r="D17" i="50"/>
  <c r="H17" i="50"/>
  <c r="J17" i="50"/>
  <c r="G17" i="50"/>
  <c r="I17" i="50"/>
  <c r="X16" i="50"/>
  <c r="AB17" i="50" l="1"/>
  <c r="T17" i="50"/>
  <c r="AA17" i="50"/>
  <c r="L17" i="50"/>
  <c r="M17" i="50" s="1"/>
  <c r="W17" i="50"/>
  <c r="Q17" i="50"/>
  <c r="R17" i="50" s="1"/>
  <c r="V16" i="50"/>
  <c r="N17" i="50" l="1"/>
  <c r="O17" i="50" s="1"/>
  <c r="S17" i="50" s="1"/>
  <c r="AC18" i="50" s="1"/>
  <c r="K16" i="50"/>
  <c r="C16" i="50"/>
  <c r="H16" i="50"/>
  <c r="E16" i="50"/>
  <c r="X15" i="50"/>
  <c r="I16" i="50"/>
  <c r="J16" i="50"/>
  <c r="D16" i="50"/>
  <c r="F16" i="50"/>
  <c r="G16" i="50"/>
  <c r="AB16" i="50" l="1"/>
  <c r="T16" i="50"/>
  <c r="AA16" i="50"/>
  <c r="L16" i="50"/>
  <c r="M16" i="50" s="1"/>
  <c r="W16" i="50"/>
  <c r="Q16" i="50"/>
  <c r="R16" i="50" s="1"/>
  <c r="V15" i="50"/>
  <c r="N16" i="50" l="1"/>
  <c r="O16" i="50" s="1"/>
  <c r="S16" i="50" s="1"/>
  <c r="AC17" i="50" s="1"/>
  <c r="K15" i="50"/>
  <c r="C15" i="50"/>
  <c r="G15" i="50"/>
  <c r="E15" i="50"/>
  <c r="H15" i="50"/>
  <c r="D15" i="50"/>
  <c r="J15" i="50"/>
  <c r="I15" i="50"/>
  <c r="F15" i="50"/>
  <c r="AB15" i="50" l="1"/>
  <c r="T15" i="50"/>
  <c r="AA15" i="50"/>
  <c r="L15" i="50"/>
  <c r="M15" i="50" s="1"/>
  <c r="W15" i="50"/>
  <c r="Q15" i="50"/>
  <c r="R15" i="50" s="1"/>
  <c r="V14" i="50"/>
  <c r="N15" i="50" l="1"/>
  <c r="O15" i="50" s="1"/>
  <c r="S15" i="50" s="1"/>
  <c r="AC16" i="50" s="1"/>
  <c r="K14" i="50"/>
  <c r="C14" i="50"/>
  <c r="H14" i="50"/>
  <c r="J14" i="50"/>
  <c r="G14" i="50"/>
  <c r="F14" i="50"/>
  <c r="D14" i="50"/>
  <c r="I14" i="50"/>
  <c r="E14" i="50"/>
  <c r="X13" i="50"/>
  <c r="AB14" i="50" l="1"/>
  <c r="T14" i="50"/>
  <c r="Q14" i="50"/>
  <c r="R14" i="50" s="1"/>
  <c r="AA14" i="50"/>
  <c r="L14" i="50"/>
  <c r="M14" i="50" s="1"/>
  <c r="W14" i="50"/>
  <c r="V13" i="50"/>
  <c r="N14" i="50" l="1"/>
  <c r="O14" i="50" s="1"/>
  <c r="S14" i="50" s="1"/>
  <c r="AC15" i="50" s="1"/>
  <c r="K13" i="50"/>
  <c r="C13" i="50"/>
  <c r="B240" i="49"/>
  <c r="C239" i="49"/>
  <c r="D239" i="49" s="1"/>
  <c r="E239" i="49" s="1"/>
  <c r="F239" i="49" s="1"/>
  <c r="G239" i="49" s="1"/>
  <c r="C237" i="49"/>
  <c r="D237" i="49" s="1"/>
  <c r="E237" i="49" s="1"/>
  <c r="F237" i="49" s="1"/>
  <c r="G237" i="49" s="1"/>
  <c r="D235" i="49"/>
  <c r="E235" i="49" s="1"/>
  <c r="F235" i="49" s="1"/>
  <c r="G235" i="49" s="1"/>
  <c r="C233" i="49"/>
  <c r="C231" i="49"/>
  <c r="C229" i="49"/>
  <c r="D229" i="49" s="1"/>
  <c r="E229" i="49" s="1"/>
  <c r="C227" i="49"/>
  <c r="D227" i="49" s="1"/>
  <c r="E227" i="49" s="1"/>
  <c r="F227" i="49" s="1"/>
  <c r="G227" i="49" s="1"/>
  <c r="C221" i="49"/>
  <c r="D221" i="49" s="1"/>
  <c r="E221" i="49" s="1"/>
  <c r="F221" i="49" s="1"/>
  <c r="G221" i="49" s="1"/>
  <c r="C219" i="49"/>
  <c r="D219" i="49" s="1"/>
  <c r="E219" i="49" s="1"/>
  <c r="F219" i="49" s="1"/>
  <c r="G219" i="49" s="1"/>
  <c r="H206" i="49"/>
  <c r="H205" i="49"/>
  <c r="H203" i="49"/>
  <c r="H200" i="49"/>
  <c r="H199" i="49"/>
  <c r="H197" i="49"/>
  <c r="H194" i="49"/>
  <c r="H191" i="49"/>
  <c r="H188" i="49"/>
  <c r="H187" i="49"/>
  <c r="H185" i="49"/>
  <c r="H184" i="49"/>
  <c r="H182" i="49"/>
  <c r="H181" i="49"/>
  <c r="H178" i="49"/>
  <c r="I205" i="49"/>
  <c r="I196" i="49"/>
  <c r="I181" i="49"/>
  <c r="I187" i="49"/>
  <c r="I193" i="49"/>
  <c r="I202" i="49"/>
  <c r="I190" i="49"/>
  <c r="I184" i="49"/>
  <c r="I199" i="49"/>
  <c r="H13" i="50"/>
  <c r="I13" i="50"/>
  <c r="J13" i="50"/>
  <c r="F13" i="50"/>
  <c r="E13" i="50"/>
  <c r="D13" i="50"/>
  <c r="I177" i="49"/>
  <c r="G13" i="50"/>
  <c r="AB13" i="50" l="1"/>
  <c r="AA13" i="50"/>
  <c r="T13" i="50"/>
  <c r="I200" i="49"/>
  <c r="J200" i="49" s="1"/>
  <c r="I185" i="49"/>
  <c r="I191" i="49"/>
  <c r="J191" i="49" s="1"/>
  <c r="I203" i="49"/>
  <c r="J203" i="49" s="1"/>
  <c r="I194" i="49"/>
  <c r="J194" i="49" s="1"/>
  <c r="I188" i="49"/>
  <c r="J188" i="49" s="1"/>
  <c r="I182" i="49"/>
  <c r="I197" i="49"/>
  <c r="J197" i="49" s="1"/>
  <c r="I206" i="49"/>
  <c r="J206" i="49" s="1"/>
  <c r="J199" i="49"/>
  <c r="J187" i="49"/>
  <c r="J184" i="49"/>
  <c r="J205" i="49"/>
  <c r="J181" i="49"/>
  <c r="I178" i="49"/>
  <c r="J178" i="49" s="1"/>
  <c r="L13" i="50"/>
  <c r="W13" i="50"/>
  <c r="Q13" i="50"/>
  <c r="R13" i="50" s="1"/>
  <c r="U100" i="50"/>
  <c r="U99" i="50"/>
  <c r="U98" i="50"/>
  <c r="U97" i="50"/>
  <c r="U96" i="50"/>
  <c r="U95" i="50"/>
  <c r="U94" i="50"/>
  <c r="U93" i="50"/>
  <c r="U92" i="50"/>
  <c r="U91" i="50"/>
  <c r="U90" i="50"/>
  <c r="U89" i="50"/>
  <c r="U88" i="50"/>
  <c r="U87" i="50"/>
  <c r="U86" i="50"/>
  <c r="U85" i="50"/>
  <c r="U84" i="50"/>
  <c r="U83" i="50"/>
  <c r="U82" i="50"/>
  <c r="U81" i="50"/>
  <c r="U80" i="50"/>
  <c r="U79" i="50"/>
  <c r="U78" i="50"/>
  <c r="U77" i="50"/>
  <c r="U76" i="50"/>
  <c r="U75" i="50"/>
  <c r="U74" i="50"/>
  <c r="U73" i="50"/>
  <c r="U72" i="50"/>
  <c r="U71" i="50"/>
  <c r="U70" i="50"/>
  <c r="U69" i="50"/>
  <c r="U68" i="50"/>
  <c r="U67" i="50"/>
  <c r="U66" i="50"/>
  <c r="U65" i="50"/>
  <c r="U64" i="50"/>
  <c r="U63" i="50"/>
  <c r="U62" i="50"/>
  <c r="U61" i="50"/>
  <c r="U60" i="50"/>
  <c r="U59" i="50"/>
  <c r="U58" i="50"/>
  <c r="U57" i="50"/>
  <c r="U56" i="50"/>
  <c r="U55" i="50"/>
  <c r="U54" i="50"/>
  <c r="U53" i="50"/>
  <c r="U52" i="50"/>
  <c r="U51" i="50"/>
  <c r="U50" i="50"/>
  <c r="U49" i="50"/>
  <c r="U48" i="50"/>
  <c r="U47" i="50"/>
  <c r="U46" i="50"/>
  <c r="U45" i="50"/>
  <c r="U44" i="50"/>
  <c r="U43" i="50"/>
  <c r="U42" i="50"/>
  <c r="U41" i="50"/>
  <c r="U40" i="50"/>
  <c r="U39" i="50"/>
  <c r="U38" i="50"/>
  <c r="U37" i="50"/>
  <c r="U36" i="50"/>
  <c r="U35" i="50"/>
  <c r="U34" i="50"/>
  <c r="U33" i="50"/>
  <c r="U32" i="50"/>
  <c r="U31" i="50"/>
  <c r="U30" i="50"/>
  <c r="U29" i="50"/>
  <c r="U28" i="50"/>
  <c r="U27" i="50"/>
  <c r="U25" i="50"/>
  <c r="U24" i="50"/>
  <c r="U23" i="50"/>
  <c r="U22" i="50"/>
  <c r="U21" i="50"/>
  <c r="U20" i="50"/>
  <c r="U19" i="50"/>
  <c r="U18" i="50"/>
  <c r="U17" i="50"/>
  <c r="U16" i="50"/>
  <c r="U15" i="50"/>
  <c r="U14" i="50"/>
  <c r="U13" i="50"/>
  <c r="H177" i="49"/>
  <c r="J177" i="49" s="1"/>
  <c r="H174" i="49"/>
  <c r="H173" i="49"/>
  <c r="M13" i="50"/>
  <c r="I172" i="49"/>
  <c r="N13" i="50" l="1"/>
  <c r="O13" i="50" s="1"/>
  <c r="S13" i="50" s="1"/>
  <c r="AC14" i="50" s="1"/>
  <c r="T111" i="50"/>
  <c r="T12" i="50" s="1"/>
  <c r="I173" i="49"/>
  <c r="I174" i="49" s="1"/>
  <c r="J174" i="49" s="1"/>
  <c r="U12" i="50"/>
  <c r="H172" i="49"/>
  <c r="J172" i="49" s="1"/>
  <c r="H168" i="49"/>
  <c r="J168" i="49" s="1"/>
  <c r="H167" i="49"/>
  <c r="J167" i="49" s="1"/>
  <c r="E163" i="49"/>
  <c r="F163" i="49" s="1"/>
  <c r="G163" i="49" s="1"/>
  <c r="C48" i="49"/>
  <c r="C47" i="49"/>
  <c r="C46" i="49"/>
  <c r="C45" i="49"/>
  <c r="E45" i="49" s="1"/>
  <c r="D41" i="49"/>
  <c r="G164" i="49" l="1"/>
  <c r="J173" i="49"/>
  <c r="E41" i="49"/>
  <c r="H169" i="49"/>
  <c r="J169" i="49" s="1"/>
  <c r="D202" i="49"/>
  <c r="D193" i="49"/>
  <c r="D179" i="49"/>
  <c r="D196" i="49"/>
  <c r="D215" i="49"/>
  <c r="D175" i="49"/>
  <c r="D39" i="49"/>
  <c r="J208" i="49" l="1"/>
  <c r="E39" i="49"/>
  <c r="D233" i="49"/>
  <c r="D231" i="49"/>
  <c r="E231" i="49" s="1"/>
  <c r="F231" i="49" s="1"/>
  <c r="E202" i="49"/>
  <c r="E196" i="49"/>
  <c r="E179" i="49"/>
  <c r="E215" i="49"/>
  <c r="E175" i="49"/>
  <c r="D37" i="49"/>
  <c r="E37" i="49" l="1"/>
  <c r="E233" i="49"/>
  <c r="F202" i="49"/>
  <c r="F190" i="49"/>
  <c r="F179" i="49"/>
  <c r="F196" i="49"/>
  <c r="F215" i="49"/>
  <c r="F175" i="49"/>
  <c r="D35" i="49"/>
  <c r="E35" i="49" l="1"/>
  <c r="G193" i="49"/>
  <c r="G196" i="49"/>
  <c r="H196" i="49" s="1"/>
  <c r="J196" i="49" s="1"/>
  <c r="G179" i="49"/>
  <c r="G215" i="49"/>
  <c r="G190" i="49"/>
  <c r="H190" i="49" s="1"/>
  <c r="J190" i="49" s="1"/>
  <c r="G202" i="49"/>
  <c r="H202" i="49" s="1"/>
  <c r="J202" i="49" s="1"/>
  <c r="G175" i="49"/>
  <c r="F229" i="49"/>
  <c r="F233" i="49"/>
  <c r="D33" i="49"/>
  <c r="G229" i="49" l="1"/>
  <c r="E33" i="49"/>
  <c r="H193" i="49"/>
  <c r="J193" i="49" s="1"/>
  <c r="G231" i="49"/>
  <c r="G233" i="49"/>
  <c r="D31" i="49"/>
  <c r="E31" i="49" l="1"/>
  <c r="D28" i="49"/>
  <c r="D29" i="49"/>
  <c r="E29" i="49" l="1"/>
  <c r="D27" i="49"/>
  <c r="D26" i="49"/>
  <c r="E27" i="49" l="1"/>
  <c r="D25" i="49"/>
  <c r="E25" i="49" l="1"/>
  <c r="D23" i="49"/>
  <c r="D46" i="49" l="1"/>
  <c r="E46" i="49" s="1"/>
  <c r="D48" i="49"/>
  <c r="E48" i="49" s="1"/>
  <c r="E23" i="49"/>
  <c r="D21" i="49"/>
  <c r="D47" i="49" l="1"/>
  <c r="E47" i="49" s="1"/>
  <c r="G48" i="49" s="1"/>
  <c r="E21" i="49"/>
  <c r="E19" i="49"/>
  <c r="F217" i="49"/>
  <c r="G217" i="49" s="1"/>
  <c r="G40" i="63"/>
  <c r="H40" i="63" s="1"/>
  <c r="I40" i="63" s="1"/>
  <c r="D55" i="17"/>
  <c r="B23" i="17"/>
  <c r="B21" i="17"/>
  <c r="B20" i="17"/>
  <c r="B15" i="17"/>
  <c r="S19" i="54"/>
  <c r="S16" i="54"/>
  <c r="S15" i="54"/>
  <c r="S14" i="54"/>
  <c r="S13" i="54"/>
  <c r="S12" i="54"/>
  <c r="S11" i="54"/>
  <c r="S10" i="54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7" i="2"/>
  <c r="E186" i="2"/>
  <c r="E185" i="2"/>
  <c r="E183" i="2"/>
  <c r="E182" i="2"/>
  <c r="E181" i="2"/>
  <c r="E180" i="2"/>
  <c r="E179" i="2"/>
  <c r="E178" i="2"/>
  <c r="E177" i="2"/>
  <c r="E176" i="2"/>
  <c r="L175" i="2"/>
  <c r="E175" i="2"/>
  <c r="E163" i="2"/>
  <c r="AH142" i="2"/>
  <c r="AG142" i="2"/>
  <c r="Z142" i="2"/>
  <c r="L142" i="2"/>
  <c r="G142" i="2"/>
  <c r="AH141" i="2"/>
  <c r="AG141" i="2"/>
  <c r="AH140" i="2"/>
  <c r="AG140" i="2"/>
  <c r="AJ139" i="2"/>
  <c r="AH139" i="2"/>
  <c r="AG139" i="2"/>
  <c r="AH136" i="2"/>
  <c r="AG136" i="2"/>
  <c r="AH135" i="2"/>
  <c r="AG135" i="2"/>
  <c r="AH134" i="2"/>
  <c r="AG134" i="2"/>
  <c r="AH133" i="2"/>
  <c r="AG133" i="2"/>
  <c r="AH132" i="2"/>
  <c r="AG132" i="2"/>
  <c r="AH131" i="2"/>
  <c r="AG131" i="2"/>
  <c r="AH130" i="2"/>
  <c r="AG130" i="2"/>
  <c r="AH129" i="2"/>
  <c r="AG129" i="2"/>
  <c r="AH128" i="2"/>
  <c r="AG128" i="2"/>
  <c r="AH125" i="2"/>
  <c r="AG125" i="2"/>
  <c r="AH124" i="2"/>
  <c r="AG124" i="2"/>
  <c r="AH123" i="2"/>
  <c r="AG123" i="2"/>
  <c r="AH122" i="2"/>
  <c r="AG122" i="2"/>
  <c r="AH121" i="2"/>
  <c r="AG121" i="2"/>
  <c r="S142" i="2"/>
  <c r="M142" i="2"/>
  <c r="AN139" i="2"/>
  <c r="AF121" i="2"/>
  <c r="AM139" i="2"/>
  <c r="AL139" i="2"/>
  <c r="AF123" i="2"/>
  <c r="E142" i="2"/>
  <c r="AF122" i="2"/>
  <c r="AF140" i="2"/>
  <c r="AF135" i="2"/>
  <c r="AF129" i="2"/>
  <c r="AF125" i="2"/>
  <c r="AF133" i="2"/>
  <c r="AF134" i="2"/>
  <c r="AF131" i="2"/>
  <c r="AF136" i="2"/>
  <c r="AF132" i="2"/>
  <c r="AF141" i="2"/>
  <c r="AF128" i="2"/>
  <c r="AF124" i="2"/>
  <c r="AF130" i="2"/>
  <c r="AF142" i="2"/>
  <c r="AF139" i="2"/>
  <c r="AF91" i="2"/>
  <c r="E50" i="49" l="1"/>
  <c r="B13" i="17" s="1"/>
  <c r="B16" i="17" s="1"/>
  <c r="M174" i="2"/>
  <c r="C58" i="25"/>
  <c r="B18" i="17"/>
  <c r="AK139" i="2"/>
  <c r="U142" i="2"/>
  <c r="H142" i="2"/>
  <c r="I142" i="2" s="1"/>
  <c r="X142" i="2"/>
  <c r="Y91" i="2"/>
  <c r="C81" i="61" l="1"/>
  <c r="B54" i="17"/>
  <c r="N91" i="2"/>
  <c r="M91" i="2"/>
  <c r="P91" i="2"/>
  <c r="O91" i="2"/>
  <c r="AA91" i="2" l="1"/>
  <c r="X91" i="2"/>
  <c r="L91" i="2"/>
  <c r="C121" i="25" l="1"/>
  <c r="C137" i="25" s="1"/>
  <c r="C138" i="25" s="1"/>
  <c r="A138" i="25" s="1"/>
  <c r="U91" i="2"/>
  <c r="Q91" i="2"/>
  <c r="F91" i="2"/>
  <c r="D91" i="2"/>
  <c r="E91" i="2"/>
  <c r="G91" i="2"/>
  <c r="Z91" i="2"/>
  <c r="AG91" i="2" l="1"/>
  <c r="H91" i="2"/>
  <c r="I91" i="2" s="1"/>
  <c r="AF90" i="2"/>
  <c r="R91" i="2" l="1"/>
  <c r="V91" i="2" s="1"/>
  <c r="Y90" i="2"/>
  <c r="C80" i="61" l="1"/>
  <c r="AB91" i="2"/>
  <c r="N90" i="2"/>
  <c r="M90" i="2"/>
  <c r="P90" i="2"/>
  <c r="O90" i="2"/>
  <c r="AA90" i="2" l="1"/>
  <c r="X90" i="2"/>
  <c r="L90" i="2"/>
  <c r="U90" i="2" s="1"/>
  <c r="Q90" i="2" l="1"/>
  <c r="F90" i="2"/>
  <c r="G90" i="2"/>
  <c r="E90" i="2"/>
  <c r="Z90" i="2"/>
  <c r="D90" i="2"/>
  <c r="C123" i="25" l="1"/>
  <c r="H90" i="2"/>
  <c r="I90" i="2" s="1"/>
  <c r="AG90" i="2"/>
  <c r="R90" i="2" l="1"/>
  <c r="V90" i="2" s="1"/>
  <c r="E162" i="2" s="1"/>
  <c r="AJ61" i="2"/>
  <c r="E61" i="2"/>
  <c r="AB90" i="2" l="1"/>
  <c r="AK61" i="2"/>
  <c r="D61" i="2"/>
  <c r="AM61" i="2"/>
  <c r="AL61" i="2"/>
  <c r="N61" i="2"/>
  <c r="M61" i="2"/>
  <c r="AN61" i="2" l="1"/>
  <c r="F61" i="2"/>
  <c r="T61" i="2"/>
  <c r="X61" i="2"/>
  <c r="AF61" i="2"/>
  <c r="AG61" i="2"/>
  <c r="AJ60" i="2"/>
  <c r="G61" i="2"/>
  <c r="H61" i="2" l="1"/>
  <c r="I61" i="2" s="1"/>
  <c r="E60" i="2"/>
  <c r="AK60" i="2" l="1"/>
  <c r="C60" i="2"/>
  <c r="AL60" i="2"/>
  <c r="N60" i="2"/>
  <c r="AM60" i="2"/>
  <c r="D60" i="2"/>
  <c r="M60" i="2"/>
  <c r="AN60" i="2" l="1"/>
  <c r="F60" i="2"/>
  <c r="X60" i="2"/>
  <c r="T60" i="2"/>
  <c r="AG60" i="2"/>
  <c r="AF60" i="2"/>
  <c r="AJ59" i="2"/>
  <c r="E59" i="2"/>
  <c r="G60" i="2"/>
  <c r="H60" i="2" l="1"/>
  <c r="I60" i="2" s="1"/>
  <c r="AK59" i="2"/>
  <c r="C59" i="2"/>
  <c r="AM59" i="2"/>
  <c r="N59" i="2"/>
  <c r="AL59" i="2"/>
  <c r="D59" i="2"/>
  <c r="M59" i="2"/>
  <c r="AN59" i="2" l="1"/>
  <c r="F59" i="2"/>
  <c r="X59" i="2"/>
  <c r="T59" i="2"/>
  <c r="AG59" i="2"/>
  <c r="AF59" i="2"/>
  <c r="AJ58" i="2"/>
  <c r="G59" i="2"/>
  <c r="H59" i="2" l="1"/>
  <c r="I59" i="2" s="1"/>
  <c r="E58" i="2"/>
  <c r="AK58" i="2" l="1"/>
  <c r="C58" i="2"/>
  <c r="AL58" i="2"/>
  <c r="AM58" i="2"/>
  <c r="D58" i="2"/>
  <c r="N58" i="2"/>
  <c r="M58" i="2"/>
  <c r="AN58" i="2" l="1"/>
  <c r="F58" i="2"/>
  <c r="X58" i="2"/>
  <c r="T58" i="2"/>
  <c r="AG58" i="2"/>
  <c r="AF58" i="2"/>
  <c r="AJ57" i="2"/>
  <c r="G58" i="2"/>
  <c r="H58" i="2" l="1"/>
  <c r="I58" i="2" s="1"/>
  <c r="E57" i="2"/>
  <c r="AK57" i="2" l="1"/>
  <c r="C57" i="2"/>
  <c r="AM57" i="2"/>
  <c r="AL57" i="2"/>
  <c r="D57" i="2"/>
  <c r="N57" i="2"/>
  <c r="M57" i="2"/>
  <c r="AN57" i="2" l="1"/>
  <c r="F57" i="2"/>
  <c r="T57" i="2"/>
  <c r="X57" i="2"/>
  <c r="AG57" i="2"/>
  <c r="AF57" i="2"/>
  <c r="AJ56" i="2"/>
  <c r="G57" i="2"/>
  <c r="H57" i="2" l="1"/>
  <c r="I57" i="2" s="1"/>
  <c r="E56" i="2"/>
  <c r="AK56" i="2" l="1"/>
  <c r="C56" i="2"/>
  <c r="N56" i="2"/>
  <c r="AL56" i="2"/>
  <c r="M56" i="2"/>
  <c r="AM56" i="2"/>
  <c r="D56" i="2"/>
  <c r="AN56" i="2" l="1"/>
  <c r="F56" i="2"/>
  <c r="X56" i="2"/>
  <c r="T56" i="2"/>
  <c r="AG56" i="2"/>
  <c r="AF56" i="2"/>
  <c r="AJ55" i="2"/>
  <c r="G56" i="2"/>
  <c r="H56" i="2" l="1"/>
  <c r="I56" i="2" s="1"/>
  <c r="E55" i="2"/>
  <c r="AK55" i="2" l="1"/>
  <c r="C55" i="2"/>
  <c r="AL55" i="2"/>
  <c r="D55" i="2"/>
  <c r="N55" i="2"/>
  <c r="AM55" i="2"/>
  <c r="M55" i="2"/>
  <c r="AN55" i="2" l="1"/>
  <c r="F55" i="2"/>
  <c r="T55" i="2"/>
  <c r="X55" i="2"/>
  <c r="AG55" i="2"/>
  <c r="AF55" i="2"/>
  <c r="AJ54" i="2"/>
  <c r="G55" i="2"/>
  <c r="H55" i="2" l="1"/>
  <c r="I55" i="2" s="1"/>
  <c r="E54" i="2"/>
  <c r="AK54" i="2" l="1"/>
  <c r="C54" i="2"/>
  <c r="AL54" i="2"/>
  <c r="D54" i="2"/>
  <c r="AM54" i="2"/>
  <c r="N54" i="2"/>
  <c r="M54" i="2"/>
  <c r="AN54" i="2" l="1"/>
  <c r="F54" i="2"/>
  <c r="X54" i="2"/>
  <c r="T54" i="2"/>
  <c r="AG54" i="2"/>
  <c r="AF54" i="2"/>
  <c r="AJ53" i="2"/>
  <c r="G54" i="2"/>
  <c r="H54" i="2" l="1"/>
  <c r="I54" i="2" s="1"/>
  <c r="E53" i="2"/>
  <c r="AK53" i="2" l="1"/>
  <c r="C53" i="2"/>
  <c r="AM53" i="2"/>
  <c r="AL53" i="2"/>
  <c r="D53" i="2"/>
  <c r="N53" i="2"/>
  <c r="M53" i="2"/>
  <c r="AN53" i="2" l="1"/>
  <c r="F53" i="2"/>
  <c r="T53" i="2"/>
  <c r="X53" i="2"/>
  <c r="AG53" i="2"/>
  <c r="AF53" i="2"/>
  <c r="AJ52" i="2"/>
  <c r="G53" i="2"/>
  <c r="H53" i="2" l="1"/>
  <c r="I53" i="2" s="1"/>
  <c r="E52" i="2"/>
  <c r="AK52" i="2" l="1"/>
  <c r="C52" i="2"/>
  <c r="D52" i="2"/>
  <c r="N52" i="2"/>
  <c r="AL52" i="2"/>
  <c r="AM52" i="2"/>
  <c r="M52" i="2"/>
  <c r="AN52" i="2" l="1"/>
  <c r="F52" i="2"/>
  <c r="X52" i="2"/>
  <c r="T52" i="2"/>
  <c r="AG52" i="2"/>
  <c r="AF52" i="2"/>
  <c r="AJ51" i="2"/>
  <c r="G52" i="2"/>
  <c r="H52" i="2" l="1"/>
  <c r="I52" i="2" s="1"/>
  <c r="E51" i="2"/>
  <c r="AK51" i="2" l="1"/>
  <c r="C51" i="2"/>
  <c r="N51" i="2"/>
  <c r="AL51" i="2"/>
  <c r="AM51" i="2"/>
  <c r="D51" i="2"/>
  <c r="M51" i="2"/>
  <c r="AN51" i="2" l="1"/>
  <c r="F51" i="2"/>
  <c r="X51" i="2"/>
  <c r="T51" i="2"/>
  <c r="AG51" i="2"/>
  <c r="AF51" i="2"/>
  <c r="AJ50" i="2"/>
  <c r="G51" i="2"/>
  <c r="H51" i="2" l="1"/>
  <c r="I51" i="2" s="1"/>
  <c r="E50" i="2"/>
  <c r="AK50" i="2" l="1"/>
  <c r="C50" i="2"/>
  <c r="D50" i="2"/>
  <c r="AL50" i="2"/>
  <c r="N50" i="2"/>
  <c r="AM50" i="2"/>
  <c r="M50" i="2"/>
  <c r="G13" i="62" l="1"/>
  <c r="AN50" i="2"/>
  <c r="F50" i="2"/>
  <c r="X50" i="2"/>
  <c r="T50" i="2"/>
  <c r="AG50" i="2"/>
  <c r="AF50" i="2"/>
  <c r="AJ49" i="2"/>
  <c r="G50" i="2"/>
  <c r="H50" i="2" l="1"/>
  <c r="I50" i="2" s="1"/>
  <c r="E49" i="2"/>
  <c r="AK49" i="2" l="1"/>
  <c r="C49" i="2"/>
  <c r="AM49" i="2"/>
  <c r="D49" i="2"/>
  <c r="N49" i="2"/>
  <c r="AL49" i="2"/>
  <c r="M49" i="2"/>
  <c r="AN49" i="2" l="1"/>
  <c r="F49" i="2"/>
  <c r="X49" i="2"/>
  <c r="T49" i="2"/>
  <c r="AG49" i="2"/>
  <c r="AF49" i="2"/>
  <c r="AJ48" i="2"/>
  <c r="G49" i="2"/>
  <c r="H49" i="2" l="1"/>
  <c r="I49" i="2" s="1"/>
  <c r="E48" i="2"/>
  <c r="AK48" i="2" l="1"/>
  <c r="C48" i="2"/>
  <c r="N48" i="2"/>
  <c r="D48" i="2"/>
  <c r="AM48" i="2"/>
  <c r="AL48" i="2"/>
  <c r="M48" i="2"/>
  <c r="AN48" i="2" l="1"/>
  <c r="F48" i="2"/>
  <c r="X48" i="2"/>
  <c r="T48" i="2"/>
  <c r="AG48" i="2"/>
  <c r="AF48" i="2"/>
  <c r="AJ47" i="2"/>
  <c r="G48" i="2"/>
  <c r="H48" i="2" l="1"/>
  <c r="I48" i="2" s="1"/>
  <c r="E47" i="2"/>
  <c r="AK47" i="2" l="1"/>
  <c r="C47" i="2"/>
  <c r="AL47" i="2"/>
  <c r="N47" i="2"/>
  <c r="D47" i="2"/>
  <c r="AM47" i="2"/>
  <c r="M47" i="2"/>
  <c r="AN47" i="2" l="1"/>
  <c r="F47" i="2"/>
  <c r="T47" i="2"/>
  <c r="X47" i="2"/>
  <c r="AG47" i="2"/>
  <c r="AF47" i="2"/>
  <c r="AJ46" i="2"/>
  <c r="G47" i="2"/>
  <c r="H47" i="2" l="1"/>
  <c r="I47" i="2" s="1"/>
  <c r="E46" i="2"/>
  <c r="AK46" i="2" l="1"/>
  <c r="C46" i="2"/>
  <c r="N46" i="2"/>
  <c r="AL46" i="2"/>
  <c r="D46" i="2"/>
  <c r="AM46" i="2"/>
  <c r="M46" i="2"/>
  <c r="AN46" i="2" l="1"/>
  <c r="F46" i="2"/>
  <c r="X46" i="2"/>
  <c r="T46" i="2"/>
  <c r="AG46" i="2"/>
  <c r="AF46" i="2"/>
  <c r="AJ45" i="2"/>
  <c r="G46" i="2"/>
  <c r="H46" i="2" l="1"/>
  <c r="I46" i="2" s="1"/>
  <c r="E45" i="2"/>
  <c r="AK45" i="2" l="1"/>
  <c r="C45" i="2"/>
  <c r="AM45" i="2"/>
  <c r="N45" i="2"/>
  <c r="AL45" i="2"/>
  <c r="D45" i="2"/>
  <c r="M45" i="2"/>
  <c r="AN45" i="2" l="1"/>
  <c r="F45" i="2"/>
  <c r="T45" i="2"/>
  <c r="X45" i="2"/>
  <c r="AG45" i="2"/>
  <c r="AF45" i="2"/>
  <c r="AJ44" i="2"/>
  <c r="G45" i="2"/>
  <c r="H45" i="2" l="1"/>
  <c r="I45" i="2" s="1"/>
  <c r="E44" i="2"/>
  <c r="AK44" i="2" l="1"/>
  <c r="C44" i="2"/>
  <c r="AL44" i="2"/>
  <c r="N44" i="2"/>
  <c r="D44" i="2"/>
  <c r="AM44" i="2"/>
  <c r="M44" i="2"/>
  <c r="AN44" i="2" l="1"/>
  <c r="F44" i="2"/>
  <c r="X44" i="2"/>
  <c r="T44" i="2"/>
  <c r="AG44" i="2"/>
  <c r="AF44" i="2"/>
  <c r="AJ43" i="2"/>
  <c r="G44" i="2"/>
  <c r="H44" i="2" l="1"/>
  <c r="I44" i="2" s="1"/>
  <c r="E43" i="2"/>
  <c r="AK43" i="2" l="1"/>
  <c r="C43" i="2"/>
  <c r="AL43" i="2"/>
  <c r="D43" i="2"/>
  <c r="AM43" i="2"/>
  <c r="N43" i="2"/>
  <c r="M43" i="2"/>
  <c r="G14" i="62" l="1"/>
  <c r="AN43" i="2"/>
  <c r="F43" i="2"/>
  <c r="X43" i="2"/>
  <c r="T43" i="2"/>
  <c r="AG43" i="2"/>
  <c r="AF43" i="2"/>
  <c r="AJ42" i="2"/>
  <c r="G43" i="2"/>
  <c r="H43" i="2" l="1"/>
  <c r="I43" i="2" s="1"/>
  <c r="E42" i="2"/>
  <c r="AK42" i="2" l="1"/>
  <c r="C42" i="2"/>
  <c r="AL42" i="2"/>
  <c r="AM42" i="2"/>
  <c r="N42" i="2"/>
  <c r="D42" i="2"/>
  <c r="M42" i="2"/>
  <c r="AN42" i="2" l="1"/>
  <c r="F42" i="2"/>
  <c r="X42" i="2"/>
  <c r="T42" i="2"/>
  <c r="AG42" i="2"/>
  <c r="AF42" i="2"/>
  <c r="AJ41" i="2"/>
  <c r="G42" i="2"/>
  <c r="E41" i="2"/>
  <c r="H42" i="2" l="1"/>
  <c r="I42" i="2" s="1"/>
  <c r="AK41" i="2"/>
  <c r="C41" i="2"/>
  <c r="N41" i="2"/>
  <c r="M41" i="2"/>
  <c r="D41" i="2"/>
  <c r="AL41" i="2"/>
  <c r="AM41" i="2"/>
  <c r="AN41" i="2" l="1"/>
  <c r="F41" i="2"/>
  <c r="X41" i="2"/>
  <c r="T41" i="2"/>
  <c r="AG41" i="2"/>
  <c r="AF41" i="2"/>
  <c r="AJ40" i="2"/>
  <c r="G41" i="2"/>
  <c r="H41" i="2" l="1"/>
  <c r="I41" i="2" s="1"/>
  <c r="E40" i="2"/>
  <c r="AK40" i="2" l="1"/>
  <c r="C40" i="2"/>
  <c r="AM40" i="2"/>
  <c r="AL40" i="2"/>
  <c r="D40" i="2"/>
  <c r="N40" i="2"/>
  <c r="M40" i="2"/>
  <c r="AN40" i="2" l="1"/>
  <c r="F40" i="2"/>
  <c r="X40" i="2"/>
  <c r="T40" i="2"/>
  <c r="AG40" i="2"/>
  <c r="AF40" i="2"/>
  <c r="AJ39" i="2"/>
  <c r="G40" i="2"/>
  <c r="H40" i="2" l="1"/>
  <c r="I40" i="2" s="1"/>
  <c r="E39" i="2"/>
  <c r="AK39" i="2" l="1"/>
  <c r="C39" i="2"/>
  <c r="AL39" i="2"/>
  <c r="AM39" i="2"/>
  <c r="M39" i="2"/>
  <c r="D39" i="2"/>
  <c r="N39" i="2"/>
  <c r="AN39" i="2" l="1"/>
  <c r="F39" i="2"/>
  <c r="X39" i="2"/>
  <c r="T39" i="2"/>
  <c r="AG39" i="2"/>
  <c r="AF39" i="2"/>
  <c r="AJ38" i="2"/>
  <c r="G39" i="2"/>
  <c r="H39" i="2" l="1"/>
  <c r="I39" i="2" s="1"/>
  <c r="E38" i="2"/>
  <c r="AK38" i="2" l="1"/>
  <c r="C38" i="2"/>
  <c r="N38" i="2"/>
  <c r="D38" i="2"/>
  <c r="AL38" i="2"/>
  <c r="AM38" i="2"/>
  <c r="M38" i="2"/>
  <c r="AN38" i="2" l="1"/>
  <c r="F38" i="2"/>
  <c r="X38" i="2"/>
  <c r="T38" i="2"/>
  <c r="AG38" i="2"/>
  <c r="AF38" i="2"/>
  <c r="AJ37" i="2"/>
  <c r="G38" i="2"/>
  <c r="H38" i="2" l="1"/>
  <c r="I38" i="2" s="1"/>
  <c r="E37" i="2"/>
  <c r="AK37" i="2" l="1"/>
  <c r="C37" i="2"/>
  <c r="N37" i="2"/>
  <c r="AM37" i="2"/>
  <c r="AL37" i="2"/>
  <c r="D37" i="2"/>
  <c r="M37" i="2"/>
  <c r="AN37" i="2" l="1"/>
  <c r="F37" i="2"/>
  <c r="X37" i="2"/>
  <c r="T37" i="2"/>
  <c r="AG37" i="2"/>
  <c r="AF37" i="2"/>
  <c r="AJ36" i="2"/>
  <c r="G37" i="2"/>
  <c r="H37" i="2" l="1"/>
  <c r="I37" i="2" s="1"/>
  <c r="E36" i="2"/>
  <c r="AK36" i="2" l="1"/>
  <c r="C36" i="2"/>
  <c r="N36" i="2"/>
  <c r="AL36" i="2"/>
  <c r="M36" i="2"/>
  <c r="AM36" i="2"/>
  <c r="D36" i="2"/>
  <c r="AN36" i="2" l="1"/>
  <c r="F36" i="2"/>
  <c r="T36" i="2"/>
  <c r="X36" i="2"/>
  <c r="AG36" i="2"/>
  <c r="AF36" i="2"/>
  <c r="AJ35" i="2"/>
  <c r="G36" i="2"/>
  <c r="H36" i="2" l="1"/>
  <c r="I36" i="2" s="1"/>
  <c r="E35" i="2"/>
  <c r="AK35" i="2" l="1"/>
  <c r="C35" i="2"/>
  <c r="D35" i="2"/>
  <c r="AM35" i="2"/>
  <c r="AL35" i="2"/>
  <c r="N35" i="2"/>
  <c r="M35" i="2"/>
  <c r="AN35" i="2" l="1"/>
  <c r="F35" i="2"/>
  <c r="T35" i="2"/>
  <c r="X35" i="2"/>
  <c r="AG35" i="2"/>
  <c r="AF35" i="2"/>
  <c r="AJ34" i="2"/>
  <c r="G35" i="2"/>
  <c r="H35" i="2" l="1"/>
  <c r="I35" i="2" s="1"/>
  <c r="E34" i="2"/>
  <c r="AK34" i="2" l="1"/>
  <c r="C34" i="2"/>
  <c r="D34" i="2"/>
  <c r="AM34" i="2"/>
  <c r="N34" i="2"/>
  <c r="AL34" i="2"/>
  <c r="M34" i="2"/>
  <c r="AN34" i="2" l="1"/>
  <c r="F34" i="2"/>
  <c r="X34" i="2"/>
  <c r="T34" i="2"/>
  <c r="AG34" i="2"/>
  <c r="AF34" i="2"/>
  <c r="AJ33" i="2"/>
  <c r="G34" i="2"/>
  <c r="H34" i="2" l="1"/>
  <c r="I34" i="2" s="1"/>
  <c r="E33" i="2"/>
  <c r="AK33" i="2" l="1"/>
  <c r="C33" i="2"/>
  <c r="AM33" i="2"/>
  <c r="AL33" i="2"/>
  <c r="D33" i="2"/>
  <c r="N33" i="2"/>
  <c r="M33" i="2"/>
  <c r="AN33" i="2" l="1"/>
  <c r="F33" i="2"/>
  <c r="X33" i="2"/>
  <c r="T33" i="2"/>
  <c r="AG33" i="2"/>
  <c r="AF33" i="2"/>
  <c r="AJ32" i="2"/>
  <c r="G33" i="2"/>
  <c r="H33" i="2" l="1"/>
  <c r="I33" i="2" s="1"/>
  <c r="E32" i="2"/>
  <c r="AK32" i="2" l="1"/>
  <c r="C32" i="2"/>
  <c r="AM32" i="2"/>
  <c r="D32" i="2"/>
  <c r="AL32" i="2"/>
  <c r="N32" i="2"/>
  <c r="M32" i="2"/>
  <c r="AN32" i="2" l="1"/>
  <c r="F32" i="2"/>
  <c r="X32" i="2"/>
  <c r="T32" i="2"/>
  <c r="AG32" i="2"/>
  <c r="AF32" i="2"/>
  <c r="AJ31" i="2"/>
  <c r="G32" i="2"/>
  <c r="H32" i="2" l="1"/>
  <c r="I32" i="2" s="1"/>
  <c r="E31" i="2"/>
  <c r="AK31" i="2" l="1"/>
  <c r="C31" i="2"/>
  <c r="AM31" i="2"/>
  <c r="AL31" i="2"/>
  <c r="D31" i="2"/>
  <c r="N31" i="2"/>
  <c r="M31" i="2"/>
  <c r="AN31" i="2" l="1"/>
  <c r="F31" i="2"/>
  <c r="X31" i="2"/>
  <c r="T31" i="2"/>
  <c r="AG31" i="2"/>
  <c r="AF31" i="2"/>
  <c r="AJ30" i="2"/>
  <c r="E30" i="2"/>
  <c r="G31" i="2"/>
  <c r="H31" i="2" l="1"/>
  <c r="I31" i="2" s="1"/>
  <c r="AK30" i="2"/>
  <c r="C30" i="2"/>
  <c r="AL30" i="2"/>
  <c r="N30" i="2"/>
  <c r="AM30" i="2"/>
  <c r="D30" i="2"/>
  <c r="M30" i="2"/>
  <c r="AN30" i="2" l="1"/>
  <c r="F30" i="2"/>
  <c r="X30" i="2"/>
  <c r="T30" i="2"/>
  <c r="AG30" i="2"/>
  <c r="AF30" i="2"/>
  <c r="AJ29" i="2"/>
  <c r="G30" i="2"/>
  <c r="E29" i="2"/>
  <c r="H30" i="2" l="1"/>
  <c r="I30" i="2" s="1"/>
  <c r="AK29" i="2"/>
  <c r="C29" i="2"/>
  <c r="N29" i="2"/>
  <c r="AM29" i="2"/>
  <c r="D29" i="2"/>
  <c r="AL29" i="2"/>
  <c r="M29" i="2"/>
  <c r="AN29" i="2" l="1"/>
  <c r="F29" i="2"/>
  <c r="X29" i="2"/>
  <c r="T29" i="2"/>
  <c r="AG29" i="2"/>
  <c r="AF29" i="2"/>
  <c r="AJ28" i="2"/>
  <c r="G29" i="2"/>
  <c r="E28" i="2"/>
  <c r="H29" i="2" l="1"/>
  <c r="I29" i="2" s="1"/>
  <c r="AK28" i="2"/>
  <c r="C28" i="2"/>
  <c r="AM28" i="2"/>
  <c r="D28" i="2"/>
  <c r="AL28" i="2"/>
  <c r="N28" i="2"/>
  <c r="M28" i="2"/>
  <c r="AN28" i="2" l="1"/>
  <c r="F28" i="2"/>
  <c r="X28" i="2"/>
  <c r="T28" i="2"/>
  <c r="AG28" i="2"/>
  <c r="AF28" i="2"/>
  <c r="AJ27" i="2"/>
  <c r="E27" i="2"/>
  <c r="G28" i="2"/>
  <c r="H28" i="2" l="1"/>
  <c r="I28" i="2" s="1"/>
  <c r="AK27" i="2"/>
  <c r="C27" i="2"/>
  <c r="AM27" i="2"/>
  <c r="AL27" i="2"/>
  <c r="N27" i="2"/>
  <c r="M27" i="2"/>
  <c r="D27" i="2"/>
  <c r="AN27" i="2" l="1"/>
  <c r="F27" i="2"/>
  <c r="X27" i="2"/>
  <c r="T27" i="2"/>
  <c r="AG27" i="2"/>
  <c r="AF27" i="2"/>
  <c r="AJ26" i="2"/>
  <c r="E26" i="2"/>
  <c r="G27" i="2"/>
  <c r="H27" i="2" l="1"/>
  <c r="I27" i="2" s="1"/>
  <c r="AK26" i="2"/>
  <c r="C26" i="2"/>
  <c r="AL26" i="2"/>
  <c r="N26" i="2"/>
  <c r="D26" i="2"/>
  <c r="AM26" i="2"/>
  <c r="M26" i="2"/>
  <c r="AN26" i="2" l="1"/>
  <c r="F26" i="2"/>
  <c r="X26" i="2"/>
  <c r="T26" i="2"/>
  <c r="AG26" i="2"/>
  <c r="AF26" i="2"/>
  <c r="G26" i="2"/>
  <c r="H26" i="2" l="1"/>
  <c r="I26" i="2" s="1"/>
  <c r="AJ25" i="2" l="1"/>
  <c r="E25" i="2"/>
  <c r="AK25" i="2" l="1"/>
  <c r="C25" i="2"/>
  <c r="N25" i="2"/>
  <c r="AM25" i="2"/>
  <c r="D25" i="2"/>
  <c r="AL25" i="2"/>
  <c r="M25" i="2"/>
  <c r="AN25" i="2" l="1"/>
  <c r="F25" i="2"/>
  <c r="X25" i="2"/>
  <c r="T25" i="2"/>
  <c r="AG25" i="2"/>
  <c r="AF25" i="2"/>
  <c r="AJ24" i="2"/>
  <c r="G25" i="2"/>
  <c r="H25" i="2" l="1"/>
  <c r="I25" i="2" s="1"/>
  <c r="E24" i="2"/>
  <c r="AK24" i="2" l="1"/>
  <c r="C24" i="2"/>
  <c r="D24" i="2"/>
  <c r="AM24" i="2"/>
  <c r="N24" i="2"/>
  <c r="AL24" i="2"/>
  <c r="M24" i="2"/>
  <c r="AN24" i="2" l="1"/>
  <c r="F24" i="2"/>
  <c r="X24" i="2"/>
  <c r="T24" i="2"/>
  <c r="AG24" i="2"/>
  <c r="AF24" i="2"/>
  <c r="AJ23" i="2"/>
  <c r="G24" i="2"/>
  <c r="H24" i="2" l="1"/>
  <c r="I24" i="2" s="1"/>
  <c r="E23" i="2"/>
  <c r="AK23" i="2" l="1"/>
  <c r="C23" i="2"/>
  <c r="N23" i="2"/>
  <c r="D23" i="2"/>
  <c r="AM23" i="2"/>
  <c r="AL23" i="2"/>
  <c r="M23" i="2"/>
  <c r="AN23" i="2" l="1"/>
  <c r="F23" i="2"/>
  <c r="T23" i="2"/>
  <c r="X23" i="2"/>
  <c r="AG23" i="2"/>
  <c r="AF23" i="2"/>
  <c r="AJ22" i="2"/>
  <c r="G23" i="2"/>
  <c r="H23" i="2" l="1"/>
  <c r="I23" i="2" s="1"/>
  <c r="E22" i="2"/>
  <c r="AK22" i="2" l="1"/>
  <c r="C22" i="2"/>
  <c r="D22" i="2"/>
  <c r="AL22" i="2"/>
  <c r="N22" i="2"/>
  <c r="AM22" i="2"/>
  <c r="M22" i="2"/>
  <c r="AN22" i="2" l="1"/>
  <c r="F22" i="2"/>
  <c r="X22" i="2"/>
  <c r="T22" i="2"/>
  <c r="AG22" i="2"/>
  <c r="AF22" i="2"/>
  <c r="AJ21" i="2"/>
  <c r="G22" i="2"/>
  <c r="H22" i="2" l="1"/>
  <c r="I22" i="2" s="1"/>
  <c r="E21" i="2"/>
  <c r="AK21" i="2" l="1"/>
  <c r="C21" i="2"/>
  <c r="AL21" i="2"/>
  <c r="D21" i="2"/>
  <c r="AM21" i="2"/>
  <c r="N21" i="2"/>
  <c r="M21" i="2"/>
  <c r="AN21" i="2" l="1"/>
  <c r="F21" i="2"/>
  <c r="T21" i="2"/>
  <c r="X21" i="2"/>
  <c r="AG21" i="2"/>
  <c r="AF21" i="2"/>
  <c r="AJ20" i="2"/>
  <c r="G21" i="2"/>
  <c r="H21" i="2" l="1"/>
  <c r="I21" i="2" s="1"/>
  <c r="E20" i="2"/>
  <c r="AK20" i="2" l="1"/>
  <c r="C20" i="2"/>
  <c r="AM20" i="2"/>
  <c r="N20" i="2"/>
  <c r="AL20" i="2"/>
  <c r="D20" i="2"/>
  <c r="M20" i="2"/>
  <c r="AN20" i="2" l="1"/>
  <c r="F20" i="2"/>
  <c r="X20" i="2"/>
  <c r="T20" i="2"/>
  <c r="AG20" i="2"/>
  <c r="AF20" i="2"/>
  <c r="AJ19" i="2"/>
  <c r="G20" i="2"/>
  <c r="H20" i="2" l="1"/>
  <c r="I20" i="2" s="1"/>
  <c r="E19" i="2"/>
  <c r="AK19" i="2" l="1"/>
  <c r="C19" i="2"/>
  <c r="AL19" i="2"/>
  <c r="N19" i="2"/>
  <c r="AM19" i="2"/>
  <c r="D19" i="2"/>
  <c r="M19" i="2"/>
  <c r="AN19" i="2" l="1"/>
  <c r="F19" i="2"/>
  <c r="X19" i="2"/>
  <c r="T19" i="2"/>
  <c r="AG19" i="2"/>
  <c r="AF19" i="2"/>
  <c r="AJ18" i="2"/>
  <c r="G19" i="2"/>
  <c r="H19" i="2" l="1"/>
  <c r="I19" i="2" s="1"/>
  <c r="E18" i="2"/>
  <c r="AK18" i="2" l="1"/>
  <c r="C18" i="2"/>
  <c r="D18" i="2"/>
  <c r="AM18" i="2"/>
  <c r="N18" i="2"/>
  <c r="AL18" i="2"/>
  <c r="M18" i="2"/>
  <c r="AN18" i="2" l="1"/>
  <c r="F18" i="2"/>
  <c r="X18" i="2"/>
  <c r="T18" i="2"/>
  <c r="AG18" i="2"/>
  <c r="AF18" i="2"/>
  <c r="AJ17" i="2"/>
  <c r="G18" i="2"/>
  <c r="H18" i="2" l="1"/>
  <c r="I18" i="2" s="1"/>
  <c r="E17" i="2"/>
  <c r="AK17" i="2" l="1"/>
  <c r="C17" i="2"/>
  <c r="AL17" i="2"/>
  <c r="D17" i="2"/>
  <c r="AM17" i="2"/>
  <c r="N17" i="2"/>
  <c r="M17" i="2"/>
  <c r="AN17" i="2" l="1"/>
  <c r="F17" i="2"/>
  <c r="X17" i="2"/>
  <c r="T17" i="2"/>
  <c r="AG17" i="2"/>
  <c r="AF17" i="2"/>
  <c r="AJ16" i="2"/>
  <c r="G17" i="2"/>
  <c r="H17" i="2" l="1"/>
  <c r="I17" i="2" s="1"/>
  <c r="E16" i="2"/>
  <c r="AK16" i="2" l="1"/>
  <c r="C16" i="2"/>
  <c r="AL16" i="2"/>
  <c r="AM16" i="2"/>
  <c r="N16" i="2"/>
  <c r="D16" i="2"/>
  <c r="M16" i="2"/>
  <c r="AN16" i="2" l="1"/>
  <c r="F16" i="2"/>
  <c r="X16" i="2"/>
  <c r="T16" i="2"/>
  <c r="AG16" i="2"/>
  <c r="AF16" i="2"/>
  <c r="AJ15" i="2"/>
  <c r="G16" i="2"/>
  <c r="H16" i="2" l="1"/>
  <c r="I16" i="2" s="1"/>
  <c r="E15" i="2"/>
  <c r="AK15" i="2" l="1"/>
  <c r="C15" i="2"/>
  <c r="N15" i="2"/>
  <c r="AL15" i="2"/>
  <c r="AM15" i="2"/>
  <c r="D15" i="2"/>
  <c r="M15" i="2"/>
  <c r="AN15" i="2" l="1"/>
  <c r="F15" i="2"/>
  <c r="X15" i="2"/>
  <c r="T15" i="2"/>
  <c r="AG15" i="2"/>
  <c r="AF15" i="2"/>
  <c r="AJ14" i="2"/>
  <c r="G15" i="2"/>
  <c r="H15" i="2" l="1"/>
  <c r="I15" i="2" s="1"/>
  <c r="E14" i="2"/>
  <c r="AK14" i="2" l="1"/>
  <c r="C14" i="2"/>
  <c r="N14" i="2"/>
  <c r="D14" i="2"/>
  <c r="AM14" i="2"/>
  <c r="AL14" i="2"/>
  <c r="M14" i="2"/>
  <c r="AN14" i="2" l="1"/>
  <c r="F14" i="2"/>
  <c r="X14" i="2"/>
  <c r="T14" i="2"/>
  <c r="AG14" i="2"/>
  <c r="AF14" i="2"/>
  <c r="AJ13" i="2"/>
  <c r="G14" i="2"/>
  <c r="H14" i="2" l="1"/>
  <c r="I14" i="2" s="1"/>
  <c r="E13" i="2"/>
  <c r="AK13" i="2" l="1"/>
  <c r="C13" i="2"/>
  <c r="AH12" i="2"/>
  <c r="AG12" i="2"/>
  <c r="AC11" i="2"/>
  <c r="E8" i="2"/>
  <c r="O65" i="12"/>
  <c r="Q65" i="12" s="1"/>
  <c r="J65" i="12"/>
  <c r="C65" i="12"/>
  <c r="E65" i="12" s="1"/>
  <c r="J64" i="12"/>
  <c r="O64" i="12" s="1"/>
  <c r="Q64" i="12" s="1"/>
  <c r="C64" i="12"/>
  <c r="E64" i="12" s="1"/>
  <c r="J63" i="12"/>
  <c r="O63" i="12" s="1"/>
  <c r="Q63" i="12" s="1"/>
  <c r="C63" i="12"/>
  <c r="E63" i="12" s="1"/>
  <c r="J62" i="12"/>
  <c r="O62" i="12" s="1"/>
  <c r="Q62" i="12" s="1"/>
  <c r="C62" i="12"/>
  <c r="E62" i="12" s="1"/>
  <c r="J61" i="12"/>
  <c r="O61" i="12" s="1"/>
  <c r="Q61" i="12" s="1"/>
  <c r="C61" i="12"/>
  <c r="E61" i="12" s="1"/>
  <c r="J60" i="12"/>
  <c r="O60" i="12" s="1"/>
  <c r="Q60" i="12" s="1"/>
  <c r="C60" i="12"/>
  <c r="E60" i="12" s="1"/>
  <c r="J59" i="12"/>
  <c r="O59" i="12" s="1"/>
  <c r="Q59" i="12" s="1"/>
  <c r="C59" i="12"/>
  <c r="E59" i="12" s="1"/>
  <c r="J58" i="12"/>
  <c r="O58" i="12" s="1"/>
  <c r="Q58" i="12" s="1"/>
  <c r="C58" i="12"/>
  <c r="E58" i="12" s="1"/>
  <c r="J57" i="12"/>
  <c r="O57" i="12" s="1"/>
  <c r="Q57" i="12" s="1"/>
  <c r="C57" i="12"/>
  <c r="E57" i="12" s="1"/>
  <c r="J56" i="12"/>
  <c r="O56" i="12" s="1"/>
  <c r="Q56" i="12" s="1"/>
  <c r="E56" i="12"/>
  <c r="C56" i="12"/>
  <c r="J55" i="12"/>
  <c r="O55" i="12" s="1"/>
  <c r="Q55" i="12" s="1"/>
  <c r="C55" i="12"/>
  <c r="E55" i="12" s="1"/>
  <c r="O54" i="12"/>
  <c r="Q54" i="12" s="1"/>
  <c r="J54" i="12"/>
  <c r="C54" i="12"/>
  <c r="E54" i="12" s="1"/>
  <c r="O53" i="12"/>
  <c r="Q53" i="12" s="1"/>
  <c r="J53" i="12"/>
  <c r="C53" i="12"/>
  <c r="E53" i="12" s="1"/>
  <c r="O52" i="12"/>
  <c r="Q52" i="12" s="1"/>
  <c r="J52" i="12"/>
  <c r="C52" i="12"/>
  <c r="E52" i="12" s="1"/>
  <c r="O51" i="12"/>
  <c r="Q51" i="12" s="1"/>
  <c r="J51" i="12"/>
  <c r="C51" i="12"/>
  <c r="E51" i="12" s="1"/>
  <c r="J50" i="12"/>
  <c r="O50" i="12" s="1"/>
  <c r="Q50" i="12" s="1"/>
  <c r="C50" i="12"/>
  <c r="E50" i="12" s="1"/>
  <c r="J49" i="12"/>
  <c r="O49" i="12" s="1"/>
  <c r="Q49" i="12" s="1"/>
  <c r="C49" i="12"/>
  <c r="E49" i="12" s="1"/>
  <c r="J48" i="12"/>
  <c r="O48" i="12" s="1"/>
  <c r="Q48" i="12" s="1"/>
  <c r="C48" i="12"/>
  <c r="E48" i="12" s="1"/>
  <c r="J47" i="12"/>
  <c r="O47" i="12" s="1"/>
  <c r="Q47" i="12" s="1"/>
  <c r="C47" i="12"/>
  <c r="E47" i="12" s="1"/>
  <c r="J46" i="12"/>
  <c r="O46" i="12" s="1"/>
  <c r="Q46" i="12" s="1"/>
  <c r="C46" i="12"/>
  <c r="E46" i="12" s="1"/>
  <c r="J45" i="12"/>
  <c r="O45" i="12" s="1"/>
  <c r="Q45" i="12" s="1"/>
  <c r="C45" i="12"/>
  <c r="E45" i="12" s="1"/>
  <c r="J44" i="12"/>
  <c r="O44" i="12" s="1"/>
  <c r="Q44" i="12" s="1"/>
  <c r="C44" i="12"/>
  <c r="E44" i="12" s="1"/>
  <c r="J43" i="12"/>
  <c r="O43" i="12" s="1"/>
  <c r="Q43" i="12" s="1"/>
  <c r="C43" i="12"/>
  <c r="E43" i="12" s="1"/>
  <c r="O42" i="12"/>
  <c r="Q42" i="12" s="1"/>
  <c r="J42" i="12"/>
  <c r="C42" i="12"/>
  <c r="E42" i="12" s="1"/>
  <c r="O41" i="12"/>
  <c r="Q41" i="12" s="1"/>
  <c r="J41" i="12"/>
  <c r="C41" i="12"/>
  <c r="E41" i="12" s="1"/>
  <c r="O40" i="12"/>
  <c r="Q40" i="12" s="1"/>
  <c r="J40" i="12"/>
  <c r="C40" i="12"/>
  <c r="E40" i="12" s="1"/>
  <c r="O39" i="12"/>
  <c r="Q39" i="12" s="1"/>
  <c r="J39" i="12"/>
  <c r="C39" i="12"/>
  <c r="E39" i="12" s="1"/>
  <c r="O38" i="12"/>
  <c r="Q38" i="12" s="1"/>
  <c r="J38" i="12"/>
  <c r="C38" i="12"/>
  <c r="E38" i="12" s="1"/>
  <c r="J37" i="12"/>
  <c r="O37" i="12" s="1"/>
  <c r="Q37" i="12" s="1"/>
  <c r="C37" i="12"/>
  <c r="E37" i="12" s="1"/>
  <c r="J36" i="12"/>
  <c r="O36" i="12" s="1"/>
  <c r="Q36" i="12" s="1"/>
  <c r="C36" i="12"/>
  <c r="E36" i="12" s="1"/>
  <c r="J35" i="12"/>
  <c r="O35" i="12" s="1"/>
  <c r="Q35" i="12" s="1"/>
  <c r="C35" i="12"/>
  <c r="E35" i="12" s="1"/>
  <c r="J34" i="12"/>
  <c r="O34" i="12" s="1"/>
  <c r="Q34" i="12" s="1"/>
  <c r="C34" i="12"/>
  <c r="E34" i="12" s="1"/>
  <c r="J33" i="12"/>
  <c r="O33" i="12" s="1"/>
  <c r="Q33" i="12" s="1"/>
  <c r="C33" i="12"/>
  <c r="E33" i="12" s="1"/>
  <c r="J32" i="12"/>
  <c r="O32" i="12" s="1"/>
  <c r="Q32" i="12" s="1"/>
  <c r="C32" i="12"/>
  <c r="E32" i="12" s="1"/>
  <c r="J31" i="12"/>
  <c r="O31" i="12" s="1"/>
  <c r="Q31" i="12" s="1"/>
  <c r="C31" i="12"/>
  <c r="E31" i="12" s="1"/>
  <c r="O30" i="12"/>
  <c r="Q30" i="12" s="1"/>
  <c r="J30" i="12"/>
  <c r="C30" i="12"/>
  <c r="E30" i="12" s="1"/>
  <c r="O29" i="12"/>
  <c r="Q29" i="12" s="1"/>
  <c r="J29" i="12"/>
  <c r="C29" i="12"/>
  <c r="E29" i="12" s="1"/>
  <c r="O28" i="12"/>
  <c r="Q28" i="12" s="1"/>
  <c r="J28" i="12"/>
  <c r="C28" i="12"/>
  <c r="E28" i="12" s="1"/>
  <c r="O27" i="12"/>
  <c r="Q27" i="12" s="1"/>
  <c r="J27" i="12"/>
  <c r="C27" i="12"/>
  <c r="E27" i="12" s="1"/>
  <c r="O26" i="12"/>
  <c r="Q26" i="12" s="1"/>
  <c r="J26" i="12"/>
  <c r="C26" i="12"/>
  <c r="E26" i="12" s="1"/>
  <c r="J25" i="12"/>
  <c r="O25" i="12" s="1"/>
  <c r="Q25" i="12" s="1"/>
  <c r="C25" i="12"/>
  <c r="E25" i="12" s="1"/>
  <c r="J24" i="12"/>
  <c r="O24" i="12" s="1"/>
  <c r="Q24" i="12" s="1"/>
  <c r="C24" i="12"/>
  <c r="E24" i="12" s="1"/>
  <c r="J23" i="12"/>
  <c r="O23" i="12" s="1"/>
  <c r="Q23" i="12" s="1"/>
  <c r="C23" i="12"/>
  <c r="E23" i="12" s="1"/>
  <c r="J22" i="12"/>
  <c r="O22" i="12" s="1"/>
  <c r="Q22" i="12" s="1"/>
  <c r="C22" i="12"/>
  <c r="E22" i="12" s="1"/>
  <c r="J21" i="12"/>
  <c r="O21" i="12" s="1"/>
  <c r="Q21" i="12" s="1"/>
  <c r="C21" i="12"/>
  <c r="E21" i="12" s="1"/>
  <c r="J20" i="12"/>
  <c r="O20" i="12" s="1"/>
  <c r="Q20" i="12" s="1"/>
  <c r="C20" i="12"/>
  <c r="E20" i="12" s="1"/>
  <c r="J19" i="12"/>
  <c r="O19" i="12" s="1"/>
  <c r="Q19" i="12" s="1"/>
  <c r="C19" i="12"/>
  <c r="E19" i="12" s="1"/>
  <c r="O18" i="12"/>
  <c r="Q18" i="12" s="1"/>
  <c r="J18" i="12"/>
  <c r="C18" i="12"/>
  <c r="E18" i="12" s="1"/>
  <c r="O17" i="12"/>
  <c r="Q17" i="12" s="1"/>
  <c r="J17" i="12"/>
  <c r="C17" i="12"/>
  <c r="E17" i="12" s="1"/>
  <c r="O16" i="12"/>
  <c r="Q16" i="12" s="1"/>
  <c r="J16" i="12"/>
  <c r="C16" i="12"/>
  <c r="E16" i="12" s="1"/>
  <c r="O15" i="12"/>
  <c r="Q15" i="12" s="1"/>
  <c r="J15" i="12"/>
  <c r="C15" i="12"/>
  <c r="E15" i="12" s="1"/>
  <c r="O14" i="12"/>
  <c r="Q14" i="12" s="1"/>
  <c r="J14" i="12"/>
  <c r="F19" i="12"/>
  <c r="F34" i="12"/>
  <c r="G16" i="12"/>
  <c r="G27" i="12"/>
  <c r="F40" i="12"/>
  <c r="G65" i="12"/>
  <c r="F62" i="12"/>
  <c r="F44" i="12"/>
  <c r="G55" i="12"/>
  <c r="F63" i="12"/>
  <c r="G21" i="12"/>
  <c r="F55" i="12"/>
  <c r="F48" i="12"/>
  <c r="G22" i="12"/>
  <c r="G56" i="12"/>
  <c r="F32" i="12"/>
  <c r="F54" i="12"/>
  <c r="G40" i="12"/>
  <c r="F16" i="12"/>
  <c r="G43" i="12"/>
  <c r="F21" i="12"/>
  <c r="F22" i="12"/>
  <c r="G15" i="12"/>
  <c r="F29" i="12"/>
  <c r="F50" i="12"/>
  <c r="G48" i="12"/>
  <c r="G41" i="12"/>
  <c r="F17" i="12"/>
  <c r="F51" i="12"/>
  <c r="G25" i="12"/>
  <c r="G47" i="12"/>
  <c r="F35" i="12"/>
  <c r="G62" i="12"/>
  <c r="F38" i="12"/>
  <c r="F43" i="12"/>
  <c r="F36" i="12"/>
  <c r="G63" i="12"/>
  <c r="G44" i="12"/>
  <c r="F20" i="12"/>
  <c r="F42" i="12"/>
  <c r="G28" i="12"/>
  <c r="F57" i="12"/>
  <c r="G31" i="12"/>
  <c r="F56" i="12"/>
  <c r="G30" i="12"/>
  <c r="F25" i="12"/>
  <c r="G37" i="12"/>
  <c r="G36" i="12"/>
  <c r="G29" i="12"/>
  <c r="F58" i="12"/>
  <c r="F39" i="12"/>
  <c r="G18" i="12"/>
  <c r="G35" i="12"/>
  <c r="F23" i="12"/>
  <c r="G50" i="12"/>
  <c r="F26" i="12"/>
  <c r="G24" i="12"/>
  <c r="F46" i="12"/>
  <c r="G54" i="12"/>
  <c r="G57" i="12"/>
  <c r="G58" i="12"/>
  <c r="G20" i="12"/>
  <c r="F49" i="12"/>
  <c r="F52" i="12"/>
  <c r="G17" i="12"/>
  <c r="G61" i="12"/>
  <c r="G45" i="12"/>
  <c r="F15" i="12"/>
  <c r="F37" i="12"/>
  <c r="G49" i="12"/>
  <c r="G33" i="12"/>
  <c r="G34" i="12"/>
  <c r="F28" i="12"/>
  <c r="G60" i="12"/>
  <c r="G59" i="12"/>
  <c r="F31" i="12"/>
  <c r="F24" i="12"/>
  <c r="G51" i="12"/>
  <c r="G32" i="12"/>
  <c r="F61" i="12"/>
  <c r="F30" i="12"/>
  <c r="F64" i="12"/>
  <c r="F45" i="12"/>
  <c r="G19" i="12"/>
  <c r="F65" i="12"/>
  <c r="F27" i="12"/>
  <c r="G23" i="12"/>
  <c r="G38" i="12"/>
  <c r="G39" i="12"/>
  <c r="F18" i="12"/>
  <c r="F33" i="12"/>
  <c r="F53" i="12"/>
  <c r="G42" i="12"/>
  <c r="G26" i="12"/>
  <c r="G46" i="12"/>
  <c r="G64" i="12"/>
  <c r="F41" i="12"/>
  <c r="F59" i="12"/>
  <c r="F60" i="12"/>
  <c r="G52" i="12"/>
  <c r="G53" i="12"/>
  <c r="F47" i="12"/>
  <c r="Y142" i="2"/>
  <c r="C132" i="61" s="1"/>
  <c r="AL13" i="2"/>
  <c r="G14" i="12"/>
  <c r="AM13" i="2"/>
  <c r="F14" i="12"/>
  <c r="N13" i="2"/>
  <c r="D13" i="2"/>
  <c r="M13" i="2"/>
  <c r="C3" i="61" l="1"/>
  <c r="C116" i="25"/>
  <c r="C54" i="25"/>
  <c r="AB142" i="2"/>
  <c r="AA142" i="2"/>
  <c r="AO142" i="2"/>
  <c r="G16" i="62"/>
  <c r="I16" i="62" s="1"/>
  <c r="AA61" i="2"/>
  <c r="AA60" i="2"/>
  <c r="AA59" i="2"/>
  <c r="AA58" i="2"/>
  <c r="AA57" i="2"/>
  <c r="AA56" i="2"/>
  <c r="AA55" i="2"/>
  <c r="AA54" i="2"/>
  <c r="G17" i="62"/>
  <c r="I17" i="62" s="1"/>
  <c r="AA53" i="2"/>
  <c r="AA52" i="2"/>
  <c r="AA51" i="2"/>
  <c r="AA50" i="2"/>
  <c r="AA49" i="2"/>
  <c r="G38" i="62"/>
  <c r="I38" i="62" s="1"/>
  <c r="AA48" i="2"/>
  <c r="AA47" i="2"/>
  <c r="AA46" i="2"/>
  <c r="AA45" i="2"/>
  <c r="AA44" i="2"/>
  <c r="AA43" i="2"/>
  <c r="AA42" i="2"/>
  <c r="AA41" i="2"/>
  <c r="AA40" i="2"/>
  <c r="AA39" i="2"/>
  <c r="AA38" i="2"/>
  <c r="G15" i="62"/>
  <c r="I15" i="62" s="1"/>
  <c r="AA37" i="2"/>
  <c r="AA36" i="2"/>
  <c r="AA35" i="2"/>
  <c r="AA34" i="2"/>
  <c r="G4" i="62"/>
  <c r="I4" i="62" s="1"/>
  <c r="AA33" i="2"/>
  <c r="G6" i="62"/>
  <c r="I6" i="62" s="1"/>
  <c r="AA32" i="2"/>
  <c r="G11" i="62"/>
  <c r="I11" i="62" s="1"/>
  <c r="AA31" i="2"/>
  <c r="G7" i="62"/>
  <c r="I7" i="62" s="1"/>
  <c r="AA30" i="2"/>
  <c r="G12" i="62"/>
  <c r="I12" i="62" s="1"/>
  <c r="AA29" i="2"/>
  <c r="AA28" i="2"/>
  <c r="G9" i="62"/>
  <c r="I9" i="62" s="1"/>
  <c r="AA27" i="2"/>
  <c r="G42" i="62"/>
  <c r="I42" i="62" s="1"/>
  <c r="AA26" i="2"/>
  <c r="AA25" i="2"/>
  <c r="AA24" i="2"/>
  <c r="G51" i="62"/>
  <c r="I51" i="62" s="1"/>
  <c r="AA23" i="2"/>
  <c r="AA22" i="2"/>
  <c r="AA21" i="2"/>
  <c r="AA20" i="2"/>
  <c r="AA19" i="2"/>
  <c r="G21" i="62"/>
  <c r="I21" i="62" s="1"/>
  <c r="AA18" i="2"/>
  <c r="AA17" i="2"/>
  <c r="AA16" i="2"/>
  <c r="AA15" i="2"/>
  <c r="G25" i="62"/>
  <c r="I25" i="62" s="1"/>
  <c r="AA14" i="2"/>
  <c r="G40" i="62"/>
  <c r="I40" i="62" s="1"/>
  <c r="AN13" i="2"/>
  <c r="F13" i="2"/>
  <c r="Z13" i="2" s="1"/>
  <c r="AA13" i="2"/>
  <c r="X13" i="2"/>
  <c r="T13" i="2"/>
  <c r="AG13" i="2"/>
  <c r="AF13" i="2"/>
  <c r="AI171" i="2"/>
  <c r="Z11" i="2"/>
  <c r="C14" i="12"/>
  <c r="E14" i="12" s="1"/>
  <c r="J13" i="12"/>
  <c r="O13" i="12" s="1"/>
  <c r="Q13" i="12" s="1"/>
  <c r="Z60" i="2"/>
  <c r="Z30" i="2"/>
  <c r="Z42" i="2"/>
  <c r="Z28" i="2"/>
  <c r="Z31" i="2"/>
  <c r="F13" i="12"/>
  <c r="G13" i="12"/>
  <c r="Z29" i="2"/>
  <c r="Z27" i="2"/>
  <c r="Z39" i="2"/>
  <c r="Z53" i="2"/>
  <c r="Z14" i="2"/>
  <c r="Z61" i="2"/>
  <c r="Z51" i="2"/>
  <c r="Z32" i="2"/>
  <c r="Z50" i="2"/>
  <c r="Z20" i="2"/>
  <c r="Z55" i="2"/>
  <c r="Z37" i="2"/>
  <c r="Z21" i="2"/>
  <c r="Z15" i="2"/>
  <c r="Z49" i="2"/>
  <c r="Z56" i="2"/>
  <c r="Z54" i="2"/>
  <c r="Z62" i="2"/>
  <c r="Z45" i="2"/>
  <c r="Z24" i="2"/>
  <c r="Z58" i="2"/>
  <c r="Z17" i="2"/>
  <c r="Z22" i="2"/>
  <c r="Z40" i="2"/>
  <c r="Z19" i="2"/>
  <c r="Z44" i="2"/>
  <c r="G13" i="2"/>
  <c r="Z18" i="2"/>
  <c r="Z47" i="2"/>
  <c r="Z16" i="2"/>
  <c r="Z38" i="2"/>
  <c r="Z52" i="2"/>
  <c r="Z23" i="2"/>
  <c r="Z33" i="2"/>
  <c r="Z35" i="2"/>
  <c r="Z59" i="2"/>
  <c r="Z34" i="2"/>
  <c r="Z57" i="2"/>
  <c r="Z25" i="2"/>
  <c r="Z46" i="2"/>
  <c r="Z41" i="2"/>
  <c r="Z36" i="2"/>
  <c r="Z26" i="2"/>
  <c r="Z48" i="2"/>
  <c r="Z43" i="2"/>
  <c r="G19" i="62" l="1"/>
  <c r="I19" i="62" s="1"/>
  <c r="G33" i="62"/>
  <c r="I33" i="62" s="1"/>
  <c r="G29" i="62"/>
  <c r="I29" i="62" s="1"/>
  <c r="G31" i="62"/>
  <c r="I31" i="62" s="1"/>
  <c r="G18" i="62"/>
  <c r="I18" i="62" s="1"/>
  <c r="G35" i="62"/>
  <c r="I35" i="62" s="1"/>
  <c r="G27" i="62"/>
  <c r="I27" i="62" s="1"/>
  <c r="G36" i="62"/>
  <c r="I36" i="62" s="1"/>
  <c r="G22" i="62"/>
  <c r="I22" i="62" s="1"/>
  <c r="G26" i="62"/>
  <c r="I26" i="62" s="1"/>
  <c r="G37" i="62"/>
  <c r="I37" i="62" s="1"/>
  <c r="G34" i="62"/>
  <c r="I34" i="62" s="1"/>
  <c r="AO62" i="2"/>
  <c r="AB62" i="2"/>
  <c r="G2" i="62"/>
  <c r="I2" i="62" s="1"/>
  <c r="G47" i="62"/>
  <c r="I47" i="62" s="1"/>
  <c r="G46" i="62"/>
  <c r="I46" i="62" s="1"/>
  <c r="G45" i="62"/>
  <c r="I45" i="62" s="1"/>
  <c r="G50" i="62"/>
  <c r="I50" i="62" s="1"/>
  <c r="G44" i="62"/>
  <c r="I44" i="62" s="1"/>
  <c r="I13" i="62"/>
  <c r="G23" i="62"/>
  <c r="I23" i="62" s="1"/>
  <c r="G41" i="62"/>
  <c r="I41" i="62" s="1"/>
  <c r="G3" i="62"/>
  <c r="I3" i="62" s="1"/>
  <c r="G24" i="62"/>
  <c r="I24" i="62" s="1"/>
  <c r="G39" i="62"/>
  <c r="I39" i="62" s="1"/>
  <c r="G10" i="62"/>
  <c r="I10" i="62" s="1"/>
  <c r="G43" i="62"/>
  <c r="I43" i="62" s="1"/>
  <c r="G28" i="62"/>
  <c r="I28" i="62" s="1"/>
  <c r="G30" i="62"/>
  <c r="I30" i="62" s="1"/>
  <c r="G48" i="62"/>
  <c r="I48" i="62" s="1"/>
  <c r="G5" i="62"/>
  <c r="I5" i="62" s="1"/>
  <c r="G8" i="62"/>
  <c r="I8" i="62" s="1"/>
  <c r="G49" i="62"/>
  <c r="I49" i="62" s="1"/>
  <c r="G20" i="62"/>
  <c r="I20" i="62" s="1"/>
  <c r="I14" i="62"/>
  <c r="G32" i="62"/>
  <c r="I32" i="62" s="1"/>
  <c r="H13" i="2"/>
  <c r="I13" i="2" s="1"/>
  <c r="C13" i="12"/>
  <c r="E13" i="12" s="1"/>
  <c r="R12" i="12"/>
  <c r="O12" i="12"/>
  <c r="Q12" i="12" s="1"/>
  <c r="J12" i="12"/>
  <c r="F12" i="12"/>
  <c r="G12" i="12"/>
  <c r="C12" i="12" l="1"/>
  <c r="E12" i="12" s="1"/>
  <c r="R11" i="12"/>
  <c r="J11" i="12"/>
  <c r="O11" i="12" s="1"/>
  <c r="Q11" i="12" s="1"/>
  <c r="C11" i="12"/>
  <c r="F11" i="12"/>
  <c r="G11" i="12"/>
  <c r="E11" i="12" l="1"/>
  <c r="C120" i="25" a="1"/>
  <c r="C120" i="25" s="1"/>
  <c r="V155" i="2"/>
  <c r="E165" i="2" s="1"/>
  <c r="C45" i="25" l="1"/>
  <c r="C174" i="25"/>
  <c r="C111" i="25"/>
  <c r="L61" i="2" l="1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B3" i="61" s="1"/>
  <c r="D146" i="24"/>
  <c r="C143" i="24" a="1"/>
  <c r="C143" i="24" s="1"/>
  <c r="C144" i="24" s="1"/>
  <c r="A144" i="24" s="1"/>
  <c r="C119" i="24"/>
  <c r="C123" i="24" s="1"/>
  <c r="D104" i="24"/>
  <c r="C102" i="24"/>
  <c r="A102" i="24" s="1"/>
  <c r="C101" i="24"/>
  <c r="C101" i="24" a="1"/>
  <c r="A98" i="24"/>
  <c r="C92" i="24"/>
  <c r="C126" i="24"/>
  <c r="C117" i="24"/>
  <c r="C125" i="24"/>
  <c r="C85" i="24"/>
  <c r="C84" i="24"/>
  <c r="B4" i="61" l="1"/>
  <c r="F4" i="61" s="1"/>
  <c r="B16" i="61"/>
  <c r="F16" i="61" s="1"/>
  <c r="B28" i="61"/>
  <c r="F28" i="61" s="1"/>
  <c r="B40" i="61"/>
  <c r="F40" i="61" s="1"/>
  <c r="B5" i="61"/>
  <c r="F5" i="61" s="1"/>
  <c r="B17" i="61"/>
  <c r="F17" i="61" s="1"/>
  <c r="B29" i="61"/>
  <c r="F29" i="61" s="1"/>
  <c r="B41" i="61"/>
  <c r="F41" i="61" s="1"/>
  <c r="B6" i="61"/>
  <c r="F6" i="61" s="1"/>
  <c r="B18" i="61"/>
  <c r="F18" i="61" s="1"/>
  <c r="B30" i="61"/>
  <c r="F30" i="61" s="1"/>
  <c r="B42" i="61"/>
  <c r="F42" i="61" s="1"/>
  <c r="B43" i="61"/>
  <c r="F43" i="61" s="1"/>
  <c r="B8" i="61"/>
  <c r="F8" i="61" s="1"/>
  <c r="B20" i="61"/>
  <c r="F20" i="61" s="1"/>
  <c r="B32" i="61"/>
  <c r="F32" i="61" s="1"/>
  <c r="B44" i="61"/>
  <c r="F44" i="61" s="1"/>
  <c r="B19" i="61"/>
  <c r="F19" i="61" s="1"/>
  <c r="B9" i="61"/>
  <c r="F9" i="61" s="1"/>
  <c r="B21" i="61"/>
  <c r="F21" i="61" s="1"/>
  <c r="B33" i="61"/>
  <c r="F33" i="61" s="1"/>
  <c r="B45" i="61"/>
  <c r="F45" i="61" s="1"/>
  <c r="B10" i="61"/>
  <c r="F10" i="61" s="1"/>
  <c r="B22" i="61"/>
  <c r="F22" i="61" s="1"/>
  <c r="B34" i="61"/>
  <c r="F34" i="61" s="1"/>
  <c r="B46" i="61"/>
  <c r="F46" i="61" s="1"/>
  <c r="B11" i="61"/>
  <c r="F11" i="61" s="1"/>
  <c r="B23" i="61"/>
  <c r="F23" i="61" s="1"/>
  <c r="B35" i="61"/>
  <c r="F35" i="61" s="1"/>
  <c r="B47" i="61"/>
  <c r="F47" i="61" s="1"/>
  <c r="B7" i="61"/>
  <c r="F7" i="61" s="1"/>
  <c r="B12" i="61"/>
  <c r="F12" i="61" s="1"/>
  <c r="B24" i="61"/>
  <c r="F24" i="61" s="1"/>
  <c r="B36" i="61"/>
  <c r="F36" i="61" s="1"/>
  <c r="B48" i="61"/>
  <c r="F48" i="61" s="1"/>
  <c r="B31" i="61"/>
  <c r="F31" i="61" s="1"/>
  <c r="B13" i="61"/>
  <c r="F13" i="61" s="1"/>
  <c r="B25" i="61"/>
  <c r="F25" i="61" s="1"/>
  <c r="B37" i="61"/>
  <c r="F37" i="61" s="1"/>
  <c r="B49" i="61"/>
  <c r="F49" i="61" s="1"/>
  <c r="B14" i="61"/>
  <c r="F14" i="61" s="1"/>
  <c r="B26" i="61"/>
  <c r="F26" i="61" s="1"/>
  <c r="B38" i="61"/>
  <c r="F38" i="61" s="1"/>
  <c r="B50" i="61"/>
  <c r="F50" i="61" s="1"/>
  <c r="B15" i="61"/>
  <c r="F15" i="61" s="1"/>
  <c r="B27" i="61"/>
  <c r="F27" i="61" s="1"/>
  <c r="B39" i="61"/>
  <c r="F39" i="61" s="1"/>
  <c r="B51" i="61"/>
  <c r="F51" i="61" s="1"/>
  <c r="C52" i="25"/>
  <c r="C67" i="25" s="1"/>
  <c r="C68" i="25" s="1"/>
  <c r="A68" i="25" s="1"/>
  <c r="C128" i="24"/>
  <c r="C129" i="24" s="1"/>
  <c r="U21" i="2"/>
  <c r="V21" i="2"/>
  <c r="AO21" i="2"/>
  <c r="U32" i="2"/>
  <c r="V32" i="2"/>
  <c r="AO32" i="2"/>
  <c r="U44" i="2"/>
  <c r="V44" i="2"/>
  <c r="AO44" i="2"/>
  <c r="U15" i="2"/>
  <c r="V15" i="2"/>
  <c r="AO15" i="2"/>
  <c r="U26" i="2"/>
  <c r="V26" i="2"/>
  <c r="AO26" i="2"/>
  <c r="U38" i="2"/>
  <c r="V38" i="2"/>
  <c r="AO38" i="2"/>
  <c r="U50" i="2"/>
  <c r="V50" i="2"/>
  <c r="AO50" i="2"/>
  <c r="U16" i="2"/>
  <c r="V16" i="2"/>
  <c r="AO16" i="2"/>
  <c r="V27" i="2"/>
  <c r="U27" i="2"/>
  <c r="AO27" i="2"/>
  <c r="U39" i="2"/>
  <c r="V39" i="2"/>
  <c r="AO39" i="2"/>
  <c r="U51" i="2"/>
  <c r="V51" i="2"/>
  <c r="AO51" i="2"/>
  <c r="U17" i="2"/>
  <c r="V17" i="2"/>
  <c r="AO17" i="2"/>
  <c r="U28" i="2"/>
  <c r="V28" i="2"/>
  <c r="AO28" i="2"/>
  <c r="U40" i="2"/>
  <c r="V40" i="2"/>
  <c r="AO40" i="2"/>
  <c r="U52" i="2"/>
  <c r="V52" i="2"/>
  <c r="AO52" i="2"/>
  <c r="U18" i="2"/>
  <c r="V18" i="2"/>
  <c r="AO18" i="2"/>
  <c r="V29" i="2"/>
  <c r="U29" i="2"/>
  <c r="AO29" i="2"/>
  <c r="U41" i="2"/>
  <c r="V41" i="2"/>
  <c r="AO41" i="2"/>
  <c r="U53" i="2"/>
  <c r="V53" i="2"/>
  <c r="AO53" i="2"/>
  <c r="U19" i="2"/>
  <c r="V19" i="2"/>
  <c r="AO19" i="2"/>
  <c r="U30" i="2"/>
  <c r="V30" i="2"/>
  <c r="AO30" i="2"/>
  <c r="U42" i="2"/>
  <c r="V42" i="2"/>
  <c r="AO42" i="2"/>
  <c r="U54" i="2"/>
  <c r="V54" i="2"/>
  <c r="AO54" i="2"/>
  <c r="U20" i="2"/>
  <c r="V20" i="2"/>
  <c r="AO20" i="2"/>
  <c r="V31" i="2"/>
  <c r="U31" i="2"/>
  <c r="AO31" i="2"/>
  <c r="U43" i="2"/>
  <c r="V43" i="2"/>
  <c r="AO43" i="2"/>
  <c r="U55" i="2"/>
  <c r="V55" i="2"/>
  <c r="AO55" i="2"/>
  <c r="U56" i="2"/>
  <c r="V56" i="2"/>
  <c r="AO56" i="2"/>
  <c r="U22" i="2"/>
  <c r="V22" i="2"/>
  <c r="AO22" i="2"/>
  <c r="U33" i="2"/>
  <c r="V33" i="2"/>
  <c r="AO33" i="2"/>
  <c r="U45" i="2"/>
  <c r="V45" i="2"/>
  <c r="AO45" i="2"/>
  <c r="U57" i="2"/>
  <c r="V57" i="2"/>
  <c r="AO57" i="2"/>
  <c r="U23" i="2"/>
  <c r="V23" i="2"/>
  <c r="AO23" i="2"/>
  <c r="U34" i="2"/>
  <c r="V34" i="2"/>
  <c r="AO34" i="2"/>
  <c r="U46" i="2"/>
  <c r="V46" i="2"/>
  <c r="AO46" i="2"/>
  <c r="U58" i="2"/>
  <c r="V58" i="2"/>
  <c r="AO58" i="2"/>
  <c r="U24" i="2"/>
  <c r="V24" i="2"/>
  <c r="AO24" i="2"/>
  <c r="U35" i="2"/>
  <c r="V35" i="2"/>
  <c r="AO35" i="2"/>
  <c r="U47" i="2"/>
  <c r="V47" i="2"/>
  <c r="AO47" i="2"/>
  <c r="U59" i="2"/>
  <c r="V59" i="2"/>
  <c r="AO59" i="2"/>
  <c r="AO13" i="2"/>
  <c r="U13" i="2"/>
  <c r="V13" i="2"/>
  <c r="U25" i="2"/>
  <c r="V25" i="2"/>
  <c r="AO25" i="2"/>
  <c r="U36" i="2"/>
  <c r="V36" i="2"/>
  <c r="AO36" i="2"/>
  <c r="U48" i="2"/>
  <c r="V48" i="2"/>
  <c r="AO48" i="2"/>
  <c r="U60" i="2"/>
  <c r="V60" i="2"/>
  <c r="AO60" i="2"/>
  <c r="U14" i="2"/>
  <c r="V14" i="2"/>
  <c r="AO14" i="2"/>
  <c r="U37" i="2"/>
  <c r="V37" i="2"/>
  <c r="AO37" i="2"/>
  <c r="U49" i="2"/>
  <c r="V49" i="2"/>
  <c r="AO49" i="2"/>
  <c r="U61" i="2"/>
  <c r="V61" i="2"/>
  <c r="AO61" i="2"/>
  <c r="C81" i="24"/>
  <c r="C77" i="24"/>
  <c r="C80" i="24"/>
  <c r="F51" i="62" l="1"/>
  <c r="H51" i="62" s="1"/>
  <c r="AO63" i="2"/>
  <c r="AT12" i="2" s="1"/>
  <c r="C82" i="24"/>
  <c r="AB30" i="2"/>
  <c r="AB28" i="2"/>
  <c r="AB57" i="2"/>
  <c r="AB51" i="2"/>
  <c r="F39" i="62"/>
  <c r="H39" i="62" s="1"/>
  <c r="F37" i="62"/>
  <c r="H37" i="62" s="1"/>
  <c r="AB37" i="2"/>
  <c r="AB47" i="2"/>
  <c r="AB54" i="2"/>
  <c r="AB52" i="2"/>
  <c r="C12" i="48"/>
  <c r="AB35" i="2"/>
  <c r="AB34" i="2"/>
  <c r="AX19" i="2"/>
  <c r="AT19" i="2"/>
  <c r="BA19" i="2"/>
  <c r="AB43" i="2"/>
  <c r="AB42" i="2"/>
  <c r="AB53" i="2"/>
  <c r="AB18" i="2"/>
  <c r="AB40" i="2"/>
  <c r="AB21" i="2"/>
  <c r="AB36" i="2"/>
  <c r="AB24" i="2"/>
  <c r="AB23" i="2"/>
  <c r="AB56" i="2"/>
  <c r="AB25" i="2"/>
  <c r="AB20" i="2"/>
  <c r="AB19" i="2"/>
  <c r="E161" i="2"/>
  <c r="V11" i="2"/>
  <c r="AB13" i="2"/>
  <c r="F41" i="62"/>
  <c r="H41" i="62" s="1"/>
  <c r="AB61" i="2"/>
  <c r="AB48" i="2"/>
  <c r="AX17" i="2"/>
  <c r="AT17" i="2"/>
  <c r="BA17" i="2"/>
  <c r="AB33" i="2"/>
  <c r="AB50" i="2"/>
  <c r="AB15" i="2"/>
  <c r="AB59" i="2"/>
  <c r="AB22" i="2"/>
  <c r="F3" i="62"/>
  <c r="H3" i="62" s="1"/>
  <c r="AB55" i="2"/>
  <c r="F16" i="62"/>
  <c r="H16" i="62" s="1"/>
  <c r="F45" i="62"/>
  <c r="H45" i="62" s="1"/>
  <c r="F3" i="61"/>
  <c r="F40" i="62"/>
  <c r="H40" i="62" s="1"/>
  <c r="F48" i="62"/>
  <c r="H48" i="62" s="1"/>
  <c r="F14" i="62"/>
  <c r="H14" i="62" s="1"/>
  <c r="F49" i="62"/>
  <c r="H49" i="62" s="1"/>
  <c r="F17" i="62"/>
  <c r="H17" i="62" s="1"/>
  <c r="F21" i="62"/>
  <c r="H21" i="62" s="1"/>
  <c r="F22" i="62"/>
  <c r="H22" i="62" s="1"/>
  <c r="AB27" i="2"/>
  <c r="F24" i="62"/>
  <c r="H24" i="62" s="1"/>
  <c r="AB14" i="2"/>
  <c r="AB16" i="2"/>
  <c r="F31" i="62"/>
  <c r="H31" i="62" s="1"/>
  <c r="AB60" i="2"/>
  <c r="AB46" i="2"/>
  <c r="F2" i="62"/>
  <c r="H2" i="62" s="1"/>
  <c r="F42" i="62"/>
  <c r="H42" i="62" s="1"/>
  <c r="F38" i="62"/>
  <c r="H38" i="62" s="1"/>
  <c r="F47" i="62"/>
  <c r="H47" i="62" s="1"/>
  <c r="AX16" i="2"/>
  <c r="AT16" i="2"/>
  <c r="BA16" i="2"/>
  <c r="F4" i="62"/>
  <c r="H4" i="62" s="1"/>
  <c r="F9" i="62"/>
  <c r="H9" i="62" s="1"/>
  <c r="F13" i="62"/>
  <c r="H13" i="62" s="1"/>
  <c r="F29" i="62"/>
  <c r="H29" i="62" s="1"/>
  <c r="AB41" i="2"/>
  <c r="AB44" i="2"/>
  <c r="AB38" i="2"/>
  <c r="F32" i="62"/>
  <c r="H32" i="62" s="1"/>
  <c r="F25" i="62"/>
  <c r="H25" i="62" s="1"/>
  <c r="F26" i="62"/>
  <c r="H26" i="62" s="1"/>
  <c r="F30" i="62"/>
  <c r="H30" i="62" s="1"/>
  <c r="F50" i="62"/>
  <c r="H50" i="62" s="1"/>
  <c r="F28" i="62"/>
  <c r="H28" i="62" s="1"/>
  <c r="F23" i="62"/>
  <c r="H23" i="62" s="1"/>
  <c r="F11" i="62"/>
  <c r="H11" i="62" s="1"/>
  <c r="F7" i="62"/>
  <c r="H7" i="62" s="1"/>
  <c r="F5" i="62"/>
  <c r="H5" i="62" s="1"/>
  <c r="F10" i="62"/>
  <c r="H10" i="62" s="1"/>
  <c r="F44" i="62"/>
  <c r="H44" i="62" s="1"/>
  <c r="AB58" i="2"/>
  <c r="AB31" i="2"/>
  <c r="AB17" i="2"/>
  <c r="AB32" i="2"/>
  <c r="AB29" i="2"/>
  <c r="AB26" i="2"/>
  <c r="AB49" i="2"/>
  <c r="AX18" i="2"/>
  <c r="AT18" i="2"/>
  <c r="BA18" i="2"/>
  <c r="F36" i="62"/>
  <c r="H36" i="62" s="1"/>
  <c r="AB45" i="2"/>
  <c r="AB39" i="2"/>
  <c r="F15" i="62"/>
  <c r="H15" i="62" s="1"/>
  <c r="F8" i="62"/>
  <c r="H8" i="62" s="1"/>
  <c r="F46" i="62"/>
  <c r="H46" i="62" s="1"/>
  <c r="F19" i="62"/>
  <c r="H19" i="62" s="1"/>
  <c r="F43" i="62"/>
  <c r="H43" i="62" s="1"/>
  <c r="F27" i="62"/>
  <c r="H27" i="62" s="1"/>
  <c r="F33" i="62"/>
  <c r="H33" i="62" s="1"/>
  <c r="F20" i="62"/>
  <c r="H20" i="62" s="1"/>
  <c r="F35" i="62"/>
  <c r="H35" i="62" s="1"/>
  <c r="F12" i="62"/>
  <c r="H12" i="62" s="1"/>
  <c r="F18" i="62"/>
  <c r="H18" i="62" s="1"/>
  <c r="F34" i="62"/>
  <c r="H34" i="62" s="1"/>
  <c r="F6" i="62"/>
  <c r="H6" i="62" s="1"/>
  <c r="C71" i="24"/>
  <c r="C75" i="24" s="1"/>
  <c r="C83" i="24"/>
  <c r="C69" i="24"/>
  <c r="K62" i="2" l="1"/>
  <c r="J62" i="2" s="1"/>
  <c r="AH62" i="2" s="1"/>
  <c r="K56" i="2"/>
  <c r="J56" i="2" s="1"/>
  <c r="AH56" i="2" s="1"/>
  <c r="K44" i="2"/>
  <c r="J44" i="2" s="1"/>
  <c r="AH44" i="2" s="1"/>
  <c r="K45" i="2"/>
  <c r="J45" i="2" s="1"/>
  <c r="AH45" i="2" s="1"/>
  <c r="K61" i="2"/>
  <c r="J61" i="2" s="1"/>
  <c r="AH61" i="2" s="1"/>
  <c r="K26" i="2"/>
  <c r="J26" i="2" s="1"/>
  <c r="AH26" i="2" s="1"/>
  <c r="K29" i="2"/>
  <c r="J29" i="2" s="1"/>
  <c r="AH29" i="2" s="1"/>
  <c r="K39" i="2"/>
  <c r="J39" i="2" s="1"/>
  <c r="AH39" i="2" s="1"/>
  <c r="K38" i="2"/>
  <c r="J38" i="2" s="1"/>
  <c r="AH38" i="2" s="1"/>
  <c r="K32" i="2"/>
  <c r="J32" i="2" s="1"/>
  <c r="AH32" i="2" s="1"/>
  <c r="K31" i="2"/>
  <c r="J31" i="2" s="1"/>
  <c r="AH31" i="2" s="1"/>
  <c r="K49" i="2"/>
  <c r="J49" i="2" s="1"/>
  <c r="AH49" i="2" s="1"/>
  <c r="K17" i="2"/>
  <c r="J17" i="2" s="1"/>
  <c r="AH17" i="2" s="1"/>
  <c r="K58" i="2"/>
  <c r="J58" i="2" s="1"/>
  <c r="AH58" i="2" s="1"/>
  <c r="K22" i="2"/>
  <c r="J22" i="2" s="1"/>
  <c r="AH22" i="2" s="1"/>
  <c r="K41" i="2"/>
  <c r="J41" i="2" s="1"/>
  <c r="AH41" i="2" s="1"/>
  <c r="K16" i="2"/>
  <c r="J16" i="2" s="1"/>
  <c r="AH16" i="2" s="1"/>
  <c r="K46" i="2"/>
  <c r="J46" i="2" s="1"/>
  <c r="AH46" i="2" s="1"/>
  <c r="BA20" i="2"/>
  <c r="AX20" i="2"/>
  <c r="AT20" i="2"/>
  <c r="AT21" i="2" s="1"/>
  <c r="K59" i="2"/>
  <c r="J59" i="2" s="1"/>
  <c r="AH59" i="2" s="1"/>
  <c r="K33" i="2"/>
  <c r="J33" i="2" s="1"/>
  <c r="AH33" i="2" s="1"/>
  <c r="K19" i="2"/>
  <c r="J19" i="2" s="1"/>
  <c r="AH19" i="2" s="1"/>
  <c r="K14" i="2"/>
  <c r="J14" i="2" s="1"/>
  <c r="AH14" i="2" s="1"/>
  <c r="K34" i="2"/>
  <c r="J34" i="2" s="1"/>
  <c r="AH34" i="2" s="1"/>
  <c r="K21" i="2"/>
  <c r="J21" i="2" s="1"/>
  <c r="AH21" i="2" s="1"/>
  <c r="K35" i="2"/>
  <c r="J35" i="2" s="1"/>
  <c r="AH35" i="2" s="1"/>
  <c r="K55" i="2"/>
  <c r="J55" i="2" s="1"/>
  <c r="AH55" i="2" s="1"/>
  <c r="K48" i="2"/>
  <c r="J48" i="2" s="1"/>
  <c r="AH48" i="2" s="1"/>
  <c r="K23" i="2"/>
  <c r="J23" i="2" s="1"/>
  <c r="AH23" i="2" s="1"/>
  <c r="K60" i="2"/>
  <c r="K53" i="2"/>
  <c r="J53" i="2" s="1"/>
  <c r="AH53" i="2" s="1"/>
  <c r="K24" i="2"/>
  <c r="J24" i="2" s="1"/>
  <c r="AH24" i="2" s="1"/>
  <c r="K27" i="2"/>
  <c r="J27" i="2" s="1"/>
  <c r="AH27" i="2" s="1"/>
  <c r="K15" i="2"/>
  <c r="J15" i="2" s="1"/>
  <c r="AH15" i="2" s="1"/>
  <c r="K13" i="2"/>
  <c r="J13" i="2" s="1"/>
  <c r="AH13" i="2" s="1"/>
  <c r="K36" i="2"/>
  <c r="J36" i="2" s="1"/>
  <c r="AH36" i="2" s="1"/>
  <c r="C86" i="24"/>
  <c r="C87" i="24" s="1"/>
  <c r="K25" i="2"/>
  <c r="J25" i="2" s="1"/>
  <c r="AH25" i="2" s="1"/>
  <c r="K43" i="2"/>
  <c r="J43" i="2" s="1"/>
  <c r="AH43" i="2" s="1"/>
  <c r="K52" i="2"/>
  <c r="J52" i="2" s="1"/>
  <c r="AH52" i="2" s="1"/>
  <c r="K51" i="2"/>
  <c r="J51" i="2" s="1"/>
  <c r="AH51" i="2" s="1"/>
  <c r="K142" i="2"/>
  <c r="J142" i="2" s="1"/>
  <c r="K155" i="2"/>
  <c r="C134" i="24" s="1"/>
  <c r="K91" i="2"/>
  <c r="K90" i="2"/>
  <c r="J90" i="2" s="1"/>
  <c r="AH90" i="2" s="1"/>
  <c r="K40" i="2"/>
  <c r="J40" i="2" s="1"/>
  <c r="AH40" i="2" s="1"/>
  <c r="K54" i="2"/>
  <c r="J54" i="2" s="1"/>
  <c r="AH54" i="2" s="1"/>
  <c r="K57" i="2"/>
  <c r="J57" i="2" s="1"/>
  <c r="AH57" i="2" s="1"/>
  <c r="K50" i="2"/>
  <c r="J50" i="2" s="1"/>
  <c r="AH50" i="2" s="1"/>
  <c r="E166" i="2"/>
  <c r="K18" i="2"/>
  <c r="J18" i="2" s="1"/>
  <c r="AH18" i="2" s="1"/>
  <c r="K47" i="2"/>
  <c r="J47" i="2" s="1"/>
  <c r="AH47" i="2" s="1"/>
  <c r="K28" i="2"/>
  <c r="J28" i="2" s="1"/>
  <c r="AH28" i="2" s="1"/>
  <c r="C135" i="48"/>
  <c r="C79" i="48"/>
  <c r="C14" i="48"/>
  <c r="K37" i="2"/>
  <c r="J37" i="2" s="1"/>
  <c r="AH37" i="2" s="1"/>
  <c r="K30" i="2"/>
  <c r="J30" i="2" s="1"/>
  <c r="AH30" i="2" s="1"/>
  <c r="K20" i="2"/>
  <c r="J20" i="2" s="1"/>
  <c r="AH20" i="2" s="1"/>
  <c r="K42" i="2"/>
  <c r="J42" i="2" s="1"/>
  <c r="AH42" i="2" s="1"/>
  <c r="D55" i="24"/>
  <c r="C54" i="24"/>
  <c r="C50" i="24"/>
  <c r="C51" i="24"/>
  <c r="J91" i="2" l="1"/>
  <c r="AH91" i="2" s="1"/>
  <c r="C124" i="25"/>
  <c r="K161" i="2"/>
  <c r="J60" i="2"/>
  <c r="AH60" i="2" s="1"/>
  <c r="C55" i="25"/>
  <c r="C53" i="24"/>
  <c r="I29" i="48"/>
  <c r="I25" i="48"/>
  <c r="K164" i="2"/>
  <c r="K166" i="2"/>
  <c r="K163" i="2"/>
  <c r="C188" i="25" s="1"/>
  <c r="K165" i="2"/>
  <c r="V164" i="2" s="1"/>
  <c r="K162" i="2"/>
  <c r="X232" i="2" l="1"/>
  <c r="X233" i="2"/>
  <c r="X236" i="2"/>
  <c r="X230" i="2"/>
  <c r="C44" i="25"/>
  <c r="C34" i="25"/>
  <c r="C169" i="25"/>
  <c r="C107" i="25"/>
  <c r="C46" i="25"/>
  <c r="C112" i="25"/>
  <c r="C175" i="25"/>
  <c r="V161" i="2"/>
  <c r="C62" i="25"/>
  <c r="C96" i="24"/>
  <c r="C131" i="25"/>
  <c r="I32" i="48"/>
  <c r="C80" i="48" s="1"/>
  <c r="V163" i="2"/>
  <c r="C139" i="24"/>
  <c r="D28" i="24"/>
  <c r="C28" i="24"/>
  <c r="C27" i="24"/>
  <c r="C63" i="25" l="1"/>
  <c r="A63" i="25" s="1"/>
  <c r="C176" i="25"/>
  <c r="C47" i="25"/>
  <c r="C113" i="25"/>
  <c r="C126" i="25"/>
  <c r="A107" i="25"/>
  <c r="C132" i="25"/>
  <c r="D132" i="25" s="1"/>
  <c r="A169" i="25"/>
  <c r="C183" i="25"/>
  <c r="C57" i="25"/>
  <c r="A57" i="25" s="1"/>
  <c r="A34" i="25"/>
  <c r="C189" i="25"/>
  <c r="A189" i="25" s="1"/>
  <c r="C33" i="24"/>
  <c r="C29" i="24"/>
  <c r="D24" i="24"/>
  <c r="C22" i="24"/>
  <c r="C20" i="24"/>
  <c r="B20" i="24"/>
  <c r="C30" i="24"/>
  <c r="A126" i="25" l="1"/>
  <c r="C128" i="25"/>
  <c r="A128" i="25" s="1"/>
  <c r="C194" i="25"/>
  <c r="A194" i="25" s="1"/>
  <c r="A183" i="25"/>
  <c r="C185" i="25"/>
  <c r="A185" i="25" s="1"/>
  <c r="D23" i="24"/>
  <c r="C44" i="24" a="1"/>
  <c r="C44" i="24" s="1"/>
  <c r="C46" i="24" s="1"/>
  <c r="A46" i="24" s="1"/>
  <c r="C31" i="24"/>
  <c r="C34" i="24" s="1"/>
  <c r="C35" i="24" s="1"/>
  <c r="A35" i="24" s="1"/>
  <c r="C23" i="24"/>
  <c r="K9" i="24"/>
  <c r="C130" i="24" l="1"/>
  <c r="C88" i="24"/>
  <c r="C39" i="24"/>
  <c r="C40" i="24" s="1"/>
  <c r="A40" i="24" s="1"/>
  <c r="A88" i="24" l="1"/>
  <c r="C93" i="24"/>
  <c r="A93" i="24" s="1"/>
  <c r="C97" i="24"/>
  <c r="A130" i="24"/>
  <c r="C135" i="24"/>
  <c r="A135" i="24" s="1"/>
  <c r="C140" i="24"/>
  <c r="C22" i="47" l="1"/>
  <c r="C21" i="47"/>
  <c r="C20" i="47"/>
  <c r="C19" i="47"/>
  <c r="C18" i="47"/>
  <c r="C17" i="47"/>
  <c r="C1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100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<sst xmlns="http://schemas.openxmlformats.org/spreadsheetml/2006/main" count="37248" uniqueCount="13109">
  <si>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</si>
  <si>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</si>
  <si>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</si>
  <si>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</si>
  <si>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</si>
  <si>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</si>
  <si>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</si>
  <si>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</si>
  <si>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</si>
  <si>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</si>
  <si>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</si>
  <si>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</si>
  <si>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</si>
  <si>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</si>
  <si>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</si>
  <si>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</si>
  <si>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</si>
  <si>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</si>
  <si>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</si>
  <si>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</si>
  <si>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</si>
  <si>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</si>
  <si>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</si>
  <si>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</si>
  <si>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</si>
  <si>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</si>
  <si>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</si>
  <si>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</si>
  <si>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</si>
  <si>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</si>
  <si>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</si>
  <si>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</si>
  <si>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</si>
  <si>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</si>
  <si>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</si>
  <si>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</si>
  <si>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</si>
  <si>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</si>
  <si>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</si>
  <si>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</si>
  <si>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</si>
  <si>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</si>
  <si>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</si>
  <si>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</si>
  <si>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</si>
  <si>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</si>
  <si>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</si>
  <si>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</si>
  <si>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</si>
  <si>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</si>
  <si>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</si>
  <si>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</si>
  <si>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</si>
  <si>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</si>
  <si>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</si>
  <si>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</si>
  <si>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</si>
  <si>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</si>
  <si>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</si>
  <si>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</si>
  <si>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</si>
  <si>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</si>
  <si>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</si>
  <si>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</si>
  <si>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</si>
  <si>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</si>
  <si>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</si>
  <si>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</si>
  <si>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</si>
  <si>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</si>
  <si>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</si>
  <si>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</si>
  <si>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</si>
  <si>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</si>
  <si>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</si>
  <si>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</si>
  <si>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</si>
  <si>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</si>
  <si>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</si>
  <si>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</si>
  <si>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</si>
  <si>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</si>
  <si>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</si>
  <si>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</si>
  <si>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</si>
  <si>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</si>
  <si>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</si>
  <si>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</si>
  <si>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</si>
  <si>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</si>
  <si>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</si>
  <si>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</si>
  <si>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</si>
  <si>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</si>
  <si>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</si>
  <si>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</si>
  <si>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</si>
  <si>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</si>
  <si>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</si>
  <si>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</si>
  <si>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</si>
  <si>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</si>
  <si>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</si>
  <si>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</si>
  <si>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</si>
  <si>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</si>
  <si>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</si>
  <si>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</si>
  <si>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</si>
  <si>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</si>
  <si>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</si>
  <si>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</si>
  <si>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</si>
  <si>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</si>
  <si>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</si>
  <si>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</si>
  <si>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</si>
  <si>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</si>
  <si>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</si>
  <si>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</si>
  <si>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</si>
  <si>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</si>
  <si>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</si>
  <si>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</si>
  <si>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</si>
  <si>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</si>
  <si>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IDR</t>
  </si>
  <si>
    <t>Mkt Val Local</t>
  </si>
  <si>
    <t>Fund/ETF</t>
  </si>
  <si>
    <t>Portfolio breakdwon by asset class</t>
  </si>
  <si>
    <t>Etichette di riga</t>
  </si>
  <si>
    <t>Daimler AG</t>
  </si>
  <si>
    <t>Renault SA</t>
  </si>
  <si>
    <t>5/10/40</t>
  </si>
  <si>
    <t>&gt;7% = Alarm!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</si>
  <si>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</si>
  <si>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</si>
  <si>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</si>
  <si>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</si>
  <si>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</si>
  <si>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</si>
  <si>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</si>
  <si>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</si>
  <si>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</si>
  <si>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</si>
  <si>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</si>
  <si>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</si>
  <si>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</si>
  <si>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</si>
  <si>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</si>
  <si>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Fund Manager</t>
  </si>
  <si>
    <t>x</t>
  </si>
  <si>
    <t>Notes</t>
  </si>
  <si>
    <t>Checks</t>
  </si>
  <si>
    <t>Nav</t>
  </si>
  <si>
    <t>Cash-out euro</t>
  </si>
  <si>
    <t>Cash-in euro</t>
  </si>
  <si>
    <t>Shares out (mln)</t>
  </si>
  <si>
    <t xml:space="preserve">total debt securities ('000)
</t>
  </si>
  <si>
    <t>Time</t>
  </si>
  <si>
    <t xml:space="preserve">Date </t>
  </si>
  <si>
    <t>Trades</t>
  </si>
  <si>
    <t>Stock</t>
  </si>
  <si>
    <t>isin</t>
  </si>
  <si>
    <t>check in?</t>
  </si>
  <si>
    <t>Gbp</t>
  </si>
  <si>
    <t>Check:in?</t>
  </si>
  <si>
    <t>Colonna1</t>
  </si>
  <si>
    <t>(vuoto)</t>
  </si>
  <si>
    <t>Somma di Total Cash-out Local</t>
  </si>
  <si>
    <t>Fund / ETF</t>
  </si>
  <si>
    <t>EUR to settle</t>
  </si>
  <si>
    <t>USD to settle</t>
  </si>
  <si>
    <t>KRW to settle</t>
  </si>
  <si>
    <t>JPY to settle</t>
  </si>
  <si>
    <t>IDR to settle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</si>
  <si>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</si>
  <si>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</si>
  <si>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</si>
  <si>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</si>
  <si>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</si>
  <si>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</si>
  <si>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</si>
  <si>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</si>
  <si>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</si>
  <si>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</si>
  <si>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</si>
  <si>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</si>
  <si>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</si>
  <si>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</si>
  <si>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</si>
  <si>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</si>
  <si>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</si>
  <si>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</si>
  <si>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</si>
  <si>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</si>
  <si>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</si>
  <si>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</si>
  <si>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</si>
  <si>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</si>
  <si>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</si>
  <si>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</si>
  <si>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</si>
  <si>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</si>
  <si>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</si>
  <si>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</si>
  <si>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</si>
  <si>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EUR from forward</t>
  </si>
  <si>
    <t>USD from forward</t>
  </si>
  <si>
    <t>JPY from forward</t>
  </si>
  <si>
    <t>Spot price</t>
  </si>
  <si>
    <t>Fwd Pts</t>
  </si>
  <si>
    <t>Euro Bought</t>
  </si>
  <si>
    <t>Amount to be sold</t>
  </si>
  <si>
    <t>as a % of assets held</t>
  </si>
  <si>
    <t>Forex outright Trades Closed</t>
  </si>
  <si>
    <t>Trades to Settle</t>
  </si>
  <si>
    <t>Amount LC</t>
  </si>
  <si>
    <t>Total</t>
  </si>
  <si>
    <t>FORWARD YEN</t>
  </si>
  <si>
    <t>Cash + Trades to settle</t>
  </si>
  <si>
    <t>Dividend cash-in (euro)</t>
  </si>
  <si>
    <t>FORWARD EURO</t>
  </si>
  <si>
    <t>NET BALANCES BY DATE AND CURRENCY</t>
  </si>
  <si>
    <t>Dividends</t>
  </si>
  <si>
    <t>Tot.</t>
  </si>
  <si>
    <t>Tot. Euro</t>
  </si>
  <si>
    <t>T+2</t>
  </si>
  <si>
    <t>Amount to be bought LC</t>
  </si>
  <si>
    <t>Check Euro availability T+2</t>
  </si>
  <si>
    <t>Amount to be bought Euro</t>
  </si>
  <si>
    <t>Check LC availability</t>
  </si>
  <si>
    <t>TODAY Ex-Date?</t>
  </si>
  <si>
    <t>› Cash &amp; Trades to settle</t>
  </si>
  <si>
    <t>TRADES TO SETTLE</t>
  </si>
  <si>
    <t xml:space="preserve">CASH SNAPSHOT </t>
  </si>
  <si>
    <t>SW</t>
  </si>
  <si>
    <t>7M</t>
  </si>
  <si>
    <t>8M</t>
  </si>
  <si>
    <t>10M</t>
  </si>
  <si>
    <t>11M</t>
  </si>
  <si>
    <t>BID</t>
  </si>
  <si>
    <t>ASK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</si>
  <si>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</si>
  <si>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</si>
  <si>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</si>
  <si>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</si>
  <si>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</si>
  <si>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</si>
  <si>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</si>
  <si>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</si>
  <si>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</si>
  <si>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</si>
  <si>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</si>
  <si>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</si>
  <si>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</si>
  <si>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</si>
  <si>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</si>
  <si>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</si>
  <si>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</si>
  <si>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</si>
  <si>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</si>
  <si>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</si>
  <si>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</si>
  <si>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</si>
  <si>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</si>
  <si>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</si>
  <si>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</si>
  <si>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</si>
  <si>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</si>
  <si>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</si>
  <si>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</si>
  <si>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</si>
  <si>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</si>
  <si>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</si>
  <si>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</si>
  <si>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</si>
  <si>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</si>
  <si>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</si>
  <si>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</si>
  <si>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</si>
  <si>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</si>
  <si>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</si>
  <si>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</si>
  <si>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</si>
  <si>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</si>
  <si>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</si>
  <si>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</si>
  <si>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</si>
  <si>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</si>
  <si>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</si>
  <si>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</si>
  <si>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</si>
  <si>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</si>
  <si>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</si>
  <si>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</si>
  <si>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</si>
  <si>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</si>
  <si>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</si>
  <si>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</si>
  <si>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</si>
  <si>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</si>
  <si>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</si>
  <si>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</si>
  <si>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</si>
  <si>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</si>
  <si>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</si>
  <si>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</si>
  <si>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</si>
  <si>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</si>
  <si>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</si>
  <si>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</si>
  <si>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</si>
  <si>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</si>
  <si>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</si>
  <si>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</si>
  <si>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</si>
  <si>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</si>
  <si>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</si>
  <si>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</si>
  <si>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</si>
  <si>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</si>
  <si>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</si>
  <si>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</si>
  <si>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</si>
  <si>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</si>
  <si>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</si>
  <si>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</si>
  <si>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</si>
  <si>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</si>
  <si>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</si>
  <si>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</si>
  <si>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</si>
  <si>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</si>
  <si>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</si>
  <si>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</si>
  <si>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</si>
  <si>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</si>
  <si>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</si>
  <si>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</si>
  <si>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</si>
  <si>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</si>
  <si>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</si>
  <si>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</si>
  <si>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</si>
  <si>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</si>
  <si>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</si>
  <si>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</si>
  <si>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</si>
  <si>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</si>
  <si>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</si>
  <si>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</si>
  <si>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</si>
  <si>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</si>
  <si>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</si>
  <si>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</si>
  <si>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</si>
  <si>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</si>
  <si>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</si>
  <si>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</si>
  <si>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</si>
  <si>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</si>
  <si>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</si>
  <si>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</si>
  <si>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</si>
  <si>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</si>
  <si>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</si>
  <si>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</si>
  <si>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</si>
  <si>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</si>
  <si>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</si>
  <si>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</si>
  <si>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</si>
  <si>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</si>
  <si>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</si>
  <si>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</si>
  <si>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</si>
  <si>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</si>
  <si>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</si>
  <si>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</si>
  <si>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</si>
  <si>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</si>
  <si>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</si>
  <si>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</si>
  <si>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</si>
  <si>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</si>
  <si>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</si>
  <si>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</si>
  <si>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</si>
  <si>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</si>
  <si>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</si>
  <si>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</si>
  <si>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</si>
  <si>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</si>
  <si>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</si>
  <si>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</si>
  <si>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</si>
  <si>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</si>
  <si>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</si>
  <si>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</si>
  <si>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</si>
  <si>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</si>
  <si>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</si>
  <si>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</si>
  <si>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</si>
  <si>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</si>
  <si>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</si>
  <si>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</si>
  <si>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</si>
  <si>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</si>
  <si>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</si>
  <si>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</si>
  <si>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</si>
  <si>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</si>
  <si>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</si>
  <si>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</si>
  <si>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</si>
  <si>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</si>
  <si>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</si>
  <si>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</si>
  <si>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</si>
  <si>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</si>
  <si>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</si>
  <si>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</si>
  <si>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</si>
  <si>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</si>
  <si>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</si>
  <si>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</si>
  <si>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</si>
  <si>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</si>
  <si>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</si>
  <si>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</si>
  <si>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</si>
  <si>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</si>
  <si>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</si>
  <si>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</si>
  <si>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</si>
  <si>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</si>
  <si>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</si>
  <si>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</si>
  <si>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</si>
  <si>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</si>
  <si>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</si>
  <si>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</si>
  <si>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</si>
  <si>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</si>
  <si>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</si>
  <si>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</si>
  <si>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</si>
  <si>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</si>
  <si>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</si>
  <si>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</si>
  <si>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</si>
  <si>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</si>
  <si>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</si>
  <si>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</si>
  <si>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</si>
  <si>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</si>
  <si>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</si>
  <si>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</si>
  <si>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</si>
  <si>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</si>
  <si>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</si>
  <si>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</si>
  <si>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</si>
  <si>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</si>
  <si>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</si>
  <si>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</si>
  <si>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</si>
  <si>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</si>
  <si>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</si>
  <si>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</si>
  <si>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</si>
  <si>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</si>
  <si>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</si>
  <si>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</si>
  <si>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</si>
  <si>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</si>
  <si>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</si>
  <si>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</si>
  <si>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</si>
  <si>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</si>
  <si>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</si>
  <si>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</si>
  <si>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</si>
  <si>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</si>
  <si>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</si>
  <si>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</si>
  <si>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</si>
  <si>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</si>
  <si>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</si>
  <si>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</si>
  <si>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</si>
  <si>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</si>
  <si>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</si>
  <si>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</si>
  <si>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</si>
  <si>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</si>
  <si>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</si>
  <si>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</si>
  <si>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</si>
  <si>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</si>
  <si>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</si>
  <si>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</si>
  <si>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</si>
  <si>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</si>
  <si>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</si>
  <si>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</si>
  <si>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</si>
  <si>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</si>
  <si>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</si>
  <si>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</si>
  <si>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</si>
  <si>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</si>
  <si>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</si>
  <si>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</si>
  <si>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</si>
  <si>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</si>
  <si>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</si>
  <si>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</si>
  <si>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</si>
  <si>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</si>
  <si>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</si>
  <si>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</si>
  <si>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</si>
  <si>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</si>
  <si>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</si>
  <si>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</si>
  <si>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</si>
  <si>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</si>
  <si>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</si>
  <si>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</si>
  <si>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</si>
  <si>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</si>
  <si>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</si>
  <si>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</si>
  <si>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</si>
  <si>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</si>
  <si>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</si>
  <si>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</si>
  <si>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</si>
  <si>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</si>
  <si>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</si>
  <si>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</si>
  <si>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</si>
  <si>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</si>
  <si>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</si>
  <si>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</si>
  <si>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</si>
  <si>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</si>
  <si>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</si>
  <si>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</si>
  <si>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</si>
  <si>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</si>
  <si>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</si>
  <si>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</si>
  <si>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</si>
  <si>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</si>
  <si>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</si>
  <si>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</si>
  <si>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</si>
  <si>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</si>
  <si>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</si>
  <si>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</si>
  <si>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</si>
  <si>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</si>
  <si>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</si>
  <si>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</si>
  <si>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</si>
  <si>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</si>
  <si>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</si>
  <si>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</si>
  <si>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</si>
  <si>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</si>
  <si>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</si>
  <si>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</si>
  <si>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</si>
  <si>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</si>
  <si>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</si>
  <si>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</si>
  <si>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</si>
  <si>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</si>
  <si>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</si>
  <si>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</si>
  <si>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</si>
  <si>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</si>
  <si>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</si>
  <si>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</si>
  <si>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</si>
  <si>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</si>
  <si>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</si>
  <si>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</si>
  <si>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</si>
  <si>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</si>
  <si>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</si>
  <si>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</si>
  <si>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</si>
  <si>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</si>
  <si>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</si>
  <si>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</si>
  <si>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</si>
  <si>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</si>
  <si>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</si>
  <si>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</si>
  <si>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</si>
  <si>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</si>
  <si>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</si>
  <si>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</si>
  <si>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</si>
  <si>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</si>
  <si>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</si>
  <si>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</si>
  <si>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</si>
  <si>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</si>
  <si>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</si>
  <si>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</si>
  <si>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</si>
  <si>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</si>
  <si>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</si>
  <si>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</si>
  <si>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</si>
  <si>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</si>
  <si>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</si>
  <si>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</si>
  <si>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</si>
  <si>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</si>
  <si>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</si>
  <si>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</si>
  <si>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</si>
  <si>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</si>
  <si>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</si>
  <si>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</si>
  <si>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</si>
  <si>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</si>
  <si>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</si>
  <si>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</si>
  <si>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</si>
  <si>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</si>
  <si>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</si>
  <si>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</si>
  <si>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</si>
  <si>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</si>
  <si>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</si>
  <si>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</si>
  <si>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</si>
  <si>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</si>
  <si>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</si>
  <si>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</si>
  <si>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</si>
  <si>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</si>
  <si>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</si>
  <si>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</si>
  <si>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</si>
  <si>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</si>
  <si>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</si>
  <si>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</si>
  <si>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</si>
  <si>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</si>
  <si>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</si>
  <si>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</si>
  <si>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</si>
  <si>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</si>
  <si>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</si>
  <si>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</si>
  <si>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</si>
  <si>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</si>
  <si>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</si>
  <si>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</si>
  <si>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</si>
  <si>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</si>
  <si>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</si>
  <si>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</si>
  <si>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</si>
  <si>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</si>
  <si>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</si>
  <si>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</si>
  <si>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</si>
  <si>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</si>
  <si>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</si>
  <si>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</si>
  <si>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</si>
  <si>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</si>
  <si>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</si>
  <si>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</si>
  <si>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</si>
  <si>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</si>
  <si>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</si>
  <si>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</si>
  <si>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</si>
  <si>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</si>
  <si>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</si>
  <si>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</si>
  <si>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</si>
  <si>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</si>
  <si>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</si>
  <si>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</si>
  <si>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</si>
  <si>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</si>
  <si>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</si>
  <si>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</si>
  <si>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</si>
  <si>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</si>
  <si>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</si>
  <si>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</si>
  <si>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</si>
  <si>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</si>
  <si>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</si>
  <si>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</si>
  <si>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</si>
  <si>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</si>
  <si>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</si>
  <si>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</si>
  <si>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</si>
  <si>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</si>
  <si>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</si>
  <si>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</si>
  <si>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</si>
  <si>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</si>
  <si>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</si>
  <si>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</si>
  <si>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</si>
  <si>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</si>
  <si>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</si>
  <si>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</si>
  <si>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</si>
  <si>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</si>
  <si>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</si>
  <si>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</si>
  <si>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</si>
  <si>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</si>
  <si>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</si>
  <si>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</si>
  <si>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</si>
  <si>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</si>
  <si>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</si>
  <si>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</si>
  <si>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</si>
  <si>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</si>
  <si>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</si>
  <si>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</si>
  <si>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</si>
  <si>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</si>
  <si>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</si>
  <si>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</si>
  <si>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</si>
  <si>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</si>
  <si>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</si>
  <si>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</si>
  <si>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</si>
  <si>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</si>
  <si>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</si>
  <si>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</si>
  <si>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</si>
  <si>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</si>
  <si>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</si>
  <si>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</si>
  <si>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</si>
  <si>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</si>
  <si>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</si>
  <si>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</si>
  <si>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</si>
  <si>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</si>
  <si>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</si>
  <si>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</si>
  <si>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</si>
  <si>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</si>
  <si>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</si>
  <si>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</si>
  <si>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</si>
  <si>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</si>
  <si>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</si>
  <si>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</si>
  <si>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</si>
  <si>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</si>
  <si>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</si>
  <si>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</si>
  <si>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</si>
  <si>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</si>
  <si>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</si>
  <si>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</si>
  <si>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</si>
  <si>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</si>
  <si>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</si>
  <si>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</si>
  <si>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</si>
  <si>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</si>
  <si>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</si>
  <si>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</si>
  <si>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</si>
  <si>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</si>
  <si>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</si>
  <si>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</si>
  <si>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</si>
  <si>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</si>
  <si>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</si>
  <si>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</si>
  <si>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</si>
  <si>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</si>
  <si>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</si>
  <si>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</si>
  <si>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</si>
  <si>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</si>
  <si>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</si>
  <si>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</si>
  <si>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</si>
  <si>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</si>
  <si>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</si>
  <si>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</si>
  <si>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</si>
  <si>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</si>
  <si>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</si>
  <si>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</si>
  <si>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</si>
  <si>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</si>
  <si>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</si>
  <si>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</si>
  <si>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</si>
  <si>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</si>
  <si>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</si>
  <si>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</si>
  <si>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</si>
  <si>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</si>
  <si>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</si>
  <si>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</si>
  <si>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</si>
  <si>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</si>
  <si>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</si>
  <si>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</si>
  <si>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</si>
  <si>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</si>
  <si>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</si>
  <si>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</si>
  <si>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</si>
  <si>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</si>
  <si>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</si>
  <si>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</si>
  <si>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</si>
  <si>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</si>
  <si>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</si>
  <si>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</si>
  <si>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</si>
  <si>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</si>
  <si>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</si>
  <si>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</si>
  <si>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</si>
  <si>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</si>
  <si>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</si>
  <si>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</si>
  <si>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</si>
  <si>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</si>
  <si>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</si>
  <si>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</si>
  <si>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</si>
  <si>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</si>
  <si>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</si>
  <si>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</si>
  <si>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</si>
  <si>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</si>
  <si>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</si>
  <si>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</si>
  <si>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</si>
  <si>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</si>
  <si>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</si>
  <si>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</si>
  <si>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</si>
  <si>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</si>
  <si>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</si>
  <si>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</si>
  <si>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</si>
  <si>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</si>
  <si>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</si>
  <si>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</si>
  <si>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</si>
  <si>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</si>
  <si>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</si>
  <si>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</si>
  <si>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</si>
  <si>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</si>
  <si>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</si>
  <si>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</si>
  <si>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</si>
  <si>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</si>
  <si>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</si>
  <si>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</si>
  <si>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</si>
  <si>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</si>
  <si>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</si>
  <si>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</si>
  <si>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</si>
  <si>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</si>
  <si>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</si>
  <si>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</si>
  <si>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</si>
  <si>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</si>
  <si>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</si>
  <si>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</si>
  <si>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</si>
  <si>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</si>
  <si>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</si>
  <si>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</si>
  <si>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</si>
  <si>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</si>
  <si>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</si>
  <si>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</si>
  <si>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</si>
  <si>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</si>
  <si>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</si>
  <si>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</si>
  <si>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</si>
  <si>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</si>
  <si>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</si>
  <si>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</si>
  <si>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</si>
  <si>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</si>
  <si>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</si>
  <si>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</si>
  <si>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</si>
  <si>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</si>
  <si>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</si>
  <si>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</si>
  <si>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</si>
  <si>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</si>
  <si>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</si>
  <si>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</si>
  <si>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</si>
  <si>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</si>
  <si>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</si>
  <si>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</si>
  <si>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</si>
  <si>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</si>
  <si>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</si>
  <si>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</si>
  <si>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</si>
  <si>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</si>
  <si>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</si>
  <si>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</si>
  <si>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</si>
  <si>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</si>
  <si>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</si>
  <si>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</si>
  <si>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</si>
  <si>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</si>
  <si>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</si>
  <si>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</si>
  <si>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</si>
  <si>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</si>
  <si>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</si>
  <si>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</si>
  <si>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</si>
  <si>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</si>
  <si>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</si>
  <si>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</si>
  <si>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</si>
  <si>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</si>
  <si>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</si>
  <si>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</si>
  <si>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</si>
  <si>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</si>
  <si>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</si>
  <si>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</si>
  <si>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</si>
  <si>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</si>
  <si>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</si>
  <si>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</si>
  <si>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</si>
  <si>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</si>
  <si>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</si>
  <si>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</si>
  <si>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</si>
  <si>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</si>
  <si>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</si>
  <si>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</si>
  <si>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</si>
  <si>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</si>
  <si>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</si>
  <si>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</si>
  <si>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</si>
  <si>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</si>
  <si>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</si>
  <si>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</si>
  <si>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</si>
  <si>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</si>
  <si>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</si>
  <si>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</si>
  <si>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</si>
  <si>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</si>
  <si>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</si>
  <si>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</si>
  <si>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</si>
  <si>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</si>
  <si>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</si>
  <si>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</si>
  <si>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</si>
  <si>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</si>
  <si>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</si>
  <si>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</si>
  <si>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</si>
  <si>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</si>
  <si>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</si>
  <si>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</si>
  <si>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</si>
  <si>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</si>
  <si>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</si>
  <si>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</si>
  <si>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</si>
  <si>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</si>
  <si>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</si>
  <si>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</si>
  <si>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</si>
  <si>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</si>
  <si>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</si>
  <si>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</si>
  <si>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</si>
  <si>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</si>
  <si>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</si>
  <si>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</si>
  <si>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</si>
  <si>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</si>
  <si>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</si>
  <si>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</si>
  <si>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</si>
  <si>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</si>
  <si>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</si>
  <si>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</si>
  <si>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</si>
  <si>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</si>
  <si>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</si>
  <si>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</si>
  <si>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</si>
  <si>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</si>
  <si>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</si>
  <si>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</si>
  <si>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</si>
  <si>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</si>
  <si>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</si>
  <si>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</si>
  <si>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</si>
  <si>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</si>
  <si>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</si>
  <si>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</si>
  <si>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</si>
  <si>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</si>
  <si>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</si>
  <si>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</si>
  <si>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</si>
  <si>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</si>
  <si>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</si>
  <si>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</si>
  <si>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</si>
  <si>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</si>
  <si>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</si>
  <si>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</si>
  <si>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</si>
  <si>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</si>
  <si>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</si>
  <si>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</si>
  <si>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</si>
  <si>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</si>
  <si>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</si>
  <si>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</si>
  <si>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</si>
  <si>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</si>
  <si>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</si>
  <si>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</si>
  <si>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</si>
  <si>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</si>
  <si>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</si>
  <si>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</si>
  <si>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</si>
  <si>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</si>
  <si>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</si>
  <si>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</si>
  <si>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</si>
  <si>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</si>
  <si>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</si>
  <si>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</si>
  <si>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</si>
  <si>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</si>
  <si>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</si>
  <si>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</si>
  <si>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</si>
  <si>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</si>
  <si>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</si>
  <si>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</si>
  <si>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</si>
  <si>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</si>
  <si>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</si>
  <si>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CUR 1</t>
  </si>
  <si>
    <t>Spot rates</t>
  </si>
  <si>
    <t>CUR 2</t>
  </si>
  <si>
    <t>Bid</t>
  </si>
  <si>
    <t>Ask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</si>
  <si>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</si>
  <si>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</si>
  <si>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</si>
  <si>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</si>
  <si>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</si>
  <si>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</si>
  <si>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</si>
  <si>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</si>
  <si>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</si>
  <si>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</si>
  <si>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</si>
  <si>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</si>
  <si>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</si>
  <si>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</si>
  <si>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GBP to settle</t>
  </si>
  <si>
    <t>HKD to settle</t>
  </si>
  <si>
    <t>SEK to settle</t>
  </si>
  <si>
    <t>CAD to settle</t>
  </si>
  <si>
    <t>CHF to settle</t>
  </si>
  <si>
    <t>AUD to settle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</si>
  <si>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</si>
  <si>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</si>
  <si>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</si>
  <si>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</si>
  <si>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</si>
  <si>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</si>
  <si>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</si>
  <si>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</si>
  <si>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</si>
  <si>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</si>
  <si>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</si>
  <si>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</si>
  <si>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</si>
  <si>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</si>
  <si>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</si>
  <si>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</si>
  <si>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</si>
  <si>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</si>
  <si>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</si>
  <si>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</si>
  <si>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</si>
  <si>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</si>
  <si>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</si>
  <si>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</si>
  <si>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</si>
  <si>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</si>
  <si>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</si>
  <si>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</si>
  <si>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</si>
  <si>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</si>
  <si>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</si>
  <si>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</si>
  <si>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</si>
  <si>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</si>
  <si>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</si>
  <si>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</si>
  <si>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</si>
  <si>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</si>
  <si>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NOK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</si>
  <si>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</si>
  <si>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</si>
  <si>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</si>
  <si>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</si>
  <si>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</si>
  <si>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</si>
  <si>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</si>
  <si>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</si>
  <si>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</si>
  <si>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</si>
  <si>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</si>
  <si>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</si>
  <si>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</si>
  <si>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</si>
  <si>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</si>
  <si>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</si>
  <si>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</si>
  <si>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</si>
  <si>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</si>
  <si>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</si>
  <si>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</si>
  <si>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</si>
  <si>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mag</t>
  </si>
  <si>
    <t>apr</t>
  </si>
  <si>
    <t>TODAY Pay-Date Local Currency?</t>
  </si>
  <si>
    <t>amount to be paid Local Currency</t>
  </si>
  <si>
    <t>Dividend cash-in (USD)</t>
  </si>
  <si>
    <t>Dividend cash-in (JPY)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</si>
  <si>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</si>
  <si>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</si>
  <si>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</si>
  <si>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</si>
  <si>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</si>
  <si>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</si>
  <si>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</si>
  <si>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</si>
  <si>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</si>
  <si>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</si>
  <si>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</si>
  <si>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</si>
  <si>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</si>
  <si>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</si>
  <si>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</si>
  <si>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</si>
  <si>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</si>
  <si>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</si>
  <si>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</si>
  <si>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</si>
  <si>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</si>
  <si>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</si>
  <si>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</si>
  <si>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</si>
  <si>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</si>
  <si>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</si>
  <si>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</si>
  <si>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</si>
  <si>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</si>
  <si>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</si>
  <si>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</si>
  <si>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</si>
  <si>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</si>
  <si>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</si>
  <si>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</si>
  <si>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</si>
  <si>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</si>
  <si>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</si>
  <si>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</si>
  <si>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</si>
  <si>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</si>
  <si>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</si>
  <si>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</si>
  <si>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</si>
  <si>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</si>
  <si>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</si>
  <si>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</si>
  <si>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</si>
  <si>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</si>
  <si>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</si>
  <si>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</si>
  <si>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</si>
  <si>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</si>
  <si>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</si>
  <si>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</si>
  <si>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</si>
  <si>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</si>
  <si>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</si>
  <si>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</si>
  <si>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</si>
  <si>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</si>
  <si>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</si>
  <si>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</si>
  <si>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</si>
  <si>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</si>
  <si>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</si>
  <si>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</si>
  <si>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</si>
  <si>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</si>
  <si>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</si>
  <si>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</si>
  <si>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</si>
  <si>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</si>
  <si>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</si>
  <si>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</si>
  <si>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</si>
  <si>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</si>
  <si>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</si>
  <si>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</si>
  <si>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</si>
  <si>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</si>
  <si>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</si>
  <si>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</si>
  <si>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</si>
  <si>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</si>
  <si>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</si>
  <si>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</si>
  <si>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</si>
  <si>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</si>
  <si>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</si>
  <si>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</si>
  <si>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</si>
  <si>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</si>
  <si>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</si>
  <si>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</si>
  <si>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</si>
  <si>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</si>
  <si>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TOT. FWD as a % of assets held</t>
  </si>
  <si>
    <t>YES</t>
  </si>
  <si>
    <t>Alelion Energy Systems AB</t>
  </si>
  <si>
    <t>0-100%</t>
  </si>
  <si>
    <t>PERFORMANCE FEES</t>
  </si>
  <si>
    <t>EQUITY</t>
  </si>
  <si>
    <t>Etichette di colonna</t>
  </si>
  <si>
    <t>Totale complessivo</t>
  </si>
  <si>
    <t>gen</t>
  </si>
  <si>
    <t>feb</t>
  </si>
  <si>
    <t>mar</t>
  </si>
  <si>
    <t>giu</t>
  </si>
  <si>
    <t>Today -1</t>
  </si>
  <si>
    <t>Dividend cash-in (KRW)</t>
  </si>
  <si>
    <t>Dividend cash-in (IDR)</t>
  </si>
  <si>
    <t>Dividend cash-in (GBP)</t>
  </si>
  <si>
    <t>Dividend cash-in (HKD)</t>
  </si>
  <si>
    <t>Dividend cash-in (SEK)</t>
  </si>
  <si>
    <t>Dividend cash-in (CAD)</t>
  </si>
  <si>
    <t>Dividend cash-in (CHF)</t>
  </si>
  <si>
    <t>NOK to settle</t>
  </si>
  <si>
    <t>Dividend cash-in (AUD)</t>
  </si>
  <si>
    <t>Subscription / (Redemptions)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</si>
  <si>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</si>
  <si>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</si>
  <si>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</si>
  <si>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</si>
  <si>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</si>
  <si>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</si>
  <si>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</si>
  <si>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</si>
  <si>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</si>
  <si>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</si>
  <si>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</si>
  <si>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</si>
  <si>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</si>
  <si>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</si>
  <si>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</si>
  <si>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</si>
  <si>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</si>
  <si>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</si>
  <si>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</si>
  <si>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</si>
  <si>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</si>
  <si>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</si>
  <si>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</si>
  <si>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</si>
  <si>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</si>
  <si>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</si>
  <si>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</si>
  <si>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</si>
  <si>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</si>
  <si>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</si>
  <si>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</si>
  <si>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</si>
  <si>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</si>
  <si>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</si>
  <si>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</si>
  <si>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</si>
  <si>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</si>
  <si>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</si>
  <si>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</si>
  <si>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</si>
  <si>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</si>
  <si>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</si>
  <si>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</si>
  <si>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</si>
  <si>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</si>
  <si>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</si>
  <si>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</si>
  <si>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</si>
  <si>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</si>
  <si>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</si>
  <si>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</si>
  <si>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</si>
  <si>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</si>
  <si>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</si>
  <si>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</si>
  <si>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</si>
  <si>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</si>
  <si>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</si>
  <si>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</si>
  <si>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</si>
  <si>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</si>
  <si>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</si>
  <si>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</si>
  <si>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</si>
  <si>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</si>
  <si>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</si>
  <si>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</si>
  <si>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</si>
  <si>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</si>
  <si>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</si>
  <si>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</si>
  <si>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</si>
  <si>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</si>
  <si>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</si>
  <si>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</si>
  <si>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</si>
  <si>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</si>
  <si>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</si>
  <si>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</si>
  <si>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</si>
  <si>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</si>
  <si>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</si>
  <si>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</si>
  <si>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</si>
  <si>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</si>
  <si>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</si>
  <si>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</si>
  <si>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</si>
  <si>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</si>
  <si>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</si>
  <si>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</si>
  <si>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</si>
  <si>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</si>
  <si>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</si>
  <si>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</si>
  <si>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</si>
  <si>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</si>
  <si>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</si>
  <si>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</si>
  <si>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</si>
  <si>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</si>
  <si>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</si>
  <si>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</si>
  <si>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</si>
  <si>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</si>
  <si>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</si>
  <si>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</si>
  <si>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</si>
  <si>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</si>
  <si>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</si>
  <si>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</si>
  <si>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</si>
  <si>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</si>
  <si>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</si>
  <si>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</si>
  <si>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</si>
  <si>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</si>
  <si>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</si>
  <si>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</si>
  <si>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</si>
  <si>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</si>
  <si>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</si>
  <si>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</si>
  <si>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</si>
  <si>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</si>
  <si>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</si>
  <si>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</si>
  <si>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</si>
  <si>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</si>
  <si>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</si>
  <si>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</si>
  <si>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</si>
  <si>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</si>
  <si>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</si>
  <si>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</si>
  <si>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</si>
  <si>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</si>
  <si>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</si>
  <si>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</si>
  <si>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</si>
  <si>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</si>
  <si>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</si>
  <si>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</si>
  <si>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</si>
  <si>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</si>
  <si>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</si>
  <si>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</si>
  <si>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</si>
  <si>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</si>
  <si>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</si>
  <si>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</si>
  <si>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</si>
  <si>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</si>
  <si>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</si>
  <si>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</si>
  <si>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</si>
  <si>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</si>
  <si>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</si>
  <si>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</si>
  <si>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</si>
  <si>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</si>
  <si>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</si>
  <si>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</si>
  <si>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</si>
  <si>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</si>
  <si>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</si>
  <si>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</si>
  <si>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</si>
  <si>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</si>
  <si>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</si>
  <si>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</si>
  <si>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</si>
  <si>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</si>
  <si>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</si>
  <si>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</si>
  <si>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</si>
  <si>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</si>
  <si>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</si>
  <si>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</si>
  <si>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</si>
  <si>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</si>
  <si>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</si>
  <si>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</si>
  <si>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</si>
  <si>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</si>
  <si>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</si>
  <si>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</si>
  <si>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</si>
  <si>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</si>
  <si>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</si>
  <si>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</si>
  <si>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</si>
  <si>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</si>
  <si>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</si>
  <si>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</si>
  <si>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</si>
  <si>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</si>
  <si>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</si>
  <si>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</si>
  <si>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</si>
  <si>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</si>
  <si>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</si>
  <si>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</si>
  <si>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</si>
  <si>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</si>
  <si>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</si>
  <si>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</si>
  <si>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</si>
  <si>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</si>
  <si>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</si>
  <si>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</si>
  <si>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</si>
  <si>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</si>
  <si>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</si>
  <si>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</si>
  <si>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</si>
  <si>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</si>
  <si>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</si>
  <si>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</si>
  <si>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</si>
  <si>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</si>
  <si>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</si>
  <si>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</si>
  <si>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</si>
  <si>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</si>
  <si>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</si>
  <si>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</si>
  <si>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</si>
  <si>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</si>
  <si>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</si>
  <si>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</si>
  <si>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</si>
  <si>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</si>
  <si>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</si>
  <si>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</si>
  <si>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</si>
  <si>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</si>
  <si>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</si>
  <si>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</si>
  <si>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</si>
  <si>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</si>
  <si>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</si>
  <si>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</si>
  <si>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</si>
  <si>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</si>
  <si>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</si>
  <si>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</si>
  <si>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</si>
  <si>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</si>
  <si>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</si>
  <si>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</si>
  <si>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</si>
  <si>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</si>
  <si>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</si>
  <si>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</si>
  <si>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</si>
  <si>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</si>
  <si>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</si>
  <si>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</si>
  <si>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</si>
  <si>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</si>
  <si>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</si>
  <si>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</si>
  <si>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</si>
  <si>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</si>
  <si>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</si>
  <si>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</si>
  <si>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</si>
  <si>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</si>
  <si>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</si>
  <si>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</si>
  <si>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</si>
  <si>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</si>
  <si>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</si>
  <si>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</si>
  <si>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</si>
  <si>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</si>
  <si>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</si>
  <si>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</si>
  <si>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</si>
  <si>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</si>
  <si>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</si>
  <si>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</si>
  <si>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</si>
  <si>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</si>
  <si>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</si>
  <si>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</si>
  <si>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</si>
  <si>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</si>
  <si>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</si>
  <si>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</si>
  <si>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</si>
  <si>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</si>
  <si>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</si>
  <si>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</si>
  <si>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</si>
  <si>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</si>
  <si>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</si>
  <si>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</si>
  <si>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</si>
  <si>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</si>
  <si>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</si>
  <si>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</si>
  <si>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</si>
  <si>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</si>
  <si>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</si>
  <si>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</si>
  <si>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</si>
  <si>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</si>
  <si>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</si>
  <si>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</si>
  <si>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</si>
  <si>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</si>
  <si>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</si>
  <si>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</si>
  <si>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</si>
  <si>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</si>
  <si>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</si>
  <si>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</si>
  <si>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</si>
  <si>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</si>
  <si>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</si>
  <si>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</si>
  <si>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</si>
  <si>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</si>
  <si>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</si>
  <si>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</si>
  <si>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</si>
  <si>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</si>
  <si>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</si>
  <si>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</si>
  <si>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</si>
  <si>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</si>
  <si>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</si>
  <si>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</si>
  <si>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</si>
  <si>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</si>
  <si>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</si>
  <si>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</si>
  <si>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</si>
  <si>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</si>
  <si>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</si>
  <si>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</si>
  <si>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</si>
  <si>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</si>
  <si>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</si>
  <si>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</si>
  <si>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</si>
  <si>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</si>
  <si>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</si>
  <si>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</si>
  <si>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</si>
  <si>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</si>
  <si>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</si>
  <si>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</si>
  <si>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</si>
  <si>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 xml:space="preserve">Adriele Nunes 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</si>
  <si>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</si>
  <si>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</si>
  <si>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</si>
  <si>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</si>
  <si>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</si>
  <si>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</si>
  <si>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</si>
  <si>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</si>
  <si>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</si>
  <si>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</si>
  <si>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</si>
  <si>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</si>
  <si>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</si>
  <si>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</si>
  <si>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</si>
  <si>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</si>
  <si>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</si>
  <si>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</si>
  <si>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</si>
  <si>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</si>
  <si>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</si>
  <si>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</si>
  <si>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</si>
  <si>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</si>
  <si>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</si>
  <si>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</si>
  <si>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</si>
  <si>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</si>
  <si>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</si>
  <si>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</si>
  <si>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</si>
  <si>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</si>
  <si>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</si>
  <si>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</si>
  <si>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</si>
  <si>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</si>
  <si>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Adriele nunes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</si>
  <si>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</si>
  <si>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</si>
  <si>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</si>
  <si>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</si>
  <si>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</si>
  <si>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</si>
  <si>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</si>
  <si>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</si>
  <si>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</si>
  <si>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</si>
  <si>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</si>
  <si>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</si>
  <si>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</si>
  <si>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</si>
  <si>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</si>
  <si>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</si>
  <si>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</si>
  <si>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</si>
  <si>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</si>
  <si>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</si>
  <si>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</si>
  <si>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</si>
  <si>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</si>
  <si>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</si>
  <si>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Subscription</t>
  </si>
  <si>
    <t>096775.ks</t>
  </si>
  <si>
    <t>NKL.V</t>
  </si>
  <si>
    <t>006405.ks</t>
  </si>
  <si>
    <t>Dividend (ex-date)</t>
  </si>
  <si>
    <t>DATE</t>
  </si>
  <si>
    <t>AU000000WSA9</t>
  </si>
  <si>
    <t>Western Areas Ltd</t>
  </si>
  <si>
    <t>Tavira Securities</t>
  </si>
  <si>
    <t>Subscription / (Redemptions) Forecast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</si>
  <si>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</si>
  <si>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</si>
  <si>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</si>
  <si>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</si>
  <si>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</si>
  <si>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</si>
  <si>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</si>
  <si>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</si>
  <si>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</si>
  <si>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</si>
  <si>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</si>
  <si>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</si>
  <si>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</si>
  <si>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</si>
  <si>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</si>
  <si>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</si>
  <si>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</si>
  <si>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</si>
  <si>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</si>
  <si>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</si>
  <si>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</si>
  <si>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</si>
  <si>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</si>
  <si>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</si>
  <si>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</si>
  <si>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</si>
  <si>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</si>
  <si>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</si>
  <si>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</si>
  <si>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</si>
  <si>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</si>
  <si>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</si>
  <si>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</si>
  <si>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</si>
  <si>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</si>
  <si>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</si>
  <si>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</si>
  <si>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</si>
  <si>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</si>
  <si>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</si>
  <si>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</si>
  <si>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</si>
  <si>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</si>
  <si>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</si>
  <si>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</si>
  <si>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</si>
  <si>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</si>
  <si>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</si>
  <si>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</si>
  <si>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</si>
  <si>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</si>
  <si>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</si>
  <si>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</si>
  <si>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</si>
  <si>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</si>
  <si>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</si>
  <si>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</si>
  <si>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</si>
  <si>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</si>
  <si>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</si>
  <si>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</si>
  <si>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</si>
  <si>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</si>
  <si>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</si>
  <si>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</si>
  <si>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</si>
  <si>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</si>
  <si>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</si>
  <si>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</si>
  <si>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</si>
  <si>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</si>
  <si>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</si>
  <si>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</si>
  <si>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</si>
  <si>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</si>
  <si>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</si>
  <si>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</si>
  <si>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</si>
  <si>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</si>
  <si>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</si>
  <si>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</si>
  <si>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</si>
  <si>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</si>
  <si>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</si>
  <si>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</si>
  <si>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</si>
  <si>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</si>
  <si>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</si>
  <si>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</si>
  <si>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</si>
  <si>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</si>
  <si>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</si>
  <si>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</si>
  <si>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</si>
  <si>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</si>
  <si>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</si>
  <si>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</si>
  <si>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</si>
  <si>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</si>
  <si>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</si>
  <si>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</si>
  <si>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</si>
  <si>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</si>
  <si>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</si>
  <si>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</si>
  <si>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</si>
  <si>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</si>
  <si>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</si>
  <si>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</si>
  <si>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</si>
  <si>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</si>
  <si>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</si>
  <si>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</si>
  <si>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</si>
  <si>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</si>
  <si>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</si>
  <si>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</si>
  <si>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</si>
  <si>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</si>
  <si>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</si>
  <si>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</si>
  <si>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</si>
  <si>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</si>
  <si>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</si>
  <si>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</si>
  <si>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</si>
  <si>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</si>
  <si>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</si>
  <si>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</si>
  <si>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</si>
  <si>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</si>
  <si>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</si>
  <si>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</si>
  <si>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</si>
  <si>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</si>
  <si>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</si>
  <si>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</si>
  <si>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</si>
  <si>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</si>
  <si>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</si>
  <si>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</si>
  <si>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</si>
  <si>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</si>
  <si>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</si>
  <si>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</si>
  <si>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</si>
  <si>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</si>
  <si>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</si>
  <si>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</si>
  <si>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</si>
  <si>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</si>
  <si>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</si>
  <si>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</si>
  <si>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</si>
  <si>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</si>
  <si>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</si>
  <si>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</si>
  <si>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</si>
  <si>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</si>
  <si>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</si>
  <si>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</si>
  <si>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</si>
  <si>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</si>
  <si>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</si>
  <si>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</si>
  <si>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</si>
  <si>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</si>
  <si>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</si>
  <si>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</si>
  <si>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</si>
  <si>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</si>
  <si>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</si>
  <si>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</si>
  <si>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</si>
  <si>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</si>
  <si>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</si>
  <si>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</si>
  <si>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</si>
  <si>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</si>
  <si>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</si>
  <si>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</si>
  <si>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</si>
  <si>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</si>
  <si>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</si>
  <si>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</si>
  <si>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</si>
  <si>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</si>
  <si>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</si>
  <si>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</si>
  <si>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</si>
  <si>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</si>
  <si>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</si>
  <si>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</si>
  <si>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</si>
  <si>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</si>
  <si>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</si>
  <si>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</si>
  <si>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</si>
  <si>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</si>
  <si>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</si>
  <si>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</si>
  <si>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</si>
  <si>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</si>
  <si>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</si>
  <si>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</si>
  <si>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</si>
  <si>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</si>
  <si>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</si>
  <si>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</si>
  <si>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</si>
  <si>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</si>
  <si>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</si>
  <si>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</si>
  <si>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</si>
  <si>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</si>
  <si>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</si>
  <si>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</si>
  <si>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</si>
  <si>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</si>
  <si>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</si>
  <si>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</si>
  <si>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</si>
  <si>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</si>
  <si>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</si>
  <si>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</si>
  <si>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</si>
  <si>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</si>
  <si>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</si>
  <si>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</si>
  <si>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</si>
  <si>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</si>
  <si>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</si>
  <si>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</si>
  <si>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</si>
  <si>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</si>
  <si>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</si>
  <si>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</si>
  <si>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</si>
  <si>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</si>
  <si>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</si>
  <si>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</si>
  <si>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</si>
  <si>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</si>
  <si>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</si>
  <si>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</si>
  <si>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</si>
  <si>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</si>
  <si>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</si>
  <si>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</si>
  <si>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</si>
  <si>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</si>
  <si>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</si>
  <si>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</si>
  <si>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</si>
  <si>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</si>
  <si>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</si>
  <si>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</si>
  <si>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</si>
  <si>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</si>
  <si>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</si>
  <si>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</si>
  <si>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</si>
  <si>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</si>
  <si>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</si>
  <si>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</si>
  <si>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</si>
  <si>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</si>
  <si>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</si>
  <si>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</si>
  <si>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</si>
  <si>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</si>
  <si>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</si>
  <si>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</si>
  <si>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</si>
  <si>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</si>
  <si>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</si>
  <si>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</si>
  <si>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</si>
  <si>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</si>
  <si>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</si>
  <si>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</si>
  <si>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</si>
  <si>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</si>
  <si>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</si>
  <si>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</si>
  <si>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</si>
  <si>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</si>
  <si>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</si>
  <si>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</si>
  <si>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</si>
  <si>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</si>
  <si>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</si>
  <si>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</si>
  <si>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</si>
  <si>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</si>
  <si>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</si>
  <si>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</si>
  <si>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</si>
  <si>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</si>
  <si>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</si>
  <si>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</si>
  <si>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</si>
  <si>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</si>
  <si>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</si>
  <si>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</si>
  <si>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</si>
  <si>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</si>
  <si>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</si>
  <si>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</si>
  <si>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</si>
  <si>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</si>
  <si>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</si>
  <si>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</si>
  <si>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</si>
  <si>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</si>
  <si>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</si>
  <si>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</si>
  <si>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</si>
  <si>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</si>
  <si>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</si>
  <si>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</si>
  <si>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</si>
  <si>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</si>
  <si>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</si>
  <si>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</si>
  <si>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</si>
  <si>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</si>
  <si>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</si>
  <si>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</si>
  <si>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</si>
  <si>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</si>
  <si>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</si>
  <si>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</si>
  <si>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</si>
  <si>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</si>
  <si>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</si>
  <si>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</si>
  <si>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</si>
  <si>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</si>
  <si>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</si>
  <si>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</si>
  <si>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</si>
  <si>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</si>
  <si>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</si>
  <si>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</si>
  <si>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</si>
  <si>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</si>
  <si>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</si>
  <si>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</si>
  <si>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</si>
  <si>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</si>
  <si>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</si>
  <si>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</si>
  <si>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</si>
  <si>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</si>
  <si>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</si>
  <si>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</si>
  <si>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</si>
  <si>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</si>
  <si>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</si>
  <si>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</si>
  <si>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</si>
  <si>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</si>
  <si>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</si>
  <si>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</si>
  <si>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</si>
  <si>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</si>
  <si>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</si>
  <si>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</si>
  <si>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</si>
  <si>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</si>
  <si>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</si>
  <si>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</si>
  <si>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</si>
  <si>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</si>
  <si>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</si>
  <si>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</si>
  <si>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Somma di Total Cash-out Euro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</si>
  <si>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</si>
  <si>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</si>
  <si>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</si>
  <si>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</si>
  <si>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</si>
  <si>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</si>
  <si>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</si>
  <si>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</si>
  <si>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</si>
  <si>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</si>
  <si>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</si>
  <si>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 xml:space="preserve">US55315J1025                  </t>
  </si>
  <si>
    <t xml:space="preserve">AU000000SYR9                  </t>
  </si>
  <si>
    <t xml:space="preserve">AU000000WSA9                  </t>
  </si>
  <si>
    <t xml:space="preserve">DE0005439004                  </t>
  </si>
  <si>
    <t xml:space="preserve">FR0000120859                  </t>
  </si>
  <si>
    <t xml:space="preserve">FR0000131757                  </t>
  </si>
  <si>
    <t xml:space="preserve">FR0000131906                  </t>
  </si>
  <si>
    <t xml:space="preserve">FR0013176526                  </t>
  </si>
  <si>
    <t xml:space="preserve">JE00B4T3BW64                  </t>
  </si>
  <si>
    <t xml:space="preserve">CNE100001TJ4                  </t>
  </si>
  <si>
    <t xml:space="preserve">JP3368000000                  </t>
  </si>
  <si>
    <t xml:space="preserve">JP3399720006                  </t>
  </si>
  <si>
    <t xml:space="preserve">JP3401400001                  </t>
  </si>
  <si>
    <t xml:space="preserve">JP3402600005                  </t>
  </si>
  <si>
    <t xml:space="preserve">JP3404600003                  </t>
  </si>
  <si>
    <t xml:space="preserve">JP3468810001                  </t>
  </si>
  <si>
    <t xml:space="preserve">JP3544000007                  </t>
  </si>
  <si>
    <t xml:space="preserve">JP3616000000                  </t>
  </si>
  <si>
    <t xml:space="preserve">JP3627400009                  </t>
  </si>
  <si>
    <t xml:space="preserve">JP3690400001                  </t>
  </si>
  <si>
    <t xml:space="preserve">JP3691600005                  </t>
  </si>
  <si>
    <t xml:space="preserve">JP3692000007                  </t>
  </si>
  <si>
    <t xml:space="preserve">JP3866800000                  </t>
  </si>
  <si>
    <t xml:space="preserve">KR7036830008                  </t>
  </si>
  <si>
    <t xml:space="preserve">KR7096771001                  </t>
  </si>
  <si>
    <t xml:space="preserve">SE0008348072                  </t>
  </si>
  <si>
    <t xml:space="preserve">US3843135084                  </t>
  </si>
  <si>
    <t xml:space="preserve">DE0007664039                  </t>
  </si>
  <si>
    <t xml:space="preserve">KR7006401004                  </t>
  </si>
  <si>
    <t xml:space="preserve">KR7051911006                  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</si>
  <si>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</si>
  <si>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</si>
  <si>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</si>
  <si>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</si>
  <si>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</si>
  <si>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</si>
  <si>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</si>
  <si>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SUBSCRIPTION / REDEMPTION</t>
  </si>
  <si>
    <t>LU1867072495 - Pharus Sicav - Electric Mobility NichesQ</t>
  </si>
  <si>
    <t>Somma di AMOUNT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</si>
  <si>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</si>
  <si>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</si>
  <si>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</si>
  <si>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</si>
  <si>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</si>
  <si>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</si>
  <si>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</si>
  <si>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 xml:space="preserve">KR7064960008                 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</si>
  <si>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</si>
  <si>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</si>
  <si>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</si>
  <si>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</si>
  <si>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</si>
  <si>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</si>
  <si>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</si>
  <si>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</si>
  <si>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 xml:space="preserve">KR7005490008                  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</si>
  <si>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</si>
  <si>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</si>
  <si>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</si>
  <si>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</si>
  <si>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</si>
  <si>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</si>
  <si>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</si>
  <si>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</si>
  <si>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</si>
  <si>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</si>
  <si>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</si>
  <si>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</si>
  <si>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</si>
  <si>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</si>
  <si>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</si>
  <si>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</si>
  <si>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</si>
  <si>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</si>
  <si>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</si>
  <si>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</si>
  <si>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</si>
  <si>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</si>
  <si>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</si>
  <si>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</si>
  <si>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</si>
  <si>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</si>
  <si>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</si>
  <si>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</si>
  <si>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</si>
  <si>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</si>
  <si>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 xml:space="preserve">JP3592200004                  </t>
  </si>
  <si>
    <t>056190.KQ</t>
  </si>
  <si>
    <t xml:space="preserve">KR7056190002                  </t>
  </si>
  <si>
    <t>4023.t</t>
  </si>
  <si>
    <t xml:space="preserve">Kepler </t>
  </si>
  <si>
    <t>4205.T</t>
  </si>
  <si>
    <t xml:space="preserve">JP3271600003                  </t>
  </si>
  <si>
    <t xml:space="preserve">JP3725400000                  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</si>
  <si>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</si>
  <si>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</si>
  <si>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</si>
  <si>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</si>
  <si>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</si>
  <si>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</si>
  <si>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</si>
  <si>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</si>
  <si>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visor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</si>
  <si>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</si>
  <si>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</si>
  <si>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</si>
  <si>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</si>
  <si>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</si>
  <si>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</si>
  <si>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</si>
  <si>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</si>
  <si>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 xml:space="preserve">GG00B4TM3943                  </t>
  </si>
  <si>
    <t>EUR Dep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</si>
  <si>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</si>
  <si>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</si>
  <si>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</si>
  <si>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</si>
  <si>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</si>
  <si>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</si>
  <si>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</si>
  <si>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</si>
  <si>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</si>
  <si>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</si>
  <si>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</si>
  <si>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</si>
  <si>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</si>
  <si>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Sum of Total Cash-out Euro</t>
  </si>
  <si>
    <t>TRADES BOND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</si>
  <si>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</si>
  <si>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</si>
  <si>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</si>
  <si>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</si>
  <si>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</si>
  <si>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</si>
  <si>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</si>
  <si>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</si>
  <si>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</si>
  <si>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</si>
  <si>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</si>
  <si>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</si>
  <si>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</si>
  <si>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</si>
  <si>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</si>
  <si>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</si>
  <si>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</si>
  <si>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</si>
  <si>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</si>
  <si>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</si>
  <si>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</si>
  <si>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</si>
  <si>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</si>
  <si>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</si>
  <si>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</si>
  <si>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</si>
  <si>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</si>
  <si>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</si>
  <si>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</si>
  <si>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</si>
  <si>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</si>
  <si>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</si>
  <si>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</si>
  <si>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</si>
  <si>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</si>
  <si>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</si>
  <si>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</si>
  <si>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</si>
  <si>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</si>
  <si>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</si>
  <si>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</si>
  <si>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</si>
  <si>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</si>
  <si>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</si>
  <si>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</si>
  <si>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</si>
  <si>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</si>
  <si>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</si>
  <si>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</si>
  <si>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</si>
  <si>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</si>
  <si>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</si>
  <si>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</si>
  <si>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</si>
  <si>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</si>
  <si>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</si>
  <si>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</si>
  <si>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</si>
  <si>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</si>
  <si>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</si>
  <si>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</si>
  <si>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</si>
  <si>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</si>
  <si>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</si>
  <si>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</si>
  <si>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</si>
  <si>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</si>
  <si>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</si>
  <si>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</si>
  <si>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</si>
  <si>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</si>
  <si>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</si>
  <si>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</si>
  <si>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</si>
  <si>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</si>
  <si>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</si>
  <si>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</si>
  <si>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</si>
  <si>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</si>
  <si>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</si>
  <si>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</si>
  <si>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</si>
  <si>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</si>
  <si>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</si>
  <si>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</si>
  <si>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</si>
  <si>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</si>
  <si>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</si>
  <si>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</si>
  <si>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</si>
  <si>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</si>
  <si>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</si>
  <si>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</si>
  <si>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</si>
  <si>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</si>
  <si>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</si>
  <si>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</si>
  <si>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</si>
  <si>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</si>
  <si>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</si>
  <si>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</si>
  <si>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</si>
  <si>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</si>
  <si>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</si>
  <si>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</si>
  <si>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</si>
  <si>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</si>
  <si>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</si>
  <si>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</si>
  <si>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</si>
  <si>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</si>
  <si>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</si>
  <si>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</si>
  <si>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</si>
  <si>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</si>
  <si>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</si>
  <si>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</si>
  <si>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</si>
  <si>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</si>
  <si>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</si>
  <si>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</si>
  <si>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</si>
  <si>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</si>
  <si>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</si>
  <si>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</si>
  <si>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</si>
  <si>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</si>
  <si>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</si>
  <si>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</si>
  <si>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</si>
  <si>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</si>
  <si>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</si>
  <si>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</si>
  <si>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</si>
  <si>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</si>
  <si>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</si>
  <si>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</si>
  <si>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</si>
  <si>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</si>
  <si>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</si>
  <si>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</si>
  <si>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</si>
  <si>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</si>
  <si>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</si>
  <si>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</si>
  <si>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</si>
  <si>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</si>
  <si>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</si>
  <si>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</si>
  <si>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</si>
  <si>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</si>
  <si>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</si>
  <si>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</si>
  <si>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</si>
  <si>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</si>
  <si>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</si>
  <si>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</si>
  <si>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</si>
  <si>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</si>
  <si>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</si>
  <si>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</si>
  <si>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</si>
  <si>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</si>
  <si>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</si>
  <si>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</si>
  <si>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</si>
  <si>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</si>
  <si>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</si>
  <si>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</si>
  <si>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</si>
  <si>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</si>
  <si>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</si>
  <si>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</si>
  <si>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</si>
  <si>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</si>
  <si>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</si>
  <si>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</si>
  <si>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</si>
  <si>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</si>
  <si>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</si>
  <si>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</si>
  <si>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</si>
  <si>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</si>
  <si>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</si>
  <si>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</si>
  <si>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</si>
  <si>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</si>
  <si>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</si>
  <si>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</si>
  <si>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</si>
  <si>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</si>
  <si>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</si>
  <si>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</si>
  <si>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</si>
  <si>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</si>
  <si>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</si>
  <si>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</si>
  <si>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</si>
  <si>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</si>
  <si>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</si>
  <si>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</si>
  <si>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</si>
  <si>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</si>
  <si>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</si>
  <si>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</si>
  <si>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</si>
  <si>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</si>
  <si>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</si>
  <si>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</si>
  <si>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</si>
  <si>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</si>
  <si>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</si>
  <si>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</si>
  <si>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</si>
  <si>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</si>
  <si>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</si>
  <si>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</si>
  <si>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</si>
  <si>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</si>
  <si>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</si>
  <si>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</si>
  <si>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</si>
  <si>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</si>
  <si>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</si>
  <si>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</si>
  <si>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</si>
  <si>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</si>
  <si>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</si>
  <si>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</si>
  <si>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</si>
  <si>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</si>
  <si>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</si>
  <si>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</si>
  <si>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</si>
  <si>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</si>
  <si>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</si>
  <si>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</si>
  <si>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</si>
  <si>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</si>
  <si>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</si>
  <si>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</si>
  <si>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</si>
  <si>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</si>
  <si>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</si>
  <si>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</si>
  <si>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</si>
  <si>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</si>
  <si>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</si>
  <si>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</si>
  <si>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</si>
  <si>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</si>
  <si>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</si>
  <si>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</si>
  <si>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</si>
  <si>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</si>
  <si>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</si>
  <si>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</si>
  <si>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</si>
  <si>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</si>
  <si>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</si>
  <si>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</si>
  <si>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</si>
  <si>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</si>
  <si>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</si>
  <si>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</si>
  <si>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</si>
  <si>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</si>
  <si>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</si>
  <si>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</si>
  <si>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</si>
  <si>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</si>
  <si>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</si>
  <si>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</si>
  <si>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</si>
  <si>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</si>
  <si>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</si>
  <si>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</si>
  <si>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</si>
  <si>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</si>
  <si>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</si>
  <si>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</si>
  <si>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</si>
  <si>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</si>
  <si>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</si>
  <si>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</si>
  <si>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</si>
  <si>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</si>
  <si>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</si>
  <si>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</si>
  <si>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</si>
  <si>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</si>
  <si>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</si>
  <si>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</si>
  <si>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</si>
  <si>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</si>
  <si>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</si>
  <si>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</si>
  <si>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</si>
  <si>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</si>
  <si>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</si>
  <si>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</si>
  <si>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</si>
  <si>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</si>
  <si>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</si>
  <si>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</si>
  <si>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</si>
  <si>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</si>
  <si>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</si>
  <si>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</si>
  <si>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</si>
  <si>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</si>
  <si>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</si>
  <si>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</si>
  <si>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</si>
  <si>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</si>
  <si>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</si>
  <si>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</si>
  <si>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</si>
  <si>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</si>
  <si>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</si>
  <si>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</si>
  <si>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</si>
  <si>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</si>
  <si>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</si>
  <si>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</si>
  <si>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</si>
  <si>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</si>
  <si>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</si>
  <si>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</si>
  <si>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</si>
  <si>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</si>
  <si>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</si>
  <si>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</si>
  <si>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</si>
  <si>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</si>
  <si>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</si>
  <si>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</si>
  <si>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</si>
  <si>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</si>
  <si>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</si>
  <si>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</si>
  <si>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</si>
  <si>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</si>
  <si>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</si>
  <si>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</si>
  <si>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</si>
  <si>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</si>
  <si>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</si>
  <si>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</si>
  <si>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</si>
  <si>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</si>
  <si>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</si>
  <si>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</si>
  <si>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</si>
  <si>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</si>
  <si>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</si>
  <si>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</si>
  <si>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</si>
  <si>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</si>
  <si>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</si>
  <si>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</si>
  <si>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</si>
  <si>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</si>
  <si>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</si>
  <si>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</si>
  <si>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</si>
  <si>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</si>
  <si>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</si>
  <si>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</si>
  <si>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</si>
  <si>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</si>
  <si>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</si>
  <si>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</si>
  <si>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</si>
  <si>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</si>
  <si>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</si>
  <si>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</si>
  <si>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</si>
  <si>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</si>
  <si>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</si>
  <si>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</si>
  <si>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</si>
  <si>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</si>
  <si>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</si>
  <si>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</si>
  <si>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</si>
  <si>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</si>
  <si>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</si>
  <si>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</si>
  <si>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</si>
  <si>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</si>
  <si>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</si>
  <si>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</si>
  <si>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</si>
  <si>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</si>
  <si>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</si>
  <si>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</si>
  <si>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</si>
  <si>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</si>
  <si>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</si>
  <si>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</si>
  <si>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</si>
  <si>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</si>
  <si>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</si>
  <si>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</si>
  <si>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</si>
  <si>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</si>
  <si>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</si>
  <si>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</si>
  <si>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</si>
  <si>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</si>
  <si>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</si>
  <si>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</si>
  <si>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</si>
  <si>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</si>
  <si>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</si>
  <si>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</si>
  <si>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</si>
  <si>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</si>
  <si>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</si>
  <si>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</si>
  <si>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</si>
  <si>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</si>
  <si>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</si>
  <si>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</si>
  <si>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</si>
  <si>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</si>
  <si>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</si>
  <si>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</si>
  <si>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</si>
  <si>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</si>
  <si>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</si>
  <si>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</si>
  <si>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</si>
  <si>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</si>
  <si>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</si>
  <si>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</si>
  <si>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</si>
  <si>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</si>
  <si>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</si>
  <si>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</si>
  <si>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</si>
  <si>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</si>
  <si>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</si>
  <si>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</si>
  <si>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</si>
  <si>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</si>
  <si>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</si>
  <si>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</si>
  <si>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</si>
  <si>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</si>
  <si>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</si>
  <si>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</si>
  <si>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</si>
  <si>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</si>
  <si>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</si>
  <si>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</si>
  <si>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</si>
  <si>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</si>
  <si>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</si>
  <si>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</si>
  <si>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</si>
  <si>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</si>
  <si>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</si>
  <si>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</si>
  <si>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</si>
  <si>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</si>
  <si>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</si>
  <si>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</si>
  <si>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</si>
  <si>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</si>
  <si>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</si>
  <si>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</si>
  <si>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</si>
  <si>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</si>
  <si>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</si>
  <si>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</si>
  <si>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</si>
  <si>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</si>
  <si>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</si>
  <si>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</si>
  <si>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</si>
  <si>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</si>
  <si>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</si>
  <si>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</si>
  <si>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</si>
  <si>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</si>
  <si>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</si>
  <si>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</si>
  <si>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</si>
  <si>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</si>
  <si>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</si>
  <si>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</si>
  <si>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</si>
  <si>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</si>
  <si>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</si>
  <si>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</si>
  <si>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</si>
  <si>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</si>
  <si>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</si>
  <si>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</si>
  <si>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</si>
  <si>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</si>
  <si>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</si>
  <si>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</si>
  <si>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</si>
  <si>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</si>
  <si>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</si>
  <si>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</si>
  <si>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</si>
  <si>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</si>
  <si>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</si>
  <si>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</si>
  <si>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</si>
  <si>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</si>
  <si>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</si>
  <si>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</si>
  <si>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</si>
  <si>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</si>
  <si>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</si>
  <si>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</si>
  <si>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</si>
  <si>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</si>
  <si>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</si>
  <si>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</si>
  <si>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</si>
  <si>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</si>
  <si>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</si>
  <si>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</si>
  <si>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</si>
  <si>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</si>
  <si>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</si>
  <si>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</si>
  <si>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</si>
  <si>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</si>
  <si>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</si>
  <si>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</si>
  <si>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</si>
  <si>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</si>
  <si>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</si>
  <si>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</si>
  <si>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</si>
  <si>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</si>
  <si>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</si>
  <si>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</si>
  <si>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</si>
  <si>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</si>
  <si>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</si>
  <si>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</si>
  <si>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</si>
  <si>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</si>
  <si>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</si>
  <si>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</si>
  <si>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</si>
  <si>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</si>
  <si>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</si>
  <si>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</si>
  <si>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</si>
  <si>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</si>
  <si>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</si>
  <si>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</si>
  <si>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</si>
  <si>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</si>
  <si>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</si>
  <si>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</si>
  <si>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</si>
  <si>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</si>
  <si>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</si>
  <si>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</si>
  <si>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</si>
  <si>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</si>
  <si>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</si>
  <si>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</si>
  <si>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</si>
  <si>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</si>
  <si>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</si>
  <si>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</si>
  <si>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</si>
  <si>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</si>
  <si>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</si>
  <si>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</si>
  <si>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</si>
  <si>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</si>
  <si>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</si>
  <si>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</si>
  <si>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</si>
  <si>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</si>
  <si>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</si>
  <si>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</si>
  <si>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</si>
  <si>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</si>
  <si>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</si>
  <si>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</si>
  <si>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</si>
  <si>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</si>
  <si>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</si>
  <si>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</si>
  <si>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</si>
  <si>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</si>
  <si>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</si>
  <si>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</si>
  <si>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</si>
  <si>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</si>
  <si>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</si>
  <si>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</si>
  <si>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</si>
  <si>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</si>
  <si>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</si>
  <si>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</si>
  <si>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</si>
  <si>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</si>
  <si>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</si>
  <si>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</si>
  <si>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</si>
  <si>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</si>
  <si>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</si>
  <si>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</si>
  <si>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</si>
  <si>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</si>
  <si>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</si>
  <si>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</si>
  <si>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</si>
  <si>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</si>
  <si>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</si>
  <si>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</si>
  <si>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</si>
  <si>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</si>
  <si>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</si>
  <si>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</si>
  <si>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</si>
  <si>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</si>
  <si>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</si>
  <si>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</si>
  <si>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</si>
  <si>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</si>
  <si>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</si>
  <si>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</si>
  <si>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</si>
  <si>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</si>
  <si>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</si>
  <si>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</si>
  <si>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</si>
  <si>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</si>
  <si>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</si>
  <si>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</si>
  <si>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</si>
  <si>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</si>
  <si>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</si>
  <si>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</si>
  <si>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</si>
  <si>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</si>
  <si>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</si>
  <si>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</si>
  <si>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</si>
  <si>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</si>
  <si>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</si>
  <si>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</si>
  <si>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</si>
  <si>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</si>
  <si>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</si>
  <si>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</si>
  <si>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</si>
  <si>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</si>
  <si>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</si>
  <si>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</si>
  <si>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</si>
  <si>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</si>
  <si>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</si>
  <si>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</si>
  <si>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</si>
  <si>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</si>
  <si>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</si>
  <si>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</si>
  <si>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</si>
  <si>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</si>
  <si>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</si>
  <si>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</si>
  <si>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</si>
  <si>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</si>
  <si>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</si>
  <si>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</si>
  <si>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</si>
  <si>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</si>
  <si>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</si>
  <si>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</si>
  <si>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</si>
  <si>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</si>
  <si>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</si>
  <si>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</si>
  <si>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</si>
  <si>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</si>
  <si>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</si>
  <si>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</si>
  <si>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</si>
  <si>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</si>
  <si>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</si>
  <si>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</si>
  <si>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</si>
  <si>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</si>
  <si>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</si>
  <si>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</si>
  <si>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</si>
  <si>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</si>
  <si>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</si>
  <si>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</si>
  <si>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</si>
  <si>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</si>
  <si>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</si>
  <si>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</si>
  <si>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</si>
  <si>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</si>
  <si>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</si>
  <si>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</si>
  <si>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</si>
  <si>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</si>
  <si>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</si>
  <si>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</si>
  <si>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</si>
  <si>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</si>
  <si>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</si>
  <si>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</si>
  <si>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</si>
  <si>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</si>
  <si>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</si>
  <si>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</si>
  <si>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</si>
  <si>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</si>
  <si>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</si>
  <si>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</si>
  <si>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</si>
  <si>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</si>
  <si>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</si>
  <si>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</si>
  <si>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</si>
  <si>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</si>
  <si>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</si>
  <si>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</si>
  <si>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</si>
  <si>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</si>
  <si>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</si>
  <si>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</si>
  <si>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</si>
  <si>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</si>
  <si>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</si>
  <si>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</si>
  <si>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</si>
  <si>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</si>
  <si>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</si>
  <si>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</si>
  <si>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</si>
  <si>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</si>
  <si>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</si>
  <si>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</si>
  <si>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</si>
  <si>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</si>
  <si>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</si>
  <si>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</si>
  <si>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</si>
  <si>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</si>
  <si>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</si>
  <si>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</si>
  <si>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</si>
  <si>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</si>
  <si>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</si>
  <si>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</si>
  <si>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</si>
  <si>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</si>
  <si>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</si>
  <si>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</si>
  <si>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</si>
  <si>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</si>
  <si>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</si>
  <si>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</si>
  <si>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</si>
  <si>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</si>
  <si>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</si>
  <si>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</si>
  <si>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</si>
  <si>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</si>
  <si>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</si>
  <si>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</si>
  <si>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</si>
  <si>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</si>
  <si>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</si>
  <si>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</si>
  <si>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</si>
  <si>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</si>
  <si>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</si>
  <si>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</si>
  <si>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</si>
  <si>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</si>
  <si>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</si>
  <si>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</si>
  <si>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</si>
  <si>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</si>
  <si>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</si>
  <si>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</si>
  <si>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</si>
  <si>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</si>
  <si>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</si>
  <si>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</si>
  <si>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</si>
  <si>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</si>
  <si>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</si>
  <si>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</si>
  <si>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</si>
  <si>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</si>
  <si>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</si>
  <si>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</si>
  <si>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</si>
  <si>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</si>
  <si>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</si>
  <si>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</si>
  <si>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</si>
  <si>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</si>
  <si>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</si>
  <si>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</si>
  <si>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</si>
  <si>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</si>
  <si>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</si>
  <si>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</si>
  <si>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</si>
  <si>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</si>
  <si>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</si>
  <si>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</si>
  <si>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</si>
  <si>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</si>
  <si>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</si>
  <si>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</si>
  <si>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</si>
  <si>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</si>
  <si>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</si>
  <si>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</si>
  <si>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</si>
  <si>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</si>
  <si>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</si>
  <si>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</si>
  <si>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</si>
  <si>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</si>
  <si>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</si>
  <si>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</si>
  <si>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</si>
  <si>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</si>
  <si>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</si>
  <si>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</si>
  <si>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</si>
  <si>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</si>
  <si>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</si>
  <si>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</si>
  <si>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</si>
  <si>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</si>
  <si>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</si>
  <si>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</si>
  <si>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</si>
  <si>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</si>
  <si>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</si>
  <si>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</si>
  <si>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</si>
  <si>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</si>
  <si>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</si>
  <si>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</si>
  <si>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</si>
  <si>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</si>
  <si>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</si>
  <si>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</si>
  <si>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</si>
  <si>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</si>
  <si>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</si>
  <si>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</si>
  <si>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</si>
  <si>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</si>
  <si>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</si>
  <si>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</si>
  <si>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</si>
  <si>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</si>
  <si>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</si>
  <si>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</si>
  <si>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</si>
  <si>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</si>
  <si>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</si>
  <si>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</si>
  <si>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</si>
  <si>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</si>
  <si>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</si>
  <si>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</si>
  <si>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</si>
  <si>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</si>
  <si>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</si>
  <si>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</si>
  <si>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</si>
  <si>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</si>
  <si>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</si>
  <si>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</si>
  <si>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</si>
  <si>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</si>
  <si>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</si>
  <si>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</si>
  <si>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</si>
  <si>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</si>
  <si>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</si>
  <si>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</si>
  <si>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</si>
  <si>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</si>
  <si>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</si>
  <si>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</si>
  <si>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</si>
  <si>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</si>
  <si>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</si>
  <si>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</si>
  <si>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</si>
  <si>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</si>
  <si>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</si>
  <si>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</si>
  <si>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</si>
  <si>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</si>
  <si>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</si>
  <si>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</si>
  <si>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</si>
  <si>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</si>
  <si>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</si>
  <si>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</si>
  <si>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</si>
  <si>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</si>
  <si>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</si>
  <si>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</si>
  <si>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</si>
  <si>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</si>
  <si>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</si>
  <si>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</si>
  <si>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</si>
  <si>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</si>
  <si>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</si>
  <si>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</si>
  <si>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</si>
  <si>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</si>
  <si>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</si>
  <si>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</si>
  <si>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</si>
  <si>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</si>
  <si>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</si>
  <si>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</si>
  <si>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</si>
  <si>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</si>
  <si>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</si>
  <si>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</si>
  <si>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</si>
  <si>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</si>
  <si>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</si>
  <si>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</si>
  <si>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</si>
  <si>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</si>
  <si>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</si>
  <si>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</si>
  <si>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</si>
  <si>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</si>
  <si>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</si>
  <si>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</si>
  <si>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</si>
  <si>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</si>
  <si>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</si>
  <si>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</si>
  <si>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</si>
  <si>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</si>
  <si>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</si>
  <si>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</si>
  <si>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</si>
  <si>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</si>
  <si>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</si>
  <si>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</si>
  <si>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</si>
  <si>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</si>
  <si>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</si>
  <si>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</si>
  <si>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</si>
  <si>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</si>
  <si>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</si>
  <si>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</si>
  <si>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</si>
  <si>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</si>
  <si>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</si>
  <si>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</si>
  <si>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</si>
  <si>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</si>
  <si>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</si>
  <si>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</si>
  <si>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</si>
  <si>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</si>
  <si>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</si>
  <si>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</si>
  <si>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</si>
  <si>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</si>
  <si>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</si>
  <si>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</si>
  <si>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</si>
  <si>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</si>
  <si>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</si>
  <si>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</si>
  <si>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</si>
  <si>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</si>
  <si>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</si>
  <si>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</si>
  <si>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</si>
  <si>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</si>
  <si>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</si>
  <si>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</si>
  <si>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</si>
  <si>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</si>
  <si>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</si>
  <si>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</si>
  <si>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</si>
  <si>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</si>
  <si>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</si>
  <si>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</si>
  <si>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</si>
  <si>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</si>
  <si>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</si>
  <si>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</si>
  <si>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</si>
  <si>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</si>
  <si>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</si>
  <si>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</si>
  <si>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</si>
  <si>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</si>
  <si>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</si>
  <si>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</si>
  <si>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</si>
  <si>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</si>
  <si>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</si>
  <si>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</si>
  <si>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</si>
  <si>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</si>
  <si>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</si>
  <si>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</si>
  <si>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</si>
  <si>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</si>
  <si>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</si>
  <si>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</si>
  <si>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</si>
  <si>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</si>
  <si>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</si>
  <si>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</si>
  <si>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</si>
  <si>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</si>
  <si>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</si>
  <si>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</si>
  <si>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</si>
  <si>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</si>
  <si>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</si>
  <si>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</si>
  <si>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</si>
  <si>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</si>
  <si>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</si>
  <si>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</si>
  <si>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</si>
  <si>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</si>
  <si>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</si>
  <si>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</si>
  <si>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</si>
  <si>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</si>
  <si>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</si>
  <si>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</si>
  <si>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</si>
  <si>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</si>
  <si>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</si>
  <si>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</si>
  <si>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</si>
  <si>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</si>
  <si>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</si>
  <si>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</si>
  <si>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</si>
  <si>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</si>
  <si>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</si>
  <si>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</si>
  <si>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</si>
  <si>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</si>
  <si>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</si>
  <si>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</si>
  <si>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</si>
  <si>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</si>
  <si>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</si>
  <si>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</si>
  <si>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</si>
  <si>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</si>
  <si>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</si>
  <si>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</si>
  <si>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</si>
  <si>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</si>
  <si>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</si>
  <si>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</si>
  <si>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</si>
  <si>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</si>
  <si>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</si>
  <si>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</si>
  <si>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</si>
  <si>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</si>
  <si>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</si>
  <si>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</si>
  <si>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</si>
  <si>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</si>
  <si>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</si>
  <si>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</si>
  <si>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</si>
  <si>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</si>
  <si>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</si>
  <si>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</si>
  <si>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</si>
  <si>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</si>
  <si>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</si>
  <si>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</si>
  <si>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</si>
  <si>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</si>
  <si>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</si>
  <si>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</si>
  <si>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</si>
  <si>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</si>
  <si>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</si>
  <si>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</si>
  <si>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</si>
  <si>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</si>
  <si>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</si>
  <si>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</si>
  <si>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</si>
  <si>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</si>
  <si>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</si>
  <si>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</si>
  <si>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</si>
  <si>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</si>
  <si>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</si>
  <si>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</si>
  <si>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</si>
  <si>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</si>
  <si>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</si>
  <si>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</si>
  <si>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</si>
  <si>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</si>
  <si>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</si>
  <si>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</si>
  <si>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</si>
  <si>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</si>
  <si>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</si>
  <si>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</si>
  <si>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</si>
  <si>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</si>
  <si>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</si>
  <si>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</si>
  <si>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</si>
  <si>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</si>
  <si>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</si>
  <si>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</si>
  <si>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</si>
  <si>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</si>
  <si>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</si>
  <si>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</si>
  <si>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</si>
  <si>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</si>
  <si>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</si>
  <si>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</si>
  <si>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</si>
  <si>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</si>
  <si>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</si>
  <si>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</si>
  <si>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</si>
  <si>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</si>
  <si>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</si>
  <si>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</si>
  <si>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</si>
  <si>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</si>
  <si>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</si>
  <si>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</si>
  <si>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</si>
  <si>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</si>
  <si>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</si>
  <si>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</si>
  <si>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</si>
  <si>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</si>
  <si>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</si>
  <si>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</si>
  <si>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</si>
  <si>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</si>
  <si>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</si>
  <si>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</si>
  <si>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</si>
  <si>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</si>
  <si>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</si>
  <si>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</si>
  <si>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</si>
  <si>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</si>
  <si>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</si>
  <si>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</si>
  <si>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</si>
  <si>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</si>
  <si>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</si>
  <si>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</si>
  <si>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</si>
  <si>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</si>
  <si>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</si>
  <si>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</si>
  <si>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</si>
  <si>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</si>
  <si>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</si>
  <si>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</si>
  <si>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</si>
  <si>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</si>
  <si>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</si>
  <si>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</si>
  <si>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</si>
  <si>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</si>
  <si>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</si>
  <si>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</si>
  <si>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</si>
  <si>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</si>
  <si>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</si>
  <si>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</si>
  <si>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</si>
  <si>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</si>
  <si>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</si>
  <si>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</si>
  <si>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</si>
  <si>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</si>
  <si>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</si>
  <si>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</si>
  <si>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</si>
  <si>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</si>
  <si>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</si>
  <si>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</si>
  <si>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</si>
  <si>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</si>
  <si>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</si>
  <si>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</si>
  <si>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</si>
  <si>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</si>
  <si>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</si>
  <si>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</si>
  <si>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</si>
  <si>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</si>
  <si>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</si>
  <si>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</si>
  <si>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</si>
  <si>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</si>
  <si>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</si>
  <si>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</si>
  <si>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</si>
  <si>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</si>
  <si>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</si>
  <si>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</si>
  <si>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</si>
  <si>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</si>
  <si>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</si>
  <si>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</si>
  <si>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</si>
  <si>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</si>
  <si>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</si>
  <si>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</si>
  <si>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</si>
  <si>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</si>
  <si>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</si>
  <si>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</si>
  <si>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</si>
  <si>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</si>
  <si>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</si>
  <si>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</si>
  <si>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</si>
  <si>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</si>
  <si>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</si>
  <si>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</si>
  <si>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</si>
  <si>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</si>
  <si>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</si>
  <si>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</si>
  <si>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</si>
  <si>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</si>
  <si>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</si>
  <si>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</si>
  <si>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</si>
  <si>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</si>
  <si>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</si>
  <si>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</si>
  <si>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</si>
  <si>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</si>
  <si>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</si>
  <si>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</si>
  <si>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</si>
  <si>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</si>
  <si>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</si>
  <si>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</si>
  <si>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</si>
  <si>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</si>
  <si>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</si>
  <si>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</si>
  <si>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</si>
  <si>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</si>
  <si>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</si>
  <si>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</si>
  <si>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</si>
  <si>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</si>
  <si>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</si>
  <si>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</si>
  <si>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</si>
  <si>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</si>
  <si>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</si>
  <si>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</si>
  <si>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</si>
  <si>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</si>
  <si>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</si>
  <si>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</si>
  <si>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</si>
  <si>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</si>
  <si>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</si>
  <si>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</si>
  <si>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</si>
  <si>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</si>
  <si>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</si>
  <si>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</si>
  <si>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</si>
  <si>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</si>
  <si>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</si>
  <si>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</si>
  <si>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</si>
  <si>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</si>
  <si>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</si>
  <si>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</si>
  <si>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</si>
  <si>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</si>
  <si>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</si>
  <si>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</si>
  <si>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</si>
  <si>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</si>
  <si>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</si>
  <si>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</si>
  <si>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</si>
  <si>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</si>
  <si>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</si>
  <si>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</si>
  <si>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</si>
  <si>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</si>
  <si>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</si>
  <si>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</si>
  <si>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</si>
  <si>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</si>
  <si>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</si>
  <si>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</si>
  <si>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</si>
  <si>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</si>
  <si>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</si>
  <si>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</si>
  <si>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</si>
  <si>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</si>
  <si>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</si>
  <si>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</si>
  <si>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</si>
  <si>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</si>
  <si>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</si>
  <si>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</si>
  <si>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</si>
  <si>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</si>
  <si>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</si>
  <si>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</si>
  <si>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</si>
  <si>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</si>
  <si>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</si>
  <si>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</si>
  <si>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</si>
  <si>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</si>
  <si>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</si>
  <si>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</si>
  <si>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</si>
  <si>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</si>
  <si>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</si>
  <si>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</si>
  <si>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</si>
  <si>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</si>
  <si>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</si>
  <si>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</si>
  <si>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</si>
  <si>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</si>
  <si>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</si>
  <si>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</si>
  <si>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</si>
  <si>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</si>
  <si>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</si>
  <si>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</si>
  <si>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</si>
  <si>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</si>
  <si>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</si>
  <si>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</si>
  <si>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</si>
  <si>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</si>
  <si>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</si>
  <si>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</si>
  <si>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</si>
  <si>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</si>
  <si>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</si>
  <si>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</si>
  <si>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</si>
  <si>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</si>
  <si>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</si>
  <si>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</si>
  <si>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</si>
  <si>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</si>
  <si>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</si>
  <si>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</si>
  <si>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</si>
  <si>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</si>
  <si>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</si>
  <si>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</si>
  <si>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</si>
  <si>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</si>
  <si>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</si>
  <si>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</si>
  <si>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</si>
  <si>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</si>
  <si>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</si>
  <si>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</si>
  <si>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</si>
  <si>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</si>
  <si>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</si>
  <si>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</si>
  <si>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</si>
  <si>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</si>
  <si>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</si>
  <si>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</si>
  <si>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</si>
  <si>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</si>
  <si>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</si>
  <si>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</si>
  <si>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</si>
  <si>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</si>
  <si>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</si>
  <si>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</si>
  <si>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</si>
  <si>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</si>
  <si>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</si>
  <si>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</si>
  <si>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</si>
  <si>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</si>
  <si>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</si>
  <si>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</si>
  <si>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</si>
  <si>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</si>
  <si>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</si>
  <si>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</si>
  <si>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</si>
  <si>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</si>
  <si>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</si>
  <si>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</si>
  <si>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</si>
  <si>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</si>
  <si>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</si>
  <si>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</si>
  <si>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</si>
  <si>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</si>
  <si>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</si>
  <si>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</si>
  <si>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</si>
  <si>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</si>
  <si>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</si>
  <si>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</si>
  <si>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</si>
  <si>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</si>
  <si>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</si>
  <si>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</si>
  <si>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</si>
  <si>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</si>
  <si>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</si>
  <si>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</si>
  <si>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</si>
  <si>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</si>
  <si>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</si>
  <si>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</si>
  <si>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</si>
  <si>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</si>
  <si>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</si>
  <si>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</si>
  <si>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</si>
  <si>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</si>
  <si>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</si>
  <si>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</si>
  <si>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</si>
  <si>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</si>
  <si>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</si>
  <si>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</si>
  <si>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</si>
  <si>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</si>
  <si>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</si>
  <si>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</si>
  <si>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</si>
  <si>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</si>
  <si>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</si>
  <si>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</si>
  <si>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</si>
  <si>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</si>
  <si>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</si>
  <si>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</si>
  <si>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</si>
  <si>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</si>
  <si>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</si>
  <si>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</si>
  <si>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</si>
  <si>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</si>
  <si>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</si>
  <si>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</si>
  <si>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</si>
  <si>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</si>
  <si>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</si>
  <si>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</si>
  <si>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</si>
  <si>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</si>
  <si>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</si>
  <si>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</si>
  <si>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</si>
  <si>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</si>
  <si>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</si>
  <si>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</si>
  <si>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</si>
  <si>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</si>
  <si>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</si>
  <si>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</si>
  <si>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</si>
  <si>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</si>
  <si>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</si>
  <si>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</si>
  <si>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</si>
  <si>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</si>
  <si>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</si>
  <si>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</si>
  <si>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</si>
  <si>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</si>
  <si>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</si>
  <si>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</si>
  <si>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</si>
  <si>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</si>
  <si>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</si>
  <si>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</si>
  <si>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</si>
  <si>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</si>
  <si>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</si>
  <si>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</si>
  <si>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</si>
  <si>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</si>
  <si>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</si>
  <si>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</si>
  <si>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</si>
  <si>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</si>
  <si>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</si>
  <si>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</si>
  <si>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</si>
  <si>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</si>
  <si>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</si>
  <si>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</si>
  <si>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</si>
  <si>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</si>
  <si>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</si>
  <si>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</si>
  <si>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</si>
  <si>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</si>
  <si>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</si>
  <si>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</si>
  <si>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</si>
  <si>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</si>
  <si>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</si>
  <si>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</si>
  <si>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</si>
  <si>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</si>
  <si>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</si>
  <si>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</si>
  <si>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</si>
  <si>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</si>
  <si>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</si>
  <si>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</si>
  <si>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</si>
  <si>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</si>
  <si>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</si>
  <si>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</si>
  <si>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</si>
  <si>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</si>
  <si>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</si>
  <si>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</si>
  <si>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</si>
  <si>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</si>
  <si>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</si>
  <si>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</si>
  <si>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</si>
  <si>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</si>
  <si>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</si>
  <si>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</si>
  <si>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</si>
  <si>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</si>
  <si>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</si>
  <si>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</si>
  <si>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</si>
  <si>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</si>
  <si>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</si>
  <si>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</si>
  <si>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</si>
  <si>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</si>
  <si>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</si>
  <si>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</si>
  <si>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</si>
  <si>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</si>
  <si>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</si>
  <si>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</si>
  <si>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</si>
  <si>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</si>
  <si>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</si>
  <si>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</si>
  <si>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</si>
  <si>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</si>
  <si>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</si>
  <si>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</si>
  <si>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</si>
  <si>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</si>
  <si>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</si>
  <si>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</si>
  <si>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</si>
  <si>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</si>
  <si>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</si>
  <si>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</si>
  <si>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</si>
  <si>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</si>
  <si>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</si>
  <si>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</si>
  <si>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</si>
  <si>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</si>
  <si>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</si>
  <si>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</si>
  <si>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</si>
  <si>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</si>
  <si>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</si>
  <si>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</si>
  <si>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</si>
  <si>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</si>
  <si>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</si>
  <si>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</si>
  <si>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</si>
  <si>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</si>
  <si>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</si>
  <si>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</si>
  <si>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</si>
  <si>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</si>
  <si>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</si>
  <si>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</si>
  <si>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</si>
  <si>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</si>
  <si>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</si>
  <si>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</si>
  <si>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</si>
  <si>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</si>
  <si>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</si>
  <si>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</si>
  <si>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</si>
  <si>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</si>
  <si>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</si>
  <si>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</si>
  <si>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</si>
  <si>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</si>
  <si>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</si>
  <si>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</si>
  <si>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</si>
  <si>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</si>
  <si>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</si>
  <si>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</si>
  <si>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</si>
  <si>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</si>
  <si>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</si>
  <si>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</si>
  <si>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</si>
  <si>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</si>
  <si>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</si>
  <si>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</si>
  <si>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</si>
  <si>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</si>
  <si>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</si>
  <si>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</si>
  <si>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</si>
  <si>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</si>
  <si>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</si>
  <si>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</si>
  <si>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</si>
  <si>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</si>
  <si>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</si>
  <si>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</si>
  <si>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</si>
  <si>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</si>
  <si>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</si>
  <si>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</si>
  <si>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</si>
  <si>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</si>
  <si>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</si>
  <si>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</si>
  <si>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</si>
  <si>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</si>
  <si>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</si>
  <si>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</si>
  <si>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</si>
  <si>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</si>
  <si>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</si>
  <si>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</si>
  <si>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</si>
  <si>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</si>
  <si>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</si>
  <si>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</si>
  <si>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</si>
  <si>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</si>
  <si>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</si>
  <si>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</si>
  <si>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</si>
  <si>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</si>
  <si>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</si>
  <si>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</si>
  <si>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</si>
  <si>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</si>
  <si>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</si>
  <si>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</si>
  <si>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</si>
  <si>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</si>
  <si>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</si>
  <si>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</si>
  <si>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</si>
  <si>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</si>
  <si>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</si>
  <si>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</si>
  <si>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</si>
  <si>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</si>
  <si>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</si>
  <si>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</si>
  <si>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</si>
  <si>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</si>
  <si>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</si>
  <si>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</si>
  <si>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</si>
  <si>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</si>
  <si>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</si>
  <si>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</si>
  <si>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</si>
  <si>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</si>
  <si>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</si>
  <si>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</si>
  <si>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</si>
  <si>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</si>
  <si>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</si>
  <si>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</si>
  <si>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</si>
  <si>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</si>
  <si>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</si>
  <si>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</si>
  <si>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</si>
  <si>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</si>
  <si>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</si>
  <si>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</si>
  <si>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</si>
  <si>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</si>
  <si>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</si>
  <si>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</si>
  <si>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</si>
  <si>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</si>
  <si>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</si>
  <si>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</si>
  <si>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</si>
  <si>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</si>
  <si>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</si>
  <si>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</si>
  <si>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</si>
  <si>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</si>
  <si>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</si>
  <si>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</si>
  <si>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</si>
  <si>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</si>
  <si>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</si>
  <si>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</si>
  <si>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</si>
  <si>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</si>
  <si>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</si>
  <si>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</si>
  <si>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</si>
  <si>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</si>
  <si>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</si>
  <si>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</si>
  <si>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</si>
  <si>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</si>
  <si>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</si>
  <si>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</si>
  <si>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</si>
  <si>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</si>
  <si>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</si>
  <si>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</si>
  <si>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</si>
  <si>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</si>
  <si>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</si>
  <si>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</si>
  <si>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</si>
  <si>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</si>
  <si>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</si>
  <si>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</si>
  <si>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</si>
  <si>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</si>
  <si>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</si>
  <si>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</si>
  <si>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</si>
  <si>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</si>
  <si>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</si>
  <si>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</si>
  <si>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</si>
  <si>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</si>
  <si>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</si>
  <si>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</si>
  <si>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</si>
  <si>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</si>
  <si>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</si>
  <si>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</si>
  <si>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</si>
  <si>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</si>
  <si>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</si>
  <si>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</si>
  <si>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</si>
  <si>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</si>
  <si>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</si>
  <si>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</si>
  <si>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</si>
  <si>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</si>
  <si>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</si>
  <si>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</si>
  <si>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</si>
  <si>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</si>
  <si>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</si>
  <si>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</si>
  <si>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</si>
  <si>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</si>
  <si>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</si>
  <si>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</si>
  <si>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</si>
  <si>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</si>
  <si>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</si>
  <si>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</si>
  <si>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</si>
  <si>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</si>
  <si>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</si>
  <si>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</si>
  <si>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</si>
  <si>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</si>
  <si>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</si>
  <si>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</si>
  <si>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</si>
  <si>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</si>
  <si>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</si>
  <si>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</si>
  <si>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</si>
  <si>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</si>
  <si>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</si>
  <si>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</si>
  <si>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</si>
  <si>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</si>
  <si>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</si>
  <si>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</si>
  <si>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</si>
  <si>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</si>
  <si>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</si>
  <si>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</si>
  <si>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</si>
  <si>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</si>
  <si>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</si>
  <si>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</si>
  <si>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</si>
  <si>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</si>
  <si>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</si>
  <si>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</si>
  <si>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</si>
  <si>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</si>
  <si>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</si>
  <si>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</si>
  <si>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</si>
  <si>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</si>
  <si>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</si>
  <si>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</si>
  <si>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</si>
  <si>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</si>
  <si>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</si>
  <si>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</si>
  <si>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</si>
  <si>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</si>
  <si>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</si>
  <si>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</si>
  <si>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</si>
  <si>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</si>
  <si>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</si>
  <si>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</si>
  <si>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</si>
  <si>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</si>
  <si>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</si>
  <si>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</si>
  <si>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</si>
  <si>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</si>
  <si>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</si>
  <si>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</si>
  <si>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</si>
  <si>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</si>
  <si>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</si>
  <si>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</si>
  <si>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</si>
  <si>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</si>
  <si>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</si>
  <si>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</si>
  <si>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</si>
  <si>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</si>
  <si>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</si>
  <si>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</si>
  <si>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</si>
  <si>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</si>
  <si>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</si>
  <si>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</si>
  <si>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</si>
  <si>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</si>
  <si>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</si>
  <si>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</si>
  <si>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</si>
  <si>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</si>
  <si>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</si>
  <si>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</si>
  <si>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</si>
  <si>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</si>
  <si>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</si>
  <si>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</si>
  <si>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</si>
  <si>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</si>
  <si>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</si>
  <si>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</si>
  <si>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</si>
  <si>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</si>
  <si>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</si>
  <si>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</si>
  <si>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</si>
  <si>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</si>
  <si>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</si>
  <si>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</si>
  <si>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</si>
  <si>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</si>
  <si>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</si>
  <si>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</si>
  <si>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</si>
  <si>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</si>
  <si>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</si>
  <si>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</si>
  <si>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</si>
  <si>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</si>
  <si>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</si>
  <si>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</si>
  <si>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</si>
  <si>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</si>
  <si>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</si>
  <si>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</si>
  <si>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</si>
  <si>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</si>
  <si>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</si>
  <si>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</si>
  <si>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</si>
  <si>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</si>
  <si>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</si>
  <si>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</si>
  <si>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</si>
  <si>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</si>
  <si>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</si>
  <si>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</si>
  <si>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</si>
  <si>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</si>
  <si>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</si>
  <si>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</si>
  <si>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</si>
  <si>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</si>
  <si>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</si>
  <si>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</si>
  <si>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</si>
  <si>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</si>
  <si>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</si>
  <si>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</si>
  <si>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</si>
  <si>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</si>
  <si>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</si>
  <si>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</si>
  <si>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</si>
  <si>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</si>
  <si>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</si>
  <si>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</si>
  <si>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</si>
  <si>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</si>
  <si>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</si>
  <si>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</si>
  <si>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</si>
  <si>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</si>
  <si>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</si>
  <si>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</si>
  <si>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</si>
  <si>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</si>
  <si>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</si>
  <si>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</si>
  <si>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</si>
  <si>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</si>
  <si>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</si>
  <si>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</si>
  <si>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</si>
  <si>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</si>
  <si>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</si>
  <si>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</si>
  <si>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</si>
  <si>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</si>
  <si>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</si>
  <si>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</si>
  <si>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</si>
  <si>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</si>
  <si>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</si>
  <si>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</si>
  <si>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</si>
  <si>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</si>
  <si>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</si>
  <si>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</si>
  <si>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</si>
  <si>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</si>
  <si>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</si>
  <si>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</si>
  <si>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</si>
  <si>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</si>
  <si>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</si>
  <si>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</si>
  <si>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</si>
  <si>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</si>
  <si>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</si>
  <si>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</si>
  <si>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</si>
  <si>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</si>
  <si>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</si>
  <si>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</si>
  <si>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</si>
  <si>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</si>
  <si>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</si>
  <si>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</si>
  <si>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</si>
  <si>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</si>
  <si>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</si>
  <si>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</si>
  <si>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</si>
  <si>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</si>
  <si>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</si>
  <si>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</si>
  <si>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</si>
  <si>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</si>
  <si>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</si>
  <si>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</si>
  <si>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</si>
  <si>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</si>
  <si>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</si>
  <si>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</si>
  <si>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</si>
  <si>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</si>
  <si>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</si>
  <si>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</si>
  <si>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</si>
  <si>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</si>
  <si>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</si>
  <si>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</si>
  <si>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</si>
  <si>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</si>
  <si>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</si>
  <si>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</si>
  <si>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</si>
  <si>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</si>
  <si>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</si>
  <si>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</si>
  <si>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</si>
  <si>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</si>
  <si>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</si>
  <si>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</si>
  <si>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</si>
  <si>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</si>
  <si>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</si>
  <si>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</si>
  <si>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</si>
  <si>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</si>
  <si>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</si>
  <si>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</si>
  <si>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</si>
  <si>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</si>
  <si>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</si>
  <si>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</si>
  <si>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</si>
  <si>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</si>
  <si>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</si>
  <si>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</si>
  <si>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</si>
  <si>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</si>
  <si>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</si>
  <si>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</si>
  <si>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</si>
  <si>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</si>
  <si>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</si>
  <si>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</si>
  <si>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</si>
  <si>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</si>
  <si>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</si>
  <si>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</si>
  <si>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</si>
  <si>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</si>
  <si>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</si>
  <si>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</si>
  <si>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</si>
  <si>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</si>
  <si>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</si>
  <si>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</si>
  <si>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</si>
  <si>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</si>
  <si>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</si>
  <si>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</si>
  <si>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</si>
  <si>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</si>
  <si>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</si>
  <si>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</si>
  <si>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</si>
  <si>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</si>
  <si>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</si>
  <si>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</si>
  <si>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</si>
  <si>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</si>
  <si>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</si>
  <si>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</si>
  <si>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</si>
  <si>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</si>
  <si>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</si>
  <si>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</si>
  <si>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</si>
  <si>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</si>
  <si>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</si>
  <si>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</si>
  <si>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</si>
  <si>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</si>
  <si>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</si>
  <si>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</si>
  <si>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</si>
  <si>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</si>
  <si>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</si>
  <si>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</si>
  <si>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</si>
  <si>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</si>
  <si>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</si>
  <si>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</si>
  <si>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</si>
  <si>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</si>
  <si>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</si>
  <si>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</si>
  <si>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</si>
  <si>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</si>
  <si>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</si>
  <si>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</si>
  <si>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</si>
  <si>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</si>
  <si>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</si>
  <si>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</si>
  <si>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</si>
  <si>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</si>
  <si>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</si>
  <si>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</si>
  <si>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</si>
  <si>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</si>
  <si>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</si>
  <si>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</si>
  <si>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</si>
  <si>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</si>
  <si>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</si>
  <si>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</si>
  <si>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</si>
  <si>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</si>
  <si>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</si>
  <si>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</si>
  <si>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</si>
  <si>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</si>
  <si>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</si>
  <si>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</si>
  <si>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</si>
  <si>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</si>
  <si>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</si>
  <si>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</si>
  <si>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</si>
  <si>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</si>
  <si>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</si>
  <si>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</si>
  <si>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</si>
  <si>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</si>
  <si>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</si>
  <si>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</si>
  <si>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</si>
  <si>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</si>
  <si>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</si>
  <si>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</si>
  <si>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</si>
  <si>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</si>
  <si>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</si>
  <si>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</si>
  <si>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</si>
  <si>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</si>
  <si>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</si>
  <si>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</si>
  <si>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</si>
  <si>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</si>
  <si>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</si>
  <si>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</si>
  <si>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</si>
  <si>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</si>
  <si>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</si>
  <si>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</si>
  <si>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</si>
  <si>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</si>
  <si>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</si>
  <si>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</si>
  <si>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</si>
  <si>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</si>
  <si>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</si>
  <si>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</si>
  <si>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</si>
  <si>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</si>
  <si>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</si>
  <si>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</si>
  <si>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</si>
  <si>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</si>
  <si>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</si>
  <si>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</si>
  <si>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</si>
  <si>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</si>
  <si>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</si>
  <si>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</si>
  <si>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</si>
  <si>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</si>
  <si>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</si>
  <si>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</si>
  <si>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</si>
  <si>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</si>
  <si>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</si>
  <si>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</si>
  <si>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</si>
  <si>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</si>
  <si>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</si>
  <si>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</si>
  <si>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</si>
  <si>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</si>
  <si>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</si>
  <si>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</si>
  <si>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</si>
  <si>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</si>
  <si>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</si>
  <si>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</si>
  <si>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</si>
  <si>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</si>
  <si>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</si>
  <si>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</si>
  <si>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</si>
  <si>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</si>
  <si>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</si>
  <si>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</si>
  <si>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</si>
  <si>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</si>
  <si>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</si>
  <si>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</si>
  <si>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</si>
  <si>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</si>
  <si>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</si>
  <si>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</si>
  <si>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</si>
  <si>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</si>
  <si>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</si>
  <si>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</si>
  <si>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</si>
  <si>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</si>
  <si>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</si>
  <si>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</si>
  <si>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</si>
  <si>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</si>
  <si>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</si>
  <si>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</si>
  <si>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</si>
  <si>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</si>
  <si>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</si>
  <si>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</si>
  <si>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</si>
  <si>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</si>
  <si>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</si>
  <si>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</si>
  <si>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</si>
  <si>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</si>
  <si>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</si>
  <si>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</si>
  <si>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</si>
  <si>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</si>
  <si>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</si>
  <si>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</si>
  <si>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</si>
  <si>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</si>
  <si>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</si>
  <si>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</si>
  <si>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</si>
  <si>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</si>
  <si>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</si>
  <si>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</si>
  <si>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</si>
  <si>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</si>
  <si>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</si>
  <si>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</si>
  <si>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</si>
  <si>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</si>
  <si>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</si>
  <si>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</si>
  <si>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</si>
  <si>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</si>
  <si>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</si>
  <si>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</si>
  <si>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</si>
  <si>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</si>
  <si>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</si>
  <si>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</si>
  <si>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</si>
  <si>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</si>
  <si>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</si>
  <si>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</si>
  <si>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</si>
  <si>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</si>
  <si>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</si>
  <si>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</si>
  <si>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</si>
  <si>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</si>
  <si>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</si>
  <si>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</si>
  <si>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</si>
  <si>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</si>
  <si>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</si>
  <si>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</si>
  <si>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</si>
  <si>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</si>
  <si>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</si>
  <si>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</si>
  <si>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</si>
  <si>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</si>
  <si>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</si>
  <si>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</si>
  <si>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</si>
  <si>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</si>
  <si>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</si>
  <si>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</si>
  <si>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</si>
  <si>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</si>
  <si>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</si>
  <si>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</si>
  <si>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</si>
  <si>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</si>
  <si>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</si>
  <si>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</si>
  <si>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</si>
  <si>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</si>
  <si>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</si>
  <si>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</si>
  <si>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</si>
  <si>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</si>
  <si>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</si>
  <si>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</si>
  <si>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</si>
  <si>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</si>
  <si>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</si>
  <si>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</si>
  <si>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</si>
  <si>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</si>
  <si>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</si>
  <si>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</si>
  <si>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</si>
  <si>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</si>
  <si>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</si>
  <si>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</si>
  <si>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</si>
  <si>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</si>
  <si>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</si>
  <si>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</si>
  <si>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</si>
  <si>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</si>
  <si>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</si>
  <si>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</si>
  <si>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</si>
  <si>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</si>
  <si>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</si>
  <si>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</si>
  <si>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</si>
  <si>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</si>
  <si>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</si>
  <si>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</si>
  <si>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</si>
  <si>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</si>
  <si>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</si>
  <si>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</si>
  <si>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</si>
  <si>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</si>
  <si>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</si>
  <si>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</si>
  <si>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</si>
  <si>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</si>
  <si>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</si>
  <si>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</si>
  <si>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</si>
  <si>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</si>
  <si>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</si>
  <si>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</si>
  <si>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</si>
  <si>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</si>
  <si>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</si>
  <si>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</si>
  <si>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</si>
  <si>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</si>
  <si>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</si>
  <si>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</si>
  <si>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</si>
  <si>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</si>
  <si>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</si>
  <si>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</si>
  <si>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</si>
  <si>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</si>
  <si>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</si>
  <si>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</si>
  <si>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</si>
  <si>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</si>
  <si>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</si>
  <si>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</si>
  <si>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</si>
  <si>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</si>
  <si>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</si>
  <si>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</si>
  <si>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</si>
  <si>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</si>
  <si>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</si>
  <si>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</si>
  <si>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</si>
  <si>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</si>
  <si>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</si>
  <si>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</si>
  <si>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</si>
  <si>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</si>
  <si>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</si>
  <si>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</si>
  <si>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</si>
  <si>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</si>
  <si>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</si>
  <si>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</si>
  <si>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</si>
  <si>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</si>
  <si>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</si>
  <si>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</si>
  <si>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</si>
  <si>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</si>
  <si>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</si>
  <si>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</si>
  <si>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</si>
  <si>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</si>
  <si>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</si>
  <si>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</si>
  <si>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</si>
  <si>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</si>
  <si>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</si>
  <si>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</si>
  <si>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</si>
  <si>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</si>
  <si>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</si>
  <si>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</si>
  <si>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</si>
  <si>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</si>
  <si>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</si>
  <si>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</si>
  <si>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</si>
  <si>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</si>
  <si>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</si>
  <si>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</si>
  <si>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</si>
  <si>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</si>
  <si>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</si>
  <si>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</si>
  <si>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</si>
  <si>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</si>
  <si>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</si>
  <si>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</si>
  <si>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</si>
  <si>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</si>
  <si>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</si>
  <si>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</si>
  <si>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</si>
  <si>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</si>
  <si>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</si>
  <si>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</si>
  <si>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</si>
  <si>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</si>
  <si>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</si>
  <si>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</si>
  <si>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</si>
  <si>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</si>
  <si>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</si>
  <si>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</si>
  <si>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</si>
  <si>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</si>
  <si>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</si>
  <si>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</si>
  <si>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</si>
  <si>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</si>
  <si>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</si>
  <si>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</si>
  <si>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</si>
  <si>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</si>
  <si>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</si>
  <si>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</si>
  <si>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</si>
  <si>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</si>
  <si>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</si>
  <si>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</si>
  <si>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</si>
  <si>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</si>
  <si>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</si>
  <si>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</si>
  <si>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</si>
  <si>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</si>
  <si>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</si>
  <si>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</si>
  <si>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</si>
  <si>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</si>
  <si>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</si>
  <si>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</si>
  <si>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</si>
  <si>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</si>
  <si>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</si>
  <si>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</si>
  <si>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</si>
  <si>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</si>
  <si>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</si>
  <si>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</si>
  <si>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</si>
  <si>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</si>
  <si>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</si>
  <si>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</si>
  <si>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</si>
  <si>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</si>
  <si>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</si>
  <si>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</si>
  <si>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</si>
  <si>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</si>
  <si>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</si>
  <si>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</si>
  <si>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</si>
  <si>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</si>
  <si>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</si>
  <si>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</si>
  <si>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</si>
  <si>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</si>
  <si>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</si>
  <si>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</si>
  <si>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</si>
  <si>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</si>
  <si>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</si>
  <si>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</si>
  <si>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</si>
  <si>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</si>
  <si>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</si>
  <si>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</si>
  <si>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</si>
  <si>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</si>
  <si>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</si>
  <si>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</si>
  <si>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</si>
  <si>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</si>
  <si>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</si>
  <si>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</si>
  <si>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</si>
  <si>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</si>
  <si>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</si>
  <si>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</si>
  <si>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</si>
  <si>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</si>
  <si>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</si>
  <si>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</si>
  <si>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</si>
  <si>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</si>
  <si>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</si>
  <si>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</si>
  <si>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</si>
  <si>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</si>
  <si>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</si>
  <si>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</si>
  <si>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</si>
  <si>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</si>
  <si>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</si>
  <si>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</si>
  <si>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</si>
  <si>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</si>
  <si>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</si>
  <si>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</si>
  <si>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</si>
  <si>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</si>
  <si>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</si>
  <si>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</si>
  <si>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</si>
  <si>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</si>
  <si>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</si>
  <si>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</si>
  <si>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</si>
  <si>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</si>
  <si>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</si>
  <si>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</si>
  <si>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</si>
  <si>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</si>
  <si>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</si>
  <si>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</si>
  <si>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</si>
  <si>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</si>
  <si>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</si>
  <si>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</si>
  <si>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</si>
  <si>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</si>
  <si>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</si>
  <si>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</si>
  <si>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</si>
  <si>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</si>
  <si>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</si>
  <si>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</si>
  <si>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</si>
  <si>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</si>
  <si>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</si>
  <si>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</si>
  <si>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</si>
  <si>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</si>
  <si>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</si>
  <si>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</si>
  <si>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</si>
  <si>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</si>
  <si>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</si>
  <si>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</si>
  <si>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</si>
  <si>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</si>
  <si>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</si>
  <si>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</si>
  <si>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</si>
  <si>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</si>
  <si>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</si>
  <si>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</si>
  <si>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</si>
  <si>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</si>
  <si>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</si>
  <si>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</si>
  <si>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</si>
  <si>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</si>
  <si>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</si>
  <si>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</si>
  <si>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</si>
  <si>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</si>
  <si>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</si>
  <si>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</si>
  <si>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</si>
  <si>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</si>
  <si>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</si>
  <si>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</si>
  <si>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</si>
  <si>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</si>
  <si>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</si>
  <si>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</si>
  <si>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</si>
  <si>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</si>
  <si>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</si>
  <si>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</si>
  <si>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</si>
  <si>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</si>
  <si>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</si>
  <si>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</si>
  <si>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</si>
  <si>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</si>
  <si>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</si>
  <si>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</si>
  <si>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</si>
  <si>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</si>
  <si>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</si>
  <si>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</si>
  <si>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</si>
  <si>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</si>
  <si>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</si>
  <si>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</si>
  <si>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</si>
  <si>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</si>
  <si>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</si>
  <si>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</si>
  <si>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</si>
  <si>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</si>
  <si>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</si>
  <si>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</si>
  <si>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</si>
  <si>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</si>
  <si>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</si>
  <si>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</si>
  <si>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</si>
  <si>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</si>
  <si>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</si>
  <si>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</si>
  <si>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</si>
  <si>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</si>
  <si>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</si>
  <si>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</si>
  <si>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</si>
  <si>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</si>
  <si>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</si>
  <si>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</si>
  <si>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</si>
  <si>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</si>
  <si>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</si>
  <si>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</si>
  <si>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</si>
  <si>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</si>
  <si>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</si>
  <si>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</si>
  <si>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</si>
  <si>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</si>
  <si>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</si>
  <si>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</si>
  <si>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</si>
  <si>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</si>
  <si>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</si>
  <si>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</si>
  <si>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</si>
  <si>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</si>
  <si>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</si>
  <si>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</si>
  <si>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</si>
  <si>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</si>
  <si>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</si>
  <si>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</si>
  <si>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</si>
  <si>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</si>
  <si>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</si>
  <si>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</si>
  <si>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</si>
  <si>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</si>
  <si>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</si>
  <si>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</si>
  <si>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</si>
  <si>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</si>
  <si>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</si>
  <si>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</si>
  <si>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</si>
  <si>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</si>
  <si>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</si>
  <si>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</si>
  <si>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</si>
  <si>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</si>
  <si>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</si>
  <si>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</si>
  <si>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</si>
  <si>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</si>
  <si>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</si>
  <si>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</si>
  <si>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</si>
  <si>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</si>
  <si>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</si>
  <si>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</si>
  <si>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</si>
  <si>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</si>
  <si>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</si>
  <si>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</si>
  <si>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</si>
  <si>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</si>
  <si>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</si>
  <si>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</si>
  <si>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</si>
  <si>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</si>
  <si>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</si>
  <si>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</si>
  <si>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</si>
  <si>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</si>
  <si>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</si>
  <si>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</si>
  <si>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</si>
  <si>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</si>
  <si>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</si>
  <si>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</si>
  <si>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</si>
  <si>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</si>
  <si>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</si>
  <si>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</si>
  <si>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</si>
  <si>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</si>
  <si>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</si>
  <si>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</si>
  <si>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</si>
  <si>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</si>
  <si>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</si>
  <si>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</si>
  <si>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</si>
  <si>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</si>
  <si>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</si>
  <si>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</si>
  <si>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</si>
  <si>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</si>
  <si>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</si>
  <si>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</si>
  <si>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</si>
  <si>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</si>
  <si>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</si>
  <si>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</si>
  <si>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</si>
  <si>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</si>
  <si>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</si>
  <si>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</si>
  <si>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</si>
  <si>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</si>
  <si>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</si>
  <si>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</si>
  <si>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</si>
  <si>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</si>
  <si>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</si>
  <si>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</si>
  <si>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</si>
  <si>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</si>
  <si>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</si>
  <si>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</si>
  <si>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</si>
  <si>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</si>
  <si>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</si>
  <si>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</si>
  <si>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</si>
  <si>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</si>
  <si>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</si>
  <si>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</si>
  <si>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</si>
  <si>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</si>
  <si>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</si>
  <si>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</si>
  <si>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</si>
  <si>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</si>
  <si>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</si>
  <si>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</si>
  <si>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</si>
  <si>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</si>
  <si>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</si>
  <si>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</si>
  <si>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</si>
  <si>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</si>
  <si>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</si>
  <si>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</si>
  <si>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</si>
  <si>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</si>
  <si>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</si>
  <si>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</si>
  <si>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</si>
  <si>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</si>
  <si>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</si>
  <si>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</si>
  <si>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</si>
  <si>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</si>
  <si>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</si>
  <si>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</si>
  <si>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</si>
  <si>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</si>
  <si>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</si>
  <si>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</si>
  <si>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</si>
  <si>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</si>
  <si>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</si>
  <si>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</si>
  <si>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</si>
  <si>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</si>
  <si>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</si>
  <si>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</si>
  <si>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</si>
  <si>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</si>
  <si>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</si>
  <si>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</si>
  <si>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</si>
  <si>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</si>
  <si>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</si>
  <si>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</si>
  <si>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</si>
  <si>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</si>
  <si>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</si>
  <si>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</si>
  <si>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</si>
  <si>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</si>
  <si>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</si>
  <si>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</si>
  <si>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</si>
  <si>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</si>
  <si>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</si>
  <si>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</si>
  <si>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</si>
  <si>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</si>
  <si>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</si>
  <si>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</si>
  <si>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</si>
  <si>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</si>
  <si>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</si>
  <si>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</si>
  <si>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</si>
  <si>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</si>
  <si>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</si>
  <si>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</si>
  <si>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</si>
  <si>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</si>
  <si>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</si>
  <si>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</si>
  <si>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</si>
  <si>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</si>
  <si>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</si>
  <si>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</si>
  <si>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</si>
  <si>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</si>
  <si>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</si>
  <si>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</si>
  <si>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</si>
  <si>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</si>
  <si>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</si>
  <si>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</si>
  <si>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</si>
  <si>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</si>
  <si>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</si>
  <si>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</si>
  <si>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</si>
  <si>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</si>
  <si>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</si>
  <si>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</si>
  <si>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</si>
  <si>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</si>
  <si>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</si>
  <si>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</si>
  <si>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</si>
  <si>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</si>
  <si>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</si>
  <si>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</si>
  <si>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</si>
  <si>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</si>
  <si>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</si>
  <si>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</si>
  <si>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</si>
  <si>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</si>
  <si>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</si>
  <si>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</si>
  <si>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</si>
  <si>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</si>
  <si>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</si>
  <si>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</si>
  <si>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</si>
  <si>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</si>
  <si>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</si>
  <si>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</si>
  <si>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</si>
  <si>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</si>
  <si>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</si>
  <si>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</si>
  <si>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</si>
  <si>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</si>
  <si>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</si>
  <si>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</si>
  <si>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</si>
  <si>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</si>
  <si>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</si>
  <si>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</si>
  <si>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</si>
  <si>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</si>
  <si>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</si>
  <si>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</si>
  <si>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</si>
  <si>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</si>
  <si>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</si>
  <si>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</si>
  <si>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</si>
  <si>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</si>
  <si>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</si>
  <si>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</si>
  <si>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</si>
  <si>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</si>
  <si>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</si>
  <si>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</si>
  <si>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</si>
  <si>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</si>
  <si>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</si>
  <si>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</si>
  <si>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</si>
  <si>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</si>
  <si>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</si>
  <si>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</si>
  <si>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</si>
  <si>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</si>
  <si>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</si>
  <si>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</si>
  <si>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</si>
  <si>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</si>
  <si>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</si>
  <si>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</si>
  <si>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</si>
  <si>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</si>
  <si>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</si>
  <si>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</si>
  <si>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</si>
  <si>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</si>
  <si>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</si>
  <si>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</si>
  <si>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</si>
  <si>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</si>
  <si>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</si>
  <si>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</si>
  <si>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</si>
  <si>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</si>
  <si>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</si>
  <si>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</si>
  <si>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</si>
  <si>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</si>
  <si>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</si>
  <si>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</si>
  <si>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</si>
  <si>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</si>
  <si>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</si>
  <si>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</si>
  <si>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</si>
  <si>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</si>
  <si>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</si>
  <si>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</si>
  <si>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</si>
  <si>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</si>
  <si>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</si>
  <si>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</si>
  <si>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</si>
  <si>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</si>
  <si>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</si>
  <si>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</si>
  <si>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</si>
  <si>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</si>
  <si>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</si>
  <si>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</si>
  <si>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</si>
  <si>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</si>
  <si>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</si>
  <si>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</si>
  <si>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</si>
  <si>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</si>
  <si>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</si>
  <si>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</si>
  <si>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</si>
  <si>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</si>
  <si>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</si>
  <si>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</si>
  <si>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</si>
  <si>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</si>
  <si>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</si>
  <si>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</si>
  <si>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</si>
  <si>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</si>
  <si>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</si>
  <si>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</si>
  <si>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</si>
  <si>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</si>
  <si>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</si>
  <si>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</si>
  <si>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</si>
  <si>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</si>
  <si>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</si>
  <si>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</si>
  <si>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</si>
  <si>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</si>
  <si>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</si>
  <si>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</si>
  <si>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</si>
  <si>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</si>
  <si>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</si>
  <si>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</si>
  <si>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</si>
  <si>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</si>
  <si>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</si>
  <si>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</si>
  <si>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</si>
  <si>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</si>
  <si>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</si>
  <si>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</si>
  <si>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</si>
  <si>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</si>
  <si>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</si>
  <si>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</si>
  <si>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</si>
  <si>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</si>
  <si>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</si>
  <si>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</si>
  <si>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</si>
  <si>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</si>
  <si>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</si>
  <si>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</si>
  <si>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</si>
  <si>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</si>
  <si>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</si>
  <si>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</si>
  <si>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</si>
  <si>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</si>
  <si>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</si>
  <si>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</si>
  <si>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</si>
  <si>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</si>
  <si>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</si>
  <si>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</si>
  <si>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</si>
  <si>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</si>
  <si>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</si>
  <si>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</si>
  <si>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</si>
  <si>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</si>
  <si>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</si>
  <si>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</si>
  <si>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</si>
  <si>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</si>
  <si>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</si>
  <si>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</si>
  <si>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</si>
  <si>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</si>
  <si>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</si>
  <si>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</si>
  <si>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</si>
  <si>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</si>
  <si>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</si>
  <si>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</si>
  <si>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</si>
  <si>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</si>
  <si>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</si>
  <si>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</si>
  <si>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</si>
  <si>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</si>
  <si>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</si>
  <si>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</si>
  <si>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</si>
  <si>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</si>
  <si>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</si>
  <si>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</si>
  <si>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</si>
  <si>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</si>
  <si>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</si>
  <si>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</si>
  <si>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</si>
  <si>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</si>
  <si>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</si>
  <si>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</si>
  <si>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</si>
  <si>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</si>
  <si>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</si>
  <si>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</si>
  <si>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</si>
  <si>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</si>
  <si>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</si>
  <si>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</si>
  <si>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</si>
  <si>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</si>
  <si>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</si>
  <si>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</si>
  <si>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</si>
  <si>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</si>
  <si>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</si>
  <si>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</si>
  <si>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</si>
  <si>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</si>
  <si>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</si>
  <si>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</si>
  <si>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</si>
  <si>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</si>
  <si>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</si>
  <si>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</si>
  <si>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</si>
  <si>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</si>
  <si>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</si>
  <si>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</si>
  <si>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</si>
  <si>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</si>
  <si>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</si>
  <si>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</si>
  <si>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</si>
  <si>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</si>
  <si>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</si>
  <si>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</si>
  <si>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</si>
  <si>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</si>
  <si>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</si>
  <si>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</si>
  <si>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</si>
  <si>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</si>
  <si>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</si>
  <si>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</si>
  <si>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</si>
  <si>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</si>
  <si>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</si>
  <si>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</si>
  <si>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</si>
  <si>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</si>
  <si>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</si>
  <si>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</si>
  <si>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</si>
  <si>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</si>
  <si>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</si>
  <si>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</si>
  <si>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</si>
  <si>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</si>
  <si>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</si>
  <si>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</si>
  <si>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</si>
  <si>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</si>
  <si>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</si>
  <si>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</si>
  <si>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</si>
  <si>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</si>
  <si>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</si>
  <si>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</si>
  <si>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</si>
  <si>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</si>
  <si>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</si>
  <si>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</si>
  <si>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</si>
  <si>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</si>
  <si>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</si>
  <si>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</si>
  <si>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</si>
  <si>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</si>
  <si>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</si>
  <si>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</si>
  <si>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</si>
  <si>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</si>
  <si>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</si>
  <si>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</si>
  <si>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</si>
  <si>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</si>
  <si>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</si>
  <si>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</si>
  <si>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</si>
  <si>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</si>
  <si>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</si>
  <si>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</si>
  <si>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</si>
  <si>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</si>
  <si>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</si>
  <si>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</si>
  <si>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</si>
  <si>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</si>
  <si>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</si>
  <si>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</si>
  <si>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</si>
  <si>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</si>
  <si>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</si>
  <si>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</si>
  <si>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</si>
  <si>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</si>
  <si>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</si>
  <si>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</si>
  <si>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</si>
  <si>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</si>
  <si>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</si>
  <si>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</si>
  <si>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</si>
  <si>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</si>
  <si>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</si>
  <si>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</si>
  <si>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</si>
  <si>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</si>
  <si>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</si>
  <si>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</si>
  <si>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</si>
  <si>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</si>
  <si>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</si>
  <si>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</si>
  <si>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</si>
  <si>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</si>
  <si>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</si>
  <si>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</si>
  <si>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</si>
  <si>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</si>
  <si>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</si>
  <si>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</si>
  <si>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</si>
  <si>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</si>
  <si>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</si>
  <si>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</si>
  <si>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</si>
  <si>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</si>
  <si>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</si>
  <si>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</si>
  <si>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</si>
  <si>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</si>
  <si>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</si>
  <si>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</si>
  <si>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</si>
  <si>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</si>
  <si>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</si>
  <si>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</si>
  <si>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</si>
  <si>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</si>
  <si>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</si>
  <si>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</si>
  <si>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</si>
  <si>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</si>
  <si>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</si>
  <si>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</si>
  <si>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</si>
  <si>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</si>
  <si>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</si>
  <si>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</si>
  <si>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</si>
  <si>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</si>
  <si>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</si>
  <si>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</si>
  <si>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</si>
  <si>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</si>
  <si>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</si>
  <si>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</si>
  <si>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</si>
  <si>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</si>
  <si>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</si>
  <si>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</si>
  <si>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</si>
  <si>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</si>
  <si>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</si>
  <si>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</si>
  <si>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</si>
  <si>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</si>
  <si>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</si>
  <si>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</si>
  <si>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</si>
  <si>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</si>
  <si>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</si>
  <si>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</si>
  <si>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</si>
  <si>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</si>
  <si>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</si>
  <si>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</si>
  <si>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</si>
  <si>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</si>
  <si>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</si>
  <si>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</si>
  <si>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</si>
  <si>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</si>
  <si>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</si>
  <si>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</si>
  <si>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</si>
  <si>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</si>
  <si>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</si>
  <si>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</si>
  <si>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</si>
  <si>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</si>
  <si>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</si>
  <si>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</si>
  <si>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</si>
  <si>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</si>
  <si>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</si>
  <si>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</si>
  <si>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</si>
  <si>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</si>
  <si>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</si>
  <si>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</si>
  <si>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</si>
  <si>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</si>
  <si>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</si>
  <si>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</si>
  <si>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</si>
  <si>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</si>
  <si>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</si>
  <si>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</si>
  <si>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</si>
  <si>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</si>
  <si>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</si>
  <si>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</si>
  <si>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</si>
  <si>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</si>
  <si>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</si>
  <si>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</si>
  <si>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</si>
  <si>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</si>
  <si>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</si>
  <si>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</si>
  <si>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</si>
  <si>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</si>
  <si>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</si>
  <si>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</si>
  <si>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</si>
  <si>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</si>
  <si>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</si>
  <si>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</si>
  <si>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</si>
  <si>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</si>
  <si>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</si>
  <si>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</si>
  <si>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</si>
  <si>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</si>
  <si>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</si>
  <si>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</si>
  <si>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</si>
  <si>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</si>
  <si>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</si>
  <si>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</si>
  <si>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</si>
  <si>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</si>
  <si>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</si>
  <si>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</si>
  <si>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</si>
  <si>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</si>
  <si>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</si>
  <si>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</si>
  <si>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</si>
  <si>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</si>
  <si>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</si>
  <si>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</si>
  <si>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</si>
  <si>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</si>
  <si>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</si>
  <si>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</si>
  <si>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</si>
  <si>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</si>
  <si>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</si>
  <si>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</si>
  <si>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</si>
  <si>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</si>
  <si>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</si>
  <si>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</si>
  <si>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</si>
  <si>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</si>
  <si>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</si>
  <si>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</si>
  <si>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</si>
  <si>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</si>
  <si>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</si>
  <si>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</si>
  <si>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</si>
  <si>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</si>
  <si>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</si>
  <si>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</si>
  <si>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</si>
  <si>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</si>
  <si>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</si>
  <si>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</si>
  <si>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</si>
  <si>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</si>
  <si>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</si>
  <si>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</si>
  <si>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</si>
  <si>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</si>
  <si>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</si>
  <si>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</si>
  <si>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</si>
  <si>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</si>
  <si>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</si>
  <si>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</si>
  <si>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</si>
  <si>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</si>
  <si>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</si>
  <si>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</si>
  <si>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</si>
  <si>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</si>
  <si>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</si>
  <si>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</si>
  <si>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</si>
  <si>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</si>
  <si>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</si>
  <si>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</si>
  <si>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</si>
  <si>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</si>
  <si>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</si>
  <si>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</si>
  <si>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</si>
  <si>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</si>
  <si>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</si>
  <si>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</si>
  <si>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</si>
  <si>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</si>
  <si>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</si>
  <si>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</si>
  <si>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</si>
  <si>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</si>
  <si>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</si>
  <si>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</si>
  <si>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</si>
  <si>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</si>
  <si>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</si>
  <si>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</si>
  <si>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</si>
  <si>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</si>
  <si>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</si>
  <si>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</si>
  <si>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</si>
  <si>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</si>
  <si>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</si>
  <si>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</si>
  <si>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</si>
  <si>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</si>
  <si>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</si>
  <si>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</si>
  <si>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</si>
  <si>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</si>
  <si>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</si>
  <si>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</si>
  <si>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</si>
  <si>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</si>
  <si>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</si>
  <si>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</si>
  <si>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</si>
  <si>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</si>
  <si>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</si>
  <si>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</si>
  <si>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</si>
  <si>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</si>
  <si>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</si>
  <si>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</si>
  <si>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</si>
  <si>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</si>
  <si>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</si>
  <si>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</si>
  <si>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</si>
  <si>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</si>
  <si>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</si>
  <si>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</si>
  <si>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</si>
  <si>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</si>
  <si>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</si>
  <si>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</si>
  <si>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</si>
  <si>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</si>
  <si>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</si>
  <si>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</si>
  <si>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</si>
  <si>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</si>
  <si>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</si>
  <si>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</si>
  <si>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</si>
  <si>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</si>
  <si>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</si>
  <si>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</si>
  <si>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</si>
  <si>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</si>
  <si>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</si>
  <si>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</si>
  <si>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</si>
  <si>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</si>
  <si>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</si>
  <si>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</si>
  <si>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</si>
  <si>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</si>
  <si>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</si>
  <si>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</si>
  <si>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</si>
  <si>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</si>
  <si>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</si>
  <si>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</si>
  <si>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</si>
  <si>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</si>
  <si>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</si>
  <si>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</si>
  <si>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</si>
  <si>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</si>
  <si>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</si>
  <si>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</si>
  <si>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</si>
  <si>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</si>
  <si>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</si>
  <si>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</si>
  <si>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</si>
  <si>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</si>
  <si>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</si>
  <si>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</si>
  <si>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</si>
  <si>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</si>
  <si>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</si>
  <si>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</si>
  <si>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</si>
  <si>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</si>
  <si>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</si>
  <si>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</si>
  <si>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</si>
  <si>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</si>
  <si>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</si>
  <si>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</si>
  <si>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</si>
  <si>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</si>
  <si>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</si>
  <si>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</si>
  <si>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</si>
  <si>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</si>
  <si>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</si>
  <si>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</si>
  <si>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</si>
  <si>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</si>
  <si>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</si>
  <si>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</si>
  <si>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</si>
  <si>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</si>
  <si>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</si>
  <si>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</si>
  <si>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</si>
  <si>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</si>
  <si>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</si>
  <si>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</si>
  <si>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</si>
  <si>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</si>
  <si>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</si>
  <si>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</si>
  <si>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</si>
  <si>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</si>
  <si>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</si>
  <si>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</si>
  <si>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</si>
  <si>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</si>
  <si>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</si>
  <si>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</si>
  <si>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</si>
  <si>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</si>
  <si>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</si>
  <si>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</si>
  <si>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</si>
  <si>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</si>
  <si>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</si>
  <si>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</si>
  <si>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</si>
  <si>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</si>
  <si>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</si>
  <si>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</si>
  <si>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</si>
  <si>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</si>
  <si>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</si>
  <si>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</si>
  <si>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</si>
  <si>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</si>
  <si>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</si>
  <si>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</si>
  <si>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</si>
  <si>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</si>
  <si>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</si>
  <si>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</si>
  <si>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</si>
  <si>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</si>
  <si>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</si>
  <si>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</si>
  <si>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</si>
  <si>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</si>
  <si>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</si>
  <si>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</si>
  <si>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</si>
  <si>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</si>
  <si>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</si>
  <si>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</si>
  <si>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</si>
  <si>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</si>
  <si>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</si>
  <si>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</si>
  <si>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</si>
  <si>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</si>
  <si>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</si>
  <si>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</si>
  <si>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</si>
  <si>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</si>
  <si>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</si>
  <si>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</si>
  <si>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</si>
  <si>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</si>
  <si>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</si>
  <si>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</si>
  <si>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</si>
  <si>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</si>
  <si>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</si>
  <si>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</si>
  <si>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</si>
  <si>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</si>
  <si>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</si>
  <si>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</si>
  <si>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</si>
  <si>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</si>
  <si>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</si>
  <si>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</si>
  <si>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</si>
  <si>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</si>
  <si>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</si>
  <si>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</si>
  <si>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</si>
  <si>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</si>
  <si>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</si>
  <si>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</si>
  <si>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</si>
  <si>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</si>
  <si>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</si>
  <si>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</si>
  <si>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</si>
  <si>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</si>
  <si>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</si>
  <si>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</si>
  <si>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</si>
  <si>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</si>
  <si>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</si>
  <si>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</si>
  <si>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</si>
  <si>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</si>
  <si>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</si>
  <si>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</si>
  <si>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</si>
  <si>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</si>
  <si>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</si>
  <si>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</si>
  <si>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</si>
  <si>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</si>
  <si>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</si>
  <si>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</si>
  <si>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</si>
  <si>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</si>
  <si>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</si>
  <si>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</si>
  <si>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</si>
  <si>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</si>
  <si>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</si>
  <si>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</si>
  <si>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</si>
  <si>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</si>
  <si>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</si>
  <si>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</si>
  <si>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</si>
  <si>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</si>
  <si>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</si>
  <si>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</si>
  <si>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</si>
  <si>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</si>
  <si>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</si>
  <si>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</si>
  <si>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</si>
  <si>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</si>
  <si>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</si>
  <si>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</si>
  <si>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</si>
  <si>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</si>
  <si>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</si>
  <si>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</si>
  <si>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</si>
  <si>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</si>
  <si>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</si>
  <si>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</si>
  <si>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</si>
  <si>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</si>
  <si>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</si>
  <si>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</si>
  <si>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</si>
  <si>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</si>
  <si>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</si>
  <si>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</si>
  <si>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</si>
  <si>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</si>
  <si>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</si>
  <si>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</si>
  <si>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</si>
  <si>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</si>
  <si>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</si>
  <si>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</si>
  <si>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</si>
  <si>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</si>
  <si>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</si>
  <si>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</si>
  <si>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</si>
  <si>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</si>
  <si>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</si>
  <si>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</si>
  <si>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</si>
  <si>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</si>
  <si>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</si>
  <si>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</si>
  <si>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</si>
  <si>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</si>
  <si>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</si>
  <si>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</si>
  <si>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</si>
  <si>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</si>
  <si>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</si>
  <si>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</si>
  <si>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</si>
  <si>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</si>
  <si>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</si>
  <si>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</si>
  <si>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</si>
  <si>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</si>
  <si>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</si>
  <si>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</si>
  <si>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</si>
  <si>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</si>
  <si>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</si>
  <si>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</si>
  <si>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</si>
  <si>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</si>
  <si>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</si>
  <si>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</si>
  <si>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</si>
  <si>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</si>
  <si>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</si>
  <si>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</si>
  <si>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</si>
  <si>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</si>
  <si>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</si>
  <si>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</si>
  <si>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</si>
  <si>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</si>
  <si>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</si>
  <si>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</si>
  <si>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</si>
  <si>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</si>
  <si>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</si>
  <si>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</si>
  <si>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</si>
  <si>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</si>
  <si>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</si>
  <si>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</si>
  <si>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</si>
  <si>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</si>
  <si>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</si>
  <si>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</si>
  <si>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</si>
  <si>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</si>
  <si>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</si>
  <si>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</si>
  <si>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</si>
  <si>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</si>
  <si>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</si>
  <si>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</si>
  <si>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</si>
  <si>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</si>
  <si>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</si>
  <si>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</si>
  <si>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</si>
  <si>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</si>
  <si>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</si>
  <si>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</si>
  <si>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</si>
  <si>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</si>
  <si>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</si>
  <si>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</si>
  <si>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</si>
  <si>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</si>
  <si>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</si>
  <si>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</si>
  <si>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</si>
  <si>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</si>
  <si>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</si>
  <si>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</si>
  <si>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</si>
  <si>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</si>
  <si>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</si>
  <si>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</si>
  <si>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</si>
  <si>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</si>
  <si>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</si>
  <si>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</si>
  <si>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</si>
  <si>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</si>
  <si>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</si>
  <si>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</si>
  <si>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</si>
  <si>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</si>
  <si>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</si>
  <si>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</si>
  <si>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</si>
  <si>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</si>
  <si>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</si>
  <si>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</si>
  <si>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</si>
  <si>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</si>
  <si>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</si>
  <si>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</si>
  <si>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</si>
  <si>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</si>
  <si>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</si>
  <si>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</si>
  <si>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</si>
  <si>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</si>
  <si>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</si>
  <si>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</si>
  <si>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</si>
  <si>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</si>
  <si>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</si>
  <si>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</si>
  <si>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</si>
  <si>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</si>
  <si>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</si>
  <si>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</si>
  <si>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</si>
  <si>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</si>
  <si>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</si>
  <si>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</si>
  <si>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</si>
  <si>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</si>
  <si>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</si>
  <si>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</si>
  <si>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</si>
  <si>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</si>
  <si>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</si>
  <si>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</si>
  <si>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</si>
  <si>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</si>
  <si>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</si>
  <si>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</si>
  <si>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</si>
  <si>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</si>
  <si>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</si>
  <si>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</si>
  <si>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</si>
  <si>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</si>
  <si>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</si>
  <si>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</si>
  <si>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</si>
  <si>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</si>
  <si>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</si>
  <si>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</si>
  <si>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</si>
  <si>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</si>
  <si>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</si>
  <si>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</si>
  <si>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</si>
  <si>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</si>
  <si>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</si>
  <si>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</si>
  <si>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</si>
  <si>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</si>
  <si>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</si>
  <si>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</si>
  <si>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</si>
  <si>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</si>
  <si>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</si>
  <si>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</si>
  <si>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</si>
  <si>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</si>
  <si>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</si>
  <si>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</si>
  <si>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</si>
  <si>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</si>
  <si>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</si>
  <si>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</si>
  <si>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</si>
  <si>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</si>
  <si>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</si>
  <si>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</si>
  <si>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</si>
  <si>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</si>
  <si>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</si>
  <si>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</si>
  <si>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</si>
  <si>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</si>
  <si>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</si>
  <si>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</si>
  <si>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</si>
  <si>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</si>
  <si>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</si>
  <si>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</si>
  <si>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</si>
  <si>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</si>
  <si>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</si>
  <si>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</si>
  <si>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</si>
  <si>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</si>
  <si>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</si>
  <si>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</si>
  <si>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</si>
  <si>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</si>
  <si>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</si>
  <si>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</si>
  <si>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</si>
  <si>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</si>
  <si>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</si>
  <si>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</si>
  <si>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</si>
  <si>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</si>
  <si>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</si>
  <si>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</si>
  <si>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</si>
  <si>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</si>
  <si>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</si>
  <si>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</si>
  <si>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</si>
  <si>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</si>
  <si>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</si>
  <si>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</si>
  <si>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</si>
  <si>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</si>
  <si>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</si>
  <si>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</si>
  <si>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</si>
  <si>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</si>
  <si>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</si>
  <si>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</si>
  <si>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</si>
  <si>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</si>
  <si>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</si>
  <si>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</si>
  <si>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</si>
  <si>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</si>
  <si>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</si>
  <si>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</si>
  <si>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</si>
  <si>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</si>
  <si>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</si>
  <si>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</si>
  <si>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</si>
  <si>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</si>
  <si>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</si>
  <si>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</si>
  <si>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</si>
  <si>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</si>
  <si>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</si>
  <si>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</si>
  <si>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</si>
  <si>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</si>
  <si>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</si>
  <si>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</si>
  <si>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</si>
  <si>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</si>
  <si>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</si>
  <si>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</si>
  <si>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</si>
  <si>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</si>
  <si>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</si>
  <si>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</si>
  <si>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</si>
  <si>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</si>
  <si>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</si>
  <si>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</si>
  <si>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</si>
  <si>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</si>
  <si>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</si>
  <si>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</si>
  <si>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</si>
  <si>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</si>
  <si>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</si>
  <si>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</si>
  <si>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</si>
  <si>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</si>
  <si>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</si>
  <si>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</si>
  <si>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</si>
  <si>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</si>
  <si>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</si>
  <si>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</si>
  <si>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</si>
  <si>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</si>
  <si>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</si>
  <si>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</si>
  <si>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</si>
  <si>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</si>
  <si>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</si>
  <si>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</si>
  <si>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</si>
  <si>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</si>
  <si>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</si>
  <si>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</si>
  <si>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</si>
  <si>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</si>
  <si>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</si>
  <si>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</si>
  <si>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</si>
  <si>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</si>
  <si>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</si>
  <si>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</si>
  <si>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</si>
  <si>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</si>
  <si>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</si>
  <si>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</si>
  <si>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</si>
  <si>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</si>
  <si>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</si>
  <si>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</si>
  <si>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</si>
  <si>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</si>
  <si>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</si>
  <si>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</si>
  <si>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</si>
  <si>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</si>
  <si>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</si>
  <si>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</si>
  <si>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</si>
  <si>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</si>
  <si>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</si>
  <si>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</si>
  <si>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</si>
  <si>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</si>
  <si>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</si>
  <si>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</si>
  <si>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</si>
  <si>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</si>
  <si>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</si>
  <si>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</si>
  <si>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</si>
  <si>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</si>
  <si>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</si>
  <si>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</si>
  <si>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</si>
  <si>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</si>
  <si>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</si>
  <si>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</si>
  <si>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</si>
  <si>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</si>
  <si>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</si>
  <si>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</si>
  <si>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</si>
  <si>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</si>
  <si>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</si>
  <si>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</si>
  <si>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</si>
  <si>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</si>
  <si>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</si>
  <si>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</si>
  <si>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</si>
  <si>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</si>
  <si>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</si>
  <si>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</si>
  <si>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</si>
  <si>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</si>
  <si>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</si>
  <si>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</si>
  <si>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</si>
  <si>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</si>
  <si>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</si>
  <si>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</si>
  <si>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</si>
  <si>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</si>
  <si>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</si>
  <si>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</si>
  <si>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</si>
  <si>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</si>
  <si>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</si>
  <si>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</si>
  <si>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</si>
  <si>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</si>
  <si>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</si>
  <si>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</si>
  <si>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</si>
  <si>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</si>
  <si>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</si>
  <si>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</si>
  <si>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</si>
  <si>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</si>
  <si>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</si>
  <si>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</si>
  <si>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</si>
  <si>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</si>
  <si>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</si>
  <si>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</si>
  <si>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</si>
  <si>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</si>
  <si>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</si>
  <si>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</si>
  <si>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</si>
  <si>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</si>
  <si>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</si>
  <si>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</si>
  <si>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</si>
  <si>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</si>
  <si>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</si>
  <si>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</si>
  <si>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</si>
  <si>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</si>
  <si>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</si>
  <si>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</si>
  <si>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</si>
  <si>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</si>
  <si>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</si>
  <si>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</si>
  <si>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</si>
  <si>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</si>
  <si>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</si>
  <si>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</si>
  <si>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</si>
  <si>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</si>
  <si>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</si>
  <si>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</si>
  <si>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</si>
  <si>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</si>
  <si>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</si>
  <si>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</si>
  <si>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</si>
  <si>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</si>
  <si>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</si>
  <si>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</si>
  <si>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</si>
  <si>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</si>
  <si>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</si>
  <si>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</si>
  <si>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</si>
  <si>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</si>
  <si>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</si>
  <si>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</si>
  <si>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</si>
  <si>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</si>
  <si>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</si>
  <si>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</si>
  <si>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</si>
  <si>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</si>
  <si>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</si>
  <si>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</si>
  <si>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</si>
  <si>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</si>
  <si>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</si>
  <si>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</si>
  <si>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</si>
  <si>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</si>
  <si>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</si>
  <si>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</si>
  <si>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</si>
  <si>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</si>
  <si>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</si>
  <si>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</si>
  <si>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</si>
  <si>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</si>
  <si>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</si>
  <si>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</si>
  <si>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</si>
  <si>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</si>
  <si>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</si>
  <si>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</si>
  <si>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</si>
  <si>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</si>
  <si>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</si>
  <si>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</si>
  <si>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</si>
  <si>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</si>
  <si>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</si>
  <si>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</si>
  <si>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</si>
  <si>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</si>
  <si>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</si>
  <si>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</si>
  <si>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</si>
  <si>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</si>
  <si>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</si>
  <si>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</si>
  <si>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</si>
  <si>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</si>
  <si>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</si>
  <si>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</si>
  <si>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</si>
  <si>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</si>
  <si>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</si>
  <si>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</si>
  <si>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</si>
  <si>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</si>
  <si>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</si>
  <si>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</si>
  <si>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</si>
  <si>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</si>
  <si>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</si>
  <si>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</si>
  <si>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</si>
  <si>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</si>
  <si>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</si>
  <si>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</si>
  <si>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</si>
  <si>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</si>
  <si>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</si>
  <si>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</si>
  <si>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</si>
  <si>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</si>
  <si>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</si>
  <si>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</si>
  <si>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</si>
  <si>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</si>
  <si>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</si>
  <si>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</si>
  <si>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</si>
  <si>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</si>
  <si>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</si>
  <si>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</si>
  <si>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</si>
  <si>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</si>
  <si>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</si>
  <si>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</si>
  <si>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</si>
  <si>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</si>
  <si>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</si>
  <si>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</si>
  <si>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</si>
  <si>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</si>
  <si>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</si>
  <si>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</si>
  <si>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</si>
  <si>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</si>
  <si>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</si>
  <si>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</si>
  <si>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</si>
  <si>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</si>
  <si>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</si>
  <si>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</si>
  <si>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</si>
  <si>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</si>
  <si>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</si>
  <si>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</si>
  <si>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</si>
  <si>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</si>
  <si>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</si>
  <si>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</si>
  <si>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</si>
  <si>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</si>
  <si>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</si>
  <si>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</si>
  <si>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</si>
  <si>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</si>
  <si>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</si>
  <si>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</si>
  <si>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</si>
  <si>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</si>
  <si>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</si>
  <si>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</si>
  <si>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</si>
  <si>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</si>
  <si>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</si>
  <si>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</si>
  <si>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</si>
  <si>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</si>
  <si>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</si>
  <si>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</si>
  <si>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</si>
  <si>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</si>
  <si>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</si>
  <si>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</si>
  <si>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</si>
  <si>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</si>
  <si>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</si>
  <si>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</si>
  <si>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</si>
  <si>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</si>
  <si>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</si>
  <si>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</si>
  <si>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</si>
  <si>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</si>
  <si>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</si>
  <si>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</si>
  <si>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</si>
  <si>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</si>
  <si>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</si>
  <si>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</si>
  <si>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</si>
  <si>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</si>
  <si>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</si>
  <si>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</si>
  <si>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</si>
  <si>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</si>
  <si>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</si>
  <si>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</si>
  <si>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</si>
  <si>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</si>
  <si>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</si>
  <si>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</si>
  <si>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</si>
  <si>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</si>
  <si>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</si>
  <si>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</si>
  <si>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</si>
  <si>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</si>
  <si>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</si>
  <si>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</si>
  <si>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</si>
  <si>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</si>
  <si>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</si>
  <si>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</si>
  <si>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</si>
  <si>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</si>
  <si>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</si>
  <si>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</si>
  <si>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</si>
  <si>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</si>
  <si>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</si>
  <si>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</si>
  <si>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</si>
  <si>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</si>
  <si>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</si>
  <si>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</si>
  <si>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</si>
  <si>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</si>
  <si>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</si>
  <si>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</si>
  <si>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</si>
  <si>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</si>
  <si>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</si>
  <si>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</si>
  <si>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</si>
  <si>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</si>
  <si>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</si>
  <si>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</si>
  <si>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</si>
  <si>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</si>
  <si>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</si>
  <si>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</si>
  <si>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</si>
  <si>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</si>
  <si>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</si>
  <si>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</si>
  <si>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</si>
  <si>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</si>
  <si>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</si>
  <si>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</si>
  <si>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</si>
  <si>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</si>
  <si>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</si>
  <si>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</si>
  <si>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</si>
  <si>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</si>
  <si>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</si>
  <si>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</si>
  <si>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</si>
  <si>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</si>
  <si>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</si>
  <si>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</si>
  <si>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</si>
  <si>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</si>
  <si>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</si>
  <si>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</si>
  <si>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</si>
  <si>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</si>
  <si>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</si>
  <si>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</si>
  <si>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</si>
  <si>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</si>
  <si>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</si>
  <si>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</si>
  <si>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</si>
  <si>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</si>
  <si>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</si>
  <si>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</si>
  <si>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</si>
  <si>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</si>
  <si>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</si>
  <si>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</si>
  <si>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</si>
  <si>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</si>
  <si>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</si>
  <si>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</si>
  <si>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</si>
  <si>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</si>
  <si>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</si>
  <si>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</si>
  <si>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</si>
  <si>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</si>
  <si>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</si>
  <si>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</si>
  <si>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</si>
  <si>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</si>
  <si>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</si>
  <si>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</si>
  <si>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</si>
  <si>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</si>
  <si>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</si>
  <si>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</si>
  <si>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</si>
  <si>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</si>
  <si>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</si>
  <si>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</si>
  <si>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</si>
  <si>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</si>
  <si>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</si>
  <si>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</si>
  <si>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</si>
  <si>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</si>
  <si>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</si>
  <si>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</si>
  <si>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</si>
  <si>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</si>
  <si>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</si>
  <si>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</si>
  <si>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</si>
  <si>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</si>
  <si>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</si>
  <si>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</si>
  <si>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</si>
  <si>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</si>
  <si>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</si>
  <si>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</si>
  <si>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</si>
  <si>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</si>
  <si>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</si>
  <si>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</si>
  <si>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</si>
  <si>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</si>
  <si>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</si>
  <si>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</si>
  <si>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</si>
  <si>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</si>
  <si>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</si>
  <si>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</si>
  <si>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</si>
  <si>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</si>
  <si>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</si>
  <si>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</si>
  <si>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</si>
  <si>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</si>
  <si>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</si>
  <si>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</si>
  <si>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</si>
  <si>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</si>
  <si>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</si>
  <si>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</si>
  <si>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</si>
  <si>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</si>
  <si>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</si>
  <si>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</si>
  <si>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</si>
  <si>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</si>
  <si>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</si>
  <si>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</si>
  <si>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</si>
  <si>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</si>
  <si>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</si>
  <si>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</si>
  <si>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</si>
  <si>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</si>
  <si>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</si>
  <si>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</si>
  <si>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</si>
  <si>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</si>
  <si>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</si>
  <si>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</si>
  <si>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</si>
  <si>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</si>
  <si>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</si>
  <si>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</si>
  <si>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</si>
  <si>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</si>
  <si>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</si>
  <si>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</si>
  <si>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</si>
  <si>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</si>
  <si>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</si>
  <si>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</si>
  <si>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</si>
  <si>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</si>
  <si>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</si>
  <si>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</si>
  <si>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</si>
  <si>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</si>
  <si>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</si>
  <si>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</si>
  <si>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</si>
  <si>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</si>
  <si>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</si>
  <si>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</si>
  <si>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</si>
  <si>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</si>
  <si>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</si>
  <si>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</si>
  <si>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</si>
  <si>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</si>
  <si>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</si>
  <si>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</si>
  <si>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</si>
  <si>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</si>
  <si>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</si>
  <si>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</si>
  <si>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</si>
  <si>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</si>
  <si>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</si>
  <si>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</si>
  <si>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</si>
  <si>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</si>
  <si>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</si>
  <si>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</si>
  <si>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</si>
  <si>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</si>
  <si>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</si>
  <si>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</si>
  <si>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</si>
  <si>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</si>
  <si>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</si>
  <si>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</si>
  <si>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</si>
  <si>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</si>
  <si>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</si>
  <si>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</si>
  <si>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</si>
  <si>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</si>
  <si>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</si>
  <si>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</si>
  <si>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</si>
  <si>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</si>
  <si>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</si>
  <si>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</si>
  <si>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</si>
  <si>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</si>
  <si>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</si>
  <si>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</si>
  <si>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</si>
  <si>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</si>
  <si>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</si>
  <si>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</si>
  <si>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</si>
  <si>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</si>
  <si>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</si>
  <si>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</si>
  <si>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</si>
  <si>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</si>
  <si>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</si>
  <si>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</si>
  <si>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</si>
  <si>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</si>
  <si>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</si>
  <si>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</si>
  <si>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</si>
  <si>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</si>
  <si>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</si>
  <si>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</si>
  <si>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</si>
  <si>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</si>
  <si>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</si>
  <si>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</si>
  <si>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</si>
  <si>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</si>
  <si>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</si>
  <si>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</si>
  <si>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</si>
  <si>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</si>
  <si>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</si>
  <si>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</si>
  <si>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</si>
  <si>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</si>
  <si>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</si>
  <si>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</si>
  <si>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</si>
  <si>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</si>
  <si>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</si>
  <si>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</si>
  <si>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</si>
  <si>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</si>
  <si>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</si>
  <si>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</si>
  <si>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</si>
  <si>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</si>
  <si>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</si>
  <si>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</si>
  <si>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</si>
  <si>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</si>
  <si>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</si>
  <si>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</si>
  <si>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</si>
  <si>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</si>
  <si>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</si>
  <si>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</si>
  <si>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</si>
  <si>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</si>
  <si>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</si>
  <si>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</si>
  <si>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</si>
  <si>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</si>
  <si>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</si>
  <si>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</si>
  <si>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</si>
  <si>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</si>
  <si>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</si>
  <si>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</si>
  <si>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</si>
  <si>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</si>
  <si>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</si>
  <si>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</si>
  <si>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</si>
  <si>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</si>
  <si>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</si>
  <si>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</si>
  <si>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</si>
  <si>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</si>
  <si>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</si>
  <si>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</si>
  <si>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</si>
  <si>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</si>
  <si>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</si>
  <si>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</si>
  <si>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</si>
  <si>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</si>
  <si>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</si>
  <si>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</si>
  <si>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</si>
  <si>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</si>
  <si>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</si>
  <si>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</si>
  <si>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</si>
  <si>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</si>
  <si>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</si>
  <si>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</si>
  <si>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</si>
  <si>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</si>
  <si>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</si>
  <si>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</si>
  <si>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</si>
  <si>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</si>
  <si>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</si>
  <si>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</si>
  <si>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</si>
  <si>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</si>
  <si>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</si>
  <si>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</si>
  <si>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</si>
  <si>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</si>
  <si>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</si>
  <si>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</si>
  <si>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</si>
  <si>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</si>
  <si>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</si>
  <si>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</si>
  <si>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</si>
  <si>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</si>
  <si>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</si>
  <si>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</si>
  <si>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</si>
  <si>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</si>
  <si>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</si>
  <si>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</si>
  <si>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</si>
  <si>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</si>
  <si>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</si>
  <si>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</si>
  <si>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</si>
  <si>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</si>
  <si>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</si>
  <si>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</si>
  <si>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</si>
  <si>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</si>
  <si>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</si>
  <si>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</si>
  <si>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</si>
  <si>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</si>
  <si>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</si>
  <si>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</si>
  <si>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</si>
  <si>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</si>
  <si>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</si>
  <si>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</si>
  <si>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</si>
  <si>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</si>
  <si>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</si>
  <si>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</si>
  <si>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</si>
  <si>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</si>
  <si>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</si>
  <si>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</si>
  <si>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</si>
  <si>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</si>
  <si>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</si>
  <si>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</si>
  <si>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</si>
  <si>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</si>
  <si>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</si>
  <si>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</si>
  <si>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</si>
  <si>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</si>
  <si>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</si>
  <si>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</si>
  <si>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</si>
  <si>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</si>
  <si>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</si>
  <si>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</si>
  <si>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</si>
  <si>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</si>
  <si>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</si>
  <si>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</si>
  <si>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</si>
  <si>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</si>
  <si>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</si>
  <si>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</si>
  <si>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</si>
  <si>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</si>
  <si>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</si>
  <si>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</si>
  <si>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</si>
  <si>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</si>
  <si>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</si>
  <si>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</si>
  <si>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</si>
  <si>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</si>
  <si>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</si>
  <si>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</si>
  <si>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</si>
  <si>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</si>
  <si>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</si>
  <si>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</si>
  <si>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</si>
  <si>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</si>
  <si>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</si>
  <si>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</si>
  <si>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</si>
  <si>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</si>
  <si>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</si>
  <si>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</si>
  <si>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</si>
  <si>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</si>
  <si>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</si>
  <si>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</si>
  <si>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</si>
  <si>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</si>
  <si>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</si>
  <si>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</si>
  <si>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</si>
  <si>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</si>
  <si>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</si>
  <si>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</si>
  <si>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</si>
  <si>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</si>
  <si>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</si>
  <si>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</si>
  <si>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</si>
  <si>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</si>
  <si>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</si>
  <si>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</si>
  <si>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</si>
  <si>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</si>
  <si>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</si>
  <si>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</si>
  <si>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</si>
  <si>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</si>
  <si>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</si>
  <si>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</si>
  <si>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</si>
  <si>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</si>
  <si>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</si>
  <si>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</si>
  <si>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</si>
  <si>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</si>
  <si>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</si>
  <si>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</si>
  <si>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</si>
  <si>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</si>
  <si>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</si>
  <si>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</si>
  <si>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</si>
  <si>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</si>
  <si>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</si>
  <si>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</si>
  <si>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</si>
  <si>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</si>
  <si>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</si>
  <si>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</si>
  <si>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</si>
  <si>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</si>
  <si>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</si>
  <si>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</si>
  <si>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</si>
  <si>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</si>
  <si>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</si>
  <si>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</si>
  <si>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</si>
  <si>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</si>
  <si>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</si>
  <si>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</si>
  <si>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</si>
  <si>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</si>
  <si>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</si>
  <si>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</si>
  <si>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</si>
  <si>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</si>
  <si>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</si>
  <si>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</si>
  <si>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</si>
  <si>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</si>
  <si>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</si>
  <si>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</si>
  <si>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</si>
  <si>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</si>
  <si>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</si>
  <si>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</si>
  <si>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</si>
  <si>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</si>
  <si>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</si>
  <si>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</si>
  <si>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</si>
  <si>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</si>
  <si>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</si>
  <si>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</si>
  <si>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</si>
  <si>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</si>
  <si>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</si>
  <si>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</si>
  <si>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</si>
  <si>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</si>
  <si>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</si>
  <si>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</si>
  <si>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</si>
  <si>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</si>
  <si>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</si>
  <si>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</si>
  <si>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</si>
  <si>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</si>
  <si>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</si>
  <si>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</si>
  <si>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</si>
  <si>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</si>
  <si>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</si>
  <si>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</si>
  <si>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</si>
  <si>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</si>
  <si>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</si>
  <si>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</si>
  <si>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</si>
  <si>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</si>
  <si>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</si>
  <si>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</si>
  <si>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</si>
  <si>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</si>
  <si>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</si>
  <si>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</si>
  <si>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</si>
  <si>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</si>
  <si>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</si>
  <si>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</si>
  <si>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</si>
  <si>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</si>
  <si>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</si>
  <si>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</si>
  <si>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</si>
  <si>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</si>
  <si>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</si>
  <si>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</si>
  <si>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</si>
  <si>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</si>
  <si>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</si>
  <si>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</si>
  <si>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</si>
  <si>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</si>
  <si>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</si>
  <si>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</si>
  <si>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</si>
  <si>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</si>
  <si>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</si>
  <si>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</si>
  <si>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</si>
  <si>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</si>
  <si>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</si>
  <si>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</si>
  <si>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</si>
  <si>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</si>
  <si>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</si>
  <si>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</si>
  <si>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</si>
  <si>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</si>
  <si>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</si>
  <si>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</si>
  <si>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</si>
  <si>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</si>
  <si>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</si>
  <si>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</si>
  <si>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</si>
  <si>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</si>
  <si>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</si>
  <si>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</si>
  <si>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</si>
  <si>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</si>
  <si>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</si>
  <si>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</si>
  <si>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</si>
  <si>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</si>
  <si>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</si>
  <si>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</si>
  <si>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</si>
  <si>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</si>
  <si>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</si>
  <si>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</si>
  <si>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</si>
  <si>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</si>
  <si>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</si>
  <si>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</si>
  <si>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</si>
  <si>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</si>
  <si>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</si>
  <si>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</si>
  <si>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</si>
  <si>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</si>
  <si>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</si>
  <si>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</si>
  <si>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</si>
  <si>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</si>
  <si>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</si>
  <si>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</si>
  <si>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</si>
  <si>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</si>
  <si>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</si>
  <si>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</si>
  <si>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</si>
  <si>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</si>
  <si>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</si>
  <si>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</si>
  <si>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</si>
  <si>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</si>
  <si>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</si>
  <si>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</si>
  <si>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</si>
  <si>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</si>
  <si>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</si>
  <si>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</si>
  <si>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</si>
  <si>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</si>
  <si>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</si>
  <si>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</si>
  <si>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</si>
  <si>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</si>
  <si>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</si>
  <si>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</si>
  <si>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</si>
  <si>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</si>
  <si>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</si>
  <si>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</si>
  <si>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</si>
  <si>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</si>
  <si>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</si>
  <si>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</si>
  <si>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</si>
  <si>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</si>
  <si>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</si>
  <si>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</si>
  <si>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</si>
  <si>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</si>
  <si>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</si>
  <si>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</si>
  <si>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</si>
  <si>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</si>
  <si>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</si>
  <si>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</si>
  <si>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</si>
  <si>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</si>
  <si>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</si>
  <si>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</si>
  <si>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</si>
  <si>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</si>
  <si>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</si>
  <si>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</si>
  <si>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</si>
  <si>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</si>
  <si>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</si>
  <si>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</si>
  <si>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</si>
  <si>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</si>
  <si>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</si>
  <si>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</si>
  <si>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</si>
  <si>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</si>
  <si>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</si>
  <si>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</si>
  <si>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</si>
  <si>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</si>
  <si>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</si>
  <si>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</si>
  <si>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</si>
  <si>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</si>
  <si>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</si>
  <si>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</si>
  <si>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</si>
  <si>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</si>
  <si>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</si>
  <si>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</si>
  <si>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</si>
  <si>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</si>
  <si>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</si>
  <si>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</si>
  <si>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</si>
  <si>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</si>
  <si>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</si>
  <si>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</si>
  <si>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</si>
  <si>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</si>
  <si>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</si>
  <si>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</si>
  <si>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</si>
  <si>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</si>
  <si>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</si>
  <si>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</si>
  <si>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</si>
  <si>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</si>
  <si>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</si>
  <si>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</si>
  <si>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</si>
  <si>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</si>
  <si>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</si>
  <si>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</si>
  <si>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</si>
  <si>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</si>
  <si>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</si>
  <si>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</si>
  <si>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</si>
  <si>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</si>
  <si>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</si>
  <si>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</si>
  <si>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</si>
  <si>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</si>
  <si>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</si>
  <si>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</si>
  <si>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</si>
  <si>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</si>
  <si>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</si>
  <si>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</si>
  <si>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</si>
  <si>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</si>
  <si>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</si>
  <si>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</si>
  <si>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</si>
  <si>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</si>
  <si>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</si>
  <si>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</si>
  <si>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</si>
  <si>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</si>
  <si>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</si>
  <si>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</si>
  <si>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</si>
  <si>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</si>
  <si>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</si>
  <si>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</si>
  <si>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</si>
  <si>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</si>
  <si>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</si>
  <si>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</si>
  <si>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</si>
  <si>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</si>
  <si>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</si>
  <si>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</si>
  <si>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</si>
  <si>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</si>
  <si>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</si>
  <si>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</si>
  <si>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</si>
  <si>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</si>
  <si>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</si>
  <si>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</si>
  <si>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</si>
  <si>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</si>
  <si>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</si>
  <si>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</si>
  <si>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</si>
  <si>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</si>
  <si>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</si>
  <si>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</si>
  <si>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</si>
  <si>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</si>
  <si>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</si>
  <si>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</si>
  <si>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</si>
  <si>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</si>
  <si>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</si>
  <si>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</si>
  <si>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</si>
  <si>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</si>
  <si>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</si>
  <si>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</si>
  <si>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</si>
  <si>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</si>
  <si>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</si>
  <si>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</si>
  <si>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</si>
  <si>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</si>
  <si>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</si>
  <si>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</si>
  <si>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</si>
  <si>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</si>
  <si>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</si>
  <si>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</si>
  <si>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</si>
  <si>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</si>
  <si>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</si>
  <si>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</si>
  <si>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</si>
  <si>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</si>
  <si>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</si>
  <si>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</si>
  <si>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</si>
  <si>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</si>
  <si>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</si>
  <si>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</si>
  <si>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</si>
  <si>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</si>
  <si>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</si>
  <si>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</si>
  <si>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</si>
  <si>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</si>
  <si>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</si>
  <si>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</si>
  <si>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</si>
  <si>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</si>
  <si>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</si>
  <si>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</si>
  <si>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</si>
  <si>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</si>
  <si>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</si>
  <si>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</si>
  <si>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</si>
  <si>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</si>
  <si>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</si>
  <si>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</si>
  <si>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</si>
  <si>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</si>
  <si>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</si>
  <si>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</si>
  <si>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</si>
  <si>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</si>
  <si>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</si>
  <si>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</si>
  <si>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</si>
  <si>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</si>
  <si>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</si>
  <si>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</si>
  <si>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</si>
  <si>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</si>
  <si>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</si>
  <si>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</si>
  <si>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</si>
  <si>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</si>
  <si>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</si>
  <si>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</si>
  <si>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</si>
  <si>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</si>
  <si>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</si>
  <si>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</si>
  <si>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</si>
  <si>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</si>
  <si>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</si>
  <si>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</si>
  <si>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</si>
  <si>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</si>
  <si>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</si>
  <si>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</si>
  <si>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</si>
  <si>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</si>
  <si>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</si>
  <si>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</si>
  <si>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</si>
  <si>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</si>
  <si>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</si>
  <si>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</si>
  <si>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</si>
  <si>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</si>
  <si>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</si>
  <si>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</si>
  <si>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</si>
  <si>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</si>
  <si>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</si>
  <si>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</si>
  <si>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</si>
  <si>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</si>
  <si>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</si>
  <si>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</si>
  <si>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</si>
  <si>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</si>
  <si>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</si>
  <si>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</si>
  <si>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</si>
  <si>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</si>
  <si>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</si>
  <si>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</si>
  <si>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</si>
  <si>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</si>
  <si>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</si>
  <si>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</si>
  <si>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</si>
  <si>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</si>
  <si>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</si>
  <si>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</si>
  <si>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</si>
  <si>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</si>
  <si>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</si>
  <si>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</si>
  <si>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</si>
  <si>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</si>
  <si>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</si>
  <si>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</si>
  <si>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</si>
  <si>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</si>
  <si>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</si>
  <si>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</si>
  <si>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</si>
  <si>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</si>
  <si>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</si>
  <si>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</si>
  <si>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</si>
  <si>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</si>
  <si>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</si>
  <si>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</si>
  <si>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</si>
  <si>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</si>
  <si>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</si>
  <si>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</si>
  <si>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</si>
  <si>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</si>
  <si>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</si>
  <si>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</si>
  <si>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</si>
  <si>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</si>
  <si>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</si>
  <si>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</si>
  <si>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</si>
  <si>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</si>
  <si>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</si>
  <si>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</si>
  <si>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</si>
  <si>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</si>
  <si>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</si>
  <si>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</si>
  <si>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</si>
  <si>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</si>
  <si>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</si>
  <si>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</si>
  <si>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</si>
  <si>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</si>
  <si>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</si>
  <si>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</si>
  <si>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</si>
  <si>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</si>
  <si>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</si>
  <si>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</si>
  <si>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</si>
  <si>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</si>
  <si>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</si>
  <si>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</si>
  <si>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</si>
  <si>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</si>
  <si>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</si>
  <si>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</si>
  <si>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</si>
  <si>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</si>
  <si>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</si>
  <si>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</si>
  <si>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</si>
  <si>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</si>
  <si>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</si>
  <si>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</si>
  <si>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</si>
  <si>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</si>
  <si>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</si>
  <si>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</si>
  <si>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</si>
  <si>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</si>
  <si>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</si>
  <si>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</si>
  <si>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</si>
  <si>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</si>
  <si>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</si>
  <si>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</si>
  <si>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</si>
  <si>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</si>
  <si>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</si>
  <si>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</si>
  <si>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</si>
  <si>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</si>
  <si>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</si>
  <si>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</si>
  <si>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</si>
  <si>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</si>
  <si>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</si>
  <si>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</si>
  <si>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</si>
  <si>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</si>
  <si>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</si>
  <si>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</si>
  <si>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</si>
  <si>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</si>
  <si>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</si>
  <si>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</si>
  <si>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</si>
  <si>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</si>
  <si>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</si>
  <si>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</si>
  <si>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</si>
  <si>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</si>
  <si>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</si>
  <si>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</si>
  <si>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</si>
  <si>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</si>
  <si>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</si>
  <si>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</si>
  <si>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</si>
  <si>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</si>
  <si>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</si>
  <si>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</si>
  <si>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</si>
  <si>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</si>
  <si>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</si>
  <si>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</si>
  <si>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</si>
  <si>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</si>
  <si>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</si>
  <si>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</si>
  <si>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</si>
  <si>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</si>
  <si>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</si>
  <si>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</si>
  <si>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</si>
  <si>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</si>
  <si>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</si>
  <si>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</si>
  <si>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</si>
  <si>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</si>
  <si>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</si>
  <si>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</si>
  <si>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</si>
  <si>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</si>
  <si>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</si>
  <si>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</si>
  <si>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</si>
  <si>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</si>
  <si>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</si>
  <si>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</si>
  <si>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</si>
  <si>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</si>
  <si>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</si>
  <si>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</si>
  <si>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</si>
  <si>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</si>
  <si>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</si>
  <si>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</si>
  <si>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</si>
  <si>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</si>
  <si>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</si>
  <si>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</si>
  <si>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</si>
  <si>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</si>
  <si>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</si>
  <si>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</si>
  <si>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</si>
  <si>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</si>
  <si>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</si>
  <si>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</si>
  <si>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</si>
  <si>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</si>
  <si>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</si>
  <si>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</si>
  <si>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</si>
  <si>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</si>
  <si>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</si>
  <si>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</si>
  <si>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</si>
  <si>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</si>
  <si>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</si>
  <si>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</si>
  <si>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</si>
  <si>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</si>
  <si>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</si>
  <si>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</si>
  <si>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</si>
  <si>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</si>
  <si>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</si>
  <si>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</si>
  <si>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</si>
  <si>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</si>
  <si>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</si>
  <si>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</si>
  <si>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</si>
  <si>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</si>
  <si>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</si>
  <si>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</si>
  <si>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</si>
  <si>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</si>
  <si>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</si>
  <si>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</si>
  <si>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</si>
  <si>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</si>
  <si>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</si>
  <si>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</si>
  <si>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</si>
  <si>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</si>
  <si>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</si>
  <si>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</si>
  <si>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</si>
  <si>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</si>
  <si>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</si>
  <si>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</si>
  <si>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</si>
  <si>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</si>
  <si>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</si>
  <si>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</si>
  <si>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</si>
  <si>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</si>
  <si>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</si>
  <si>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</si>
  <si>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</si>
  <si>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</si>
  <si>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</si>
  <si>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</si>
  <si>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</si>
  <si>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</si>
  <si>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</si>
  <si>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</si>
  <si>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</si>
  <si>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</si>
  <si>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</si>
  <si>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</si>
  <si>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</si>
  <si>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</si>
  <si>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</si>
  <si>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</si>
  <si>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</si>
  <si>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</si>
  <si>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</si>
  <si>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</si>
  <si>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</si>
  <si>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</si>
  <si>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</si>
  <si>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</si>
  <si>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</si>
  <si>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</si>
  <si>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</si>
  <si>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</si>
  <si>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</si>
  <si>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</si>
  <si>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</si>
  <si>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</si>
  <si>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</si>
  <si>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</si>
  <si>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</si>
  <si>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</si>
  <si>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</si>
  <si>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</si>
  <si>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</si>
  <si>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</si>
  <si>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</si>
  <si>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</si>
  <si>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</si>
  <si>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</si>
  <si>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</si>
  <si>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</si>
  <si>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</si>
  <si>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</si>
  <si>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</si>
  <si>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</si>
  <si>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</si>
  <si>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</si>
  <si>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</si>
  <si>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</si>
  <si>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</si>
  <si>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</si>
  <si>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</si>
  <si>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</si>
  <si>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</si>
  <si>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</si>
  <si>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</si>
  <si>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</si>
  <si>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</si>
  <si>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</si>
  <si>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</si>
  <si>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</si>
  <si>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</si>
  <si>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</si>
  <si>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</si>
  <si>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</si>
  <si>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</si>
  <si>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</si>
  <si>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</si>
  <si>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</si>
  <si>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</si>
  <si>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</si>
  <si>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</si>
  <si>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</si>
  <si>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</si>
  <si>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</si>
  <si>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</si>
  <si>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</si>
  <si>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</si>
  <si>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</si>
  <si>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</si>
  <si>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</si>
  <si>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</si>
  <si>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</si>
  <si>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</si>
  <si>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</si>
  <si>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</si>
  <si>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</si>
  <si>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</si>
  <si>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</si>
  <si>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</si>
  <si>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</si>
  <si>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</si>
  <si>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</si>
  <si>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</si>
  <si>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</si>
  <si>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</si>
  <si>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</si>
  <si>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</si>
  <si>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</si>
  <si>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</si>
  <si>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</si>
  <si>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</si>
  <si>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</si>
  <si>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</si>
  <si>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</si>
  <si>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</si>
  <si>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</si>
  <si>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</si>
  <si>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</si>
  <si>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</si>
  <si>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</si>
  <si>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</si>
  <si>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</si>
  <si>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</si>
  <si>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</si>
  <si>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</si>
  <si>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</si>
  <si>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</si>
  <si>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</si>
  <si>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</si>
  <si>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</si>
  <si>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</si>
  <si>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</si>
  <si>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</si>
  <si>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</si>
  <si>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</si>
  <si>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</si>
  <si>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</si>
  <si>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</si>
  <si>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</si>
  <si>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</si>
  <si>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</si>
  <si>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</si>
  <si>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</si>
  <si>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</si>
  <si>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</si>
  <si>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</si>
  <si>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</si>
  <si>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</si>
  <si>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</si>
  <si>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</si>
  <si>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</si>
  <si>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</si>
  <si>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</si>
  <si>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</si>
  <si>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</si>
  <si>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</si>
  <si>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</si>
  <si>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</si>
  <si>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</si>
  <si>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</si>
  <si>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</si>
  <si>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</si>
  <si>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</si>
  <si>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</si>
  <si>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</si>
  <si>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</si>
  <si>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</si>
  <si>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</si>
  <si>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</si>
  <si>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</si>
  <si>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</si>
  <si>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</si>
  <si>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</si>
  <si>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</si>
  <si>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</si>
  <si>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</si>
  <si>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</si>
  <si>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</si>
  <si>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</si>
  <si>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</si>
  <si>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</si>
  <si>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</si>
  <si>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</si>
  <si>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</si>
  <si>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</si>
  <si>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</si>
  <si>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</si>
  <si>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</si>
  <si>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</si>
  <si>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</si>
  <si>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</si>
  <si>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</si>
  <si>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</si>
  <si>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</si>
  <si>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</si>
  <si>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</si>
  <si>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</si>
  <si>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</si>
  <si>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</si>
  <si>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</si>
  <si>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</si>
  <si>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</si>
  <si>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</si>
  <si>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</si>
  <si>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</si>
  <si>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</si>
  <si>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</si>
  <si>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</si>
  <si>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</si>
  <si>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</si>
  <si>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</si>
  <si>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</si>
  <si>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</si>
  <si>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</si>
  <si>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</si>
  <si>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</si>
  <si>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</si>
  <si>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</si>
  <si>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</si>
  <si>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</si>
  <si>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</si>
  <si>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</si>
  <si>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</si>
  <si>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</si>
  <si>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</si>
  <si>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</si>
  <si>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</si>
  <si>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</si>
  <si>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</si>
  <si>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</si>
  <si>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</si>
  <si>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</si>
  <si>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</si>
  <si>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</si>
  <si>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</si>
  <si>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</si>
  <si>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</si>
  <si>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</si>
  <si>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</si>
  <si>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</si>
  <si>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</si>
  <si>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</si>
  <si>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</si>
  <si>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</si>
  <si>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</si>
  <si>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</si>
  <si>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</si>
  <si>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</si>
  <si>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</si>
  <si>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</si>
  <si>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</si>
  <si>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</si>
  <si>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</si>
  <si>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</si>
  <si>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</si>
  <si>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</si>
  <si>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</si>
  <si>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</si>
  <si>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</si>
  <si>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</si>
  <si>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</si>
  <si>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</si>
  <si>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</si>
  <si>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</si>
  <si>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</si>
  <si>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</si>
  <si>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</si>
  <si>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</si>
  <si>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</si>
  <si>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</si>
  <si>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</si>
  <si>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</si>
  <si>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</si>
  <si>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</si>
  <si>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</si>
  <si>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</si>
  <si>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</si>
  <si>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</si>
  <si>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</si>
  <si>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</si>
  <si>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</si>
  <si>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</si>
  <si>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</si>
  <si>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</si>
  <si>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</si>
  <si>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</si>
  <si>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</si>
  <si>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</si>
  <si>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</si>
  <si>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</si>
  <si>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</si>
  <si>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</si>
  <si>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</si>
  <si>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</si>
  <si>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</si>
  <si>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</si>
  <si>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</si>
  <si>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</si>
  <si>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</si>
  <si>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</si>
  <si>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</si>
  <si>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</si>
  <si>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</si>
  <si>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</si>
  <si>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</si>
  <si>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</si>
  <si>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</si>
  <si>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</si>
  <si>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</si>
  <si>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</si>
  <si>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</si>
  <si>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</si>
  <si>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</si>
  <si>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</si>
  <si>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</si>
  <si>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</si>
  <si>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</si>
  <si>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</si>
  <si>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</si>
  <si>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</si>
  <si>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</si>
  <si>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</si>
  <si>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</si>
  <si>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</si>
  <si>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</si>
  <si>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</si>
  <si>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</si>
  <si>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</si>
  <si>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</si>
  <si>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</si>
  <si>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</si>
  <si>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</si>
  <si>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</si>
  <si>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</si>
  <si>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</si>
  <si>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</si>
  <si>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</si>
  <si>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</si>
  <si>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</si>
  <si>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</si>
  <si>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</si>
  <si>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</si>
  <si>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</si>
  <si>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</si>
  <si>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</si>
  <si>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</si>
  <si>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</si>
  <si>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</si>
  <si>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</si>
  <si>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</si>
  <si>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</si>
  <si>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</si>
  <si>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</si>
  <si>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</si>
  <si>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</si>
  <si>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</si>
  <si>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</si>
  <si>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</si>
  <si>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</si>
  <si>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</si>
  <si>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</si>
  <si>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</si>
  <si>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</si>
  <si>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</si>
  <si>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</si>
  <si>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</si>
  <si>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</si>
  <si>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</si>
  <si>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</si>
  <si>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</si>
  <si>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</si>
  <si>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</si>
  <si>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</si>
  <si>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</si>
  <si>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</si>
  <si>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</si>
  <si>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</si>
  <si>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</si>
  <si>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</si>
  <si>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</si>
  <si>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</si>
  <si>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</si>
  <si>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</si>
  <si>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</si>
  <si>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</si>
  <si>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</si>
  <si>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</si>
  <si>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</si>
  <si>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</si>
  <si>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</si>
  <si>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</si>
  <si>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</si>
  <si>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</si>
  <si>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</si>
  <si>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</si>
  <si>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</si>
  <si>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</si>
  <si>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</si>
  <si>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</si>
  <si>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</si>
  <si>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</si>
  <si>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</si>
  <si>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</si>
  <si>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</si>
  <si>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</si>
  <si>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</si>
  <si>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</si>
  <si>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</si>
  <si>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</si>
  <si>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</si>
  <si>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</si>
  <si>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</si>
  <si>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</si>
  <si>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</si>
  <si>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</si>
  <si>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</si>
  <si>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</si>
  <si>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</si>
  <si>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</si>
  <si>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</si>
  <si>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</si>
  <si>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</si>
  <si>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</si>
  <si>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</si>
  <si>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</si>
  <si>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</si>
  <si>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</si>
  <si>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</si>
  <si>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</si>
  <si>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</si>
  <si>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</si>
  <si>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</si>
  <si>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</si>
  <si>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</si>
  <si>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</si>
  <si>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</si>
  <si>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</si>
  <si>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</si>
  <si>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</si>
  <si>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</si>
  <si>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</si>
  <si>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</si>
  <si>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</si>
  <si>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</si>
  <si>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</si>
  <si>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</si>
  <si>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</si>
  <si>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</si>
  <si>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</si>
  <si>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</si>
  <si>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</si>
  <si>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</si>
  <si>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</si>
  <si>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</si>
  <si>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</si>
  <si>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</si>
  <si>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</si>
  <si>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</si>
  <si>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</si>
  <si>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</si>
  <si>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</si>
  <si>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</si>
  <si>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</si>
  <si>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</si>
  <si>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</si>
  <si>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</si>
  <si>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</si>
  <si>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</si>
  <si>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</si>
  <si>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</si>
  <si>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</si>
  <si>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</si>
  <si>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</si>
  <si>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</si>
  <si>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</si>
  <si>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</si>
  <si>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</si>
  <si>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</si>
  <si>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</si>
  <si>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</si>
  <si>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</si>
  <si>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</si>
  <si>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</si>
  <si>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</si>
  <si>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</si>
  <si>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</si>
  <si>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</si>
  <si>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</si>
  <si>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</si>
  <si>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</si>
  <si>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</si>
  <si>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</si>
  <si>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</si>
  <si>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</si>
  <si>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</si>
  <si>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</si>
  <si>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</si>
  <si>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</si>
  <si>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</si>
  <si>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</si>
  <si>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</si>
  <si>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</si>
  <si>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</si>
  <si>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</si>
  <si>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</si>
  <si>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</si>
  <si>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</si>
  <si>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</si>
  <si>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</si>
  <si>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</si>
  <si>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</si>
  <si>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</si>
  <si>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</si>
  <si>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</si>
  <si>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</si>
  <si>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</si>
  <si>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</si>
  <si>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</si>
  <si>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</si>
  <si>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</si>
  <si>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</si>
  <si>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</si>
  <si>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</si>
  <si>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</si>
  <si>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</si>
  <si>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</si>
  <si>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</si>
  <si>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</si>
  <si>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</si>
  <si>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</si>
  <si>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</si>
  <si>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</si>
  <si>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</si>
  <si>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</si>
  <si>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</si>
  <si>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</si>
  <si>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</si>
  <si>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</si>
  <si>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</si>
  <si>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</si>
  <si>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</si>
  <si>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</si>
  <si>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</si>
  <si>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</si>
  <si>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</si>
  <si>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</si>
  <si>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</si>
  <si>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</si>
  <si>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</si>
  <si>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</si>
  <si>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</si>
  <si>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</si>
  <si>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</si>
  <si>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</si>
  <si>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</si>
  <si>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</si>
  <si>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</si>
  <si>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</si>
  <si>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</si>
  <si>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</si>
  <si>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</si>
  <si>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</si>
  <si>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</si>
  <si>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</si>
  <si>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</si>
  <si>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</si>
  <si>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</si>
  <si>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</si>
  <si>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</si>
  <si>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</si>
  <si>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</si>
  <si>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</si>
  <si>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</si>
  <si>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</si>
  <si>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</si>
  <si>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</si>
  <si>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</si>
  <si>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</si>
  <si>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</si>
  <si>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</si>
  <si>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</si>
  <si>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</si>
  <si>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</si>
  <si>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</si>
  <si>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</si>
  <si>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</si>
  <si>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</si>
  <si>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</si>
  <si>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</si>
  <si>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</si>
  <si>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</si>
  <si>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</si>
  <si>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</si>
  <si>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</si>
  <si>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</si>
  <si>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</si>
  <si>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</si>
  <si>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</si>
  <si>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</si>
  <si>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</si>
  <si>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</si>
  <si>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</si>
  <si>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</si>
  <si>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</si>
  <si>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</si>
  <si>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</si>
  <si>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</si>
  <si>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</si>
  <si>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</si>
  <si>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</si>
  <si>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</si>
  <si>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</si>
  <si>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</si>
  <si>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</si>
  <si>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</si>
  <si>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</si>
  <si>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</si>
  <si>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</si>
  <si>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</si>
  <si>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</si>
  <si>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</si>
  <si>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</si>
  <si>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</si>
  <si>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</si>
  <si>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</si>
  <si>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</si>
  <si>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</si>
  <si>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</si>
  <si>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</si>
  <si>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</si>
  <si>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</si>
  <si>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</si>
  <si>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</si>
  <si>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</si>
  <si>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</si>
  <si>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</si>
  <si>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</si>
  <si>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</si>
  <si>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</si>
  <si>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</si>
  <si>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</si>
  <si>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</si>
  <si>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</si>
  <si>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</si>
  <si>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</si>
  <si>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</si>
  <si>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</si>
  <si>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</si>
  <si>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</si>
  <si>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</si>
  <si>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</si>
  <si>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</si>
  <si>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</si>
  <si>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</si>
  <si>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</si>
  <si>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</si>
  <si>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</si>
  <si>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</si>
  <si>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</si>
  <si>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</si>
  <si>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</si>
  <si>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</si>
  <si>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</si>
  <si>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</si>
  <si>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</si>
  <si>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</si>
  <si>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</si>
  <si>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</si>
  <si>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</si>
  <si>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</si>
  <si>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</si>
  <si>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</si>
  <si>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</si>
  <si>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</si>
  <si>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</si>
  <si>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</si>
  <si>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</si>
  <si>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</si>
  <si>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</si>
  <si>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</si>
  <si>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</si>
  <si>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</si>
  <si>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</si>
  <si>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</si>
  <si>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</si>
  <si>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</si>
  <si>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</si>
  <si>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</si>
  <si>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</si>
  <si>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</si>
  <si>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</si>
  <si>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</si>
  <si>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</si>
  <si>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</si>
  <si>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</si>
  <si>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</si>
  <si>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</si>
  <si>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</si>
  <si>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</si>
  <si>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</si>
  <si>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</si>
  <si>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</si>
  <si>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</si>
  <si>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</si>
  <si>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</si>
  <si>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</si>
  <si>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</si>
  <si>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</si>
  <si>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</si>
  <si>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</si>
  <si>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</si>
  <si>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</si>
  <si>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</si>
  <si>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</si>
  <si>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</si>
  <si>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</si>
  <si>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</si>
  <si>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</si>
  <si>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</si>
  <si>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</si>
  <si>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</si>
  <si>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</si>
  <si>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</si>
  <si>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</si>
  <si>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</si>
  <si>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</si>
  <si>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</si>
  <si>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</si>
  <si>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</si>
  <si>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</si>
  <si>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</si>
  <si>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</si>
  <si>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</si>
  <si>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</si>
  <si>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</si>
  <si>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</si>
  <si>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</si>
  <si>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</si>
  <si>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</si>
  <si>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</si>
  <si>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</si>
  <si>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</si>
  <si>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</si>
  <si>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</si>
  <si>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</si>
  <si>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</si>
  <si>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</si>
  <si>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</si>
  <si>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</si>
  <si>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</si>
  <si>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</si>
  <si>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</si>
  <si>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</si>
  <si>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</si>
  <si>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</si>
  <si>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</si>
  <si>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</si>
  <si>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</si>
  <si>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</si>
  <si>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</si>
  <si>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</si>
  <si>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</si>
  <si>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</si>
  <si>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</si>
  <si>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</si>
  <si>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</si>
  <si>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</si>
  <si>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</si>
  <si>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</si>
  <si>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</si>
  <si>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</si>
  <si>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</si>
  <si>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</si>
  <si>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</si>
  <si>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</si>
  <si>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</si>
  <si>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</si>
  <si>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</si>
  <si>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</si>
  <si>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</si>
  <si>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</si>
  <si>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</si>
  <si>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</si>
  <si>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</si>
  <si>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</si>
  <si>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</si>
  <si>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</si>
  <si>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</si>
  <si>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</si>
  <si>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</si>
  <si>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</si>
  <si>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</si>
  <si>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</si>
  <si>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</si>
  <si>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</si>
  <si>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</si>
  <si>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</si>
  <si>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</si>
  <si>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</si>
  <si>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</si>
  <si>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</si>
  <si>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</si>
  <si>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</si>
  <si>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</si>
  <si>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</si>
  <si>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</si>
  <si>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</si>
  <si>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</si>
  <si>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</si>
  <si>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</si>
  <si>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</si>
  <si>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</si>
  <si>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</si>
  <si>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</si>
  <si>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</si>
  <si>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</si>
  <si>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</si>
  <si>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</si>
  <si>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</si>
  <si>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</si>
  <si>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</si>
  <si>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</si>
  <si>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</si>
  <si>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</si>
  <si>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</si>
  <si>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</si>
  <si>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</si>
  <si>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</si>
  <si>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</si>
  <si>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</si>
  <si>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</si>
  <si>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</si>
  <si>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</si>
  <si>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</si>
  <si>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</si>
  <si>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</si>
  <si>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</si>
  <si>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</si>
  <si>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</si>
  <si>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</si>
  <si>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</si>
  <si>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</si>
  <si>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</si>
  <si>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</si>
  <si>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</si>
  <si>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</si>
  <si>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</si>
  <si>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</si>
  <si>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</si>
  <si>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</si>
  <si>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</si>
  <si>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</si>
  <si>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</si>
  <si>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</si>
  <si>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</si>
  <si>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</si>
  <si>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</si>
  <si>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</si>
  <si>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</si>
  <si>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</si>
  <si>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</si>
  <si>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</si>
  <si>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</si>
  <si>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</si>
  <si>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</si>
  <si>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</si>
  <si>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</si>
  <si>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</si>
  <si>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</si>
  <si>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</si>
  <si>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</si>
  <si>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</si>
  <si>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</si>
  <si>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</si>
  <si>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</si>
  <si>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</si>
  <si>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</si>
  <si>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</si>
  <si>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</si>
  <si>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</si>
  <si>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</si>
  <si>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</si>
  <si>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</si>
  <si>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</si>
  <si>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</si>
  <si>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</si>
  <si>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</si>
  <si>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</si>
  <si>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</si>
  <si>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</si>
  <si>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</si>
  <si>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</si>
  <si>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</si>
  <si>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</si>
  <si>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</si>
  <si>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</si>
  <si>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</si>
  <si>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</si>
  <si>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</si>
  <si>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</si>
  <si>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</si>
  <si>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</si>
  <si>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</si>
  <si>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</si>
  <si>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</si>
  <si>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</si>
  <si>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</si>
  <si>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</si>
  <si>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</si>
  <si>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</si>
  <si>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</si>
  <si>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</si>
  <si>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</si>
  <si>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</si>
  <si>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</si>
  <si>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</si>
  <si>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</si>
  <si>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</si>
  <si>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</si>
  <si>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</si>
  <si>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</si>
  <si>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</si>
  <si>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</si>
  <si>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</si>
  <si>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</si>
  <si>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</si>
  <si>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</si>
  <si>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</si>
  <si>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</si>
  <si>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</si>
  <si>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</si>
  <si>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</si>
  <si>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</si>
  <si>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</si>
  <si>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</si>
  <si>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</si>
  <si>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</si>
  <si>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</si>
  <si>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</si>
  <si>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</si>
  <si>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</si>
  <si>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</si>
  <si>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</si>
  <si>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</si>
  <si>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</si>
  <si>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</si>
  <si>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</si>
  <si>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</si>
  <si>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</si>
  <si>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</si>
  <si>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</si>
  <si>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</si>
  <si>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</si>
  <si>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</si>
  <si>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</si>
  <si>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</si>
  <si>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</si>
  <si>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</si>
  <si>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</si>
  <si>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</si>
  <si>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</si>
  <si>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</si>
  <si>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</si>
  <si>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</si>
  <si>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</si>
  <si>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</si>
  <si>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</si>
  <si>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</si>
  <si>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</si>
  <si>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</si>
  <si>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</si>
  <si>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</si>
  <si>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</si>
  <si>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</si>
  <si>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</si>
  <si>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</si>
  <si>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</si>
  <si>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</si>
  <si>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</si>
  <si>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</si>
  <si>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</si>
  <si>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</si>
  <si>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</si>
  <si>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</si>
  <si>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</si>
  <si>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</si>
  <si>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</si>
  <si>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</si>
  <si>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</si>
  <si>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</si>
  <si>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</si>
  <si>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</si>
  <si>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</si>
  <si>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</si>
  <si>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</si>
  <si>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</si>
  <si>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</si>
  <si>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</si>
  <si>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</si>
  <si>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</si>
  <si>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</si>
  <si>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</si>
  <si>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</si>
  <si>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</si>
  <si>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</si>
  <si>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</si>
  <si>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</si>
  <si>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</si>
  <si>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</si>
  <si>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</si>
  <si>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</si>
  <si>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</si>
  <si>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</si>
  <si>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</si>
  <si>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</si>
  <si>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</si>
  <si>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</si>
  <si>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</si>
  <si>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</si>
  <si>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</si>
  <si>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</si>
  <si>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</si>
  <si>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</si>
  <si>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</si>
  <si>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</si>
  <si>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</si>
  <si>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</si>
  <si>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</si>
  <si>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</si>
  <si>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</si>
  <si>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</si>
  <si>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</si>
  <si>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</si>
  <si>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</si>
  <si>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</si>
  <si>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</si>
  <si>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</si>
  <si>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</si>
  <si>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</si>
  <si>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</si>
  <si>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</si>
  <si>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</si>
  <si>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</si>
  <si>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</si>
  <si>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</si>
  <si>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</si>
  <si>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</si>
  <si>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</si>
  <si>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</si>
  <si>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</si>
  <si>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</si>
  <si>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</si>
  <si>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</si>
  <si>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</si>
  <si>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</si>
  <si>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</si>
  <si>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</si>
  <si>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</si>
  <si>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</si>
  <si>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</si>
  <si>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</si>
  <si>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</si>
  <si>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</si>
  <si>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</si>
  <si>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</si>
  <si>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</si>
  <si>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</si>
  <si>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</si>
  <si>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</si>
  <si>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</si>
  <si>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</si>
  <si>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</si>
  <si>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</si>
  <si>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</si>
  <si>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</si>
  <si>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</si>
  <si>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</si>
  <si>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</si>
  <si>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</si>
  <si>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</si>
  <si>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</si>
  <si>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</si>
  <si>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</si>
  <si>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</si>
  <si>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</si>
  <si>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</si>
  <si>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</si>
  <si>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</si>
  <si>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</si>
  <si>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</si>
  <si>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</si>
  <si>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</si>
  <si>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</si>
  <si>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</si>
  <si>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</si>
  <si>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</si>
  <si>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</si>
  <si>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</si>
  <si>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</si>
  <si>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</si>
  <si>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</si>
  <si>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</si>
  <si>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</si>
  <si>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</si>
  <si>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</si>
  <si>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</si>
  <si>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</si>
  <si>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</si>
  <si>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</si>
  <si>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</si>
  <si>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</si>
  <si>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</si>
  <si>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</si>
  <si>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</si>
  <si>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</si>
  <si>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</si>
  <si>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</si>
  <si>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</si>
  <si>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</si>
  <si>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</si>
  <si>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</si>
  <si>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</si>
  <si>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</si>
  <si>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</si>
  <si>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</si>
  <si>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</si>
  <si>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</si>
  <si>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</si>
  <si>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</si>
  <si>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</si>
  <si>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</si>
  <si>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</si>
  <si>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</si>
  <si>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</si>
  <si>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</si>
  <si>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</si>
  <si>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</si>
  <si>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</si>
  <si>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</si>
  <si>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</si>
  <si>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</si>
  <si>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</si>
  <si>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</si>
  <si>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</si>
  <si>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</si>
  <si>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</si>
  <si>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</si>
  <si>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</si>
  <si>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</si>
  <si>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</si>
  <si>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</si>
  <si>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</si>
  <si>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</si>
  <si>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</si>
  <si>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</si>
  <si>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</si>
  <si>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</si>
  <si>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</si>
  <si>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</si>
  <si>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</si>
  <si>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</si>
  <si>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</si>
  <si>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</si>
  <si>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</si>
  <si>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</si>
  <si>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</si>
  <si>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</si>
  <si>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</si>
  <si>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</si>
  <si>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</si>
  <si>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</si>
  <si>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</si>
  <si>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</si>
  <si>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</si>
  <si>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</si>
  <si>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</si>
  <si>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</si>
  <si>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</si>
  <si>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</si>
  <si>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</si>
  <si>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</si>
  <si>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</si>
  <si>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</si>
  <si>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</si>
  <si>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</si>
  <si>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</si>
  <si>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</si>
  <si>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</si>
  <si>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</si>
  <si>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</si>
  <si>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</si>
  <si>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</si>
  <si>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</si>
  <si>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</si>
  <si>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</si>
  <si>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</si>
  <si>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</si>
  <si>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</si>
  <si>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</si>
  <si>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</si>
  <si>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</si>
  <si>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</si>
  <si>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</si>
  <si>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</si>
  <si>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</si>
  <si>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</si>
  <si>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</si>
  <si>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</si>
  <si>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</si>
  <si>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</si>
  <si>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</si>
  <si>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</si>
  <si>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</si>
  <si>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</si>
  <si>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</si>
  <si>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</si>
  <si>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</si>
  <si>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</si>
  <si>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</si>
  <si>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</si>
  <si>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</si>
  <si>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</si>
  <si>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</si>
  <si>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</si>
  <si>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</si>
  <si>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</si>
  <si>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</si>
  <si>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</si>
  <si>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</si>
  <si>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</si>
  <si>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</si>
  <si>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</si>
  <si>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</si>
  <si>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</si>
  <si>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</si>
  <si>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</si>
  <si>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</si>
  <si>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</si>
  <si>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</si>
  <si>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</si>
  <si>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</si>
  <si>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</si>
  <si>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</si>
  <si>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</si>
  <si>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</si>
  <si>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</si>
  <si>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</si>
  <si>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</si>
  <si>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</si>
  <si>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</si>
  <si>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</si>
  <si>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</si>
  <si>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</si>
  <si>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</si>
  <si>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</si>
  <si>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</si>
  <si>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</si>
  <si>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</si>
  <si>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</si>
  <si>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</si>
  <si>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</si>
  <si>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</si>
  <si>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</si>
  <si>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</si>
  <si>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</si>
  <si>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</si>
  <si>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</si>
  <si>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</si>
  <si>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</si>
  <si>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</si>
  <si>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</si>
  <si>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</si>
  <si>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</si>
  <si>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</si>
  <si>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</si>
  <si>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</si>
  <si>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</si>
  <si>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</si>
  <si>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</si>
  <si>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</si>
  <si>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</si>
  <si>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</si>
  <si>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</si>
  <si>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</si>
  <si>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</si>
  <si>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</si>
  <si>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</si>
  <si>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</si>
  <si>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</si>
  <si>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</si>
  <si>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</si>
  <si>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</si>
  <si>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</si>
  <si>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</si>
  <si>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</si>
  <si>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</si>
  <si>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</si>
  <si>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</si>
  <si>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</si>
  <si>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</si>
  <si>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</si>
  <si>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</si>
  <si>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</si>
  <si>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</si>
  <si>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</si>
  <si>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</si>
  <si>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</si>
  <si>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</si>
  <si>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</si>
  <si>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</si>
  <si>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</si>
  <si>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</si>
  <si>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</si>
  <si>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</si>
  <si>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</si>
  <si>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</si>
  <si>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</si>
  <si>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</si>
  <si>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</si>
  <si>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</si>
  <si>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</si>
  <si>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</si>
  <si>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</si>
  <si>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</si>
  <si>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</si>
  <si>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</si>
  <si>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</si>
  <si>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</si>
  <si>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</si>
  <si>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</si>
  <si>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</si>
  <si>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</si>
  <si>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</si>
  <si>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</si>
  <si>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</si>
  <si>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</si>
  <si>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</si>
  <si>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</si>
  <si>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</si>
  <si>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</si>
  <si>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</si>
  <si>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</si>
  <si>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</si>
  <si>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</si>
  <si>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</si>
  <si>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</si>
  <si>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</si>
  <si>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</si>
  <si>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</si>
  <si>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</si>
  <si>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</si>
  <si>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</si>
  <si>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</si>
  <si>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</si>
  <si>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</si>
  <si>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</si>
  <si>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</si>
  <si>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</si>
  <si>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</si>
  <si>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</si>
  <si>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</si>
  <si>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</si>
  <si>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</si>
  <si>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</si>
  <si>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</si>
  <si>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</si>
  <si>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</si>
  <si>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</si>
  <si>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</si>
  <si>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</si>
  <si>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</si>
  <si>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</si>
  <si>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</si>
  <si>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</si>
  <si>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</si>
  <si>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</si>
  <si>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</si>
  <si>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</si>
  <si>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</si>
  <si>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</si>
  <si>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</si>
  <si>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</si>
  <si>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</si>
  <si>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</si>
  <si>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</si>
  <si>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</si>
  <si>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</si>
  <si>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</si>
  <si>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</si>
  <si>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</si>
  <si>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</si>
  <si>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</si>
  <si>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</si>
  <si>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</si>
  <si>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</si>
  <si>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</si>
  <si>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</si>
  <si>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</si>
  <si>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</si>
  <si>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</si>
  <si>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</si>
  <si>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</si>
  <si>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</si>
  <si>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</si>
  <si>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</si>
  <si>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</si>
  <si>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</si>
  <si>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</si>
  <si>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</si>
  <si>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</si>
  <si>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</si>
  <si>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</si>
  <si>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</si>
  <si>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</si>
  <si>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</si>
  <si>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</si>
  <si>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</si>
  <si>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</si>
  <si>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</si>
  <si>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</si>
  <si>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</si>
  <si>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</si>
  <si>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</si>
  <si>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</si>
  <si>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</si>
  <si>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</si>
  <si>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</si>
  <si>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</si>
  <si>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</si>
  <si>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</si>
  <si>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</si>
  <si>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</si>
  <si>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</si>
  <si>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</si>
  <si>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</si>
  <si>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</si>
  <si>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</si>
  <si>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</si>
  <si>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</si>
  <si>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</si>
  <si>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</si>
  <si>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</si>
  <si>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</si>
  <si>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</si>
  <si>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</si>
  <si>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</si>
  <si>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</si>
  <si>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</si>
  <si>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</si>
  <si>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</si>
  <si>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</si>
  <si>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</si>
  <si>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</si>
  <si>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</si>
  <si>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</si>
  <si>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</si>
  <si>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</si>
  <si>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</si>
  <si>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</si>
  <si>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</si>
  <si>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</si>
  <si>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</si>
  <si>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</si>
  <si>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</si>
  <si>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</si>
  <si>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</si>
  <si>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</si>
  <si>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</si>
  <si>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</si>
  <si>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</si>
  <si>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</si>
  <si>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</si>
  <si>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</si>
  <si>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</si>
  <si>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</si>
  <si>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</si>
  <si>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</si>
  <si>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</si>
  <si>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</si>
  <si>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</si>
  <si>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</si>
  <si>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</si>
  <si>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</si>
  <si>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</si>
  <si>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</si>
  <si>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</si>
  <si>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</si>
  <si>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</si>
  <si>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</si>
  <si>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</si>
  <si>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</si>
  <si>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</si>
  <si>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</si>
  <si>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</si>
  <si>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</si>
  <si>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</si>
  <si>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</si>
  <si>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</si>
  <si>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</si>
  <si>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</si>
  <si>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</si>
  <si>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</si>
  <si>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</si>
  <si>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</si>
  <si>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</si>
  <si>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</si>
  <si>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</si>
  <si>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</si>
  <si>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</si>
  <si>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</si>
  <si>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</si>
  <si>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</si>
  <si>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</si>
  <si>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</si>
  <si>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</si>
  <si>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</si>
  <si>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</si>
  <si>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</si>
  <si>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</si>
  <si>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</si>
  <si>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</si>
  <si>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</si>
  <si>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</si>
  <si>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</si>
  <si>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</si>
  <si>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</si>
  <si>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</si>
  <si>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</si>
  <si>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</si>
  <si>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</si>
  <si>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</si>
  <si>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</si>
  <si>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</si>
  <si>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</si>
  <si>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</si>
  <si>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</si>
  <si>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</si>
  <si>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</si>
  <si>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</si>
  <si>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</si>
  <si>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</si>
  <si>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</si>
  <si>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</si>
  <si>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</si>
  <si>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</si>
  <si>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</si>
  <si>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</si>
  <si>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</si>
  <si>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</si>
  <si>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</si>
  <si>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</si>
  <si>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</si>
  <si>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</si>
  <si>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</si>
  <si>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</si>
  <si>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</si>
  <si>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</si>
  <si>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</si>
  <si>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</si>
  <si>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</si>
  <si>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</si>
  <si>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</si>
  <si>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</si>
  <si>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</si>
  <si>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</si>
  <si>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</si>
  <si>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</si>
  <si>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</si>
  <si>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</si>
  <si>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</si>
  <si>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</si>
  <si>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</si>
  <si>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</si>
  <si>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</si>
  <si>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</si>
  <si>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</si>
  <si>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</si>
  <si>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</si>
  <si>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</si>
  <si>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</si>
  <si>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</si>
  <si>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</si>
  <si>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</si>
  <si>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</si>
  <si>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</si>
  <si>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</si>
  <si>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</si>
  <si>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</si>
  <si>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</si>
  <si>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</si>
  <si>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</si>
  <si>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</si>
  <si>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</si>
  <si>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</si>
  <si>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</si>
  <si>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</si>
  <si>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</si>
  <si>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</si>
  <si>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</si>
  <si>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</si>
  <si>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</si>
  <si>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</si>
  <si>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</si>
  <si>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</si>
  <si>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</si>
  <si>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</si>
  <si>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</si>
  <si>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</si>
  <si>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</si>
  <si>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</si>
  <si>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</si>
  <si>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</si>
  <si>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</si>
  <si>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</si>
  <si>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</si>
  <si>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</si>
  <si>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</si>
  <si>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</si>
  <si>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</si>
  <si>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</si>
  <si>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</si>
  <si>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</si>
  <si>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</si>
  <si>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</si>
  <si>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</si>
  <si>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</si>
  <si>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</si>
  <si>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</si>
  <si>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</si>
  <si>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</si>
  <si>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</si>
  <si>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</si>
  <si>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</si>
  <si>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</si>
  <si>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</si>
  <si>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</si>
  <si>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</si>
  <si>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</si>
  <si>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</si>
  <si>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</si>
  <si>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</si>
  <si>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</si>
  <si>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</si>
  <si>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</si>
  <si>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</si>
  <si>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</si>
  <si>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</si>
  <si>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</si>
  <si>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</si>
  <si>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</si>
  <si>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</si>
  <si>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</si>
  <si>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</si>
  <si>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</si>
  <si>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</si>
  <si>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</si>
  <si>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</si>
  <si>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</si>
  <si>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</si>
  <si>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</si>
  <si>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</si>
  <si>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</si>
  <si>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</si>
  <si>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</si>
  <si>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</si>
  <si>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</si>
  <si>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</si>
  <si>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</si>
  <si>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</si>
  <si>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</si>
  <si>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</si>
  <si>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</si>
  <si>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</si>
  <si>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</si>
  <si>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</si>
  <si>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</si>
  <si>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</si>
  <si>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</si>
  <si>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</si>
  <si>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</si>
  <si>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</si>
  <si>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</si>
  <si>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</si>
  <si>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</si>
  <si>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</si>
  <si>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</si>
  <si>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</si>
  <si>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</si>
  <si>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</si>
  <si>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</si>
  <si>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</si>
  <si>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</si>
  <si>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</si>
  <si>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</si>
  <si>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</si>
  <si>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</si>
  <si>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</si>
  <si>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</si>
  <si>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</si>
  <si>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</si>
  <si>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</si>
  <si>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</si>
  <si>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</si>
  <si>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</si>
  <si>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</si>
  <si>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</si>
  <si>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</si>
  <si>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</si>
  <si>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</si>
  <si>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</si>
  <si>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</si>
  <si>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</si>
  <si>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</si>
  <si>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</si>
  <si>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</si>
  <si>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</si>
  <si>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</si>
  <si>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</si>
  <si>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</si>
  <si>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</si>
  <si>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</si>
  <si>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</si>
  <si>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</si>
  <si>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</si>
  <si>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</si>
  <si>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</si>
  <si>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</si>
  <si>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</si>
  <si>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</si>
  <si>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</si>
  <si>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</si>
  <si>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</si>
  <si>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</si>
  <si>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</si>
  <si>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</si>
  <si>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</si>
  <si>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</si>
  <si>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</si>
  <si>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</si>
  <si>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</si>
  <si>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</si>
  <si>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</si>
  <si>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</si>
  <si>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</si>
  <si>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</si>
  <si>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</si>
  <si>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</si>
  <si>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</si>
  <si>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</si>
  <si>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</si>
  <si>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</si>
  <si>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</si>
  <si>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</si>
  <si>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</si>
  <si>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</si>
  <si>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</si>
  <si>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</si>
  <si>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</si>
  <si>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</si>
  <si>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</si>
  <si>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</si>
  <si>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</si>
  <si>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</si>
  <si>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</si>
  <si>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</si>
  <si>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</si>
  <si>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</si>
  <si>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</si>
  <si>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</si>
  <si>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</si>
  <si>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</si>
  <si>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</si>
  <si>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</si>
  <si>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</si>
  <si>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</si>
  <si>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</si>
  <si>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</si>
  <si>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</si>
  <si>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</si>
  <si>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</si>
  <si>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</si>
  <si>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</si>
  <si>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</si>
  <si>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</si>
  <si>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</si>
  <si>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</si>
  <si>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</si>
  <si>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</si>
  <si>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</si>
  <si>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</si>
  <si>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</si>
  <si>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</si>
  <si>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</si>
  <si>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</si>
  <si>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</si>
  <si>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</si>
  <si>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</si>
  <si>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</si>
  <si>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</si>
  <si>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</si>
  <si>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</si>
  <si>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</si>
  <si>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</si>
  <si>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</si>
  <si>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</si>
  <si>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</si>
  <si>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</si>
  <si>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</si>
  <si>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</si>
  <si>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</si>
  <si>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</si>
  <si>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</si>
  <si>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</si>
  <si>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</si>
  <si>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</si>
  <si>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</si>
  <si>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</si>
  <si>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</si>
  <si>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</si>
  <si>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</si>
  <si>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</si>
  <si>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</si>
  <si>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</si>
  <si>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</si>
  <si>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</si>
  <si>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</si>
  <si>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</si>
  <si>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</si>
  <si>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</si>
  <si>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</si>
  <si>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</si>
  <si>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</si>
  <si>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</si>
  <si>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</si>
  <si>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</si>
  <si>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</si>
  <si>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</si>
  <si>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</si>
  <si>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</si>
  <si>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</si>
  <si>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</si>
  <si>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</si>
  <si>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</si>
  <si>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</si>
  <si>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</si>
  <si>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</si>
  <si>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</si>
  <si>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</si>
  <si>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</si>
  <si>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</si>
  <si>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</si>
  <si>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</si>
  <si>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</si>
  <si>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</si>
  <si>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</si>
  <si>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</si>
  <si>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</si>
  <si>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</si>
  <si>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</si>
  <si>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</si>
  <si>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</si>
  <si>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</si>
  <si>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</si>
  <si>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</si>
  <si>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</si>
  <si>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</si>
  <si>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</si>
  <si>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</si>
  <si>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</si>
  <si>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</si>
  <si>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</si>
  <si>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</si>
  <si>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</si>
  <si>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</si>
  <si>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</si>
  <si>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</si>
  <si>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</si>
  <si>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</si>
  <si>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</si>
  <si>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</si>
  <si>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</si>
  <si>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</si>
  <si>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</si>
  <si>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</si>
  <si>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</si>
  <si>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</si>
  <si>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</si>
  <si>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</si>
  <si>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</si>
  <si>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</si>
  <si>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</si>
  <si>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</si>
  <si>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</si>
  <si>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</si>
  <si>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</si>
  <si>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</si>
  <si>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</si>
  <si>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</si>
  <si>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</si>
  <si>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</si>
  <si>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</si>
  <si>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</si>
  <si>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</si>
  <si>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</si>
  <si>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</si>
  <si>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</si>
  <si>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</si>
  <si>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</si>
  <si>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</si>
  <si>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</si>
  <si>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</si>
  <si>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</si>
  <si>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</si>
  <si>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</si>
  <si>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</si>
  <si>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</si>
  <si>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</si>
  <si>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</si>
  <si>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</si>
  <si>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</si>
  <si>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</si>
  <si>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</si>
  <si>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</si>
  <si>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</si>
  <si>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</si>
  <si>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</si>
  <si>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</si>
  <si>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</si>
  <si>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</si>
  <si>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</si>
  <si>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</si>
  <si>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</si>
  <si>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</si>
  <si>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</si>
  <si>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</si>
  <si>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</si>
  <si>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</si>
  <si>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</si>
  <si>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</si>
  <si>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</si>
  <si>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</si>
  <si>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</si>
  <si>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</si>
  <si>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</si>
  <si>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</si>
  <si>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</si>
  <si>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</si>
  <si>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</si>
  <si>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</si>
  <si>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</si>
  <si>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</si>
  <si>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</si>
  <si>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</si>
  <si>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</si>
  <si>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</si>
  <si>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</si>
  <si>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</si>
  <si>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</si>
  <si>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</si>
  <si>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</si>
  <si>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</si>
  <si>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</si>
  <si>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</si>
  <si>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</si>
  <si>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</si>
  <si>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</si>
  <si>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</si>
  <si>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</si>
  <si>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</si>
  <si>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</si>
  <si>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</si>
  <si>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</si>
  <si>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</si>
  <si>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</si>
  <si>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</si>
  <si>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</si>
  <si>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</si>
  <si>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</si>
  <si>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</si>
  <si>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</si>
  <si>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</si>
  <si>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</si>
  <si>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</si>
  <si>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</si>
  <si>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</si>
  <si>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</si>
  <si>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</si>
  <si>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</si>
  <si>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</si>
  <si>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</si>
  <si>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</si>
  <si>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</si>
  <si>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</si>
  <si>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</si>
  <si>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</si>
  <si>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</si>
  <si>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</si>
  <si>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</si>
  <si>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</si>
  <si>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</si>
  <si>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</si>
  <si>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</si>
  <si>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</si>
  <si>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</si>
  <si>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</si>
  <si>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</si>
  <si>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</si>
  <si>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</si>
  <si>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</si>
  <si>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</si>
  <si>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</si>
  <si>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</si>
  <si>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</si>
  <si>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</si>
  <si>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</si>
  <si>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</si>
  <si>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</si>
  <si>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</si>
  <si>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</si>
  <si>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</si>
  <si>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</si>
  <si>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</si>
  <si>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</si>
  <si>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</si>
  <si>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</si>
  <si>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</si>
  <si>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</si>
  <si>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</si>
  <si>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</si>
  <si>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</si>
  <si>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</si>
  <si>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</si>
  <si>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</si>
  <si>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</si>
  <si>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</si>
  <si>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</si>
  <si>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</si>
  <si>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</si>
  <si>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</si>
  <si>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</si>
  <si>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</si>
  <si>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</si>
  <si>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</si>
  <si>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</si>
  <si>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</si>
  <si>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</si>
  <si>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</si>
  <si>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</si>
  <si>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</si>
  <si>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</si>
  <si>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</si>
  <si>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</si>
  <si>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</si>
  <si>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</si>
  <si>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</si>
  <si>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</si>
  <si>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</si>
  <si>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</si>
  <si>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</si>
  <si>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</si>
  <si>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</si>
  <si>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</si>
  <si>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</si>
  <si>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</si>
  <si>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</si>
  <si>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</si>
  <si>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</si>
  <si>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</si>
  <si>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</si>
  <si>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</si>
  <si>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</si>
  <si>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</si>
  <si>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</si>
  <si>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</si>
  <si>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</si>
  <si>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</si>
  <si>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</si>
  <si>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</si>
  <si>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</si>
  <si>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</si>
  <si>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</si>
  <si>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</si>
  <si>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</si>
  <si>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</si>
  <si>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</si>
  <si>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</si>
  <si>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</si>
  <si>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</si>
  <si>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</si>
  <si>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</si>
  <si>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</si>
  <si>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</si>
  <si>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</si>
  <si>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</si>
  <si>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</si>
  <si>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</si>
  <si>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</si>
  <si>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</si>
  <si>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</si>
  <si>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</si>
  <si>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</si>
  <si>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</si>
  <si>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</si>
  <si>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</si>
  <si>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</si>
  <si>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</si>
  <si>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</si>
  <si>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</si>
  <si>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</si>
  <si>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</si>
  <si>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</si>
  <si>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</si>
  <si>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</si>
  <si>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</si>
  <si>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</si>
  <si>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</si>
  <si>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</si>
  <si>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</si>
  <si>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</si>
  <si>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</si>
  <si>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</si>
  <si>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</si>
  <si>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</si>
  <si>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</si>
  <si>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</si>
  <si>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</si>
  <si>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</si>
  <si>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</si>
  <si>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</si>
  <si>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</si>
  <si>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</si>
  <si>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</si>
  <si>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</si>
  <si>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</si>
  <si>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</si>
  <si>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</si>
  <si>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</si>
  <si>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</si>
  <si>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</si>
  <si>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</si>
  <si>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</si>
  <si>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</si>
  <si>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</si>
  <si>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</si>
  <si>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</si>
  <si>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</si>
  <si>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</si>
  <si>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</si>
  <si>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</si>
  <si>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</si>
  <si>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</si>
  <si>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</si>
  <si>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</si>
  <si>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</si>
  <si>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</si>
  <si>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</si>
  <si>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</si>
  <si>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</si>
  <si>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</si>
  <si>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</si>
  <si>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</si>
  <si>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</si>
  <si>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</si>
  <si>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</si>
  <si>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</si>
  <si>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</si>
  <si>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</si>
  <si>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</si>
  <si>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</si>
  <si>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</si>
  <si>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</si>
  <si>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</si>
  <si>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</si>
  <si>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</si>
  <si>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</si>
  <si>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</si>
  <si>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</si>
  <si>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</si>
  <si>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</si>
  <si>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</si>
  <si>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</si>
  <si>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</si>
  <si>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</si>
  <si>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</si>
  <si>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</si>
  <si>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</si>
  <si>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</si>
  <si>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</si>
  <si>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</si>
  <si>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</si>
  <si>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</si>
  <si>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</si>
  <si>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</si>
  <si>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</si>
  <si>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</si>
  <si>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</si>
  <si>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</si>
  <si>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</si>
  <si>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</si>
  <si>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</si>
  <si>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</si>
  <si>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</si>
  <si>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</si>
  <si>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</si>
  <si>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</si>
  <si>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</si>
  <si>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</si>
  <si>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</si>
  <si>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</si>
  <si>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</si>
  <si>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</si>
  <si>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</si>
  <si>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</si>
  <si>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</si>
  <si>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</si>
  <si>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</si>
  <si>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</si>
  <si>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</si>
  <si>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</si>
  <si>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</si>
  <si>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</si>
  <si>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</si>
  <si>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</si>
  <si>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</si>
  <si>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</si>
  <si>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</si>
  <si>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</si>
  <si>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</si>
  <si>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</si>
  <si>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</si>
  <si>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</si>
  <si>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</si>
  <si>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</si>
  <si>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</si>
  <si>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</si>
  <si>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</si>
  <si>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</si>
  <si>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</si>
  <si>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</si>
  <si>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</si>
  <si>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</si>
  <si>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</si>
  <si>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</si>
  <si>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</si>
  <si>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</si>
  <si>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</si>
  <si>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</si>
  <si>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</si>
  <si>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</si>
  <si>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</si>
  <si>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</si>
  <si>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</si>
  <si>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</si>
  <si>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</si>
  <si>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</si>
  <si>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</si>
  <si>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</si>
  <si>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</si>
  <si>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</si>
  <si>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</si>
  <si>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</si>
  <si>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</si>
  <si>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</si>
  <si>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</si>
  <si>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</si>
  <si>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</si>
  <si>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</si>
  <si>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</si>
  <si>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</si>
  <si>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</si>
  <si>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</si>
  <si>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</si>
  <si>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</si>
  <si>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</si>
  <si>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</si>
  <si>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</si>
  <si>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</si>
  <si>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</si>
  <si>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</si>
  <si>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</si>
  <si>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</si>
  <si>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</si>
  <si>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</si>
  <si>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</si>
  <si>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</si>
  <si>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</si>
  <si>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</si>
  <si>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</si>
  <si>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</si>
  <si>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</si>
  <si>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</si>
  <si>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</si>
  <si>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</si>
  <si>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</si>
  <si>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</si>
  <si>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</si>
  <si>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</si>
  <si>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</si>
  <si>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</si>
  <si>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</si>
  <si>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</si>
  <si>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</si>
  <si>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</si>
  <si>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</si>
  <si>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</si>
  <si>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</si>
  <si>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</si>
  <si>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</si>
  <si>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</si>
  <si>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</si>
  <si>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</si>
  <si>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</si>
  <si>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</si>
  <si>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</si>
  <si>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</si>
  <si>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</si>
  <si>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</si>
  <si>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</si>
  <si>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</si>
  <si>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</si>
  <si>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</si>
  <si>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</si>
  <si>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</si>
  <si>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</si>
  <si>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</si>
  <si>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</si>
  <si>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</si>
  <si>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</si>
  <si>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</si>
  <si>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</si>
  <si>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</si>
  <si>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</si>
  <si>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</si>
  <si>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</si>
  <si>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</si>
  <si>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</si>
  <si>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</si>
  <si>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</si>
  <si>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</si>
  <si>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</si>
  <si>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</si>
  <si>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</si>
  <si>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</si>
  <si>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</si>
  <si>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</si>
  <si>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</si>
  <si>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</si>
  <si>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</si>
  <si>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</si>
  <si>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</si>
  <si>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</si>
  <si>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</si>
  <si>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</si>
  <si>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</si>
  <si>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</si>
  <si>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</si>
  <si>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</si>
  <si>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</si>
  <si>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</si>
  <si>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</si>
  <si>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</si>
  <si>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</si>
  <si>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</si>
  <si>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</si>
  <si>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</si>
  <si>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</si>
  <si>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</si>
  <si>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</si>
  <si>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</si>
  <si>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</si>
  <si>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</si>
  <si>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</si>
  <si>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</si>
  <si>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</si>
  <si>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</si>
  <si>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</si>
  <si>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</si>
  <si>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</si>
  <si>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</si>
  <si>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</si>
  <si>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</si>
  <si>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</si>
  <si>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</si>
  <si>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</si>
  <si>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</si>
  <si>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</si>
  <si>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</si>
  <si>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</si>
  <si>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</si>
  <si>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</si>
  <si>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</si>
  <si>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</si>
  <si>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</si>
  <si>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</si>
  <si>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</si>
  <si>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</si>
  <si>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</si>
  <si>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</si>
  <si>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</si>
  <si>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</si>
  <si>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</si>
  <si>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</si>
  <si>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</si>
  <si>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</si>
  <si>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</si>
  <si>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</si>
  <si>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</si>
  <si>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</si>
  <si>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</si>
  <si>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</si>
  <si>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</si>
  <si>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</si>
  <si>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</si>
  <si>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</si>
  <si>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</si>
  <si>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</si>
  <si>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</si>
  <si>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</si>
  <si>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</si>
  <si>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</si>
  <si>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</si>
  <si>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</si>
  <si>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</si>
  <si>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</si>
  <si>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</si>
  <si>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</si>
  <si>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</si>
  <si>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</si>
  <si>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</si>
  <si>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</si>
  <si>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</si>
  <si>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</si>
  <si>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</si>
  <si>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</si>
  <si>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</si>
  <si>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</si>
  <si>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</si>
  <si>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</si>
  <si>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</si>
  <si>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</si>
  <si>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</si>
  <si>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</si>
  <si>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</si>
  <si>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</si>
  <si>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</si>
  <si>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</si>
  <si>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</si>
  <si>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</si>
  <si>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</si>
  <si>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</si>
  <si>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</si>
  <si>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</si>
  <si>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</si>
  <si>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</si>
  <si>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</si>
  <si>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</si>
  <si>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</si>
  <si>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</si>
  <si>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</si>
  <si>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</si>
  <si>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</si>
  <si>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</si>
  <si>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</si>
  <si>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</si>
  <si>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</si>
  <si>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</si>
  <si>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</si>
  <si>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</si>
  <si>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</si>
  <si>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</si>
  <si>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</si>
  <si>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</si>
  <si>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</si>
  <si>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</si>
  <si>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</si>
  <si>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</si>
  <si>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</si>
  <si>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</si>
  <si>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</si>
  <si>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</si>
  <si>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</si>
  <si>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</si>
  <si>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</si>
  <si>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</si>
  <si>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</si>
  <si>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</si>
  <si>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</si>
  <si>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</si>
  <si>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</si>
  <si>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</si>
  <si>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</si>
  <si>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</si>
  <si>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</si>
  <si>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</si>
  <si>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</si>
  <si>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</si>
  <si>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</si>
  <si>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</si>
  <si>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</si>
  <si>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</si>
  <si>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</si>
  <si>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</si>
  <si>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</si>
  <si>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</si>
  <si>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</si>
  <si>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</si>
  <si>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</si>
  <si>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</si>
  <si>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</si>
  <si>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</si>
  <si>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</si>
  <si>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</si>
  <si>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</si>
  <si>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</si>
  <si>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</si>
  <si>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</si>
  <si>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</si>
  <si>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</si>
  <si>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</si>
  <si>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</si>
  <si>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</si>
  <si>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</si>
  <si>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</si>
  <si>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</si>
  <si>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</si>
  <si>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</si>
  <si>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</si>
  <si>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</si>
  <si>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</si>
  <si>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</si>
  <si>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</si>
  <si>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</si>
  <si>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</si>
  <si>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</si>
  <si>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</si>
  <si>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</si>
  <si>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</si>
  <si>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</si>
  <si>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</si>
  <si>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</si>
  <si>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</si>
  <si>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</si>
  <si>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</si>
  <si>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</si>
  <si>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</si>
  <si>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</si>
  <si>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</si>
  <si>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</si>
  <si>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</si>
  <si>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</si>
  <si>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</si>
  <si>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</si>
  <si>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</si>
  <si>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</si>
  <si>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</si>
  <si>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</si>
  <si>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</si>
  <si>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</si>
  <si>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</si>
  <si>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</si>
  <si>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</si>
  <si>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</si>
  <si>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</si>
  <si>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</si>
  <si>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</si>
  <si>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</si>
  <si>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</si>
  <si>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</si>
  <si>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</si>
  <si>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</si>
  <si>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</si>
  <si>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</si>
  <si>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</si>
  <si>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</si>
  <si>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</si>
  <si>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</si>
  <si>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</si>
  <si>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</si>
  <si>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</si>
  <si>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</si>
  <si>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</si>
  <si>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</si>
  <si>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</si>
  <si>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</si>
  <si>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</si>
  <si>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</si>
  <si>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</si>
  <si>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</si>
  <si>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</si>
  <si>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</si>
  <si>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</si>
  <si>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</si>
  <si>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</si>
  <si>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</si>
  <si>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</si>
  <si>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</si>
  <si>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</si>
  <si>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</si>
  <si>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</si>
  <si>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</si>
  <si>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</si>
  <si>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</si>
  <si>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</si>
  <si>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</si>
  <si>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</si>
  <si>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</si>
  <si>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</si>
  <si>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</si>
  <si>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</si>
  <si>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</si>
  <si>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</si>
  <si>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</si>
  <si>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</si>
  <si>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</si>
  <si>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</si>
  <si>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</si>
  <si>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</si>
  <si>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</si>
  <si>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</si>
  <si>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</si>
  <si>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</si>
  <si>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</si>
  <si>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</si>
  <si>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</si>
  <si>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</si>
  <si>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</si>
  <si>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</si>
  <si>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</si>
  <si>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</si>
  <si>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</si>
  <si>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</si>
  <si>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</si>
  <si>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</si>
  <si>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</si>
  <si>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</si>
  <si>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</si>
  <si>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</si>
  <si>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</si>
  <si>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</si>
  <si>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</si>
  <si>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</si>
  <si>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</si>
  <si>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</si>
  <si>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</si>
  <si>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</si>
  <si>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</si>
  <si>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</si>
  <si>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</si>
  <si>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</si>
  <si>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</si>
  <si>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</si>
  <si>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</si>
  <si>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</si>
  <si>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</si>
  <si>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</si>
  <si>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</si>
  <si>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</si>
  <si>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</si>
  <si>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</si>
  <si>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</si>
  <si>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</si>
  <si>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</si>
  <si>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</si>
  <si>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</si>
  <si>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</si>
  <si>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</si>
  <si>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</si>
  <si>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</si>
  <si>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</si>
  <si>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</si>
  <si>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</si>
  <si>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</si>
  <si>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</si>
  <si>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</si>
  <si>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</si>
  <si>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</si>
  <si>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</si>
  <si>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</si>
  <si>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</si>
  <si>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</si>
  <si>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</si>
  <si>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</si>
  <si>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</si>
  <si>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</si>
  <si>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</si>
  <si>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</si>
  <si>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</si>
  <si>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</si>
  <si>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</si>
  <si>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</si>
  <si>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</si>
  <si>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</si>
  <si>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</si>
  <si>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</si>
  <si>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</si>
  <si>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</si>
  <si>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</si>
  <si>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</si>
  <si>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</si>
  <si>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</si>
  <si>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</si>
  <si>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</si>
  <si>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</si>
  <si>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</si>
  <si>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</si>
  <si>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</si>
  <si>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</si>
  <si>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</si>
  <si>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</si>
  <si>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</si>
  <si>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</si>
  <si>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</si>
  <si>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</si>
  <si>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</si>
  <si>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</si>
  <si>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</si>
  <si>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</si>
  <si>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</si>
  <si>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</si>
  <si>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</si>
  <si>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</si>
  <si>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</si>
  <si>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</si>
  <si>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</si>
  <si>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</si>
  <si>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</si>
  <si>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</si>
  <si>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</si>
  <si>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</si>
  <si>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</si>
  <si>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</si>
  <si>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</si>
  <si>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</si>
  <si>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</si>
  <si>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</si>
  <si>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</si>
  <si>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</si>
  <si>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</si>
  <si>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</si>
  <si>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</si>
  <si>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</si>
  <si>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</si>
  <si>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</si>
  <si>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</si>
  <si>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</si>
  <si>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</si>
  <si>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</si>
  <si>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</si>
  <si>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</si>
  <si>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</si>
  <si>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</si>
  <si>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</si>
  <si>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</si>
  <si>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</si>
  <si>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</si>
  <si>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</si>
  <si>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</si>
  <si>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</si>
  <si>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</si>
  <si>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</si>
  <si>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</si>
  <si>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</si>
  <si>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</si>
  <si>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</si>
  <si>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</si>
  <si>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</si>
  <si>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</si>
  <si>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</si>
  <si>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</si>
  <si>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</si>
  <si>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</si>
  <si>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</si>
  <si>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</si>
  <si>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</si>
  <si>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</si>
  <si>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</si>
  <si>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</si>
  <si>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</si>
  <si>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</si>
  <si>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</si>
  <si>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</si>
  <si>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</si>
  <si>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</si>
  <si>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</si>
  <si>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</si>
  <si>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</si>
  <si>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</si>
  <si>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</si>
  <si>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</si>
  <si>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</si>
  <si>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</si>
  <si>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</si>
  <si>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</si>
  <si>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</si>
  <si>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</si>
  <si>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</si>
  <si>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</si>
  <si>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</si>
  <si>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</si>
  <si>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</si>
  <si>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</si>
  <si>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</si>
  <si>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</si>
  <si>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</si>
  <si>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</si>
  <si>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</si>
  <si>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</si>
  <si>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</si>
  <si>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</si>
  <si>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</si>
  <si>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</si>
  <si>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</si>
  <si>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</si>
  <si>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</si>
  <si>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</si>
  <si>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</si>
  <si>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</si>
  <si>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</si>
  <si>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</si>
  <si>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</si>
  <si>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</si>
  <si>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</si>
  <si>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</si>
  <si>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</si>
  <si>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</si>
  <si>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</si>
  <si>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</si>
  <si>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</si>
  <si>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</si>
  <si>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</si>
  <si>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</si>
  <si>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</si>
  <si>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</si>
  <si>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</si>
  <si>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</si>
  <si>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</si>
  <si>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</si>
  <si>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</si>
  <si>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</si>
  <si>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</si>
  <si>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</si>
  <si>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</si>
  <si>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</si>
  <si>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</si>
  <si>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</si>
  <si>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</si>
  <si>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</si>
  <si>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</si>
  <si>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</si>
  <si>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</si>
  <si>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</si>
  <si>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</si>
  <si>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</si>
  <si>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</si>
  <si>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</si>
  <si>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</si>
  <si>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</si>
  <si>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</si>
  <si>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</si>
  <si>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</si>
  <si>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</si>
  <si>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</si>
  <si>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</si>
  <si>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</si>
  <si>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</si>
  <si>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</si>
  <si>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</si>
  <si>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</si>
  <si>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</si>
  <si>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</si>
  <si>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</si>
  <si>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</si>
  <si>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</si>
  <si>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</si>
  <si>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</si>
  <si>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</si>
  <si>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</si>
  <si>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</si>
  <si>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</si>
  <si>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</si>
  <si>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</si>
  <si>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</si>
  <si>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</si>
  <si>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</si>
  <si>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</si>
  <si>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</si>
  <si>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</si>
  <si>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</si>
  <si>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</si>
  <si>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</si>
  <si>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</si>
  <si>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</si>
  <si>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</si>
  <si>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</si>
  <si>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</si>
  <si>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</si>
  <si>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</si>
  <si>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</si>
  <si>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</si>
  <si>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</si>
  <si>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</si>
  <si>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</si>
  <si>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</si>
  <si>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</si>
  <si>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</si>
  <si>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</si>
  <si>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</si>
  <si>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</si>
  <si>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</si>
  <si>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</si>
  <si>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</si>
  <si>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</si>
  <si>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</si>
  <si>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</si>
  <si>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</si>
  <si>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</si>
  <si>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</si>
  <si>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</si>
  <si>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</si>
  <si>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</si>
  <si>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</si>
  <si>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</si>
  <si>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</si>
  <si>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</si>
  <si>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</si>
  <si>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</si>
  <si>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</si>
  <si>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</si>
  <si>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</si>
  <si>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</si>
  <si>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</si>
  <si>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</si>
  <si>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</si>
  <si>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</si>
  <si>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</si>
  <si>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</si>
  <si>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</si>
  <si>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</si>
  <si>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</si>
  <si>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</si>
  <si>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</si>
  <si>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</si>
  <si>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</si>
  <si>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</si>
  <si>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</si>
  <si>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</si>
  <si>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</si>
  <si>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</si>
  <si>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</si>
  <si>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</si>
  <si>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</si>
  <si>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</si>
  <si>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</si>
  <si>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</si>
  <si>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</si>
  <si>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</si>
  <si>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</si>
  <si>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</si>
  <si>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</si>
  <si>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</si>
  <si>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</si>
  <si>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</si>
  <si>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</si>
  <si>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</si>
  <si>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</si>
  <si>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</si>
  <si>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</si>
  <si>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</si>
  <si>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</si>
  <si>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</si>
  <si>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</si>
  <si>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</si>
  <si>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</si>
  <si>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</si>
  <si>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</si>
  <si>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</si>
  <si>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</si>
  <si>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</si>
  <si>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</si>
  <si>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</si>
  <si>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</si>
  <si>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</si>
  <si>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</si>
  <si>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</si>
  <si>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</si>
  <si>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</si>
  <si>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</si>
  <si>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</si>
  <si>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</si>
  <si>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</si>
  <si>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</si>
  <si>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</si>
  <si>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</si>
  <si>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</si>
  <si>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</si>
  <si>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</si>
  <si>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</si>
  <si>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</si>
  <si>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</si>
  <si>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</si>
  <si>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</si>
  <si>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</si>
  <si>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</si>
  <si>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</si>
  <si>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</si>
  <si>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</si>
  <si>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</si>
  <si>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</si>
  <si>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</si>
  <si>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</si>
  <si>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</si>
  <si>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</si>
  <si>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</si>
  <si>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</si>
  <si>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</si>
  <si>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</si>
  <si>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</si>
  <si>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</si>
  <si>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</si>
  <si>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</si>
  <si>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</si>
  <si>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</si>
  <si>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</si>
  <si>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</si>
  <si>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</si>
  <si>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</si>
  <si>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</si>
  <si>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</si>
  <si>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</si>
  <si>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</si>
  <si>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</si>
  <si>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</si>
  <si>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</si>
  <si>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</si>
  <si>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</si>
  <si>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</si>
  <si>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</si>
  <si>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</si>
  <si>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</si>
  <si>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</si>
  <si>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</si>
  <si>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</si>
  <si>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</si>
  <si>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</si>
  <si>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</si>
  <si>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</si>
  <si>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</si>
  <si>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</si>
  <si>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</si>
  <si>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</si>
  <si>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</si>
  <si>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</si>
  <si>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</si>
  <si>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</si>
  <si>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</si>
  <si>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</si>
  <si>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</si>
  <si>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</si>
  <si>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</si>
  <si>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</si>
  <si>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</si>
  <si>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</si>
  <si>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</si>
  <si>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</si>
  <si>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</si>
  <si>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</si>
  <si>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</si>
  <si>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</si>
  <si>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</si>
  <si>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</si>
  <si>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</si>
  <si>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</si>
  <si>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</si>
  <si>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</si>
  <si>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</si>
  <si>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</si>
  <si>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</si>
  <si>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</si>
  <si>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</si>
  <si>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</si>
  <si>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</si>
  <si>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</si>
  <si>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</si>
  <si>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</si>
  <si>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</si>
  <si>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</si>
  <si>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</si>
  <si>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</si>
  <si>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</si>
  <si>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</si>
  <si>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</si>
  <si>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</si>
  <si>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</si>
  <si>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</si>
  <si>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</si>
  <si>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</si>
  <si>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</si>
  <si>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</si>
  <si>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</si>
  <si>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</si>
  <si>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</si>
  <si>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</si>
  <si>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</si>
  <si>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</si>
  <si>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</si>
  <si>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</si>
  <si>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</si>
  <si>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</si>
  <si>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</si>
  <si>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</si>
  <si>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</si>
  <si>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</si>
  <si>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</si>
  <si>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</si>
  <si>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</si>
  <si>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</si>
  <si>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</si>
  <si>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</si>
  <si>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</si>
  <si>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</si>
  <si>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</si>
  <si>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</si>
  <si>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</si>
  <si>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</si>
  <si>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</si>
  <si>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</si>
  <si>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</si>
  <si>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</si>
  <si>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</si>
  <si>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</si>
  <si>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</si>
  <si>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</si>
  <si>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</si>
  <si>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</si>
  <si>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</si>
  <si>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</si>
  <si>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</si>
  <si>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</si>
  <si>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</si>
  <si>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</si>
  <si>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</si>
  <si>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</si>
  <si>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</si>
  <si>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</si>
  <si>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</si>
  <si>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</si>
  <si>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</si>
  <si>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</si>
  <si>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</si>
  <si>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</si>
  <si>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</si>
  <si>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</si>
  <si>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</si>
  <si>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</si>
  <si>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</si>
  <si>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</si>
  <si>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</si>
  <si>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</si>
  <si>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</si>
  <si>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</si>
  <si>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</si>
  <si>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</si>
  <si>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</si>
  <si>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</si>
  <si>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</si>
  <si>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</si>
  <si>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</si>
  <si>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</si>
  <si>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</si>
  <si>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</si>
  <si>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</si>
  <si>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</si>
  <si>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</si>
  <si>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</si>
  <si>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</si>
  <si>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</si>
  <si>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</si>
  <si>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</si>
  <si>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</si>
  <si>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</si>
  <si>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</si>
  <si>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</si>
  <si>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</si>
  <si>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</si>
  <si>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</si>
  <si>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</si>
  <si>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</si>
  <si>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</si>
  <si>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</si>
  <si>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</si>
  <si>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</si>
  <si>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</si>
  <si>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</si>
  <si>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</si>
  <si>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</si>
  <si>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</si>
  <si>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</si>
  <si>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</si>
  <si>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</si>
  <si>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</si>
  <si>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</si>
  <si>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</si>
  <si>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</si>
  <si>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</si>
  <si>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</si>
  <si>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</si>
  <si>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</si>
  <si>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</si>
  <si>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</si>
  <si>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</si>
  <si>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</si>
  <si>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</si>
  <si>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</si>
  <si>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</si>
  <si>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</si>
  <si>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</si>
  <si>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</si>
  <si>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</si>
  <si>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</si>
  <si>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</si>
  <si>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</si>
  <si>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</si>
  <si>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</si>
  <si>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</si>
  <si>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</si>
  <si>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</si>
  <si>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</si>
  <si>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</si>
  <si>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</si>
  <si>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</si>
  <si>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</si>
  <si>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</si>
  <si>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</si>
  <si>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</si>
  <si>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</si>
  <si>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</si>
  <si>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</si>
  <si>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</si>
  <si>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</si>
  <si>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</si>
  <si>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</si>
  <si>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</si>
  <si>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</si>
  <si>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</si>
  <si>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</si>
  <si>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</si>
  <si>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</si>
  <si>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</si>
  <si>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</si>
  <si>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</si>
  <si>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</si>
  <si>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</si>
  <si>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</si>
  <si>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</si>
  <si>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</si>
  <si>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</si>
  <si>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</si>
  <si>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</si>
  <si>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</si>
  <si>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</si>
  <si>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</si>
  <si>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</si>
  <si>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</si>
  <si>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</si>
  <si>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</si>
  <si>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</si>
  <si>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</si>
  <si>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</si>
  <si>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</si>
  <si>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</si>
  <si>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</si>
  <si>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</si>
  <si>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</si>
  <si>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</si>
  <si>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</si>
  <si>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</si>
  <si>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</si>
  <si>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</si>
  <si>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</si>
  <si>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</si>
  <si>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</si>
  <si>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</si>
  <si>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</si>
  <si>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</si>
  <si>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</si>
  <si>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</si>
  <si>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</si>
  <si>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</si>
  <si>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</si>
  <si>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</si>
  <si>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</si>
  <si>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</si>
  <si>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</si>
  <si>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</si>
  <si>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</si>
  <si>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</si>
  <si>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</si>
  <si>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</si>
  <si>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</si>
  <si>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</si>
  <si>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</si>
  <si>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</si>
  <si>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</si>
  <si>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</si>
  <si>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</si>
  <si>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</si>
  <si>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</si>
  <si>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</si>
  <si>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</si>
  <si>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</si>
  <si>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</si>
  <si>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</si>
  <si>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</si>
  <si>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</si>
  <si>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</si>
  <si>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</si>
  <si>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</si>
  <si>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</si>
  <si>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</si>
  <si>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</si>
  <si>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</si>
  <si>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</si>
  <si>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</si>
  <si>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</si>
  <si>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</si>
  <si>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</si>
  <si>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</si>
  <si>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</si>
  <si>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</si>
  <si>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</si>
  <si>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</si>
  <si>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</si>
  <si>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</si>
  <si>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</si>
  <si>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</si>
  <si>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</si>
  <si>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</si>
  <si>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</si>
  <si>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</si>
  <si>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</si>
  <si>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</si>
  <si>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</si>
  <si>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</si>
  <si>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</si>
  <si>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</si>
  <si>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</si>
  <si>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</si>
  <si>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</si>
  <si>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</si>
  <si>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</si>
  <si>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</si>
  <si>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</si>
  <si>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</si>
  <si>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</si>
  <si>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</si>
  <si>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</si>
  <si>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</si>
  <si>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</si>
  <si>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</si>
  <si>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</si>
  <si>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</si>
  <si>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</si>
  <si>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</si>
  <si>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</si>
  <si>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</si>
  <si>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</si>
  <si>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</si>
  <si>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</si>
  <si>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</si>
  <si>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</si>
  <si>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</si>
  <si>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</si>
  <si>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</si>
  <si>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</si>
  <si>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</si>
  <si>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</si>
  <si>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</si>
  <si>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</si>
  <si>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</si>
  <si>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</si>
  <si>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</si>
  <si>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</si>
  <si>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</si>
  <si>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</si>
  <si>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</si>
  <si>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</si>
  <si>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</si>
  <si>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</si>
  <si>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</si>
  <si>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</si>
  <si>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</si>
  <si>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</si>
  <si>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</si>
  <si>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</si>
  <si>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</si>
  <si>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</si>
  <si>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</si>
  <si>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</si>
  <si>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</si>
  <si>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</si>
  <si>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</si>
  <si>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</si>
  <si>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</si>
  <si>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</si>
  <si>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</si>
  <si>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</si>
  <si>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</si>
  <si>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</si>
  <si>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</si>
  <si>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</si>
  <si>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</si>
  <si>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</si>
  <si>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</si>
  <si>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</si>
  <si>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</si>
  <si>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</si>
  <si>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</si>
  <si>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</si>
  <si>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</si>
  <si>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</si>
  <si>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</si>
  <si>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</si>
  <si>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</si>
  <si>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</si>
  <si>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</si>
  <si>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</si>
  <si>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</si>
  <si>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</si>
  <si>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</si>
  <si>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</si>
  <si>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</si>
  <si>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</si>
  <si>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</si>
  <si>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</si>
  <si>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</si>
  <si>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</si>
  <si>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</si>
  <si>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</si>
  <si>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</si>
  <si>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</si>
  <si>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</si>
  <si>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</si>
  <si>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</si>
  <si>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</si>
  <si>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</si>
  <si>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</si>
  <si>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</si>
  <si>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</si>
  <si>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</si>
  <si>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</si>
  <si>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</si>
  <si>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</si>
  <si>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</si>
  <si>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</si>
  <si>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</si>
  <si>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</si>
  <si>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</si>
  <si>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</si>
  <si>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</si>
  <si>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</si>
  <si>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</si>
  <si>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</si>
  <si>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</si>
  <si>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</si>
  <si>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</si>
  <si>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</si>
  <si>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</si>
  <si>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</si>
  <si>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</si>
  <si>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</si>
  <si>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</si>
  <si>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</si>
  <si>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</si>
  <si>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</si>
  <si>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</si>
  <si>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</si>
  <si>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</si>
  <si>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</si>
  <si>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</si>
  <si>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</si>
  <si>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</si>
  <si>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</si>
  <si>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</si>
  <si>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</si>
  <si>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</si>
  <si>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</si>
  <si>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</si>
  <si>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</si>
  <si>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</si>
  <si>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</si>
  <si>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</si>
  <si>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</si>
  <si>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</si>
  <si>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</si>
  <si>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</si>
  <si>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</si>
  <si>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</si>
  <si>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</si>
  <si>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</si>
  <si>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</si>
  <si>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</si>
  <si>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</si>
  <si>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</si>
  <si>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</si>
  <si>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</si>
  <si>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</si>
  <si>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</si>
  <si>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</si>
  <si>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</si>
  <si>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</si>
  <si>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</si>
  <si>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</si>
  <si>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</si>
  <si>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</si>
  <si>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</si>
  <si>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</si>
  <si>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</si>
  <si>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</si>
  <si>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</si>
  <si>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</si>
  <si>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</si>
  <si>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</si>
  <si>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</si>
  <si>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</si>
  <si>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</si>
  <si>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</si>
  <si>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</si>
  <si>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</si>
  <si>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</si>
  <si>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</si>
  <si>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</si>
  <si>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</si>
  <si>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</si>
  <si>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</si>
  <si>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</si>
  <si>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</si>
  <si>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</si>
  <si>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</si>
  <si>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</si>
  <si>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</si>
  <si>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</si>
  <si>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</si>
  <si>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</si>
  <si>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</si>
  <si>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</si>
  <si>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</si>
  <si>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</si>
  <si>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</si>
  <si>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</si>
  <si>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</si>
  <si>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</si>
  <si>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</si>
  <si>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</si>
  <si>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</si>
  <si>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</si>
  <si>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</si>
  <si>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</si>
  <si>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</si>
  <si>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</si>
  <si>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</si>
  <si>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</si>
  <si>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</si>
  <si>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</si>
  <si>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</si>
  <si>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</si>
  <si>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</si>
  <si>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</si>
  <si>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</si>
  <si>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</si>
  <si>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</si>
  <si>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</si>
  <si>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</si>
  <si>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</si>
  <si>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</si>
  <si>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</si>
  <si>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</si>
  <si>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</si>
  <si>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</si>
  <si>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</si>
  <si>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</si>
  <si>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</si>
  <si>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</si>
  <si>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</si>
  <si>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</si>
  <si>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</si>
  <si>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</si>
  <si>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</si>
  <si>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</si>
  <si>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</si>
  <si>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</si>
  <si>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</si>
  <si>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</si>
  <si>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</si>
  <si>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</si>
  <si>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</si>
  <si>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</si>
  <si>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</si>
  <si>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</si>
  <si>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</si>
  <si>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</si>
  <si>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</si>
  <si>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</si>
  <si>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</si>
  <si>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</si>
  <si>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</si>
  <si>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</si>
  <si>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</si>
  <si>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</si>
  <si>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</si>
  <si>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</si>
  <si>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</si>
  <si>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</si>
  <si>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</si>
  <si>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</si>
  <si>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</si>
  <si>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</si>
  <si>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</si>
  <si>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</si>
  <si>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</si>
  <si>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</si>
  <si>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</si>
  <si>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</si>
  <si>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</si>
  <si>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</si>
  <si>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</si>
  <si>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</si>
  <si>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</si>
  <si>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</si>
  <si>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</si>
  <si>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</si>
  <si>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</si>
  <si>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</si>
  <si>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</si>
  <si>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</si>
  <si>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</si>
  <si>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</si>
  <si>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</si>
  <si>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</si>
  <si>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</si>
  <si>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</si>
  <si>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</si>
  <si>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</si>
  <si>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</si>
  <si>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</si>
  <si>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</si>
  <si>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</si>
  <si>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</si>
  <si>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</si>
  <si>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</si>
  <si>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</si>
  <si>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</si>
  <si>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</si>
  <si>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</si>
  <si>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</si>
  <si>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</si>
  <si>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</si>
  <si>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</si>
  <si>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</si>
  <si>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</si>
  <si>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</si>
  <si>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</si>
  <si>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</si>
  <si>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</si>
  <si>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</si>
  <si>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</si>
  <si>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</si>
  <si>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</si>
  <si>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</si>
  <si>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</si>
  <si>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</si>
  <si>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</si>
  <si>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</si>
  <si>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</si>
  <si>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</si>
  <si>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</si>
  <si>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</si>
  <si>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</si>
  <si>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</si>
  <si>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</si>
  <si>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</si>
  <si>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</si>
  <si>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</si>
  <si>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</si>
  <si>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</si>
  <si>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</si>
  <si>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</si>
  <si>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</si>
  <si>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</si>
  <si>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</si>
  <si>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</si>
  <si>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</si>
  <si>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</si>
  <si>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</si>
  <si>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</si>
  <si>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</si>
  <si>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</si>
  <si>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</si>
  <si>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</si>
  <si>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</si>
  <si>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</si>
  <si>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</si>
  <si>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</si>
  <si>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</si>
  <si>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</si>
  <si>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</si>
  <si>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</si>
  <si>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</si>
  <si>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</si>
  <si>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</si>
  <si>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</si>
  <si>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</si>
  <si>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</si>
  <si>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</si>
  <si>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</si>
  <si>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</si>
  <si>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</si>
  <si>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</si>
  <si>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</si>
  <si>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</si>
  <si>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</si>
  <si>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</si>
  <si>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</si>
  <si>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</si>
  <si>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</si>
  <si>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</si>
  <si>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</si>
  <si>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</si>
  <si>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</si>
  <si>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</si>
  <si>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</si>
  <si>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</si>
  <si>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</si>
  <si>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</si>
  <si>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</si>
  <si>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</si>
  <si>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</si>
  <si>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</si>
  <si>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</si>
  <si>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</si>
  <si>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</si>
  <si>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</si>
  <si>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</si>
  <si>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</si>
  <si>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</si>
  <si>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</si>
  <si>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</si>
  <si>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</si>
  <si>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</si>
  <si>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</si>
  <si>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</si>
  <si>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</si>
  <si>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</si>
  <si>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</si>
  <si>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</si>
  <si>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</si>
  <si>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</si>
  <si>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</si>
  <si>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</si>
  <si>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</si>
  <si>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</si>
  <si>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</si>
  <si>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</si>
  <si>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</si>
  <si>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</si>
  <si>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</si>
  <si>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</si>
  <si>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</si>
  <si>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</si>
  <si>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</si>
  <si>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</si>
  <si>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</si>
  <si>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</si>
  <si>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</si>
  <si>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</si>
  <si>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</si>
  <si>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</si>
  <si>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</si>
  <si>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</si>
  <si>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</si>
  <si>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</si>
  <si>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</si>
  <si>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</si>
  <si>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</si>
  <si>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</si>
  <si>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</si>
  <si>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</si>
  <si>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</si>
  <si>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</si>
  <si>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</si>
  <si>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</si>
  <si>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</si>
  <si>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</si>
  <si>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</si>
  <si>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</si>
  <si>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</si>
  <si>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</si>
  <si>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</si>
  <si>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</si>
  <si>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</si>
  <si>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</si>
  <si>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</si>
  <si>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</si>
  <si>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</si>
  <si>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</si>
  <si>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</si>
  <si>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</si>
  <si>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</si>
  <si>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</si>
  <si>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</si>
  <si>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</si>
  <si>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</si>
  <si>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</si>
  <si>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</si>
  <si>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</si>
  <si>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</si>
  <si>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</si>
  <si>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</si>
  <si>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</si>
  <si>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</si>
  <si>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</si>
  <si>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</si>
  <si>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</si>
  <si>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</si>
  <si>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</si>
  <si>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</si>
  <si>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</si>
  <si>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</si>
  <si>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</si>
  <si>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</si>
  <si>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</si>
  <si>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</si>
  <si>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</si>
  <si>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</si>
  <si>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</si>
  <si>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</si>
  <si>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</si>
  <si>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</si>
  <si>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</si>
  <si>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</si>
  <si>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</si>
  <si>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</si>
  <si>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</si>
  <si>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</si>
  <si>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</si>
  <si>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</si>
  <si>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</si>
  <si>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</si>
  <si>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</si>
  <si>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</si>
  <si>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</si>
  <si>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</si>
  <si>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</si>
  <si>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</si>
  <si>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</si>
  <si>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</si>
  <si>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</si>
  <si>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</si>
  <si>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</si>
  <si>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</si>
  <si>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</si>
  <si>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</si>
  <si>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</si>
  <si>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</si>
  <si>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</si>
  <si>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</si>
  <si>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</si>
  <si>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</si>
  <si>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</si>
  <si>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</si>
  <si>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</si>
  <si>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</si>
  <si>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</si>
  <si>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</si>
  <si>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</si>
  <si>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</si>
  <si>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</si>
  <si>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</si>
  <si>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</si>
  <si>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</si>
  <si>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</si>
  <si>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</si>
  <si>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</si>
  <si>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</si>
  <si>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</si>
  <si>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</si>
  <si>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</si>
  <si>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</si>
  <si>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</si>
  <si>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</si>
  <si>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</si>
  <si>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</si>
  <si>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</si>
  <si>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</si>
  <si>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</si>
  <si>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</si>
  <si>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</si>
  <si>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</si>
  <si>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</si>
  <si>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</si>
  <si>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</si>
  <si>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</si>
  <si>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</si>
  <si>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</si>
  <si>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</si>
  <si>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</si>
  <si>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</si>
  <si>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</si>
  <si>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</si>
  <si>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</si>
  <si>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</si>
  <si>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</si>
  <si>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</si>
  <si>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</si>
  <si>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</si>
  <si>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</si>
  <si>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</si>
  <si>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</si>
  <si>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</si>
  <si>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</si>
  <si>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</si>
  <si>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</si>
  <si>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</si>
  <si>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</si>
  <si>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</si>
  <si>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</si>
  <si>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</si>
  <si>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</si>
  <si>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</si>
  <si>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</si>
  <si>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</si>
  <si>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</si>
  <si>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</si>
  <si>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</si>
  <si>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</si>
  <si>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</si>
  <si>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</si>
  <si>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</si>
  <si>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</si>
  <si>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</si>
  <si>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</si>
  <si>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</si>
  <si>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</si>
  <si>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</si>
  <si>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</si>
  <si>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</si>
  <si>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</si>
  <si>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</si>
  <si>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</si>
  <si>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</si>
  <si>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</si>
  <si>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</si>
  <si>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</si>
  <si>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</si>
  <si>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</si>
  <si>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</si>
  <si>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</si>
  <si>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</si>
  <si>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</si>
  <si>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</si>
  <si>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</si>
  <si>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</si>
  <si>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</si>
  <si>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</si>
  <si>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</si>
  <si>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</si>
  <si>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</si>
  <si>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</si>
  <si>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</si>
  <si>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</si>
  <si>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</si>
  <si>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</si>
  <si>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</si>
  <si>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</si>
  <si>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</si>
  <si>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</si>
  <si>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</si>
  <si>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</si>
  <si>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</si>
  <si>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</si>
  <si>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</si>
  <si>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</si>
  <si>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</si>
  <si>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</si>
  <si>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</si>
  <si>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</si>
  <si>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</si>
  <si>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</si>
  <si>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</si>
  <si>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</si>
  <si>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</si>
  <si>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</si>
  <si>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</si>
  <si>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</si>
  <si>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</si>
  <si>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</si>
  <si>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</si>
  <si>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</si>
  <si>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</si>
  <si>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</si>
  <si>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</si>
  <si>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</si>
  <si>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</si>
  <si>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</si>
  <si>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</si>
  <si>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</si>
  <si>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</si>
  <si>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</si>
  <si>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</si>
  <si>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</si>
  <si>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</si>
  <si>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</si>
  <si>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</si>
  <si>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</si>
  <si>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</si>
  <si>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</si>
  <si>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</si>
  <si>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</si>
  <si>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</si>
  <si>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</si>
  <si>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</si>
  <si>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</si>
  <si>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</si>
  <si>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</si>
  <si>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</si>
  <si>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</si>
  <si>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</si>
  <si>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</si>
  <si>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</si>
  <si>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</si>
  <si>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</si>
  <si>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</si>
  <si>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</si>
  <si>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</si>
  <si>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</si>
  <si>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</si>
  <si>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</si>
  <si>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</si>
  <si>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</si>
  <si>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</si>
  <si>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</si>
  <si>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</si>
  <si>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</si>
  <si>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</si>
  <si>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</si>
  <si>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</si>
  <si>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</si>
  <si>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</si>
  <si>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</si>
  <si>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</si>
  <si>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</si>
  <si>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</si>
  <si>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</si>
  <si>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</si>
  <si>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</si>
  <si>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</si>
  <si>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</si>
  <si>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</si>
  <si>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</si>
  <si>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</si>
  <si>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</si>
  <si>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</si>
  <si>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</si>
  <si>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</si>
  <si>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</si>
  <si>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</si>
  <si>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</si>
  <si>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</si>
  <si>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</si>
  <si>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</si>
  <si>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</si>
  <si>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</si>
  <si>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</si>
  <si>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</si>
  <si>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</si>
  <si>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</si>
  <si>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</si>
  <si>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</si>
  <si>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</si>
  <si>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</si>
  <si>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</si>
  <si>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</si>
  <si>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</si>
  <si>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</si>
  <si>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</si>
  <si>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</si>
  <si>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</si>
  <si>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</si>
  <si>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</si>
  <si>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</si>
  <si>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</si>
  <si>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</si>
  <si>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</si>
  <si>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</si>
  <si>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</si>
  <si>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</si>
  <si>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</si>
  <si>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</si>
  <si>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</si>
  <si>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</si>
  <si>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</si>
  <si>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</si>
  <si>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</si>
  <si>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</si>
  <si>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</si>
  <si>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</si>
  <si>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</si>
  <si>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</si>
  <si>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</si>
  <si>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</si>
  <si>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</si>
  <si>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</si>
  <si>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</si>
  <si>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</si>
  <si>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</si>
  <si>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</si>
  <si>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</si>
  <si>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</si>
  <si>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</si>
  <si>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</si>
  <si>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</si>
  <si>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</si>
  <si>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</si>
  <si>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</si>
  <si>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</si>
  <si>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</si>
  <si>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</si>
  <si>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</si>
  <si>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</si>
  <si>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</si>
  <si>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</si>
  <si>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</si>
  <si>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</si>
  <si>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</si>
  <si>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</si>
  <si>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</si>
  <si>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</si>
  <si>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</si>
  <si>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</si>
  <si>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</si>
  <si>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</si>
  <si>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</si>
  <si>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</si>
  <si>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</si>
  <si>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</si>
  <si>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</si>
  <si>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</si>
  <si>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</si>
  <si>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</si>
  <si>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</si>
  <si>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</si>
  <si>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</si>
  <si>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</si>
  <si>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</si>
  <si>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</si>
  <si>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</si>
  <si>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</si>
  <si>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</si>
  <si>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</si>
  <si>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</si>
  <si>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</si>
  <si>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</si>
  <si>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</si>
  <si>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</si>
  <si>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</si>
  <si>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</si>
  <si>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</si>
  <si>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</si>
  <si>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</si>
  <si>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</si>
  <si>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</si>
  <si>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</si>
  <si>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</si>
  <si>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</si>
  <si>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</si>
  <si>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</si>
  <si>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</si>
  <si>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</si>
  <si>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</si>
  <si>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</si>
  <si>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</si>
  <si>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</si>
  <si>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</si>
  <si>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</si>
  <si>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</si>
  <si>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</si>
  <si>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</si>
  <si>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</si>
  <si>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</si>
  <si>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</si>
  <si>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</si>
  <si>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</si>
  <si>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</si>
  <si>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</si>
  <si>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</si>
  <si>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</si>
  <si>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</si>
  <si>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</si>
  <si>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</si>
  <si>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</si>
  <si>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</si>
  <si>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</si>
  <si>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</si>
  <si>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</si>
  <si>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</si>
  <si>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</si>
  <si>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</si>
  <si>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</si>
  <si>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</si>
  <si>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</si>
  <si>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</si>
  <si>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</si>
  <si>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</si>
  <si>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</si>
  <si>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</si>
  <si>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</si>
  <si>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</si>
  <si>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</si>
  <si>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</si>
  <si>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</si>
  <si>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</si>
  <si>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</si>
  <si>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</si>
  <si>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</si>
  <si>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</si>
  <si>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</si>
  <si>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</si>
  <si>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</si>
  <si>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</si>
  <si>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</si>
  <si>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</si>
  <si>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</si>
  <si>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</si>
  <si>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</si>
  <si>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</si>
  <si>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</si>
  <si>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</si>
  <si>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</si>
  <si>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</si>
  <si>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</si>
  <si>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</si>
  <si>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</si>
  <si>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</si>
  <si>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</si>
  <si>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</si>
  <si>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</si>
  <si>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</si>
  <si>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</si>
  <si>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</si>
  <si>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</si>
  <si>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</si>
  <si>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</si>
  <si>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</si>
  <si>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</si>
  <si>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</si>
  <si>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</si>
  <si>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</si>
  <si>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</si>
  <si>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</si>
  <si>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</si>
  <si>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</si>
  <si>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</si>
  <si>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</si>
  <si>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</si>
  <si>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</si>
  <si>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</si>
  <si>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</si>
  <si>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</si>
  <si>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</si>
  <si>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</si>
  <si>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</si>
  <si>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</si>
  <si>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</si>
  <si>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</si>
  <si>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</si>
  <si>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</si>
  <si>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</si>
  <si>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</si>
  <si>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</si>
  <si>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</si>
  <si>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</si>
  <si>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</si>
  <si>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</si>
  <si>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</si>
  <si>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</si>
  <si>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</si>
  <si>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</si>
  <si>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</si>
  <si>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</si>
  <si>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</si>
  <si>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</si>
  <si>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</si>
  <si>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</si>
  <si>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</si>
  <si>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</si>
  <si>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</si>
  <si>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</si>
  <si>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</si>
  <si>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</si>
  <si>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</si>
  <si>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</si>
  <si>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</si>
  <si>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</si>
  <si>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</si>
  <si>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</si>
  <si>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</si>
  <si>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</si>
  <si>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</si>
  <si>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</si>
  <si>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</si>
  <si>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</si>
  <si>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</si>
  <si>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</si>
  <si>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</si>
  <si>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</si>
  <si>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</si>
  <si>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</si>
  <si>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</si>
  <si>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</si>
  <si>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</si>
  <si>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</si>
  <si>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</si>
  <si>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</si>
  <si>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</si>
  <si>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</si>
  <si>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</si>
  <si>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</si>
  <si>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</si>
  <si>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</si>
  <si>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</si>
  <si>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</si>
  <si>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</si>
  <si>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</si>
  <si>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</si>
  <si>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</si>
  <si>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</si>
  <si>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</si>
  <si>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</si>
  <si>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</si>
  <si>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</si>
  <si>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</si>
  <si>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</si>
  <si>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</si>
  <si>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</si>
  <si>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</si>
  <si>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</si>
  <si>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</si>
  <si>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</si>
  <si>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</si>
  <si>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</si>
  <si>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</si>
  <si>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</si>
  <si>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</si>
  <si>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</si>
  <si>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</si>
  <si>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</si>
  <si>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</si>
  <si>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</si>
  <si>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</si>
  <si>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</si>
  <si>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</si>
  <si>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</si>
  <si>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</si>
  <si>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</si>
  <si>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</si>
  <si>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</si>
  <si>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</si>
  <si>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</si>
  <si>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</si>
  <si>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</si>
  <si>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</si>
  <si>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</si>
  <si>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</si>
  <si>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</si>
  <si>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</si>
  <si>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</si>
  <si>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</si>
  <si>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</si>
  <si>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</si>
  <si>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</si>
  <si>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</si>
  <si>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</si>
  <si>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</si>
  <si>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</si>
  <si>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</si>
  <si>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</si>
  <si>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</si>
  <si>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</si>
  <si>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</si>
  <si>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</si>
  <si>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</si>
  <si>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</si>
  <si>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</si>
  <si>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</si>
  <si>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</si>
  <si>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</si>
  <si>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</si>
  <si>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</si>
  <si>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</si>
  <si>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</si>
  <si>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</si>
  <si>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</si>
  <si>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</si>
  <si>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</si>
  <si>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</si>
  <si>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</si>
  <si>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</si>
  <si>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</si>
  <si>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</si>
  <si>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</si>
  <si>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</si>
  <si>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</si>
  <si>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</si>
  <si>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</si>
  <si>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</si>
  <si>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</si>
  <si>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</si>
  <si>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</si>
  <si>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</si>
  <si>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</si>
  <si>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</si>
  <si>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</si>
  <si>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</si>
  <si>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</si>
  <si>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</si>
  <si>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</si>
  <si>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</si>
  <si>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</si>
  <si>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</si>
  <si>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</si>
  <si>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</si>
  <si>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</si>
  <si>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</si>
  <si>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</si>
  <si>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</si>
  <si>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</si>
  <si>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</si>
  <si>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</si>
  <si>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</si>
  <si>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</si>
  <si>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</si>
  <si>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</si>
  <si>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</si>
  <si>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</si>
  <si>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</si>
  <si>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</si>
  <si>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</si>
  <si>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</si>
  <si>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</si>
  <si>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</si>
  <si>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</si>
  <si>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</si>
  <si>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</si>
  <si>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</si>
  <si>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</si>
  <si>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</si>
  <si>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</si>
  <si>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</si>
  <si>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</si>
  <si>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</si>
  <si>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</si>
  <si>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</si>
  <si>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</si>
  <si>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</si>
  <si>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</si>
  <si>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</si>
  <si>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</si>
  <si>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</si>
  <si>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</si>
  <si>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</si>
  <si>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</si>
  <si>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</si>
  <si>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</si>
  <si>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</si>
  <si>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</si>
  <si>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</si>
  <si>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</si>
  <si>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</si>
  <si>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</si>
  <si>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</si>
  <si>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</si>
  <si>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</si>
  <si>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</si>
  <si>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</si>
  <si>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</si>
  <si>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</si>
  <si>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</si>
  <si>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</si>
  <si>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</si>
  <si>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</si>
  <si>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</si>
  <si>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</si>
  <si>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</si>
  <si>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</si>
  <si>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</si>
  <si>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</si>
  <si>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</si>
  <si>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</si>
  <si>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</si>
  <si>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</si>
  <si>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</si>
  <si>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</si>
  <si>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</si>
  <si>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</si>
  <si>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</si>
  <si>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</si>
  <si>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</si>
  <si>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</si>
  <si>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</si>
  <si>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</si>
  <si>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</si>
  <si>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</si>
  <si>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</si>
  <si>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</si>
  <si>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</si>
  <si>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</si>
  <si>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</si>
  <si>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</si>
  <si>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</si>
  <si>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</si>
  <si>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</si>
  <si>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</si>
  <si>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</si>
  <si>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</si>
  <si>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</si>
  <si>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</si>
  <si>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</si>
  <si>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</si>
  <si>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</si>
  <si>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</si>
  <si>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</si>
  <si>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</si>
  <si>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</si>
  <si>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</si>
  <si>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</si>
  <si>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</si>
  <si>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</si>
  <si>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</si>
  <si>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</si>
  <si>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</si>
  <si>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</si>
  <si>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</si>
  <si>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</si>
  <si>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</si>
  <si>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</si>
  <si>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</si>
  <si>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</si>
  <si>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</si>
  <si>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</si>
  <si>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</si>
  <si>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</si>
  <si>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</si>
  <si>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</si>
  <si>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</si>
  <si>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</si>
  <si>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</si>
  <si>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</si>
  <si>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</si>
  <si>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</si>
  <si>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</si>
  <si>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</si>
  <si>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</si>
  <si>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</si>
  <si>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</si>
  <si>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</si>
  <si>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</si>
  <si>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</si>
  <si>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</si>
  <si>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</si>
  <si>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</si>
  <si>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</si>
  <si>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</si>
  <si>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</si>
  <si>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</si>
  <si>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</si>
  <si>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</si>
  <si>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</si>
  <si>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</si>
  <si>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</si>
  <si>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</si>
  <si>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</si>
  <si>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</si>
  <si>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</si>
  <si>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</si>
  <si>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</si>
  <si>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</si>
  <si>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</si>
  <si>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</si>
  <si>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</si>
  <si>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</si>
  <si>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</si>
  <si>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</si>
  <si>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</si>
  <si>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</si>
  <si>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</si>
  <si>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</si>
  <si>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</si>
  <si>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</si>
  <si>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</si>
  <si>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</si>
  <si>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</si>
  <si>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</si>
  <si>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</si>
  <si>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</si>
  <si>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</si>
  <si>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</si>
  <si>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</si>
  <si>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</si>
  <si>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</si>
  <si>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</si>
  <si>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</si>
  <si>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</si>
  <si>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</si>
  <si>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</si>
  <si>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</si>
  <si>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</si>
  <si>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</si>
  <si>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</si>
  <si>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</si>
  <si>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</si>
  <si>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</si>
  <si>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</si>
  <si>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</si>
  <si>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</si>
  <si>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</si>
  <si>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</si>
  <si>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</si>
  <si>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</si>
  <si>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</si>
  <si>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</si>
  <si>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</si>
  <si>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</si>
  <si>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</si>
  <si>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</si>
  <si>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</si>
  <si>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</si>
  <si>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</si>
  <si>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</si>
  <si>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</si>
  <si>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</si>
  <si>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</si>
  <si>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</si>
  <si>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</si>
  <si>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</si>
  <si>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</si>
  <si>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</si>
  <si>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</si>
  <si>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</si>
  <si>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</si>
  <si>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</si>
  <si>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</si>
  <si>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</si>
  <si>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</si>
  <si>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</si>
  <si>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</si>
  <si>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</si>
  <si>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</si>
  <si>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</si>
  <si>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</si>
  <si>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</si>
  <si>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</si>
  <si>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</si>
  <si>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</si>
  <si>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</si>
  <si>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</si>
  <si>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</si>
  <si>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</si>
  <si>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</si>
  <si>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</si>
  <si>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</si>
  <si>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</si>
  <si>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</si>
  <si>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</si>
  <si>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</si>
  <si>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</si>
  <si>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</si>
  <si>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</si>
  <si>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</si>
  <si>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</si>
  <si>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</si>
  <si>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</si>
  <si>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</si>
  <si>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</si>
  <si>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</si>
  <si>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</si>
  <si>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</si>
  <si>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</si>
  <si>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</si>
  <si>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</si>
  <si>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</si>
  <si>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</si>
  <si>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</si>
  <si>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</si>
  <si>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</si>
  <si>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</si>
  <si>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</si>
  <si>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</si>
  <si>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</si>
  <si>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</si>
  <si>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</si>
  <si>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</si>
  <si>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</si>
  <si>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</si>
  <si>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</si>
  <si>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</si>
  <si>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</si>
  <si>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</si>
  <si>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</si>
  <si>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</si>
  <si>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</si>
  <si>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</si>
  <si>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</si>
  <si>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</si>
  <si>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</si>
  <si>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</si>
  <si>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</si>
  <si>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</si>
  <si>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</si>
  <si>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</si>
  <si>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</si>
  <si>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</si>
  <si>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</si>
  <si>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</si>
  <si>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</si>
  <si>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</si>
  <si>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</si>
  <si>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</si>
  <si>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</si>
  <si>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</si>
  <si>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</si>
  <si>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</si>
  <si>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</si>
  <si>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</si>
  <si>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</si>
  <si>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</si>
  <si>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</si>
  <si>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</si>
  <si>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</si>
  <si>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</si>
  <si>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</si>
  <si>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</si>
  <si>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</si>
  <si>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</si>
  <si>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</si>
  <si>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</si>
  <si>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</si>
  <si>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</si>
  <si>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</si>
  <si>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</si>
  <si>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</si>
  <si>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</si>
  <si>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</si>
  <si>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</si>
  <si>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</si>
  <si>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</si>
  <si>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</si>
  <si>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</si>
  <si>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</si>
  <si>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</si>
  <si>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</si>
  <si>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</si>
  <si>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</si>
  <si>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</si>
  <si>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</si>
  <si>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</si>
  <si>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</si>
  <si>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</si>
  <si>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</si>
  <si>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</si>
  <si>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</si>
  <si>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</si>
  <si>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</si>
  <si>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</si>
  <si>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</si>
  <si>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</si>
  <si>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</si>
  <si>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</si>
  <si>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</si>
  <si>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</si>
  <si>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</si>
  <si>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</si>
  <si>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</si>
  <si>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</si>
  <si>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</si>
  <si>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</si>
  <si>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</si>
  <si>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</si>
  <si>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</si>
  <si>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</si>
  <si>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</si>
  <si>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</si>
  <si>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</si>
  <si>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</si>
  <si>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</si>
  <si>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</si>
  <si>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</si>
  <si>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</si>
  <si>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</si>
  <si>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</si>
  <si>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</si>
  <si>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</si>
  <si>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</si>
  <si>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</si>
  <si>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</si>
  <si>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</si>
  <si>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</si>
  <si>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</si>
  <si>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</si>
  <si>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</si>
  <si>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</si>
  <si>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</si>
  <si>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</si>
  <si>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</si>
  <si>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</si>
  <si>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</si>
  <si>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</si>
  <si>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</si>
  <si>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</si>
  <si>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</si>
  <si>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</si>
  <si>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</si>
  <si>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</si>
  <si>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</si>
  <si>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</si>
  <si>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</si>
  <si>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</si>
  <si>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</si>
  <si>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</si>
  <si>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</si>
  <si>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</si>
  <si>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</si>
  <si>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</si>
  <si>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</si>
  <si>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</si>
  <si>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</si>
  <si>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</si>
  <si>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</si>
  <si>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</si>
  <si>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</si>
  <si>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</si>
  <si>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</si>
  <si>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</si>
  <si>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</si>
  <si>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</si>
  <si>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</si>
  <si>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</si>
  <si>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</si>
  <si>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</si>
  <si>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</si>
  <si>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</si>
  <si>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</si>
  <si>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</si>
  <si>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</si>
  <si>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</si>
  <si>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</si>
  <si>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</si>
  <si>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</si>
  <si>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</si>
  <si>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</si>
  <si>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</si>
  <si>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</si>
  <si>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</si>
  <si>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</si>
  <si>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</si>
  <si>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</si>
  <si>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</si>
  <si>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</si>
  <si>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</si>
  <si>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</si>
  <si>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</si>
  <si>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</si>
  <si>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</si>
  <si>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</si>
  <si>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</si>
  <si>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</si>
  <si>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</si>
  <si>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</si>
  <si>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</si>
  <si>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</si>
  <si>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</si>
  <si>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</si>
  <si>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</si>
  <si>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</si>
  <si>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</si>
  <si>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</si>
  <si>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</si>
  <si>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</si>
  <si>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</si>
  <si>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</si>
  <si>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</si>
  <si>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</si>
  <si>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</si>
  <si>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</si>
  <si>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</si>
  <si>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</si>
  <si>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</si>
  <si>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</si>
  <si>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</si>
  <si>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</si>
  <si>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</si>
  <si>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</si>
  <si>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</si>
  <si>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</si>
  <si>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</si>
  <si>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</si>
  <si>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</si>
  <si>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</si>
  <si>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</si>
  <si>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</si>
  <si>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</si>
  <si>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</si>
  <si>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</si>
  <si>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</si>
  <si>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</si>
  <si>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</si>
  <si>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</si>
  <si>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</si>
  <si>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</si>
  <si>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</si>
  <si>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</si>
  <si>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</si>
  <si>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</si>
  <si>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</si>
  <si>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</si>
  <si>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</si>
  <si>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</si>
  <si>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</si>
  <si>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</si>
  <si>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</si>
  <si>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</si>
  <si>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</si>
  <si>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</si>
  <si>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</si>
  <si>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</si>
  <si>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</si>
  <si>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</si>
  <si>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</si>
  <si>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</si>
  <si>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</si>
  <si>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</si>
  <si>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</si>
  <si>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</si>
  <si>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</si>
  <si>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</si>
  <si>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</si>
  <si>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</si>
  <si>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</si>
  <si>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</si>
  <si>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</si>
  <si>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</si>
  <si>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</si>
  <si>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</si>
  <si>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</si>
  <si>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</si>
  <si>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</si>
  <si>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</si>
  <si>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</si>
  <si>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</si>
  <si>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</si>
  <si>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</si>
  <si>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</si>
  <si>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</si>
  <si>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</si>
  <si>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</si>
  <si>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</si>
  <si>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</si>
  <si>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</si>
  <si>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</si>
  <si>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</si>
  <si>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</si>
  <si>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</si>
  <si>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</si>
  <si>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</si>
  <si>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</si>
  <si>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</si>
  <si>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</si>
  <si>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</si>
  <si>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</si>
  <si>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</si>
  <si>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</si>
  <si>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</si>
  <si>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</si>
  <si>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</si>
  <si>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</si>
  <si>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</si>
  <si>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</si>
  <si>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</si>
  <si>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</si>
  <si>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</si>
  <si>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</si>
  <si>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</si>
  <si>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</si>
  <si>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</si>
  <si>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</si>
  <si>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</si>
  <si>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</si>
  <si>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</si>
  <si>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</si>
  <si>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</si>
  <si>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</si>
  <si>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</si>
  <si>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</si>
  <si>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</si>
  <si>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</si>
  <si>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</si>
  <si>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</si>
  <si>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</si>
  <si>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</si>
  <si>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</si>
  <si>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</si>
  <si>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</si>
  <si>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</si>
  <si>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 xml:space="preserve">JP3147200004                  </t>
  </si>
  <si>
    <t xml:space="preserve">JP3232600001                  </t>
  </si>
  <si>
    <t xml:space="preserve">JP3332600000                  </t>
  </si>
  <si>
    <t xml:space="preserve">JP3734600004                  </t>
  </si>
  <si>
    <t xml:space="preserve">AU000000SFR8                  </t>
  </si>
  <si>
    <t xml:space="preserve">JP3400900001                  </t>
  </si>
  <si>
    <t xml:space="preserve">JP3425000001                  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</si>
  <si>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</si>
  <si>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</si>
  <si>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</si>
  <si>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</si>
  <si>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</si>
  <si>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</si>
  <si>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</si>
  <si>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 xml:space="preserve">JP3449020001                  </t>
  </si>
  <si>
    <t>Margin deposit</t>
  </si>
  <si>
    <t xml:space="preserve">IBP </t>
  </si>
  <si>
    <t>IBP</t>
  </si>
  <si>
    <t xml:space="preserve">CA65401N1078                  </t>
  </si>
  <si>
    <t>CA65401N1078</t>
  </si>
  <si>
    <t>Electric mobility theme y/n</t>
  </si>
  <si>
    <t>Y</t>
  </si>
  <si>
    <t>JPYTN=</t>
  </si>
  <si>
    <t>JPYSN=</t>
  </si>
  <si>
    <t>JPYSW=</t>
  </si>
  <si>
    <t>JPY2W=</t>
  </si>
  <si>
    <t>JPY3W=</t>
  </si>
  <si>
    <t>JPY1M=</t>
  </si>
  <si>
    <t>JPY2M=</t>
  </si>
  <si>
    <t>JPY3M=</t>
  </si>
  <si>
    <t>JPY4M=</t>
  </si>
  <si>
    <t>JPY5M=</t>
  </si>
  <si>
    <t>JPY6M=</t>
  </si>
  <si>
    <t>JPY7M=</t>
  </si>
  <si>
    <t>JPY8M=</t>
  </si>
  <si>
    <t>JPY9M=</t>
  </si>
  <si>
    <t>JPY10M=</t>
  </si>
  <si>
    <t>JPY11M=</t>
  </si>
  <si>
    <t>JPY1Y=</t>
  </si>
  <si>
    <t>JPY15M=</t>
  </si>
  <si>
    <t>JPY18M=</t>
  </si>
  <si>
    <t>JPY21M=</t>
  </si>
  <si>
    <t>JPY2Y=</t>
  </si>
  <si>
    <t>JPY3Y=</t>
  </si>
  <si>
    <t>JPY4Y=</t>
  </si>
  <si>
    <t>JPY5Y=</t>
  </si>
  <si>
    <t>JPY6Y=</t>
  </si>
  <si>
    <t>JPY7Y=</t>
  </si>
  <si>
    <t>JPY8Y=</t>
  </si>
  <si>
    <t>JPY9Y=</t>
  </si>
  <si>
    <t>JPY10Y=</t>
  </si>
  <si>
    <t>EURTN=</t>
  </si>
  <si>
    <t>EURSN=</t>
  </si>
  <si>
    <t>EURSW=</t>
  </si>
  <si>
    <t>EUR2W=</t>
  </si>
  <si>
    <t>EUR3W=</t>
  </si>
  <si>
    <t>EUR1M=</t>
  </si>
  <si>
    <t>EUR2M=</t>
  </si>
  <si>
    <t>EUR3M=</t>
  </si>
  <si>
    <t>EUR4M=</t>
  </si>
  <si>
    <t>EUR5M=</t>
  </si>
  <si>
    <t>EUR6M=</t>
  </si>
  <si>
    <t>EUR7M=</t>
  </si>
  <si>
    <t>EUR8M=</t>
  </si>
  <si>
    <t>EUR9M=</t>
  </si>
  <si>
    <t>EUR10M=</t>
  </si>
  <si>
    <t>EUR11M=</t>
  </si>
  <si>
    <t>EUR1Y=</t>
  </si>
  <si>
    <t>EUR15M=</t>
  </si>
  <si>
    <t>EUR18M=</t>
  </si>
  <si>
    <t>EUR21M=</t>
  </si>
  <si>
    <t>EUR2Y=</t>
  </si>
  <si>
    <t>EUR30M=</t>
  </si>
  <si>
    <t>EUR3Y=</t>
  </si>
  <si>
    <t>EUR4Y=</t>
  </si>
  <si>
    <t>EUR5Y=</t>
  </si>
  <si>
    <t>EUR6Y=</t>
  </si>
  <si>
    <t>EUR7Y=</t>
  </si>
  <si>
    <t>EUR8Y=</t>
  </si>
  <si>
    <t>EUR9Y=</t>
  </si>
  <si>
    <t>EUR10Y=</t>
  </si>
  <si>
    <t>NicheAM04</t>
  </si>
  <si>
    <t>Fabrizio Laptop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</si>
  <si>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</si>
  <si>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</si>
  <si>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</si>
  <si>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</si>
  <si>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</si>
  <si>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</si>
  <si>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</si>
  <si>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</si>
  <si>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</si>
  <si>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</si>
  <si>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</si>
  <si>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</si>
  <si>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</si>
  <si>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</si>
  <si>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</si>
  <si>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</si>
  <si>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</si>
  <si>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</si>
  <si>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</si>
  <si>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</si>
  <si>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</si>
  <si>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</si>
  <si>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Ford Motor Co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</si>
  <si>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</si>
  <si>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</si>
  <si>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</si>
  <si>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</si>
  <si>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</si>
  <si>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</si>
  <si>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</si>
  <si>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</si>
  <si>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</si>
  <si>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</si>
  <si>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</si>
  <si>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</si>
  <si>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</si>
  <si>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</si>
  <si>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</si>
  <si>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</si>
  <si>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</si>
  <si>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</si>
  <si>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</si>
  <si>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</si>
  <si>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</si>
  <si>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</si>
  <si>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</si>
  <si>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</si>
  <si>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</si>
  <si>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</si>
  <si>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</si>
  <si>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</si>
  <si>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</si>
  <si>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</si>
  <si>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</si>
  <si>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</si>
  <si>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</si>
  <si>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</si>
  <si>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</si>
  <si>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</si>
  <si>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</si>
  <si>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</si>
  <si>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</si>
  <si>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</si>
  <si>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</si>
  <si>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</si>
  <si>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</si>
  <si>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</si>
  <si>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</si>
  <si>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</si>
  <si>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</si>
  <si>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</si>
  <si>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</si>
  <si>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</si>
  <si>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</si>
  <si>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</si>
  <si>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</si>
  <si>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</si>
  <si>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</si>
  <si>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</si>
  <si>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</si>
  <si>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</si>
  <si>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</si>
  <si>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</si>
  <si>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</si>
  <si>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</si>
  <si>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</si>
  <si>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</si>
  <si>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</si>
  <si>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</si>
  <si>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</si>
  <si>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</si>
  <si>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</si>
  <si>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</si>
  <si>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</si>
  <si>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</si>
  <si>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</si>
  <si>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</si>
  <si>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</si>
  <si>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</si>
  <si>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</si>
  <si>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</si>
  <si>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</si>
  <si>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</si>
  <si>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</si>
  <si>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</si>
  <si>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</si>
  <si>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</si>
  <si>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</si>
  <si>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</si>
  <si>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</si>
  <si>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</si>
  <si>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</si>
  <si>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</si>
  <si>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</si>
  <si>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</si>
  <si>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</si>
  <si>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</si>
  <si>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</si>
  <si>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</si>
  <si>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</si>
  <si>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</si>
  <si>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</si>
  <si>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</si>
  <si>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Marius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</si>
  <si>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</si>
  <si>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</si>
  <si>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</si>
  <si>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</si>
  <si>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</si>
  <si>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</si>
  <si>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</si>
  <si>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</si>
  <si>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</si>
  <si>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</si>
  <si>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</si>
  <si>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</si>
  <si>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</si>
  <si>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</si>
  <si>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</si>
  <si>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</si>
  <si>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</si>
  <si>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</si>
  <si>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</si>
  <si>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</si>
  <si>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</si>
  <si>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</si>
  <si>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</si>
  <si>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</si>
  <si>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</si>
  <si>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</si>
  <si>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</si>
  <si>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</si>
  <si>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Parjointco NV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</si>
  <si>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</si>
  <si>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</si>
  <si>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</si>
  <si>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</si>
  <si>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</si>
  <si>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</si>
  <si>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</si>
  <si>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</si>
  <si>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</si>
  <si>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</si>
  <si>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</si>
  <si>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</si>
  <si>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</si>
  <si>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</si>
  <si>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</si>
  <si>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</si>
  <si>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</si>
  <si>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</si>
  <si>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</si>
  <si>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</si>
  <si>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</si>
  <si>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</si>
  <si>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</si>
  <si>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</si>
  <si>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</si>
  <si>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</si>
  <si>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</si>
  <si>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</si>
  <si>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</si>
  <si>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</si>
  <si>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</si>
  <si>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</si>
  <si>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</si>
  <si>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</si>
  <si>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</si>
  <si>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</si>
  <si>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</si>
  <si>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</si>
  <si>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</si>
  <si>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</si>
  <si>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</si>
  <si>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</si>
  <si>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</si>
  <si>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</si>
  <si>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</si>
  <si>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</si>
  <si>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</si>
  <si>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</si>
  <si>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</si>
  <si>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</si>
  <si>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</si>
  <si>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</si>
  <si>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</si>
  <si>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</si>
  <si>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</si>
  <si>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</si>
  <si>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</si>
  <si>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</si>
  <si>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</si>
  <si>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</si>
  <si>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</si>
  <si>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</si>
  <si>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</si>
  <si>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</si>
  <si>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</si>
  <si>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</si>
  <si>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</si>
  <si>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</si>
  <si>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</si>
  <si>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</si>
  <si>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</si>
  <si>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</si>
  <si>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</si>
  <si>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</si>
  <si>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</si>
  <si>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</si>
  <si>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</si>
  <si>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</si>
  <si>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</si>
  <si>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</si>
  <si>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</si>
  <si>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</si>
  <si>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</si>
  <si>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</si>
  <si>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</si>
  <si>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</si>
  <si>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</si>
  <si>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</si>
  <si>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</si>
  <si>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</si>
  <si>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</si>
  <si>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</si>
  <si>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</si>
  <si>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</si>
  <si>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</si>
  <si>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</si>
  <si>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</si>
  <si>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</si>
  <si>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</si>
  <si>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</si>
  <si>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</si>
  <si>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</si>
  <si>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</si>
  <si>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</si>
  <si>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</si>
  <si>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</si>
  <si>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</si>
  <si>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</si>
  <si>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</si>
  <si>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</si>
  <si>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 xml:space="preserve">JP3538800008                  </t>
  </si>
  <si>
    <t>7013 JT</t>
  </si>
  <si>
    <t>JP3134800006</t>
  </si>
  <si>
    <t>Vitesco Technologies Group AG</t>
  </si>
  <si>
    <t>IHI Corp</t>
  </si>
  <si>
    <t xml:space="preserve">DE000VTSC017                  </t>
  </si>
  <si>
    <t xml:space="preserve">JP3134800006                  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</si>
  <si>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</si>
  <si>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</si>
  <si>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</si>
  <si>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</si>
  <si>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</si>
  <si>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</si>
  <si>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</si>
  <si>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</si>
  <si>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</si>
  <si>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Sum of amount to be paid EURO</t>
  </si>
  <si>
    <t>02/09/2021</t>
  </si>
  <si>
    <t>06/09/2021</t>
  </si>
  <si>
    <t>12/03/2021</t>
  </si>
  <si>
    <t>13/01/2022</t>
  </si>
  <si>
    <t>13/05/2021</t>
  </si>
  <si>
    <t>19/02/2021</t>
  </si>
  <si>
    <t>22/06/2021</t>
  </si>
  <si>
    <t>23/07/2021</t>
  </si>
  <si>
    <t>27/03/2014</t>
  </si>
  <si>
    <t>27/12/2019</t>
  </si>
  <si>
    <t>28/05/2021</t>
  </si>
  <si>
    <t>29/06/2021</t>
  </si>
  <si>
    <t>29/09/2021</t>
  </si>
  <si>
    <t>29/11/2021</t>
  </si>
  <si>
    <t>29/12/2020</t>
  </si>
  <si>
    <t>29/12/2021</t>
  </si>
  <si>
    <t>30/03/2022</t>
  </si>
  <si>
    <t>30/04/2021</t>
  </si>
  <si>
    <t>7013 JP</t>
  </si>
  <si>
    <t>3407 JP</t>
  </si>
  <si>
    <t>036830 KS</t>
  </si>
  <si>
    <t>7013 Jp</t>
  </si>
  <si>
    <t xml:space="preserve">JP3111200006                  </t>
  </si>
  <si>
    <t>JPY/USD</t>
  </si>
  <si>
    <t>Alerta</t>
  </si>
  <si>
    <t>rtg_moody</t>
  </si>
  <si>
    <t>rtg_fitch</t>
  </si>
  <si>
    <t>rtg_sp</t>
  </si>
  <si>
    <t>ZQ616510 Corp</t>
  </si>
  <si>
    <t>N.A.</t>
  </si>
  <si>
    <t>BH962214 Corp</t>
  </si>
  <si>
    <t>Ba2</t>
  </si>
  <si>
    <t>BB+</t>
  </si>
  <si>
    <t>*=M19</t>
  </si>
  <si>
    <t>*=PosAggregate!E174</t>
  </si>
  <si>
    <t>TEF SM</t>
  </si>
  <si>
    <t>PAYB CRYSTAL PERFORM FEES</t>
  </si>
  <si>
    <t>PAYAB - PERF FEES</t>
  </si>
  <si>
    <t>Qty at 
2022.01.11</t>
  </si>
  <si>
    <t>Price at 
2022.01.11</t>
  </si>
  <si>
    <t>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</si>
</sst>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1">
    <numFmt numFmtId="7" formatCode="#,##0.00\ &quot;€&quot;;\-#,##0.00\ &quot;€&quot;"/>
    <numFmt numFmtId="43" formatCode="_-* #,##0.00\ _€_-;\-* #,##0.00\ _€_-;_-* &quot;-&quot;??\ _€_-;_-@_-"/>
    <numFmt numFmtId="164" formatCode="&quot;€&quot;#,##0_);\(&quot;€&quot;#,##0\)"/>
    <numFmt numFmtId="165" formatCode="&quot;€&quot;#,##0.00_);\(&quot;€&quot;#,##0.00\)"/>
    <numFmt numFmtId="166" formatCode="_(&quot;€&quot;* #,##0_);_(&quot;€&quot;* \(#,##0\);_(&quot;€&quot;* &quot;-&quot;_);_(@_)"/>
    <numFmt numFmtId="167" formatCode="_(* #,##0.00_);_(* \(#,##0.00\);_(* &quot;-&quot;??_);_(@_)"/>
    <numFmt numFmtId="168" formatCode="&quot;€&quot;\ #,##0.00;\-&quot;€&quot;\ #,##0.00"/>
    <numFmt numFmtId="169" formatCode="0.0"/>
    <numFmt numFmtId="170" formatCode="0.0%"/>
    <numFmt numFmtId="171" formatCode="0.000"/>
    <numFmt numFmtId="172" formatCode="_-* #,##0_-;\-* #,##0_-;_-* &quot;-&quot;??_-;_-@_-"/>
    <numFmt numFmtId="173" formatCode="_(* #,##0_);_(* \(#,##0\);_(* &quot;-&quot;??_);_(@_)"/>
    <numFmt numFmtId="174" formatCode="0.0000"/>
    <numFmt numFmtId="175" formatCode="_-* #,##0.0000_-;\-* #,##0.0000_-;_-* &quot;-&quot;??_-;_-@_-"/>
    <numFmt numFmtId="176" formatCode="[$-409]d\-mmm\-yy;@"/>
    <numFmt numFmtId="177" formatCode="#,##0_ ;\-#,##0\ "/>
    <numFmt numFmtId="178" formatCode="_-* #,##0.0_-;\-* #,##0.0_-;_-* &quot;-&quot;??_-;_-@_-"/>
    <numFmt numFmtId="179" formatCode="d/m/yy;@"/>
    <numFmt numFmtId="180" formatCode="dd/mm/yy;@"/>
    <numFmt numFmtId="181" formatCode="#,##0\ &quot;€&quot;"/>
    <numFmt numFmtId="182" formatCode="&quot;€&quot;\ #,##0"/>
    <numFmt numFmtId="183" formatCode="_-* #,##0.0\ _€_-;\-* #,##0.0\ _€_-;_-* &quot;-&quot;?\ _€_-;_-@_-"/>
    <numFmt numFmtId="184" formatCode="dd/mm/yyyy;@"/>
    <numFmt numFmtId="185" formatCode="hh:mm:ss;@"/>
    <numFmt numFmtId="186" formatCode="[$-F400]h:mm:ss\ AM/PM"/>
    <numFmt numFmtId="187" formatCode="h:mm;@"/>
    <numFmt numFmtId="188" formatCode="[$-409]h:mm:ss\ AM/PM;@"/>
    <numFmt numFmtId="189" formatCode="#,##0\ _€"/>
    <numFmt numFmtId="190" formatCode="_-* #,##0.000_-;\-* #,##0.000_-;_-* &quot;-&quot;??_-;_-@_-"/>
    <numFmt numFmtId="191" formatCode="[$-410]d\ mmmm\ yyyy;@"/>
    <numFmt numFmtId="192" formatCode="dd\.mm\.yyyy;@"/>
    <numFmt numFmtId="193" formatCode="h:mm:ss;@"/>
    <numFmt numFmtId="194" formatCode="0.000000"/>
    <numFmt numFmtId="195" formatCode="#,##0.0000"/>
    <numFmt numFmtId="196" formatCode="0.000%"/>
    <numFmt numFmtId="197" formatCode="#,##0.000"/>
    <numFmt numFmtId="198" formatCode="_-* #,##0\ _€_-;\-* #,##0\ _€_-;_-* &quot;-&quot;??\ _€_-;_-@_-"/>
    <numFmt numFmtId="199" formatCode="_-* #,##0.0000\ _€_-;\-* #,##0.0000\ _€_-;_-* &quot;-&quot;??\ _€_-;_-@_-"/>
    <numFmt numFmtId="200" formatCode="yyyymmdd"/>
    <numFmt numFmtId="201" formatCode="0000000"/>
    <numFmt numFmtId="202" formatCode="[$-F800]dddd\,\ mmmm\ dd\,\ yyyy"/>
  </numFmts>
  <fonts count="119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Calibri"/>
      <family val="2"/>
      <scheme val="minor"/>
    </font>
    <font>
      <sz val="9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1"/>
      <color theme="0" tint="-0.14999847407452621"/>
      <name val="Arial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b/>
      <i/>
      <sz val="11"/>
      <name val="Calibri"/>
      <family val="2"/>
      <scheme val="minor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0"/>
      <color indexed="72"/>
      <name val="SansSerif"/>
    </font>
  </fonts>
  <fills count="8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DDBA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</fills>
  <borders count="5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608">
    <xf numFmtId="176" fontId="0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18" fillId="12" borderId="0" applyNumberFormat="0" applyBorder="0" applyAlignment="0" applyProtection="0"/>
    <xf numFmtId="176" fontId="18" fillId="16" borderId="0" applyNumberFormat="0" applyBorder="0" applyAlignment="0" applyProtection="0"/>
    <xf numFmtId="176" fontId="18" fillId="20" borderId="0" applyNumberFormat="0" applyBorder="0" applyAlignment="0" applyProtection="0"/>
    <xf numFmtId="176" fontId="18" fillId="24" borderId="0" applyNumberFormat="0" applyBorder="0" applyAlignment="0" applyProtection="0"/>
    <xf numFmtId="176" fontId="18" fillId="28" borderId="0" applyNumberFormat="0" applyBorder="0" applyAlignment="0" applyProtection="0"/>
    <xf numFmtId="176" fontId="18" fillId="32" borderId="0" applyNumberFormat="0" applyBorder="0" applyAlignment="0" applyProtection="0"/>
    <xf numFmtId="176" fontId="18" fillId="9" borderId="0" applyNumberFormat="0" applyBorder="0" applyAlignment="0" applyProtection="0"/>
    <xf numFmtId="176" fontId="18" fillId="13" borderId="0" applyNumberFormat="0" applyBorder="0" applyAlignment="0" applyProtection="0"/>
    <xf numFmtId="176" fontId="18" fillId="17" borderId="0" applyNumberFormat="0" applyBorder="0" applyAlignment="0" applyProtection="0"/>
    <xf numFmtId="176" fontId="18" fillId="21" borderId="0" applyNumberFormat="0" applyBorder="0" applyAlignment="0" applyProtection="0"/>
    <xf numFmtId="176" fontId="18" fillId="25" borderId="0" applyNumberFormat="0" applyBorder="0" applyAlignment="0" applyProtection="0"/>
    <xf numFmtId="176" fontId="18" fillId="29" borderId="0" applyNumberFormat="0" applyBorder="0" applyAlignment="0" applyProtection="0"/>
    <xf numFmtId="176" fontId="8" fillId="3" borderId="0" applyNumberFormat="0" applyBorder="0" applyAlignment="0" applyProtection="0"/>
    <xf numFmtId="176" fontId="1" fillId="33" borderId="0"/>
    <xf numFmtId="176" fontId="12" fillId="6" borderId="4" applyNumberFormat="0" applyAlignment="0" applyProtection="0"/>
    <xf numFmtId="176" fontId="14" fillId="7" borderId="7" applyNumberFormat="0" applyAlignment="0" applyProtection="0"/>
    <xf numFmtId="176" fontId="16" fillId="0" borderId="0" applyNumberFormat="0" applyFill="0" applyBorder="0" applyAlignment="0" applyProtection="0"/>
    <xf numFmtId="176" fontId="7" fillId="2" borderId="0" applyNumberFormat="0" applyBorder="0" applyAlignment="0" applyProtection="0"/>
    <xf numFmtId="176" fontId="4" fillId="0" borderId="1" applyNumberFormat="0" applyFill="0" applyAlignment="0" applyProtection="0"/>
    <xf numFmtId="176" fontId="5" fillId="0" borderId="2" applyNumberFormat="0" applyFill="0" applyAlignment="0" applyProtection="0"/>
    <xf numFmtId="176" fontId="6" fillId="0" borderId="3" applyNumberFormat="0" applyFill="0" applyAlignment="0" applyProtection="0"/>
    <xf numFmtId="176" fontId="6" fillId="0" borderId="0" applyNumberFormat="0" applyFill="0" applyBorder="0" applyAlignment="0" applyProtection="0"/>
    <xf numFmtId="176" fontId="10" fillId="5" borderId="4" applyNumberFormat="0" applyAlignment="0" applyProtection="0"/>
    <xf numFmtId="176" fontId="13" fillId="0" borderId="6" applyNumberFormat="0" applyFill="0" applyAlignment="0" applyProtection="0"/>
    <xf numFmtId="176" fontId="9" fillId="4" borderId="0" applyNumberFormat="0" applyBorder="0" applyAlignment="0" applyProtection="0"/>
    <xf numFmtId="176" fontId="2" fillId="8" borderId="8" applyNumberFormat="0" applyFont="0" applyAlignment="0" applyProtection="0"/>
    <xf numFmtId="176" fontId="11" fillId="6" borderId="5" applyNumberFormat="0" applyAlignment="0" applyProtection="0"/>
    <xf numFmtId="176" fontId="3" fillId="0" borderId="0" applyNumberFormat="0" applyFill="0" applyBorder="0" applyAlignment="0" applyProtection="0"/>
    <xf numFmtId="176" fontId="17" fillId="0" borderId="9" applyNumberFormat="0" applyFill="0" applyAlignment="0" applyProtection="0"/>
    <xf numFmtId="176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76" fontId="20" fillId="0" borderId="0"/>
    <xf numFmtId="167" fontId="20" fillId="0" borderId="0" applyFont="0" applyFill="0" applyBorder="0" applyAlignment="0" applyProtection="0"/>
    <xf numFmtId="0" fontId="2" fillId="0" borderId="0"/>
    <xf numFmtId="0" fontId="2" fillId="0" borderId="0"/>
    <xf numFmtId="176" fontId="2" fillId="0" borderId="0"/>
    <xf numFmtId="0" fontId="2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6" fontId="98" fillId="0" borderId="0" applyNumberFormat="0" applyFill="0" applyBorder="0" applyAlignment="0" applyProtection="0"/>
    <xf numFmtId="0" fontId="2" fillId="0" borderId="0"/>
    <xf numFmtId="176" fontId="2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18" fillId="12" borderId="0" applyNumberFormat="0" applyBorder="0" applyAlignment="0" applyProtection="0"/>
    <xf numFmtId="176" fontId="18" fillId="16" borderId="0" applyNumberFormat="0" applyBorder="0" applyAlignment="0" applyProtection="0"/>
    <xf numFmtId="176" fontId="18" fillId="20" borderId="0" applyNumberFormat="0" applyBorder="0" applyAlignment="0" applyProtection="0"/>
    <xf numFmtId="176" fontId="18" fillId="24" borderId="0" applyNumberFormat="0" applyBorder="0" applyAlignment="0" applyProtection="0"/>
    <xf numFmtId="176" fontId="18" fillId="28" borderId="0" applyNumberFormat="0" applyBorder="0" applyAlignment="0" applyProtection="0"/>
    <xf numFmtId="176" fontId="18" fillId="32" borderId="0" applyNumberFormat="0" applyBorder="0" applyAlignment="0" applyProtection="0"/>
    <xf numFmtId="176" fontId="18" fillId="9" borderId="0" applyNumberFormat="0" applyBorder="0" applyAlignment="0" applyProtection="0"/>
    <xf numFmtId="176" fontId="18" fillId="13" borderId="0" applyNumberFormat="0" applyBorder="0" applyAlignment="0" applyProtection="0"/>
    <xf numFmtId="176" fontId="18" fillId="17" borderId="0" applyNumberFormat="0" applyBorder="0" applyAlignment="0" applyProtection="0"/>
    <xf numFmtId="176" fontId="18" fillId="21" borderId="0" applyNumberFormat="0" applyBorder="0" applyAlignment="0" applyProtection="0"/>
    <xf numFmtId="176" fontId="18" fillId="25" borderId="0" applyNumberFormat="0" applyBorder="0" applyAlignment="0" applyProtection="0"/>
    <xf numFmtId="176" fontId="18" fillId="29" borderId="0" applyNumberFormat="0" applyBorder="0" applyAlignment="0" applyProtection="0"/>
    <xf numFmtId="176" fontId="8" fillId="3" borderId="0" applyNumberFormat="0" applyBorder="0" applyAlignment="0" applyProtection="0"/>
    <xf numFmtId="176" fontId="12" fillId="6" borderId="4" applyNumberFormat="0" applyAlignment="0" applyProtection="0"/>
    <xf numFmtId="176" fontId="14" fillId="7" borderId="7" applyNumberFormat="0" applyAlignment="0" applyProtection="0"/>
    <xf numFmtId="176" fontId="16" fillId="0" borderId="0" applyNumberFormat="0" applyFill="0" applyBorder="0" applyAlignment="0" applyProtection="0"/>
    <xf numFmtId="176" fontId="7" fillId="2" borderId="0" applyNumberFormat="0" applyBorder="0" applyAlignment="0" applyProtection="0"/>
    <xf numFmtId="176" fontId="4" fillId="0" borderId="1" applyNumberFormat="0" applyFill="0" applyAlignment="0" applyProtection="0"/>
    <xf numFmtId="176" fontId="5" fillId="0" borderId="2" applyNumberFormat="0" applyFill="0" applyAlignment="0" applyProtection="0"/>
    <xf numFmtId="176" fontId="6" fillId="0" borderId="3" applyNumberFormat="0" applyFill="0" applyAlignment="0" applyProtection="0"/>
    <xf numFmtId="176" fontId="6" fillId="0" borderId="0" applyNumberFormat="0" applyFill="0" applyBorder="0" applyAlignment="0" applyProtection="0"/>
    <xf numFmtId="176" fontId="10" fillId="5" borderId="4" applyNumberFormat="0" applyAlignment="0" applyProtection="0"/>
    <xf numFmtId="176" fontId="13" fillId="0" borderId="6" applyNumberFormat="0" applyFill="0" applyAlignment="0" applyProtection="0"/>
    <xf numFmtId="176" fontId="9" fillId="4" borderId="0" applyNumberFormat="0" applyBorder="0" applyAlignment="0" applyProtection="0"/>
    <xf numFmtId="176" fontId="2" fillId="8" borderId="8" applyNumberFormat="0" applyFont="0" applyAlignment="0" applyProtection="0"/>
    <xf numFmtId="176" fontId="11" fillId="6" borderId="5" applyNumberFormat="0" applyAlignment="0" applyProtection="0"/>
    <xf numFmtId="176" fontId="3" fillId="0" borderId="0" applyNumberFormat="0" applyFill="0" applyBorder="0" applyAlignment="0" applyProtection="0"/>
    <xf numFmtId="176" fontId="17" fillId="0" borderId="9" applyNumberFormat="0" applyFill="0" applyAlignment="0" applyProtection="0"/>
    <xf numFmtId="176" fontId="15" fillId="0" borderId="0" applyNumberFormat="0" applyFill="0" applyBorder="0" applyAlignment="0" applyProtection="0"/>
    <xf numFmtId="176" fontId="2" fillId="0" borderId="0"/>
    <xf numFmtId="167" fontId="2" fillId="0" borderId="0" applyFont="0" applyFill="0" applyBorder="0" applyAlignment="0" applyProtection="0"/>
    <xf numFmtId="176" fontId="20" fillId="0" borderId="0"/>
    <xf numFmtId="167" fontId="20" fillId="0" borderId="0" applyFont="0" applyFill="0" applyBorder="0" applyAlignment="0" applyProtection="0"/>
    <xf numFmtId="0" fontId="20" fillId="0" borderId="0"/>
    <xf numFmtId="0" fontId="104" fillId="0" borderId="0"/>
    <xf numFmtId="0" fontId="104" fillId="0" borderId="0"/>
    <xf numFmtId="0" fontId="104" fillId="0" borderId="0"/>
    <xf numFmtId="0" fontId="104" fillId="0" borderId="0"/>
    <xf numFmtId="0" fontId="2" fillId="0" borderId="0"/>
    <xf numFmtId="0" fontId="2" fillId="0" borderId="0"/>
    <xf numFmtId="0" fontId="104" fillId="0" borderId="0"/>
    <xf numFmtId="0" fontId="20" fillId="0" borderId="0"/>
    <xf numFmtId="0" fontId="20" fillId="0" borderId="0"/>
    <xf numFmtId="0" fontId="105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176" fontId="2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18" fillId="12" borderId="0" applyNumberFormat="0" applyBorder="0" applyAlignment="0" applyProtection="0"/>
    <xf numFmtId="176" fontId="18" fillId="16" borderId="0" applyNumberFormat="0" applyBorder="0" applyAlignment="0" applyProtection="0"/>
    <xf numFmtId="176" fontId="18" fillId="20" borderId="0" applyNumberFormat="0" applyBorder="0" applyAlignment="0" applyProtection="0"/>
    <xf numFmtId="176" fontId="18" fillId="24" borderId="0" applyNumberFormat="0" applyBorder="0" applyAlignment="0" applyProtection="0"/>
    <xf numFmtId="176" fontId="18" fillId="28" borderId="0" applyNumberFormat="0" applyBorder="0" applyAlignment="0" applyProtection="0"/>
    <xf numFmtId="176" fontId="18" fillId="32" borderId="0" applyNumberFormat="0" applyBorder="0" applyAlignment="0" applyProtection="0"/>
    <xf numFmtId="176" fontId="18" fillId="9" borderId="0" applyNumberFormat="0" applyBorder="0" applyAlignment="0" applyProtection="0"/>
    <xf numFmtId="176" fontId="18" fillId="13" borderId="0" applyNumberFormat="0" applyBorder="0" applyAlignment="0" applyProtection="0"/>
    <xf numFmtId="176" fontId="18" fillId="17" borderId="0" applyNumberFormat="0" applyBorder="0" applyAlignment="0" applyProtection="0"/>
    <xf numFmtId="176" fontId="18" fillId="21" borderId="0" applyNumberFormat="0" applyBorder="0" applyAlignment="0" applyProtection="0"/>
    <xf numFmtId="176" fontId="18" fillId="25" borderId="0" applyNumberFormat="0" applyBorder="0" applyAlignment="0" applyProtection="0"/>
    <xf numFmtId="176" fontId="18" fillId="29" borderId="0" applyNumberFormat="0" applyBorder="0" applyAlignment="0" applyProtection="0"/>
    <xf numFmtId="176" fontId="8" fillId="3" borderId="0" applyNumberFormat="0" applyBorder="0" applyAlignment="0" applyProtection="0"/>
    <xf numFmtId="176" fontId="12" fillId="6" borderId="4" applyNumberFormat="0" applyAlignment="0" applyProtection="0"/>
    <xf numFmtId="176" fontId="14" fillId="7" borderId="7" applyNumberFormat="0" applyAlignment="0" applyProtection="0"/>
    <xf numFmtId="176" fontId="16" fillId="0" borderId="0" applyNumberFormat="0" applyFill="0" applyBorder="0" applyAlignment="0" applyProtection="0"/>
    <xf numFmtId="176" fontId="7" fillId="2" borderId="0" applyNumberFormat="0" applyBorder="0" applyAlignment="0" applyProtection="0"/>
    <xf numFmtId="176" fontId="4" fillId="0" borderId="1" applyNumberFormat="0" applyFill="0" applyAlignment="0" applyProtection="0"/>
    <xf numFmtId="176" fontId="5" fillId="0" borderId="2" applyNumberFormat="0" applyFill="0" applyAlignment="0" applyProtection="0"/>
    <xf numFmtId="176" fontId="6" fillId="0" borderId="3" applyNumberFormat="0" applyFill="0" applyAlignment="0" applyProtection="0"/>
    <xf numFmtId="176" fontId="6" fillId="0" borderId="0" applyNumberFormat="0" applyFill="0" applyBorder="0" applyAlignment="0" applyProtection="0"/>
    <xf numFmtId="176" fontId="10" fillId="5" borderId="4" applyNumberFormat="0" applyAlignment="0" applyProtection="0"/>
    <xf numFmtId="176" fontId="13" fillId="0" borderId="6" applyNumberFormat="0" applyFill="0" applyAlignment="0" applyProtection="0"/>
    <xf numFmtId="176" fontId="9" fillId="4" borderId="0" applyNumberFormat="0" applyBorder="0" applyAlignment="0" applyProtection="0"/>
    <xf numFmtId="176" fontId="2" fillId="8" borderId="8" applyNumberFormat="0" applyFont="0" applyAlignment="0" applyProtection="0"/>
    <xf numFmtId="176" fontId="11" fillId="6" borderId="5" applyNumberFormat="0" applyAlignment="0" applyProtection="0"/>
    <xf numFmtId="176" fontId="3" fillId="0" borderId="0" applyNumberFormat="0" applyFill="0" applyBorder="0" applyAlignment="0" applyProtection="0"/>
    <xf numFmtId="176" fontId="17" fillId="0" borderId="9" applyNumberFormat="0" applyFill="0" applyAlignment="0" applyProtection="0"/>
    <xf numFmtId="176" fontId="15" fillId="0" borderId="0" applyNumberFormat="0" applyFill="0" applyBorder="0" applyAlignment="0" applyProtection="0"/>
    <xf numFmtId="167" fontId="2" fillId="0" borderId="0" applyFont="0" applyFill="0" applyBorder="0" applyAlignment="0" applyProtection="0"/>
    <xf numFmtId="176" fontId="20" fillId="0" borderId="0"/>
    <xf numFmtId="167" fontId="20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103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6" fontId="2" fillId="0" borderId="0"/>
    <xf numFmtId="176" fontId="2" fillId="0" borderId="0"/>
    <xf numFmtId="176" fontId="2" fillId="0" borderId="0"/>
    <xf numFmtId="176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76" fontId="2" fillId="0" borderId="0"/>
    <xf numFmtId="176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6" fontId="2" fillId="0" borderId="0"/>
    <xf numFmtId="176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06" fillId="0" borderId="0" applyNumberFormat="0" applyBorder="0" applyAlignment="0"/>
    <xf numFmtId="167" fontId="106" fillId="0" borderId="0" applyFont="0" applyFill="0" applyBorder="0" applyAlignment="0" applyProtection="0"/>
    <xf numFmtId="9" fontId="106" fillId="0" borderId="0" applyFont="0" applyFill="0" applyBorder="0" applyAlignment="0" applyProtection="0"/>
    <xf numFmtId="176" fontId="2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18" fillId="12" borderId="0" applyNumberFormat="0" applyBorder="0" applyAlignment="0" applyProtection="0"/>
    <xf numFmtId="176" fontId="18" fillId="16" borderId="0" applyNumberFormat="0" applyBorder="0" applyAlignment="0" applyProtection="0"/>
    <xf numFmtId="176" fontId="18" fillId="20" borderId="0" applyNumberFormat="0" applyBorder="0" applyAlignment="0" applyProtection="0"/>
    <xf numFmtId="176" fontId="18" fillId="24" borderId="0" applyNumberFormat="0" applyBorder="0" applyAlignment="0" applyProtection="0"/>
    <xf numFmtId="176" fontId="18" fillId="28" borderId="0" applyNumberFormat="0" applyBorder="0" applyAlignment="0" applyProtection="0"/>
    <xf numFmtId="176" fontId="18" fillId="32" borderId="0" applyNumberFormat="0" applyBorder="0" applyAlignment="0" applyProtection="0"/>
    <xf numFmtId="176" fontId="18" fillId="9" borderId="0" applyNumberFormat="0" applyBorder="0" applyAlignment="0" applyProtection="0"/>
    <xf numFmtId="176" fontId="18" fillId="13" borderId="0" applyNumberFormat="0" applyBorder="0" applyAlignment="0" applyProtection="0"/>
    <xf numFmtId="176" fontId="18" fillId="17" borderId="0" applyNumberFormat="0" applyBorder="0" applyAlignment="0" applyProtection="0"/>
    <xf numFmtId="176" fontId="18" fillId="21" borderId="0" applyNumberFormat="0" applyBorder="0" applyAlignment="0" applyProtection="0"/>
    <xf numFmtId="176" fontId="18" fillId="25" borderId="0" applyNumberFormat="0" applyBorder="0" applyAlignment="0" applyProtection="0"/>
    <xf numFmtId="176" fontId="18" fillId="29" borderId="0" applyNumberFormat="0" applyBorder="0" applyAlignment="0" applyProtection="0"/>
    <xf numFmtId="176" fontId="8" fillId="3" borderId="0" applyNumberFormat="0" applyBorder="0" applyAlignment="0" applyProtection="0"/>
    <xf numFmtId="176" fontId="12" fillId="6" borderId="4" applyNumberFormat="0" applyAlignment="0" applyProtection="0"/>
    <xf numFmtId="176" fontId="14" fillId="7" borderId="7" applyNumberFormat="0" applyAlignment="0" applyProtection="0"/>
    <xf numFmtId="176" fontId="16" fillId="0" borderId="0" applyNumberFormat="0" applyFill="0" applyBorder="0" applyAlignment="0" applyProtection="0"/>
    <xf numFmtId="176" fontId="7" fillId="2" borderId="0" applyNumberFormat="0" applyBorder="0" applyAlignment="0" applyProtection="0"/>
    <xf numFmtId="176" fontId="4" fillId="0" borderId="1" applyNumberFormat="0" applyFill="0" applyAlignment="0" applyProtection="0"/>
    <xf numFmtId="176" fontId="5" fillId="0" borderId="2" applyNumberFormat="0" applyFill="0" applyAlignment="0" applyProtection="0"/>
    <xf numFmtId="176" fontId="6" fillId="0" borderId="3" applyNumberFormat="0" applyFill="0" applyAlignment="0" applyProtection="0"/>
    <xf numFmtId="176" fontId="6" fillId="0" borderId="0" applyNumberFormat="0" applyFill="0" applyBorder="0" applyAlignment="0" applyProtection="0"/>
    <xf numFmtId="176" fontId="10" fillId="5" borderId="4" applyNumberFormat="0" applyAlignment="0" applyProtection="0"/>
    <xf numFmtId="176" fontId="13" fillId="0" borderId="6" applyNumberFormat="0" applyFill="0" applyAlignment="0" applyProtection="0"/>
    <xf numFmtId="176" fontId="9" fillId="4" borderId="0" applyNumberFormat="0" applyBorder="0" applyAlignment="0" applyProtection="0"/>
    <xf numFmtId="176" fontId="2" fillId="8" borderId="8" applyNumberFormat="0" applyFont="0" applyAlignment="0" applyProtection="0"/>
    <xf numFmtId="176" fontId="11" fillId="6" borderId="5" applyNumberFormat="0" applyAlignment="0" applyProtection="0"/>
    <xf numFmtId="176" fontId="3" fillId="0" borderId="0" applyNumberFormat="0" applyFill="0" applyBorder="0" applyAlignment="0" applyProtection="0"/>
    <xf numFmtId="176" fontId="17" fillId="0" borderId="9" applyNumberFormat="0" applyFill="0" applyAlignment="0" applyProtection="0"/>
    <xf numFmtId="176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76" fontId="2" fillId="0" borderId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76" fontId="2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2" fillId="8" borderId="8" applyNumberFormat="0" applyFont="0" applyAlignment="0" applyProtection="0"/>
    <xf numFmtId="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" fillId="0" borderId="0"/>
    <xf numFmtId="0" fontId="2" fillId="0" borderId="0"/>
    <xf numFmtId="176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176" fontId="2" fillId="0" borderId="0"/>
    <xf numFmtId="176" fontId="2" fillId="10" borderId="0" applyNumberFormat="0" applyBorder="0" applyAlignment="0" applyProtection="0"/>
    <xf numFmtId="176" fontId="2" fillId="14" borderId="0" applyNumberFormat="0" applyBorder="0" applyAlignment="0" applyProtection="0"/>
    <xf numFmtId="176" fontId="2" fillId="18" borderId="0" applyNumberFormat="0" applyBorder="0" applyAlignment="0" applyProtection="0"/>
    <xf numFmtId="176" fontId="2" fillId="22" borderId="0" applyNumberFormat="0" applyBorder="0" applyAlignment="0" applyProtection="0"/>
    <xf numFmtId="176" fontId="2" fillId="26" borderId="0" applyNumberFormat="0" applyBorder="0" applyAlignment="0" applyProtection="0"/>
    <xf numFmtId="176" fontId="2" fillId="30" borderId="0" applyNumberFormat="0" applyBorder="0" applyAlignment="0" applyProtection="0"/>
    <xf numFmtId="176" fontId="2" fillId="11" borderId="0" applyNumberFormat="0" applyBorder="0" applyAlignment="0" applyProtection="0"/>
    <xf numFmtId="176" fontId="2" fillId="15" borderId="0" applyNumberFormat="0" applyBorder="0" applyAlignment="0" applyProtection="0"/>
    <xf numFmtId="176" fontId="2" fillId="19" borderId="0" applyNumberFormat="0" applyBorder="0" applyAlignment="0" applyProtection="0"/>
    <xf numFmtId="176" fontId="2" fillId="23" borderId="0" applyNumberFormat="0" applyBorder="0" applyAlignment="0" applyProtection="0"/>
    <xf numFmtId="176" fontId="2" fillId="27" borderId="0" applyNumberFormat="0" applyBorder="0" applyAlignment="0" applyProtection="0"/>
    <xf numFmtId="176" fontId="2" fillId="31" borderId="0" applyNumberFormat="0" applyBorder="0" applyAlignment="0" applyProtection="0"/>
    <xf numFmtId="176" fontId="2" fillId="8" borderId="8" applyNumberFormat="0" applyFont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0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103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6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06" fillId="0" borderId="0" applyFont="0" applyFill="0" applyBorder="0" applyAlignment="0" applyProtection="0"/>
    <xf numFmtId="176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" fillId="0" borderId="0"/>
    <xf numFmtId="0" fontId="10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103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10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0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09" fillId="0" borderId="0" applyNumberFormat="0" applyFont="0" applyFill="0" applyBorder="0" applyAlignment="0" applyProtection="0"/>
  </cellStyleXfs>
  <cellXfs count="1233">
    <xf numFmtId="176" fontId="0" fillId="0" borderId="0" xfId="0"/>
    <xf numFmtId="176" fontId="25" fillId="0" borderId="0" xfId="0" applyFont="1" applyAlignment="1">
      <alignment horizontal="center"/>
    </xf>
    <xf numFmtId="176" fontId="25" fillId="0" borderId="0" xfId="0" applyFont="1"/>
    <xf numFmtId="176" fontId="26" fillId="40" borderId="0" xfId="26" applyFont="1" applyFill="1" applyAlignment="1">
      <alignment horizontal="center" vertical="center" wrapText="1"/>
    </xf>
    <xf numFmtId="176" fontId="30" fillId="40" borderId="0" xfId="26" applyFont="1" applyFill="1" applyAlignment="1">
      <alignment horizontal="center" vertical="center" wrapText="1"/>
    </xf>
    <xf numFmtId="176" fontId="21" fillId="0" borderId="0" xfId="0" applyFont="1" applyAlignment="1">
      <alignment horizontal="center"/>
    </xf>
    <xf numFmtId="176" fontId="25" fillId="42" borderId="0" xfId="0" applyFont="1" applyFill="1"/>
    <xf numFmtId="176" fontId="25" fillId="42" borderId="0" xfId="0" applyFont="1" applyFill="1" applyAlignment="1">
      <alignment wrapText="1"/>
    </xf>
    <xf numFmtId="176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6" fontId="24" fillId="42" borderId="0" xfId="0" applyFont="1" applyFill="1" applyAlignment="1">
      <alignment horizontal="center"/>
    </xf>
    <xf numFmtId="171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6" fontId="21" fillId="42" borderId="0" xfId="45" applyFont="1" applyFill="1" applyAlignment="1">
      <alignment horizontal="center"/>
    </xf>
    <xf numFmtId="176" fontId="25" fillId="42" borderId="0" xfId="0" applyFont="1" applyFill="1" applyAlignment="1">
      <alignment horizontal="left"/>
    </xf>
    <xf numFmtId="177" fontId="25" fillId="42" borderId="0" xfId="44" applyNumberFormat="1" applyFont="1" applyFill="1" applyAlignment="1">
      <alignment horizontal="center"/>
    </xf>
    <xf numFmtId="172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6" fontId="26" fillId="42" borderId="0" xfId="26" applyFont="1" applyFill="1" applyAlignment="1">
      <alignment horizontal="center" vertical="center" wrapText="1"/>
    </xf>
    <xf numFmtId="176" fontId="28" fillId="42" borderId="0" xfId="0" applyFont="1" applyFill="1" applyAlignment="1">
      <alignment horizontal="center"/>
    </xf>
    <xf numFmtId="177" fontId="25" fillId="42" borderId="0" xfId="44" applyNumberFormat="1" applyFont="1" applyFill="1"/>
    <xf numFmtId="172" fontId="20" fillId="42" borderId="0" xfId="44" applyNumberFormat="1" applyFont="1" applyFill="1"/>
    <xf numFmtId="176" fontId="0" fillId="42" borderId="0" xfId="0" applyFill="1"/>
    <xf numFmtId="2" fontId="25" fillId="42" borderId="0" xfId="0" applyNumberFormat="1" applyFont="1" applyFill="1" applyAlignment="1">
      <alignment horizontal="center"/>
    </xf>
    <xf numFmtId="173" fontId="0" fillId="42" borderId="0" xfId="44" applyNumberFormat="1" applyFont="1" applyFill="1"/>
    <xf numFmtId="173" fontId="0" fillId="42" borderId="0" xfId="44" applyNumberFormat="1" applyFont="1" applyFill="1" applyAlignment="1">
      <alignment horizontal="center"/>
    </xf>
    <xf numFmtId="176" fontId="0" fillId="42" borderId="0" xfId="0" applyFill="1" applyAlignment="1">
      <alignment horizontal="center"/>
    </xf>
    <xf numFmtId="176" fontId="39" fillId="42" borderId="0" xfId="0" applyFont="1" applyFill="1" applyAlignment="1">
      <alignment horizontal="right"/>
    </xf>
    <xf numFmtId="176" fontId="39" fillId="42" borderId="0" xfId="44" applyNumberFormat="1" applyFont="1" applyFill="1" applyAlignment="1">
      <alignment horizontal="center"/>
    </xf>
    <xf numFmtId="170" fontId="38" fillId="42" borderId="0" xfId="43" applyNumberFormat="1" applyFont="1" applyFill="1" applyAlignment="1">
      <alignment horizontal="center"/>
    </xf>
    <xf numFmtId="176" fontId="19" fillId="42" borderId="0" xfId="0" applyFont="1" applyFill="1"/>
    <xf numFmtId="176" fontId="22" fillId="42" borderId="0" xfId="0" applyFont="1" applyFill="1"/>
    <xf numFmtId="170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6" fontId="38" fillId="42" borderId="0" xfId="0" applyFont="1" applyFill="1"/>
    <xf numFmtId="170" fontId="39" fillId="42" borderId="0" xfId="43" applyNumberFormat="1" applyFont="1" applyFill="1" applyAlignment="1">
      <alignment horizontal="center"/>
    </xf>
    <xf numFmtId="173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3" fontId="19" fillId="42" borderId="0" xfId="44" applyNumberFormat="1" applyFont="1" applyFill="1"/>
    <xf numFmtId="172" fontId="25" fillId="37" borderId="10" xfId="0" applyNumberFormat="1" applyFont="1" applyFill="1" applyBorder="1"/>
    <xf numFmtId="176" fontId="30" fillId="45" borderId="0" xfId="26" applyFont="1" applyFill="1" applyAlignment="1">
      <alignment horizontal="center" vertical="center" wrapText="1"/>
    </xf>
    <xf numFmtId="176" fontId="22" fillId="42" borderId="12" xfId="0" applyFont="1" applyFill="1" applyBorder="1"/>
    <xf numFmtId="181" fontId="0" fillId="42" borderId="0" xfId="44" applyNumberFormat="1" applyFont="1" applyFill="1" applyAlignment="1">
      <alignment horizontal="right"/>
    </xf>
    <xf numFmtId="181" fontId="22" fillId="42" borderId="0" xfId="44" applyNumberFormat="1" applyFont="1" applyFill="1" applyAlignment="1">
      <alignment horizontal="right"/>
    </xf>
    <xf numFmtId="181" fontId="0" fillId="42" borderId="0" xfId="43" applyNumberFormat="1" applyFont="1" applyFill="1" applyAlignment="1">
      <alignment horizontal="right"/>
    </xf>
    <xf numFmtId="181" fontId="19" fillId="42" borderId="0" xfId="44" applyNumberFormat="1" applyFont="1" applyFill="1" applyAlignment="1">
      <alignment horizontal="right"/>
    </xf>
    <xf numFmtId="170" fontId="39" fillId="42" borderId="0" xfId="43" applyNumberFormat="1" applyFont="1" applyFill="1" applyAlignment="1">
      <alignment horizontal="right"/>
    </xf>
    <xf numFmtId="166" fontId="19" fillId="42" borderId="0" xfId="44" applyNumberFormat="1" applyFont="1" applyFill="1" applyAlignment="1">
      <alignment horizontal="center"/>
    </xf>
    <xf numFmtId="166" fontId="22" fillId="42" borderId="13" xfId="44" applyNumberFormat="1" applyFont="1" applyFill="1" applyBorder="1" applyAlignment="1">
      <alignment horizontal="center"/>
    </xf>
    <xf numFmtId="172" fontId="0" fillId="42" borderId="0" xfId="44" applyNumberFormat="1" applyFont="1" applyFill="1" applyAlignment="1">
      <alignment horizontal="center"/>
    </xf>
    <xf numFmtId="176" fontId="14" fillId="44" borderId="16" xfId="0" applyFont="1" applyFill="1" applyBorder="1"/>
    <xf numFmtId="176" fontId="0" fillId="42" borderId="0" xfId="0" applyFill="1" applyAlignment="1">
      <alignment horizontal="left"/>
    </xf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2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6" fontId="22" fillId="42" borderId="0" xfId="44" applyNumberFormat="1" applyFont="1" applyFill="1" applyAlignment="1">
      <alignment horizontal="center"/>
    </xf>
    <xf numFmtId="166" fontId="38" fillId="42" borderId="0" xfId="44" applyNumberFormat="1" applyFont="1" applyFill="1" applyAlignment="1">
      <alignment horizontal="center"/>
    </xf>
    <xf numFmtId="173" fontId="22" fillId="42" borderId="0" xfId="44" applyNumberFormat="1" applyFont="1" applyFill="1"/>
    <xf numFmtId="167" fontId="0" fillId="42" borderId="0" xfId="44" applyFont="1" applyFill="1" applyAlignment="1">
      <alignment horizontal="center"/>
    </xf>
    <xf numFmtId="175" fontId="0" fillId="42" borderId="0" xfId="0" applyNumberFormat="1" applyFill="1" applyAlignment="1">
      <alignment horizontal="center"/>
    </xf>
    <xf numFmtId="173" fontId="22" fillId="42" borderId="0" xfId="44" applyNumberFormat="1" applyFont="1" applyFill="1" applyAlignment="1">
      <alignment horizontal="center"/>
    </xf>
    <xf numFmtId="167" fontId="22" fillId="42" borderId="0" xfId="44" applyFont="1" applyFill="1" applyAlignment="1">
      <alignment horizontal="center"/>
    </xf>
    <xf numFmtId="176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7" fontId="0" fillId="42" borderId="0" xfId="44" applyFont="1" applyFill="1"/>
    <xf numFmtId="167" fontId="0" fillId="42" borderId="0" xfId="0" applyNumberFormat="1" applyFill="1" applyAlignment="1">
      <alignment horizontal="center"/>
    </xf>
    <xf numFmtId="181" fontId="17" fillId="42" borderId="0" xfId="44" applyNumberFormat="1" applyFont="1" applyFill="1" applyAlignment="1">
      <alignment horizontal="right"/>
    </xf>
    <xf numFmtId="173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69" fontId="25" fillId="42" borderId="0" xfId="0" applyNumberFormat="1" applyFont="1" applyFill="1"/>
    <xf numFmtId="176" fontId="51" fillId="42" borderId="0" xfId="0" applyFont="1" applyFill="1"/>
    <xf numFmtId="176" fontId="0" fillId="42" borderId="0" xfId="0" quotePrefix="1" applyFill="1"/>
    <xf numFmtId="176" fontId="54" fillId="40" borderId="0" xfId="26" applyFont="1" applyFill="1" applyAlignment="1">
      <alignment horizontal="center" vertical="center" wrapText="1"/>
    </xf>
    <xf numFmtId="176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6" fontId="43" fillId="42" borderId="0" xfId="26" applyFont="1" applyFill="1" applyAlignment="1">
      <alignment horizontal="center" vertical="center" wrapText="1"/>
    </xf>
    <xf numFmtId="176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4" fontId="21" fillId="42" borderId="0" xfId="44" applyNumberFormat="1" applyFont="1" applyFill="1" applyAlignment="1">
      <alignment horizontal="center"/>
    </xf>
    <xf numFmtId="165" fontId="0" fillId="42" borderId="0" xfId="0" applyNumberFormat="1" applyFill="1" applyAlignment="1">
      <alignment horizontal="center"/>
    </xf>
    <xf numFmtId="185" fontId="0" fillId="42" borderId="0" xfId="0" applyNumberFormat="1" applyFill="1" applyAlignment="1">
      <alignment horizontal="center"/>
    </xf>
    <xf numFmtId="186" fontId="25" fillId="42" borderId="0" xfId="0" applyNumberFormat="1" applyFont="1" applyFill="1"/>
    <xf numFmtId="186" fontId="25" fillId="42" borderId="0" xfId="44" applyNumberFormat="1" applyFont="1" applyFill="1" applyAlignment="1">
      <alignment horizontal="center"/>
    </xf>
    <xf numFmtId="186" fontId="25" fillId="0" borderId="0" xfId="0" applyNumberFormat="1" applyFont="1"/>
    <xf numFmtId="185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6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76" fontId="0" fillId="42" borderId="11" xfId="0" applyFill="1" applyBorder="1"/>
    <xf numFmtId="188" fontId="0" fillId="42" borderId="0" xfId="0" applyNumberFormat="1" applyFill="1" applyAlignment="1">
      <alignment horizontal="center"/>
    </xf>
    <xf numFmtId="188" fontId="18" fillId="42" borderId="0" xfId="0" applyNumberFormat="1" applyFont="1" applyFill="1" applyAlignment="1">
      <alignment horizontal="center"/>
    </xf>
    <xf numFmtId="188" fontId="0" fillId="42" borderId="11" xfId="0" applyNumberFormat="1" applyFill="1" applyBorder="1" applyAlignment="1">
      <alignment horizontal="center"/>
    </xf>
    <xf numFmtId="184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8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60" fillId="42" borderId="11" xfId="0" applyNumberFormat="1" applyFont="1" applyFill="1" applyBorder="1" applyAlignment="1">
      <alignment horizontal="left"/>
    </xf>
    <xf numFmtId="0" fontId="59" fillId="42" borderId="11" xfId="44" applyNumberFormat="1" applyFont="1" applyFill="1" applyBorder="1" applyAlignment="1">
      <alignment horizontal="center"/>
    </xf>
    <xf numFmtId="0" fontId="59" fillId="42" borderId="11" xfId="0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left"/>
    </xf>
    <xf numFmtId="0" fontId="0" fillId="42" borderId="11" xfId="44" applyNumberFormat="1" applyFont="1" applyFill="1" applyBorder="1" applyAlignment="1">
      <alignment horizontal="center"/>
    </xf>
    <xf numFmtId="0" fontId="0" fillId="42" borderId="11" xfId="0" applyNumberFormat="1" applyFill="1" applyBorder="1" applyAlignment="1">
      <alignment horizontal="center"/>
    </xf>
    <xf numFmtId="176" fontId="14" fillId="41" borderId="15" xfId="0" applyFont="1" applyFill="1" applyBorder="1" applyAlignment="1" applyProtection="1">
      <alignment horizontal="center"/>
      <protection locked="0"/>
    </xf>
    <xf numFmtId="172" fontId="14" fillId="41" borderId="15" xfId="44" applyNumberFormat="1" applyFont="1" applyFill="1" applyBorder="1" applyAlignment="1" applyProtection="1">
      <alignment horizontal="center"/>
      <protection locked="0"/>
    </xf>
    <xf numFmtId="12" fontId="18" fillId="41" borderId="0" xfId="0" applyNumberFormat="1" applyFont="1" applyFill="1" applyAlignment="1" applyProtection="1">
      <alignment horizontal="center"/>
      <protection locked="0"/>
    </xf>
    <xf numFmtId="176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7" fontId="0" fillId="51" borderId="0" xfId="44" applyNumberFormat="1" applyFont="1" applyFill="1" applyAlignment="1" applyProtection="1">
      <alignment horizontal="center"/>
      <protection locked="0"/>
    </xf>
    <xf numFmtId="12" fontId="18" fillId="44" borderId="0" xfId="0" applyNumberFormat="1" applyFont="1" applyFill="1" applyAlignment="1" applyProtection="1">
      <alignment horizontal="center"/>
      <protection locked="0"/>
    </xf>
    <xf numFmtId="176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0" applyNumberFormat="1" applyFont="1" applyFill="1"/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0" fontId="61" fillId="42" borderId="0" xfId="0" applyNumberFormat="1" applyFont="1" applyFill="1" applyAlignment="1">
      <alignment horizontal="left"/>
    </xf>
    <xf numFmtId="176" fontId="54" fillId="40" borderId="23" xfId="26" applyFont="1" applyFill="1" applyBorder="1" applyAlignment="1">
      <alignment horizontal="center" vertical="center" wrapText="1"/>
    </xf>
    <xf numFmtId="176" fontId="26" fillId="40" borderId="23" xfId="26" applyFont="1" applyFill="1" applyBorder="1" applyAlignment="1">
      <alignment horizontal="center" vertical="center" wrapText="1"/>
    </xf>
    <xf numFmtId="176" fontId="30" fillId="40" borderId="23" xfId="26" applyFont="1" applyFill="1" applyBorder="1" applyAlignment="1">
      <alignment horizontal="center" vertical="center" wrapText="1"/>
    </xf>
    <xf numFmtId="176" fontId="31" fillId="40" borderId="25" xfId="26" applyFont="1" applyFill="1" applyBorder="1" applyAlignment="1">
      <alignment horizontal="center" vertical="center" wrapText="1"/>
    </xf>
    <xf numFmtId="176" fontId="21" fillId="42" borderId="23" xfId="45" applyFont="1" applyFill="1" applyBorder="1" applyAlignment="1">
      <alignment horizontal="center"/>
    </xf>
    <xf numFmtId="176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7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7" fontId="32" fillId="42" borderId="23" xfId="44" applyNumberFormat="1" applyFont="1" applyFill="1" applyBorder="1" applyAlignment="1">
      <alignment horizontal="center"/>
    </xf>
    <xf numFmtId="176" fontId="26" fillId="40" borderId="24" xfId="26" applyFont="1" applyFill="1" applyBorder="1" applyAlignment="1">
      <alignment horizontal="center" vertical="center" wrapText="1"/>
    </xf>
    <xf numFmtId="176" fontId="26" fillId="40" borderId="23" xfId="26" applyFont="1" applyFill="1" applyBorder="1" applyAlignment="1">
      <alignment vertical="center" wrapText="1"/>
    </xf>
    <xf numFmtId="177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6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6" fontId="25" fillId="42" borderId="23" xfId="0" applyFont="1" applyFill="1" applyBorder="1"/>
    <xf numFmtId="1" fontId="25" fillId="42" borderId="23" xfId="0" applyNumberFormat="1" applyFont="1" applyFill="1" applyBorder="1"/>
    <xf numFmtId="177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4" fontId="32" fillId="42" borderId="23" xfId="0" applyNumberFormat="1" applyFont="1" applyFill="1" applyBorder="1" applyAlignment="1">
      <alignment horizontal="center"/>
    </xf>
    <xf numFmtId="176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6" fontId="25" fillId="0" borderId="24" xfId="0" applyFont="1" applyBorder="1" applyAlignment="1">
      <alignment horizontal="center"/>
    </xf>
    <xf numFmtId="176" fontId="25" fillId="0" borderId="23" xfId="0" applyFont="1" applyBorder="1" applyAlignment="1">
      <alignment horizontal="center"/>
    </xf>
    <xf numFmtId="176" fontId="25" fillId="0" borderId="23" xfId="0" applyFont="1" applyBorder="1"/>
    <xf numFmtId="0" fontId="25" fillId="0" borderId="23" xfId="0" applyNumberFormat="1" applyFont="1" applyBorder="1"/>
    <xf numFmtId="186" fontId="25" fillId="42" borderId="25" xfId="44" applyNumberFormat="1" applyFont="1" applyFill="1" applyBorder="1" applyAlignment="1">
      <alignment horizontal="center"/>
    </xf>
    <xf numFmtId="186" fontId="25" fillId="42" borderId="25" xfId="0" applyNumberFormat="1" applyFont="1" applyFill="1" applyBorder="1"/>
    <xf numFmtId="186" fontId="25" fillId="0" borderId="25" xfId="0" applyNumberFormat="1" applyFont="1" applyBorder="1"/>
    <xf numFmtId="0" fontId="0" fillId="42" borderId="0" xfId="44" applyNumberFormat="1" applyFont="1" applyFill="1"/>
    <xf numFmtId="0" fontId="60" fillId="42" borderId="11" xfId="44" applyNumberFormat="1" applyFont="1" applyFill="1" applyBorder="1" applyAlignment="1">
      <alignment horizontal="center"/>
    </xf>
    <xf numFmtId="184" fontId="0" fillId="42" borderId="0" xfId="0" applyNumberFormat="1" applyFill="1" applyAlignment="1">
      <alignment horizontal="center"/>
    </xf>
    <xf numFmtId="0" fontId="0" fillId="52" borderId="0" xfId="44" applyNumberFormat="1" applyFont="1" applyFill="1"/>
    <xf numFmtId="0" fontId="62" fillId="52" borderId="0" xfId="0" applyNumberFormat="1" applyFont="1" applyFill="1"/>
    <xf numFmtId="0" fontId="18" fillId="35" borderId="0" xfId="0" applyNumberFormat="1" applyFont="1" applyFill="1"/>
    <xf numFmtId="184" fontId="18" fillId="35" borderId="0" xfId="0" applyNumberFormat="1" applyFont="1" applyFill="1" applyAlignment="1">
      <alignment horizontal="center"/>
    </xf>
    <xf numFmtId="172" fontId="58" fillId="42" borderId="0" xfId="44" applyNumberFormat="1" applyFont="1" applyFill="1"/>
    <xf numFmtId="172" fontId="2" fillId="42" borderId="0" xfId="44" applyNumberFormat="1" applyFill="1"/>
    <xf numFmtId="172" fontId="58" fillId="42" borderId="11" xfId="44" applyNumberFormat="1" applyFont="1" applyFill="1" applyBorder="1"/>
    <xf numFmtId="172" fontId="0" fillId="42" borderId="11" xfId="44" applyNumberFormat="1" applyFont="1" applyFill="1" applyBorder="1"/>
    <xf numFmtId="177" fontId="0" fillId="42" borderId="0" xfId="44" applyNumberFormat="1" applyFont="1" applyFill="1" applyAlignment="1">
      <alignment horizontal="center"/>
    </xf>
    <xf numFmtId="177" fontId="0" fillId="42" borderId="11" xfId="44" applyNumberFormat="1" applyFont="1" applyFill="1" applyBorder="1" applyAlignment="1">
      <alignment horizontal="center"/>
    </xf>
    <xf numFmtId="184" fontId="59" fillId="42" borderId="11" xfId="0" applyNumberFormat="1" applyFont="1" applyFill="1" applyBorder="1" applyAlignment="1">
      <alignment horizontal="center"/>
    </xf>
    <xf numFmtId="0" fontId="59" fillId="42" borderId="0" xfId="0" applyNumberFormat="1" applyFont="1" applyFill="1" applyAlignment="1">
      <alignment horizontal="center"/>
    </xf>
    <xf numFmtId="0" fontId="59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4" fontId="0" fillId="42" borderId="11" xfId="44" applyNumberFormat="1" applyFont="1" applyFill="1" applyBorder="1" applyAlignment="1">
      <alignment horizontal="center" vertical="center"/>
    </xf>
    <xf numFmtId="184" fontId="0" fillId="42" borderId="11" xfId="0" applyNumberFormat="1" applyFill="1" applyBorder="1" applyAlignment="1">
      <alignment horizontal="center" vertical="center"/>
    </xf>
    <xf numFmtId="0" fontId="0" fillId="42" borderId="11" xfId="0" applyNumberFormat="1" applyFill="1" applyBorder="1" applyAlignment="1">
      <alignment horizontal="left"/>
    </xf>
    <xf numFmtId="0" fontId="0" fillId="42" borderId="11" xfId="44" applyNumberFormat="1" applyFont="1" applyFill="1" applyBorder="1"/>
    <xf numFmtId="189" fontId="0" fillId="42" borderId="0" xfId="44" applyNumberFormat="1" applyFont="1" applyFill="1" applyAlignment="1">
      <alignment horizontal="center" vertical="center"/>
    </xf>
    <xf numFmtId="189" fontId="0" fillId="42" borderId="0" xfId="0" applyNumberFormat="1" applyFill="1" applyAlignment="1">
      <alignment horizontal="center" vertical="center"/>
    </xf>
    <xf numFmtId="172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4" fontId="43" fillId="40" borderId="0" xfId="26" applyNumberFormat="1" applyFont="1" applyFill="1" applyAlignment="1">
      <alignment horizontal="center" vertical="center" wrapText="1"/>
    </xf>
    <xf numFmtId="176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2" fontId="14" fillId="44" borderId="16" xfId="44" applyNumberFormat="1" applyFont="1" applyFill="1" applyBorder="1"/>
    <xf numFmtId="190" fontId="64" fillId="42" borderId="0" xfId="44" applyNumberFormat="1" applyFont="1" applyFill="1"/>
    <xf numFmtId="172" fontId="18" fillId="53" borderId="0" xfId="44" applyNumberFormat="1" applyFont="1" applyFill="1"/>
    <xf numFmtId="9" fontId="39" fillId="54" borderId="0" xfId="43" applyFont="1" applyFill="1" applyAlignment="1">
      <alignment horizontal="center"/>
    </xf>
    <xf numFmtId="172" fontId="0" fillId="50" borderId="0" xfId="44" applyNumberFormat="1" applyFont="1" applyFill="1"/>
    <xf numFmtId="9" fontId="39" fillId="50" borderId="0" xfId="43" applyFont="1" applyFill="1" applyAlignment="1">
      <alignment horizontal="center"/>
    </xf>
    <xf numFmtId="190" fontId="18" fillId="53" borderId="0" xfId="44" applyNumberFormat="1" applyFont="1" applyFill="1"/>
    <xf numFmtId="9" fontId="63" fillId="42" borderId="0" xfId="43" applyFont="1" applyFill="1" applyAlignment="1">
      <alignment horizontal="right"/>
    </xf>
    <xf numFmtId="189" fontId="0" fillId="42" borderId="11" xfId="0" applyNumberFormat="1" applyFill="1" applyBorder="1" applyAlignment="1">
      <alignment horizontal="center" vertical="center"/>
    </xf>
    <xf numFmtId="189" fontId="0" fillId="42" borderId="11" xfId="44" applyNumberFormat="1" applyFont="1" applyFill="1" applyBorder="1" applyAlignment="1">
      <alignment horizontal="center" vertical="center"/>
    </xf>
    <xf numFmtId="175" fontId="64" fillId="42" borderId="0" xfId="44" applyNumberFormat="1" applyFont="1" applyFill="1"/>
    <xf numFmtId="172" fontId="48" fillId="42" borderId="26" xfId="44" applyNumberFormat="1" applyFont="1" applyFill="1" applyBorder="1" applyAlignment="1">
      <alignment horizontal="center"/>
    </xf>
    <xf numFmtId="176" fontId="14" fillId="44" borderId="16" xfId="0" applyFont="1" applyFill="1" applyBorder="1" applyAlignment="1">
      <alignment horizontal="center"/>
    </xf>
    <xf numFmtId="184" fontId="25" fillId="42" borderId="0" xfId="44" applyNumberFormat="1" applyFont="1" applyFill="1" applyAlignment="1">
      <alignment horizontal="center"/>
    </xf>
    <xf numFmtId="176" fontId="65" fillId="42" borderId="0" xfId="0" applyFont="1" applyFill="1"/>
    <xf numFmtId="0" fontId="39" fillId="48" borderId="0" xfId="0" applyNumberFormat="1" applyFont="1" applyFill="1" applyAlignment="1">
      <alignment horizontal="left"/>
    </xf>
    <xf numFmtId="0" fontId="39" fillId="48" borderId="0" xfId="44" applyNumberFormat="1" applyFont="1" applyFill="1" applyAlignment="1">
      <alignment horizontal="center"/>
    </xf>
    <xf numFmtId="189" fontId="39" fillId="48" borderId="0" xfId="44" applyNumberFormat="1" applyFont="1" applyFill="1" applyAlignment="1">
      <alignment horizontal="center" vertical="center"/>
    </xf>
    <xf numFmtId="172" fontId="2" fillId="42" borderId="0" xfId="44" applyNumberFormat="1" applyFill="1" applyAlignment="1">
      <alignment horizontal="center"/>
    </xf>
    <xf numFmtId="172" fontId="0" fillId="42" borderId="11" xfId="44" applyNumberFormat="1" applyFont="1" applyFill="1" applyBorder="1" applyAlignment="1">
      <alignment horizontal="center"/>
    </xf>
    <xf numFmtId="172" fontId="19" fillId="42" borderId="0" xfId="44" applyNumberFormat="1" applyFont="1" applyFill="1"/>
    <xf numFmtId="172" fontId="2" fillId="42" borderId="0" xfId="44" applyNumberFormat="1" applyFill="1" applyAlignment="1">
      <alignment horizontal="center" vertical="center"/>
    </xf>
    <xf numFmtId="172" fontId="0" fillId="42" borderId="0" xfId="44" applyNumberFormat="1" applyFont="1" applyFill="1" applyAlignment="1">
      <alignment horizontal="center" vertical="center"/>
    </xf>
    <xf numFmtId="172" fontId="0" fillId="42" borderId="11" xfId="44" applyNumberFormat="1" applyFont="1" applyFill="1" applyBorder="1" applyAlignment="1">
      <alignment horizontal="center" vertical="center"/>
    </xf>
    <xf numFmtId="190" fontId="19" fillId="42" borderId="0" xfId="44" applyNumberFormat="1" applyFont="1" applyFill="1"/>
    <xf numFmtId="176" fontId="14" fillId="53" borderId="0" xfId="0" applyFont="1" applyFill="1"/>
    <xf numFmtId="172" fontId="14" fillId="53" borderId="0" xfId="44" applyNumberFormat="1" applyFont="1" applyFill="1"/>
    <xf numFmtId="176" fontId="0" fillId="39" borderId="0" xfId="0" applyFill="1" applyAlignment="1" applyProtection="1">
      <alignment horizontal="center"/>
      <protection locked="0"/>
    </xf>
    <xf numFmtId="176" fontId="0" fillId="42" borderId="0" xfId="0" applyFill="1" applyAlignment="1" applyProtection="1">
      <alignment horizontal="center"/>
      <protection locked="0"/>
    </xf>
    <xf numFmtId="176" fontId="0" fillId="42" borderId="0" xfId="0" applyFill="1" applyProtection="1">
      <protection locked="0"/>
    </xf>
    <xf numFmtId="172" fontId="0" fillId="48" borderId="0" xfId="44" applyNumberFormat="1" applyFont="1" applyFill="1"/>
    <xf numFmtId="172" fontId="0" fillId="48" borderId="0" xfId="44" applyNumberFormat="1" applyFont="1" applyFill="1" applyAlignment="1">
      <alignment horizontal="center"/>
    </xf>
    <xf numFmtId="184" fontId="0" fillId="54" borderId="11" xfId="0" applyNumberFormat="1" applyFill="1" applyBorder="1" applyAlignment="1">
      <alignment horizontal="center" vertical="center"/>
    </xf>
    <xf numFmtId="0" fontId="59" fillId="54" borderId="11" xfId="0" applyNumberFormat="1" applyFont="1" applyFill="1" applyBorder="1" applyAlignment="1">
      <alignment horizontal="center" vertical="center"/>
    </xf>
    <xf numFmtId="0" fontId="0" fillId="54" borderId="0" xfId="0" applyNumberFormat="1" applyFill="1" applyAlignment="1">
      <alignment horizontal="center" vertical="center"/>
    </xf>
    <xf numFmtId="0" fontId="2" fillId="54" borderId="0" xfId="0" applyNumberFormat="1" applyFont="1" applyFill="1" applyAlignment="1">
      <alignment horizontal="center" vertical="center"/>
    </xf>
    <xf numFmtId="172" fontId="0" fillId="54" borderId="0" xfId="44" applyNumberFormat="1" applyFont="1" applyFill="1" applyAlignment="1">
      <alignment horizontal="center" vertical="center"/>
    </xf>
    <xf numFmtId="189" fontId="0" fillId="54" borderId="0" xfId="0" applyNumberFormat="1" applyFill="1" applyAlignment="1">
      <alignment horizontal="center" vertical="center"/>
    </xf>
    <xf numFmtId="0" fontId="0" fillId="54" borderId="0" xfId="44" applyNumberFormat="1" applyFont="1" applyFill="1" applyAlignment="1">
      <alignment horizontal="center" vertical="center"/>
    </xf>
    <xf numFmtId="0" fontId="0" fillId="54" borderId="11" xfId="0" applyNumberFormat="1" applyFill="1" applyBorder="1" applyAlignment="1">
      <alignment horizontal="center" vertical="center"/>
    </xf>
    <xf numFmtId="0" fontId="0" fillId="54" borderId="11" xfId="44" applyNumberFormat="1" applyFont="1" applyFill="1" applyBorder="1" applyAlignment="1">
      <alignment horizontal="center" vertical="center"/>
    </xf>
    <xf numFmtId="172" fontId="0" fillId="54" borderId="11" xfId="44" applyNumberFormat="1" applyFont="1" applyFill="1" applyBorder="1" applyAlignment="1">
      <alignment horizontal="center" vertical="center"/>
    </xf>
    <xf numFmtId="172" fontId="17" fillId="54" borderId="0" xfId="44" applyNumberFormat="1" applyFont="1" applyFill="1" applyAlignment="1">
      <alignment horizontal="center" vertical="center"/>
    </xf>
    <xf numFmtId="172" fontId="14" fillId="44" borderId="16" xfId="44" applyNumberFormat="1" applyFont="1" applyFill="1" applyBorder="1" applyProtection="1">
      <protection locked="0"/>
    </xf>
    <xf numFmtId="184" fontId="14" fillId="44" borderId="16" xfId="44" applyNumberFormat="1" applyFont="1" applyFill="1" applyBorder="1" applyProtection="1">
      <protection locked="0"/>
    </xf>
    <xf numFmtId="176" fontId="25" fillId="42" borderId="0" xfId="0" quotePrefix="1" applyFont="1" applyFill="1"/>
    <xf numFmtId="176" fontId="0" fillId="0" borderId="0" xfId="0" pivotButton="1"/>
    <xf numFmtId="176" fontId="0" fillId="0" borderId="0" xfId="0" applyAlignment="1">
      <alignment horizontal="left"/>
    </xf>
    <xf numFmtId="0" fontId="66" fillId="42" borderId="0" xfId="0" applyNumberFormat="1" applyFont="1" applyFill="1"/>
    <xf numFmtId="2" fontId="25" fillId="0" borderId="0" xfId="0" applyNumberFormat="1" applyFont="1" applyAlignment="1">
      <alignment horizontal="center"/>
    </xf>
    <xf numFmtId="176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91" fontId="0" fillId="42" borderId="0" xfId="0" applyNumberFormat="1" applyFill="1" applyAlignment="1" applyProtection="1">
      <alignment horizontal="center"/>
      <protection locked="0"/>
    </xf>
    <xf numFmtId="192" fontId="0" fillId="42" borderId="0" xfId="0" applyNumberFormat="1" applyFill="1" applyAlignment="1">
      <alignment horizontal="center"/>
    </xf>
    <xf numFmtId="192" fontId="18" fillId="42" borderId="0" xfId="0" applyNumberFormat="1" applyFont="1" applyFill="1" applyAlignment="1">
      <alignment horizontal="center"/>
    </xf>
    <xf numFmtId="192" fontId="0" fillId="42" borderId="11" xfId="0" applyNumberFormat="1" applyFill="1" applyBorder="1" applyAlignment="1">
      <alignment horizontal="center"/>
    </xf>
    <xf numFmtId="176" fontId="2" fillId="42" borderId="0" xfId="49" applyFill="1" applyAlignment="1">
      <alignment horizontal="center"/>
    </xf>
    <xf numFmtId="176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6" fontId="45" fillId="42" borderId="0" xfId="49" applyFont="1" applyFill="1"/>
    <xf numFmtId="0" fontId="2" fillId="0" borderId="0" xfId="49" applyNumberFormat="1"/>
    <xf numFmtId="176" fontId="2" fillId="54" borderId="0" xfId="49" applyFill="1" applyAlignment="1">
      <alignment horizontal="center" vertical="center"/>
    </xf>
    <xf numFmtId="184" fontId="25" fillId="54" borderId="0" xfId="49" applyNumberFormat="1" applyFont="1" applyFill="1" applyAlignment="1">
      <alignment horizontal="center"/>
    </xf>
    <xf numFmtId="0" fontId="25" fillId="54" borderId="0" xfId="49" applyNumberFormat="1" applyFont="1" applyFill="1" applyAlignment="1">
      <alignment horizontal="center"/>
    </xf>
    <xf numFmtId="176" fontId="2" fillId="42" borderId="26" xfId="49" applyFill="1" applyBorder="1"/>
    <xf numFmtId="176" fontId="48" fillId="42" borderId="26" xfId="49" applyFont="1" applyFill="1" applyBorder="1" applyAlignment="1">
      <alignment horizontal="center"/>
    </xf>
    <xf numFmtId="176" fontId="2" fillId="42" borderId="26" xfId="49" applyFill="1" applyBorder="1" applyAlignment="1">
      <alignment horizontal="right"/>
    </xf>
    <xf numFmtId="176" fontId="48" fillId="42" borderId="0" xfId="49" applyFont="1" applyFill="1" applyAlignment="1">
      <alignment horizontal="center"/>
    </xf>
    <xf numFmtId="176" fontId="2" fillId="42" borderId="0" xfId="49" applyFill="1" applyAlignment="1">
      <alignment horizontal="right"/>
    </xf>
    <xf numFmtId="0" fontId="70" fillId="0" borderId="27" xfId="47" applyFont="1" applyBorder="1"/>
    <xf numFmtId="14" fontId="71" fillId="56" borderId="27" xfId="50" applyNumberFormat="1" applyFont="1" applyFill="1" applyBorder="1" applyAlignment="1">
      <alignment horizontal="left" vertical="center" indent="1"/>
    </xf>
    <xf numFmtId="176" fontId="70" fillId="42" borderId="0" xfId="49" applyFont="1" applyFill="1"/>
    <xf numFmtId="15" fontId="72" fillId="57" borderId="27" xfId="47" applyNumberFormat="1" applyFont="1" applyFill="1" applyBorder="1" applyAlignment="1">
      <alignment horizontal="right" vertical="center" wrapText="1" indent="1"/>
    </xf>
    <xf numFmtId="0" fontId="2" fillId="42" borderId="0" xfId="49" applyNumberFormat="1" applyFill="1"/>
    <xf numFmtId="176" fontId="14" fillId="44" borderId="16" xfId="49" applyFont="1" applyFill="1" applyBorder="1" applyAlignment="1">
      <alignment horizontal="center"/>
    </xf>
    <xf numFmtId="176" fontId="51" fillId="42" borderId="0" xfId="49" applyFont="1" applyFill="1"/>
    <xf numFmtId="0" fontId="70" fillId="0" borderId="0" xfId="47" applyFont="1"/>
    <xf numFmtId="15" fontId="72" fillId="57" borderId="28" xfId="47" applyNumberFormat="1" applyFont="1" applyFill="1" applyBorder="1" applyAlignment="1">
      <alignment horizontal="center" vertical="center" wrapText="1"/>
    </xf>
    <xf numFmtId="15" fontId="73" fillId="57" borderId="29" xfId="47" applyNumberFormat="1" applyFont="1" applyFill="1" applyBorder="1" applyAlignment="1">
      <alignment horizontal="center" vertical="center" wrapText="1"/>
    </xf>
    <xf numFmtId="15" fontId="73" fillId="57" borderId="27" xfId="47" applyNumberFormat="1" applyFont="1" applyFill="1" applyBorder="1" applyAlignment="1">
      <alignment vertical="center" wrapText="1"/>
    </xf>
    <xf numFmtId="15" fontId="72" fillId="57" borderId="27" xfId="47" applyNumberFormat="1" applyFont="1" applyFill="1" applyBorder="1" applyAlignment="1">
      <alignment vertical="center" wrapText="1"/>
    </xf>
    <xf numFmtId="15" fontId="72" fillId="57" borderId="30" xfId="47" applyNumberFormat="1" applyFont="1" applyFill="1" applyBorder="1" applyAlignment="1">
      <alignment vertical="center" wrapText="1"/>
    </xf>
    <xf numFmtId="15" fontId="73" fillId="57" borderId="30" xfId="47" applyNumberFormat="1" applyFont="1" applyFill="1" applyBorder="1" applyAlignment="1">
      <alignment vertical="center" wrapText="1"/>
    </xf>
    <xf numFmtId="176" fontId="0" fillId="42" borderId="0" xfId="49" applyFont="1" applyFill="1"/>
    <xf numFmtId="184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4" fontId="2" fillId="42" borderId="0" xfId="49" applyNumberFormat="1" applyFill="1" applyAlignment="1">
      <alignment horizontal="center" vertical="center"/>
    </xf>
    <xf numFmtId="2" fontId="70" fillId="42" borderId="0" xfId="49" applyNumberFormat="1" applyFont="1" applyFill="1"/>
    <xf numFmtId="171" fontId="70" fillId="42" borderId="0" xfId="49" applyNumberFormat="1" applyFont="1" applyFill="1"/>
    <xf numFmtId="184" fontId="2" fillId="42" borderId="0" xfId="49" applyNumberFormat="1" applyFill="1" applyAlignment="1">
      <alignment horizontal="center"/>
    </xf>
    <xf numFmtId="0" fontId="70" fillId="0" borderId="0" xfId="47" quotePrefix="1" applyFont="1"/>
    <xf numFmtId="0" fontId="70" fillId="42" borderId="0" xfId="49" applyNumberFormat="1" applyFont="1" applyFill="1"/>
    <xf numFmtId="176" fontId="14" fillId="44" borderId="16" xfId="49" applyFont="1" applyFill="1" applyBorder="1"/>
    <xf numFmtId="176" fontId="63" fillId="42" borderId="0" xfId="49" applyFont="1" applyFill="1"/>
    <xf numFmtId="2" fontId="2" fillId="42" borderId="0" xfId="49" applyNumberFormat="1" applyFill="1"/>
    <xf numFmtId="176" fontId="64" fillId="42" borderId="0" xfId="49" applyFont="1" applyFill="1"/>
    <xf numFmtId="176" fontId="18" fillId="53" borderId="0" xfId="49" applyFont="1" applyFill="1"/>
    <xf numFmtId="172" fontId="70" fillId="42" borderId="0" xfId="44" applyNumberFormat="1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1" fontId="2" fillId="42" borderId="0" xfId="49" applyNumberFormat="1" applyFill="1" applyAlignment="1">
      <alignment horizontal="center"/>
    </xf>
    <xf numFmtId="184" fontId="25" fillId="42" borderId="0" xfId="49" applyNumberFormat="1" applyFont="1" applyFill="1" applyAlignment="1">
      <alignment horizontal="center"/>
    </xf>
    <xf numFmtId="176" fontId="2" fillId="50" borderId="0" xfId="49" applyFill="1"/>
    <xf numFmtId="184" fontId="25" fillId="50" borderId="0" xfId="49" applyNumberFormat="1" applyFont="1" applyFill="1" applyAlignment="1">
      <alignment horizontal="center"/>
    </xf>
    <xf numFmtId="0" fontId="25" fillId="50" borderId="0" xfId="49" applyNumberFormat="1" applyFont="1" applyFill="1" applyAlignment="1">
      <alignment horizontal="center"/>
    </xf>
    <xf numFmtId="0" fontId="2" fillId="50" borderId="0" xfId="49" applyNumberFormat="1" applyFill="1"/>
    <xf numFmtId="176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2" fontId="75" fillId="42" borderId="0" xfId="44" applyNumberFormat="1" applyFont="1" applyFill="1"/>
    <xf numFmtId="172" fontId="75" fillId="42" borderId="0" xfId="44" applyNumberFormat="1" applyFont="1" applyFill="1" applyAlignment="1">
      <alignment horizontal="center"/>
    </xf>
    <xf numFmtId="176" fontId="0" fillId="39" borderId="0" xfId="0" applyFill="1" applyAlignment="1">
      <alignment horizontal="center"/>
    </xf>
    <xf numFmtId="176" fontId="0" fillId="39" borderId="0" xfId="0" applyFill="1"/>
    <xf numFmtId="194" fontId="0" fillId="42" borderId="0" xfId="0" applyNumberFormat="1" applyFill="1" applyAlignment="1">
      <alignment horizontal="center"/>
    </xf>
    <xf numFmtId="176" fontId="30" fillId="34" borderId="0" xfId="26" applyFont="1" applyFill="1" applyAlignment="1">
      <alignment horizontal="center" vertical="center" wrapText="1"/>
    </xf>
    <xf numFmtId="176" fontId="67" fillId="42" borderId="0" xfId="0" applyFont="1" applyFill="1" applyAlignment="1">
      <alignment horizontal="center"/>
    </xf>
    <xf numFmtId="176" fontId="0" fillId="42" borderId="0" xfId="0" applyFill="1" applyAlignment="1">
      <alignment horizontal="center"/>
    </xf>
    <xf numFmtId="187" fontId="40" fillId="0" borderId="0" xfId="26" applyNumberFormat="1" applyFont="1" applyFill="1" applyAlignment="1">
      <alignment horizontal="center" vertical="center" wrapText="1"/>
    </xf>
    <xf numFmtId="176" fontId="2" fillId="42" borderId="11" xfId="49" applyFill="1" applyBorder="1"/>
    <xf numFmtId="172" fontId="21" fillId="42" borderId="0" xfId="44" applyNumberFormat="1" applyFont="1" applyFill="1" applyAlignment="1">
      <alignment horizontal="center"/>
    </xf>
    <xf numFmtId="195" fontId="25" fillId="54" borderId="0" xfId="49" applyNumberFormat="1" applyFont="1" applyFill="1" applyAlignment="1">
      <alignment horizontal="center"/>
    </xf>
    <xf numFmtId="172" fontId="0" fillId="54" borderId="0" xfId="44" applyNumberFormat="1" applyFont="1" applyFill="1" applyAlignment="1">
      <alignment horizontal="center"/>
    </xf>
    <xf numFmtId="184" fontId="2" fillId="54" borderId="0" xfId="49" applyNumberFormat="1" applyFill="1" applyAlignment="1">
      <alignment horizontal="center"/>
    </xf>
    <xf numFmtId="176" fontId="2" fillId="54" borderId="0" xfId="49" applyFill="1" applyAlignment="1">
      <alignment horizontal="center"/>
    </xf>
    <xf numFmtId="9" fontId="65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7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6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4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6" fontId="21" fillId="39" borderId="0" xfId="45" applyFont="1" applyFill="1" applyAlignment="1">
      <alignment horizontal="center"/>
    </xf>
    <xf numFmtId="185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5" fontId="0" fillId="39" borderId="0" xfId="0" applyNumberFormat="1" applyFill="1" applyAlignment="1">
      <alignment horizontal="center"/>
    </xf>
    <xf numFmtId="185" fontId="0" fillId="39" borderId="0" xfId="0" applyNumberFormat="1" applyFill="1" applyAlignment="1">
      <alignment horizontal="center"/>
    </xf>
    <xf numFmtId="174" fontId="0" fillId="48" borderId="0" xfId="0" applyNumberFormat="1" applyFill="1" applyAlignment="1">
      <alignment horizontal="center"/>
    </xf>
    <xf numFmtId="172" fontId="15" fillId="48" borderId="0" xfId="44" applyNumberFormat="1" applyFon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0" fontId="51" fillId="42" borderId="0" xfId="0" applyNumberFormat="1" applyFont="1" applyFill="1" applyAlignment="1">
      <alignment horizontal="center"/>
    </xf>
    <xf numFmtId="176" fontId="0" fillId="42" borderId="34" xfId="0" applyFill="1" applyBorder="1"/>
    <xf numFmtId="176" fontId="0" fillId="42" borderId="35" xfId="0" applyFill="1" applyBorder="1"/>
    <xf numFmtId="176" fontId="0" fillId="42" borderId="36" xfId="0" applyFill="1" applyBorder="1"/>
    <xf numFmtId="176" fontId="0" fillId="42" borderId="37" xfId="0" applyFill="1" applyBorder="1"/>
    <xf numFmtId="176" fontId="0" fillId="42" borderId="38" xfId="0" applyFill="1" applyBorder="1"/>
    <xf numFmtId="176" fontId="0" fillId="42" borderId="39" xfId="0" applyFill="1" applyBorder="1"/>
    <xf numFmtId="176" fontId="0" fillId="0" borderId="34" xfId="0" applyBorder="1"/>
    <xf numFmtId="176" fontId="0" fillId="0" borderId="35" xfId="0" applyBorder="1"/>
    <xf numFmtId="176" fontId="0" fillId="0" borderId="36" xfId="0" applyBorder="1"/>
    <xf numFmtId="176" fontId="0" fillId="0" borderId="0" xfId="0" applyAlignment="1">
      <alignment horizontal="center"/>
    </xf>
    <xf numFmtId="176" fontId="0" fillId="0" borderId="37" xfId="0" applyBorder="1"/>
    <xf numFmtId="176" fontId="0" fillId="0" borderId="38" xfId="0" applyBorder="1"/>
    <xf numFmtId="176" fontId="0" fillId="0" borderId="39" xfId="0" applyBorder="1"/>
    <xf numFmtId="2" fontId="0" fillId="0" borderId="0" xfId="0" applyNumberFormat="1"/>
    <xf numFmtId="1" fontId="0" fillId="0" borderId="0" xfId="0" applyNumberFormat="1" applyAlignment="1">
      <alignment horizontal="center"/>
    </xf>
    <xf numFmtId="176" fontId="0" fillId="42" borderId="40" xfId="0" applyFill="1" applyBorder="1"/>
    <xf numFmtId="176" fontId="0" fillId="42" borderId="41" xfId="0" applyFill="1" applyBorder="1"/>
    <xf numFmtId="176" fontId="0" fillId="42" borderId="42" xfId="0" applyFill="1" applyBorder="1"/>
    <xf numFmtId="176" fontId="0" fillId="0" borderId="40" xfId="0" applyBorder="1"/>
    <xf numFmtId="176" fontId="0" fillId="0" borderId="41" xfId="0" applyBorder="1"/>
    <xf numFmtId="176" fontId="0" fillId="0" borderId="42" xfId="0" applyBorder="1"/>
    <xf numFmtId="177" fontId="0" fillId="62" borderId="0" xfId="44" applyNumberFormat="1" applyFont="1" applyFill="1" applyAlignment="1">
      <alignment horizontal="center"/>
    </xf>
    <xf numFmtId="188" fontId="0" fillId="0" borderId="0" xfId="0" applyNumberFormat="1" applyFill="1" applyAlignment="1">
      <alignment horizontal="center"/>
    </xf>
    <xf numFmtId="176" fontId="33" fillId="38" borderId="0" xfId="0" applyFont="1" applyFill="1" applyAlignment="1">
      <alignment horizontal="center"/>
    </xf>
    <xf numFmtId="172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2" fontId="21" fillId="42" borderId="11" xfId="44" applyNumberFormat="1" applyFont="1" applyFill="1" applyBorder="1" applyAlignment="1">
      <alignment horizontal="center"/>
    </xf>
    <xf numFmtId="172" fontId="25" fillId="42" borderId="11" xfId="44" applyNumberFormat="1" applyFont="1" applyFill="1" applyBorder="1" applyAlignment="1">
      <alignment horizontal="center"/>
    </xf>
    <xf numFmtId="172" fontId="25" fillId="37" borderId="0" xfId="0" applyNumberFormat="1" applyFont="1" applyFill="1"/>
    <xf numFmtId="172" fontId="79" fillId="42" borderId="0" xfId="0" applyNumberFormat="1" applyFont="1" applyFill="1" applyAlignment="1">
      <alignment horizontal="center"/>
    </xf>
    <xf numFmtId="176" fontId="17" fillId="0" borderId="0" xfId="0" applyFont="1" applyAlignment="1">
      <alignment wrapText="1"/>
    </xf>
    <xf numFmtId="176" fontId="0" fillId="0" borderId="43" xfId="0" applyBorder="1"/>
    <xf numFmtId="1" fontId="80" fillId="0" borderId="0" xfId="0" applyNumberFormat="1" applyFont="1" applyAlignment="1">
      <alignment horizontal="center"/>
    </xf>
    <xf numFmtId="197" fontId="0" fillId="42" borderId="0" xfId="0" applyNumberFormat="1" applyFill="1" applyAlignment="1">
      <alignment horizontal="center"/>
    </xf>
    <xf numFmtId="188" fontId="0" fillId="39" borderId="0" xfId="0" applyNumberFormat="1" applyFill="1" applyAlignment="1">
      <alignment horizontal="center"/>
    </xf>
    <xf numFmtId="168" fontId="0" fillId="42" borderId="0" xfId="0" applyNumberFormat="1" applyFill="1" applyAlignment="1">
      <alignment horizontal="center"/>
    </xf>
    <xf numFmtId="176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0" fontId="2" fillId="42" borderId="0" xfId="43" applyNumberFormat="1" applyFill="1"/>
    <xf numFmtId="188" fontId="0" fillId="59" borderId="0" xfId="0" applyNumberFormat="1" applyFill="1" applyAlignment="1">
      <alignment horizontal="center"/>
    </xf>
    <xf numFmtId="169" fontId="0" fillId="54" borderId="0" xfId="0" applyNumberFormat="1" applyFill="1" applyAlignment="1">
      <alignment horizontal="center" vertical="center"/>
    </xf>
    <xf numFmtId="188" fontId="15" fillId="42" borderId="0" xfId="0" applyNumberFormat="1" applyFont="1" applyFill="1" applyAlignment="1">
      <alignment horizontal="center"/>
    </xf>
    <xf numFmtId="172" fontId="65" fillId="50" borderId="0" xfId="44" applyNumberFormat="1" applyFont="1" applyFill="1"/>
    <xf numFmtId="167" fontId="2" fillId="42" borderId="0" xfId="44" applyFill="1"/>
    <xf numFmtId="172" fontId="82" fillId="42" borderId="0" xfId="44" applyNumberFormat="1" applyFont="1" applyFill="1"/>
    <xf numFmtId="172" fontId="25" fillId="42" borderId="0" xfId="43" applyNumberFormat="1" applyFont="1" applyFill="1" applyAlignment="1">
      <alignment horizontal="center"/>
    </xf>
    <xf numFmtId="176" fontId="0" fillId="42" borderId="0" xfId="0" applyFill="1" applyAlignment="1">
      <alignment horizontal="center"/>
    </xf>
    <xf numFmtId="172" fontId="84" fillId="42" borderId="0" xfId="44" applyNumberFormat="1" applyFont="1" applyFill="1"/>
    <xf numFmtId="176" fontId="6" fillId="42" borderId="0" xfId="0" applyFont="1" applyFill="1"/>
    <xf numFmtId="14" fontId="0" fillId="0" borderId="0" xfId="0" applyNumberFormat="1" applyAlignment="1">
      <alignment horizontal="left"/>
    </xf>
    <xf numFmtId="172" fontId="0" fillId="0" borderId="0" xfId="0" applyNumberFormat="1"/>
    <xf numFmtId="166" fontId="22" fillId="64" borderId="0" xfId="44" applyNumberFormat="1" applyFont="1" applyFill="1" applyAlignment="1">
      <alignment horizontal="center"/>
    </xf>
    <xf numFmtId="167" fontId="0" fillId="42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6" fontId="86" fillId="45" borderId="11" xfId="0" applyFont="1" applyFill="1" applyBorder="1" applyAlignment="1">
      <alignment horizontal="center" vertical="center" wrapText="1"/>
    </xf>
    <xf numFmtId="176" fontId="18" fillId="45" borderId="11" xfId="0" applyFont="1" applyFill="1" applyBorder="1" applyAlignment="1">
      <alignment horizontal="center" vertical="center" wrapText="1"/>
    </xf>
    <xf numFmtId="171" fontId="18" fillId="45" borderId="0" xfId="0" applyNumberFormat="1" applyFont="1" applyFill="1" applyAlignment="1">
      <alignment horizontal="center" vertical="center" wrapText="1"/>
    </xf>
    <xf numFmtId="171" fontId="18" fillId="45" borderId="11" xfId="0" applyNumberFormat="1" applyFont="1" applyFill="1" applyBorder="1" applyAlignment="1">
      <alignment horizontal="center" vertical="center" wrapText="1"/>
    </xf>
    <xf numFmtId="176" fontId="18" fillId="45" borderId="0" xfId="0" applyFont="1" applyFill="1" applyAlignment="1">
      <alignment horizontal="center" vertical="center" wrapText="1"/>
    </xf>
    <xf numFmtId="176" fontId="86" fillId="36" borderId="11" xfId="0" applyFont="1" applyFill="1" applyBorder="1" applyAlignment="1">
      <alignment horizontal="center" vertical="center" wrapText="1"/>
    </xf>
    <xf numFmtId="176" fontId="86" fillId="36" borderId="0" xfId="0" applyFont="1" applyFill="1" applyAlignment="1">
      <alignment horizontal="center" vertical="center" wrapText="1"/>
    </xf>
    <xf numFmtId="10" fontId="86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1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6" fontId="19" fillId="0" borderId="0" xfId="0" applyFont="1" applyAlignment="1">
      <alignment horizontal="center"/>
    </xf>
    <xf numFmtId="199" fontId="19" fillId="0" borderId="0" xfId="60" applyNumberFormat="1" applyFont="1"/>
    <xf numFmtId="43" fontId="19" fillId="0" borderId="0" xfId="60" applyFont="1" applyAlignment="1">
      <alignment horizontal="right" vertical="center"/>
    </xf>
    <xf numFmtId="170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6" fontId="19" fillId="0" borderId="0" xfId="0" applyFont="1"/>
    <xf numFmtId="176" fontId="0" fillId="62" borderId="0" xfId="0" applyFill="1"/>
    <xf numFmtId="176" fontId="0" fillId="0" borderId="0" xfId="0" applyAlignment="1">
      <alignment vertical="center"/>
    </xf>
    <xf numFmtId="176" fontId="19" fillId="0" borderId="11" xfId="0" applyFont="1" applyBorder="1" applyAlignment="1">
      <alignment horizontal="center"/>
    </xf>
    <xf numFmtId="199" fontId="19" fillId="0" borderId="11" xfId="60" applyNumberFormat="1" applyFont="1" applyBorder="1"/>
    <xf numFmtId="43" fontId="19" fillId="0" borderId="11" xfId="60" applyFont="1" applyBorder="1" applyAlignment="1">
      <alignment horizontal="right" vertical="center"/>
    </xf>
    <xf numFmtId="170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71" fontId="0" fillId="0" borderId="0" xfId="0" applyNumberFormat="1"/>
    <xf numFmtId="176" fontId="80" fillId="0" borderId="0" xfId="0" applyFont="1" applyAlignment="1">
      <alignment horizontal="center"/>
    </xf>
    <xf numFmtId="176" fontId="87" fillId="66" borderId="0" xfId="0" applyFont="1" applyFill="1" applyAlignment="1">
      <alignment horizontal="center" vertical="center"/>
    </xf>
    <xf numFmtId="0" fontId="80" fillId="0" borderId="0" xfId="50" applyFont="1" applyAlignment="1">
      <alignment horizontal="center"/>
    </xf>
    <xf numFmtId="176" fontId="88" fillId="0" borderId="0" xfId="0" applyFont="1" applyAlignment="1">
      <alignment horizontal="center"/>
    </xf>
    <xf numFmtId="0" fontId="87" fillId="66" borderId="0" xfId="61" applyFont="1" applyFill="1" applyAlignment="1">
      <alignment horizontal="center" vertical="center"/>
    </xf>
    <xf numFmtId="0" fontId="80" fillId="39" borderId="0" xfId="62" applyFont="1" applyFill="1" applyAlignment="1">
      <alignment horizontal="center"/>
    </xf>
    <xf numFmtId="0" fontId="89" fillId="39" borderId="0" xfId="62" applyFont="1" applyFill="1" applyAlignment="1">
      <alignment horizontal="center"/>
    </xf>
    <xf numFmtId="0" fontId="88" fillId="39" borderId="0" xfId="62" applyFont="1" applyFill="1" applyAlignment="1">
      <alignment horizontal="center"/>
    </xf>
    <xf numFmtId="0" fontId="80" fillId="39" borderId="44" xfId="62" applyFont="1" applyFill="1" applyBorder="1" applyAlignment="1">
      <alignment horizontal="center"/>
    </xf>
    <xf numFmtId="0" fontId="88" fillId="39" borderId="44" xfId="62" applyFont="1" applyFill="1" applyBorder="1" applyAlignment="1">
      <alignment horizontal="center"/>
    </xf>
    <xf numFmtId="0" fontId="80" fillId="39" borderId="45" xfId="62" applyFont="1" applyFill="1" applyBorder="1" applyAlignment="1">
      <alignment horizontal="center"/>
    </xf>
    <xf numFmtId="176" fontId="21" fillId="0" borderId="23" xfId="45" applyFont="1" applyFill="1" applyBorder="1" applyAlignment="1">
      <alignment horizontal="center"/>
    </xf>
    <xf numFmtId="200" fontId="80" fillId="67" borderId="0" xfId="0" applyNumberFormat="1" applyFont="1" applyFill="1" applyAlignment="1">
      <alignment horizontal="center" vertical="center"/>
    </xf>
    <xf numFmtId="176" fontId="80" fillId="67" borderId="0" xfId="0" applyFont="1" applyFill="1" applyAlignment="1">
      <alignment horizontal="center" vertical="center"/>
    </xf>
    <xf numFmtId="176" fontId="87" fillId="47" borderId="0" xfId="0" applyFont="1" applyFill="1" applyAlignment="1">
      <alignment horizontal="center" vertical="center"/>
    </xf>
    <xf numFmtId="0" fontId="80" fillId="48" borderId="0" xfId="50" applyFont="1" applyFill="1" applyAlignment="1">
      <alignment horizontal="center"/>
    </xf>
    <xf numFmtId="200" fontId="80" fillId="67" borderId="0" xfId="0" applyNumberFormat="1" applyFont="1" applyFill="1" applyAlignment="1">
      <alignment horizontal="center"/>
    </xf>
    <xf numFmtId="14" fontId="80" fillId="67" borderId="0" xfId="0" applyNumberFormat="1" applyFont="1" applyFill="1" applyAlignment="1">
      <alignment horizontal="center"/>
    </xf>
    <xf numFmtId="176" fontId="80" fillId="48" borderId="0" xfId="0" applyFont="1" applyFill="1" applyAlignment="1">
      <alignment horizontal="center"/>
    </xf>
    <xf numFmtId="2" fontId="80" fillId="67" borderId="0" xfId="0" applyNumberFormat="1" applyFont="1" applyFill="1" applyAlignment="1">
      <alignment horizontal="center"/>
    </xf>
    <xf numFmtId="0" fontId="80" fillId="48" borderId="0" xfId="0" applyNumberFormat="1" applyFont="1" applyFill="1" applyAlignment="1">
      <alignment horizontal="center"/>
    </xf>
    <xf numFmtId="0" fontId="80" fillId="67" borderId="0" xfId="0" applyNumberFormat="1" applyFont="1" applyFill="1" applyAlignment="1">
      <alignment horizontal="center"/>
    </xf>
    <xf numFmtId="1" fontId="80" fillId="47" borderId="0" xfId="0" applyNumberFormat="1" applyFont="1" applyFill="1" applyAlignment="1">
      <alignment horizontal="center"/>
    </xf>
    <xf numFmtId="201" fontId="80" fillId="47" borderId="0" xfId="0" applyNumberFormat="1" applyFont="1" applyFill="1" applyAlignment="1">
      <alignment horizontal="center"/>
    </xf>
    <xf numFmtId="176" fontId="80" fillId="47" borderId="0" xfId="0" applyFont="1" applyFill="1" applyAlignment="1">
      <alignment horizontal="center"/>
    </xf>
    <xf numFmtId="0" fontId="80" fillId="0" borderId="0" xfId="0" applyNumberFormat="1" applyFont="1" applyAlignment="1">
      <alignment horizontal="center"/>
    </xf>
    <xf numFmtId="0" fontId="28" fillId="0" borderId="0" xfId="0" applyNumberFormat="1" applyFont="1"/>
    <xf numFmtId="0" fontId="80" fillId="39" borderId="0" xfId="62" applyFont="1" applyFill="1" applyBorder="1" applyAlignment="1">
      <alignment horizontal="center"/>
    </xf>
    <xf numFmtId="0" fontId="80" fillId="0" borderId="0" xfId="62" applyFont="1" applyFill="1" applyAlignment="1">
      <alignment horizontal="center"/>
    </xf>
    <xf numFmtId="0" fontId="80" fillId="0" borderId="0" xfId="50" applyFont="1" applyFill="1" applyAlignment="1">
      <alignment horizontal="center"/>
    </xf>
    <xf numFmtId="0" fontId="88" fillId="0" borderId="0" xfId="62" applyFont="1" applyFill="1" applyAlignment="1">
      <alignment horizontal="center"/>
    </xf>
    <xf numFmtId="0" fontId="80" fillId="0" borderId="44" xfId="62" applyFont="1" applyFill="1" applyBorder="1" applyAlignment="1">
      <alignment horizontal="center"/>
    </xf>
    <xf numFmtId="0" fontId="90" fillId="0" borderId="0" xfId="50" applyFont="1" applyFill="1" applyAlignment="1">
      <alignment horizontal="center"/>
    </xf>
    <xf numFmtId="0" fontId="91" fillId="0" borderId="0" xfId="62" applyFont="1" applyFill="1" applyAlignment="1">
      <alignment horizontal="center"/>
    </xf>
    <xf numFmtId="0" fontId="90" fillId="0" borderId="0" xfId="62" applyFont="1" applyFill="1" applyAlignment="1">
      <alignment horizontal="center"/>
    </xf>
    <xf numFmtId="1" fontId="80" fillId="0" borderId="44" xfId="62" applyNumberFormat="1" applyFont="1" applyFill="1" applyBorder="1" applyAlignment="1">
      <alignment horizontal="center"/>
    </xf>
    <xf numFmtId="0" fontId="80" fillId="0" borderId="45" xfId="62" applyFont="1" applyFill="1" applyBorder="1" applyAlignment="1">
      <alignment horizontal="center"/>
    </xf>
    <xf numFmtId="49" fontId="80" fillId="0" borderId="45" xfId="62" applyNumberFormat="1" applyFont="1" applyFill="1" applyBorder="1" applyAlignment="1">
      <alignment horizontal="center"/>
    </xf>
    <xf numFmtId="176" fontId="80" fillId="0" borderId="0" xfId="0" applyFont="1" applyFill="1" applyAlignment="1">
      <alignment horizontal="center"/>
    </xf>
    <xf numFmtId="0" fontId="80" fillId="0" borderId="0" xfId="62" applyNumberFormat="1" applyFont="1" applyFill="1" applyAlignment="1">
      <alignment horizontal="center"/>
    </xf>
    <xf numFmtId="0" fontId="80" fillId="0" borderId="0" xfId="0" applyNumberFormat="1" applyFont="1" applyFill="1" applyAlignment="1">
      <alignment horizontal="center"/>
    </xf>
    <xf numFmtId="176" fontId="90" fillId="0" borderId="0" xfId="0" applyFont="1" applyFill="1" applyAlignment="1">
      <alignment horizontal="center"/>
    </xf>
    <xf numFmtId="0" fontId="87" fillId="66" borderId="0" xfId="61" applyNumberFormat="1" applyFont="1" applyFill="1" applyAlignment="1">
      <alignment horizontal="center" vertical="center"/>
    </xf>
    <xf numFmtId="0" fontId="88" fillId="0" borderId="0" xfId="62" applyNumberFormat="1" applyFont="1" applyFill="1" applyAlignment="1">
      <alignment horizontal="center"/>
    </xf>
    <xf numFmtId="0" fontId="80" fillId="0" borderId="44" xfId="62" applyNumberFormat="1" applyFont="1" applyFill="1" applyBorder="1" applyAlignment="1">
      <alignment horizontal="center"/>
    </xf>
    <xf numFmtId="0" fontId="80" fillId="0" borderId="0" xfId="50" applyNumberFormat="1" applyFont="1" applyFill="1" applyAlignment="1">
      <alignment horizontal="center"/>
    </xf>
    <xf numFmtId="0" fontId="88" fillId="0" borderId="0" xfId="0" applyNumberFormat="1" applyFont="1" applyFill="1" applyAlignment="1">
      <alignment horizontal="center"/>
    </xf>
    <xf numFmtId="176" fontId="80" fillId="48" borderId="0" xfId="0" applyFont="1" applyFill="1" applyAlignment="1">
      <alignment horizontal="center" vertical="center"/>
    </xf>
    <xf numFmtId="0" fontId="92" fillId="0" borderId="0" xfId="0" applyNumberFormat="1" applyFont="1" applyAlignment="1">
      <alignment horizontal="center"/>
    </xf>
    <xf numFmtId="0" fontId="28" fillId="39" borderId="0" xfId="0" applyNumberFormat="1" applyFont="1" applyFill="1"/>
    <xf numFmtId="176" fontId="0" fillId="42" borderId="0" xfId="0" applyFill="1" applyAlignment="1">
      <alignment horizontal="center"/>
    </xf>
    <xf numFmtId="0" fontId="28" fillId="0" borderId="0" xfId="0" applyNumberFormat="1" applyFont="1" applyFill="1"/>
    <xf numFmtId="176" fontId="93" fillId="0" borderId="0" xfId="0" applyFont="1" applyAlignment="1">
      <alignment horizontal="left" vertical="center" indent="2"/>
    </xf>
    <xf numFmtId="176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6" fontId="0" fillId="47" borderId="0" xfId="0" applyFill="1"/>
    <xf numFmtId="180" fontId="0" fillId="0" borderId="0" xfId="0" applyNumberFormat="1"/>
    <xf numFmtId="167" fontId="0" fillId="0" borderId="0" xfId="44" applyFont="1"/>
    <xf numFmtId="10" fontId="0" fillId="0" borderId="0" xfId="44" applyNumberFormat="1" applyFont="1"/>
    <xf numFmtId="176" fontId="2" fillId="50" borderId="0" xfId="49" applyFill="1" applyAlignment="1">
      <alignment horizontal="center" vertical="center"/>
    </xf>
    <xf numFmtId="195" fontId="25" fillId="50" borderId="0" xfId="49" applyNumberFormat="1" applyFont="1" applyFill="1" applyAlignment="1">
      <alignment horizontal="center"/>
    </xf>
    <xf numFmtId="172" fontId="0" fillId="50" borderId="0" xfId="44" applyNumberFormat="1" applyFont="1" applyFill="1" applyAlignment="1">
      <alignment horizontal="center"/>
    </xf>
    <xf numFmtId="184" fontId="2" fillId="50" borderId="0" xfId="49" applyNumberFormat="1" applyFill="1" applyAlignment="1">
      <alignment horizontal="center"/>
    </xf>
    <xf numFmtId="176" fontId="2" fillId="50" borderId="0" xfId="49" applyFill="1" applyAlignment="1">
      <alignment horizontal="center"/>
    </xf>
    <xf numFmtId="176" fontId="17" fillId="35" borderId="0" xfId="0" applyFont="1" applyFill="1"/>
    <xf numFmtId="176" fontId="14" fillId="68" borderId="0" xfId="0" applyFont="1" applyFill="1"/>
    <xf numFmtId="176" fontId="17" fillId="69" borderId="27" xfId="0" applyFont="1" applyFill="1" applyBorder="1"/>
    <xf numFmtId="0" fontId="28" fillId="70" borderId="0" xfId="0" applyNumberFormat="1" applyFont="1" applyFill="1"/>
    <xf numFmtId="176" fontId="0" fillId="70" borderId="0" xfId="0" applyFill="1"/>
    <xf numFmtId="0" fontId="80" fillId="70" borderId="0" xfId="50" applyFont="1" applyFill="1" applyAlignment="1">
      <alignment horizontal="center"/>
    </xf>
    <xf numFmtId="200" fontId="80" fillId="70" borderId="0" xfId="0" applyNumberFormat="1" applyFont="1" applyFill="1" applyAlignment="1">
      <alignment horizontal="center"/>
    </xf>
    <xf numFmtId="14" fontId="80" fillId="70" borderId="0" xfId="0" applyNumberFormat="1" applyFont="1" applyFill="1" applyAlignment="1">
      <alignment horizontal="center"/>
    </xf>
    <xf numFmtId="176" fontId="80" fillId="70" borderId="0" xfId="0" applyFont="1" applyFill="1" applyAlignment="1">
      <alignment horizontal="center"/>
    </xf>
    <xf numFmtId="2" fontId="80" fillId="70" borderId="0" xfId="0" applyNumberFormat="1" applyFont="1" applyFill="1" applyAlignment="1">
      <alignment horizontal="center"/>
    </xf>
    <xf numFmtId="0" fontId="80" fillId="70" borderId="0" xfId="0" applyNumberFormat="1" applyFont="1" applyFill="1" applyAlignment="1">
      <alignment horizontal="center"/>
    </xf>
    <xf numFmtId="1" fontId="80" fillId="70" borderId="0" xfId="0" applyNumberFormat="1" applyFont="1" applyFill="1" applyAlignment="1">
      <alignment horizontal="center"/>
    </xf>
    <xf numFmtId="201" fontId="80" fillId="70" borderId="0" xfId="0" applyNumberFormat="1" applyFont="1" applyFill="1" applyAlignment="1">
      <alignment horizontal="center"/>
    </xf>
    <xf numFmtId="0" fontId="92" fillId="70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6" fontId="0" fillId="42" borderId="0" xfId="0" applyFill="1" applyAlignment="1">
      <alignment horizontal="center"/>
    </xf>
    <xf numFmtId="187" fontId="25" fillId="0" borderId="0" xfId="0" applyNumberFormat="1" applyFont="1" applyFill="1"/>
    <xf numFmtId="176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80" fillId="39" borderId="0" xfId="0" applyNumberFormat="1" applyFont="1" applyFill="1" applyAlignment="1">
      <alignment horizontal="center"/>
    </xf>
    <xf numFmtId="0" fontId="80" fillId="0" borderId="0" xfId="50" applyNumberFormat="1" applyFont="1" applyAlignment="1">
      <alignment horizontal="center"/>
    </xf>
    <xf numFmtId="0" fontId="80" fillId="0" borderId="0" xfId="0" quotePrefix="1" applyNumberFormat="1" applyFont="1" applyAlignment="1">
      <alignment horizontal="center"/>
    </xf>
    <xf numFmtId="0" fontId="88" fillId="0" borderId="0" xfId="0" applyNumberFormat="1" applyFont="1" applyAlignment="1">
      <alignment horizontal="center"/>
    </xf>
    <xf numFmtId="0" fontId="92" fillId="0" borderId="0" xfId="0" quotePrefix="1" applyNumberFormat="1" applyFont="1" applyAlignment="1">
      <alignment horizontal="center"/>
    </xf>
    <xf numFmtId="0" fontId="80" fillId="39" borderId="44" xfId="0" applyNumberFormat="1" applyFont="1" applyFill="1" applyBorder="1" applyAlignment="1">
      <alignment horizontal="center"/>
    </xf>
    <xf numFmtId="0" fontId="80" fillId="0" borderId="44" xfId="0" applyNumberFormat="1" applyFont="1" applyBorder="1" applyAlignment="1">
      <alignment horizontal="center"/>
    </xf>
    <xf numFmtId="0" fontId="80" fillId="39" borderId="11" xfId="62" applyFont="1" applyFill="1" applyBorder="1" applyAlignment="1">
      <alignment horizontal="center"/>
    </xf>
    <xf numFmtId="176" fontId="80" fillId="0" borderId="11" xfId="0" applyFont="1" applyFill="1" applyBorder="1" applyAlignment="1">
      <alignment horizontal="center"/>
    </xf>
    <xf numFmtId="0" fontId="80" fillId="0" borderId="11" xfId="50" applyFont="1" applyFill="1" applyBorder="1" applyAlignment="1">
      <alignment horizontal="center"/>
    </xf>
    <xf numFmtId="0" fontId="80" fillId="0" borderId="11" xfId="0" applyNumberFormat="1" applyFont="1" applyFill="1" applyBorder="1" applyAlignment="1">
      <alignment horizontal="center"/>
    </xf>
    <xf numFmtId="0" fontId="80" fillId="0" borderId="11" xfId="50" applyNumberFormat="1" applyFont="1" applyFill="1" applyBorder="1" applyAlignment="1">
      <alignment horizontal="center"/>
    </xf>
    <xf numFmtId="176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6" fontId="0" fillId="42" borderId="0" xfId="0" applyFill="1" applyAlignment="1">
      <alignment horizontal="center"/>
    </xf>
    <xf numFmtId="176" fontId="17" fillId="0" borderId="0" xfId="0" applyFont="1"/>
    <xf numFmtId="2" fontId="17" fillId="0" borderId="0" xfId="0" applyNumberFormat="1" applyFont="1"/>
    <xf numFmtId="176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6" fontId="0" fillId="42" borderId="0" xfId="0" applyFill="1" applyAlignment="1">
      <alignment horizontal="center"/>
    </xf>
    <xf numFmtId="172" fontId="51" fillId="42" borderId="0" xfId="44" applyNumberFormat="1" applyFont="1" applyFill="1"/>
    <xf numFmtId="173" fontId="98" fillId="42" borderId="0" xfId="64" applyNumberFormat="1" applyFill="1"/>
    <xf numFmtId="176" fontId="0" fillId="47" borderId="0" xfId="0" applyFont="1" applyFill="1" applyAlignment="1">
      <alignment horizontal="center"/>
    </xf>
    <xf numFmtId="0" fontId="99" fillId="47" borderId="0" xfId="0" applyNumberFormat="1" applyFont="1" applyFill="1" applyBorder="1" applyAlignment="1">
      <alignment horizontal="center" wrapText="1"/>
    </xf>
    <xf numFmtId="176" fontId="0" fillId="0" borderId="0" xfId="0" applyFont="1"/>
    <xf numFmtId="0" fontId="100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80" fillId="0" borderId="0" xfId="50" quotePrefix="1" applyNumberFormat="1" applyFont="1" applyFill="1" applyAlignment="1">
      <alignment horizontal="center"/>
    </xf>
    <xf numFmtId="0" fontId="101" fillId="0" borderId="0" xfId="0" applyNumberFormat="1" applyFont="1" applyAlignment="1">
      <alignment horizontal="left" vertical="center" wrapText="1"/>
    </xf>
    <xf numFmtId="195" fontId="101" fillId="0" borderId="0" xfId="0" applyNumberFormat="1" applyFont="1" applyAlignment="1">
      <alignment horizontal="right" vertical="center" wrapText="1"/>
    </xf>
    <xf numFmtId="0" fontId="34" fillId="48" borderId="0" xfId="0" applyNumberFormat="1" applyFont="1" applyFill="1"/>
    <xf numFmtId="176" fontId="0" fillId="48" borderId="0" xfId="0" applyFill="1"/>
    <xf numFmtId="200" fontId="80" fillId="48" borderId="0" xfId="0" applyNumberFormat="1" applyFont="1" applyFill="1" applyAlignment="1">
      <alignment horizontal="center"/>
    </xf>
    <xf numFmtId="14" fontId="80" fillId="48" borderId="0" xfId="0" applyNumberFormat="1" applyFont="1" applyFill="1" applyAlignment="1">
      <alignment horizontal="center"/>
    </xf>
    <xf numFmtId="2" fontId="80" fillId="48" borderId="0" xfId="0" applyNumberFormat="1" applyFont="1" applyFill="1" applyAlignment="1">
      <alignment horizontal="center"/>
    </xf>
    <xf numFmtId="1" fontId="80" fillId="48" borderId="0" xfId="0" applyNumberFormat="1" applyFont="1" applyFill="1" applyAlignment="1">
      <alignment horizontal="center"/>
    </xf>
    <xf numFmtId="201" fontId="80" fillId="48" borderId="0" xfId="0" applyNumberFormat="1" applyFont="1" applyFill="1" applyAlignment="1">
      <alignment horizontal="center"/>
    </xf>
    <xf numFmtId="176" fontId="0" fillId="42" borderId="0" xfId="0" applyFill="1" applyAlignment="1">
      <alignment horizontal="center"/>
    </xf>
    <xf numFmtId="0" fontId="80" fillId="39" borderId="0" xfId="62" applyFont="1" applyFill="1" applyAlignment="1">
      <alignment horizontal="center"/>
    </xf>
    <xf numFmtId="0" fontId="80" fillId="0" borderId="0" xfId="62" applyFont="1" applyAlignment="1">
      <alignment horizontal="center"/>
    </xf>
    <xf numFmtId="0" fontId="80" fillId="0" borderId="0" xfId="65" applyFont="1" applyAlignment="1">
      <alignment horizontal="center"/>
    </xf>
    <xf numFmtId="0" fontId="80" fillId="0" borderId="44" xfId="65" applyFont="1" applyBorder="1" applyAlignment="1">
      <alignment horizontal="center"/>
    </xf>
    <xf numFmtId="0" fontId="80" fillId="39" borderId="0" xfId="62" applyFont="1" applyFill="1" applyBorder="1" applyAlignment="1">
      <alignment horizontal="center"/>
    </xf>
    <xf numFmtId="0" fontId="80" fillId="0" borderId="0" xfId="62" applyFont="1" applyBorder="1" applyAlignment="1">
      <alignment horizontal="center"/>
    </xf>
    <xf numFmtId="176" fontId="0" fillId="42" borderId="0" xfId="0" applyFill="1" applyAlignment="1">
      <alignment horizontal="center"/>
    </xf>
    <xf numFmtId="176" fontId="0" fillId="42" borderId="0" xfId="0" applyFill="1" applyAlignment="1">
      <alignment horizontal="center"/>
    </xf>
    <xf numFmtId="176" fontId="0" fillId="71" borderId="27" xfId="0" applyFill="1" applyBorder="1" applyAlignment="1">
      <alignment vertical="center" wrapText="1"/>
    </xf>
    <xf numFmtId="176" fontId="0" fillId="72" borderId="0" xfId="0" applyFill="1"/>
    <xf numFmtId="2" fontId="21" fillId="47" borderId="23" xfId="45" applyNumberFormat="1" applyFont="1" applyFill="1" applyBorder="1"/>
    <xf numFmtId="176" fontId="0" fillId="42" borderId="0" xfId="0" applyFill="1" applyAlignment="1">
      <alignment horizontal="center"/>
    </xf>
    <xf numFmtId="176" fontId="22" fillId="0" borderId="0" xfId="0" applyFont="1"/>
    <xf numFmtId="176" fontId="0" fillId="42" borderId="0" xfId="0" applyFill="1" applyAlignment="1">
      <alignment horizontal="center"/>
    </xf>
    <xf numFmtId="0" fontId="101" fillId="0" borderId="0" xfId="59" applyNumberFormat="1" applyFont="1" applyFill="1" applyBorder="1" applyAlignment="1" applyProtection="1">
      <alignment horizontal="left" vertical="center" wrapText="1"/>
    </xf>
    <xf numFmtId="195" fontId="101" fillId="0" borderId="0" xfId="59" applyNumberFormat="1" applyFont="1" applyFill="1" applyBorder="1" applyAlignment="1" applyProtection="1">
      <alignment horizontal="right" vertical="center" wrapText="1"/>
    </xf>
    <xf numFmtId="176" fontId="0" fillId="42" borderId="0" xfId="0" applyFill="1" applyAlignment="1">
      <alignment horizontal="center"/>
    </xf>
    <xf numFmtId="172" fontId="0" fillId="0" borderId="0" xfId="44" applyNumberFormat="1" applyFont="1" applyFill="1" applyAlignment="1">
      <alignment horizontal="center"/>
    </xf>
    <xf numFmtId="14" fontId="62" fillId="52" borderId="0" xfId="0" applyNumberFormat="1" applyFont="1" applyFill="1"/>
    <xf numFmtId="176" fontId="0" fillId="42" borderId="0" xfId="0" applyFill="1" applyAlignment="1">
      <alignment horizontal="center"/>
    </xf>
    <xf numFmtId="0" fontId="2" fillId="0" borderId="0" xfId="543"/>
    <xf numFmtId="0" fontId="90" fillId="39" borderId="0" xfId="543" applyFont="1" applyFill="1" applyAlignment="1">
      <alignment horizontal="center"/>
    </xf>
    <xf numFmtId="0" fontId="80" fillId="0" borderId="0" xfId="543" applyFont="1" applyFill="1" applyAlignment="1">
      <alignment horizontal="center"/>
    </xf>
    <xf numFmtId="0" fontId="80" fillId="0" borderId="0" xfId="50" applyFont="1" applyFill="1" applyAlignment="1">
      <alignment horizontal="center"/>
    </xf>
    <xf numFmtId="0" fontId="88" fillId="0" borderId="0" xfId="543" applyFont="1" applyFill="1" applyAlignment="1">
      <alignment horizontal="center"/>
    </xf>
    <xf numFmtId="0" fontId="90" fillId="39" borderId="0" xfId="543" applyFont="1" applyFill="1" applyBorder="1" applyAlignment="1">
      <alignment horizontal="center"/>
    </xf>
    <xf numFmtId="0" fontId="80" fillId="0" borderId="0" xfId="544" applyFont="1" applyFill="1" applyAlignment="1">
      <alignment horizontal="center"/>
    </xf>
    <xf numFmtId="0" fontId="25" fillId="39" borderId="0" xfId="0" applyNumberFormat="1" applyFont="1" applyFill="1"/>
    <xf numFmtId="176" fontId="0" fillId="42" borderId="0" xfId="0" applyFill="1" applyAlignment="1">
      <alignment horizontal="center"/>
    </xf>
    <xf numFmtId="7" fontId="0" fillId="42" borderId="0" xfId="0" applyNumberFormat="1" applyFill="1" applyAlignment="1">
      <alignment horizontal="center"/>
    </xf>
    <xf numFmtId="166" fontId="110" fillId="42" borderId="0" xfId="44" applyNumberFormat="1" applyFont="1" applyFill="1" applyAlignment="1">
      <alignment horizontal="center"/>
    </xf>
    <xf numFmtId="176" fontId="19" fillId="46" borderId="0" xfId="0" applyFont="1" applyFill="1"/>
    <xf numFmtId="176" fontId="38" fillId="46" borderId="0" xfId="0" applyFont="1" applyFill="1"/>
    <xf numFmtId="176" fontId="90" fillId="39" borderId="0" xfId="0" applyFont="1" applyFill="1" applyAlignment="1">
      <alignment horizontal="center"/>
    </xf>
    <xf numFmtId="0" fontId="80" fillId="0" borderId="0" xfId="50" applyFont="1" applyAlignment="1">
      <alignment horizontal="left"/>
    </xf>
    <xf numFmtId="4" fontId="0" fillId="0" borderId="0" xfId="44" applyNumberFormat="1" applyFont="1"/>
    <xf numFmtId="176" fontId="0" fillId="0" borderId="47" xfId="0" applyBorder="1"/>
    <xf numFmtId="0" fontId="117" fillId="75" borderId="27" xfId="0" applyNumberFormat="1" applyFont="1" applyFill="1" applyBorder="1" applyAlignment="1">
      <alignment horizontal="center" vertical="center"/>
    </xf>
    <xf numFmtId="0" fontId="116" fillId="0" borderId="27" xfId="0" applyNumberFormat="1" applyFont="1" applyBorder="1"/>
    <xf numFmtId="0" fontId="116" fillId="76" borderId="27" xfId="0" applyNumberFormat="1" applyFont="1" applyFill="1" applyBorder="1" applyAlignment="1">
      <alignment horizontal="center"/>
    </xf>
    <xf numFmtId="0" fontId="116" fillId="77" borderId="27" xfId="0" applyNumberFormat="1" applyFont="1" applyFill="1" applyBorder="1" applyAlignment="1">
      <alignment horizontal="center"/>
    </xf>
    <xf numFmtId="0" fontId="116" fillId="78" borderId="27" xfId="0" applyNumberFormat="1" applyFont="1" applyFill="1" applyBorder="1" applyAlignment="1">
      <alignment horizontal="center"/>
    </xf>
    <xf numFmtId="0" fontId="116" fillId="78" borderId="27" xfId="0" applyNumberFormat="1" applyFont="1" applyFill="1" applyBorder="1"/>
    <xf numFmtId="0" fontId="116" fillId="77" borderId="27" xfId="0" applyNumberFormat="1" applyFont="1" applyFill="1" applyBorder="1"/>
    <xf numFmtId="0" fontId="116" fillId="79" borderId="48" xfId="0" applyNumberFormat="1" applyFont="1" applyFill="1" applyBorder="1"/>
    <xf numFmtId="0" fontId="116" fillId="79" borderId="49" xfId="0" applyNumberFormat="1" applyFont="1" applyFill="1" applyBorder="1"/>
    <xf numFmtId="0" fontId="116" fillId="79" borderId="49" xfId="0" applyNumberFormat="1" applyFont="1" applyFill="1" applyBorder="1" applyAlignment="1">
      <alignment horizontal="center"/>
    </xf>
    <xf numFmtId="176" fontId="0" fillId="0" borderId="50" xfId="0" applyBorder="1"/>
    <xf numFmtId="0" fontId="116" fillId="78" borderId="51" xfId="0" applyNumberFormat="1" applyFont="1" applyFill="1" applyBorder="1"/>
    <xf numFmtId="176" fontId="0" fillId="0" borderId="52" xfId="0" applyBorder="1"/>
    <xf numFmtId="0" fontId="116" fillId="77" borderId="51" xfId="0" applyNumberFormat="1" applyFont="1" applyFill="1" applyBorder="1"/>
    <xf numFmtId="0" fontId="116" fillId="76" borderId="53" xfId="0" applyNumberFormat="1" applyFont="1" applyFill="1" applyBorder="1"/>
    <xf numFmtId="0" fontId="116" fillId="76" borderId="54" xfId="0" applyNumberFormat="1" applyFont="1" applyFill="1" applyBorder="1"/>
    <xf numFmtId="0" fontId="116" fillId="76" borderId="54" xfId="0" applyNumberFormat="1" applyFont="1" applyFill="1" applyBorder="1" applyAlignment="1">
      <alignment horizontal="center"/>
    </xf>
    <xf numFmtId="176" fontId="0" fillId="0" borderId="55" xfId="0" applyBorder="1"/>
    <xf numFmtId="9" fontId="39" fillId="54" borderId="0" xfId="43" applyNumberFormat="1" applyFont="1" applyFill="1" applyAlignment="1">
      <alignment horizontal="center"/>
    </xf>
    <xf numFmtId="14" fontId="0" fillId="0" borderId="0" xfId="0" applyNumberFormat="1"/>
    <xf numFmtId="176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2" fontId="14" fillId="36" borderId="0" xfId="0" applyNumberFormat="1" applyFont="1" applyFill="1" applyAlignment="1" applyProtection="1">
      <alignment horizontal="center"/>
    </xf>
    <xf numFmtId="180" fontId="24" fillId="36" borderId="0" xfId="0" applyNumberFormat="1" applyFont="1" applyFill="1" applyAlignment="1" applyProtection="1">
      <alignment horizontal="center"/>
    </xf>
    <xf numFmtId="176" fontId="28" fillId="42" borderId="0" xfId="0" applyFont="1" applyFill="1" applyProtection="1"/>
    <xf numFmtId="0" fontId="28" fillId="42" borderId="0" xfId="0" applyNumberFormat="1" applyFont="1" applyFill="1" applyProtection="1"/>
    <xf numFmtId="172" fontId="39" fillId="39" borderId="0" xfId="44" applyNumberFormat="1" applyFont="1" applyFill="1" applyAlignment="1" applyProtection="1">
      <alignment horizontal="center"/>
    </xf>
    <xf numFmtId="176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6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69" fontId="25" fillId="42" borderId="0" xfId="0" applyNumberFormat="1" applyFont="1" applyFill="1" applyAlignment="1" applyProtection="1">
      <alignment horizontal="center"/>
    </xf>
    <xf numFmtId="170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2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6" fontId="25" fillId="63" borderId="0" xfId="0" applyFont="1" applyFill="1" applyAlignment="1" applyProtection="1">
      <alignment horizontal="center"/>
    </xf>
    <xf numFmtId="176" fontId="25" fillId="0" borderId="0" xfId="0" applyFont="1" applyFill="1" applyAlignment="1" applyProtection="1">
      <alignment horizontal="center"/>
    </xf>
    <xf numFmtId="169" fontId="25" fillId="0" borderId="0" xfId="0" applyNumberFormat="1" applyFont="1" applyFill="1" applyAlignment="1" applyProtection="1">
      <alignment horizontal="center"/>
    </xf>
    <xf numFmtId="170" fontId="25" fillId="0" borderId="0" xfId="43" applyNumberFormat="1" applyFont="1" applyFill="1" applyAlignment="1" applyProtection="1">
      <alignment horizontal="center"/>
    </xf>
    <xf numFmtId="176" fontId="25" fillId="39" borderId="0" xfId="0" applyFont="1" applyFill="1" applyAlignment="1" applyProtection="1">
      <alignment horizontal="center"/>
    </xf>
    <xf numFmtId="169" fontId="25" fillId="39" borderId="0" xfId="0" applyNumberFormat="1" applyFont="1" applyFill="1" applyAlignment="1" applyProtection="1">
      <alignment horizontal="center"/>
    </xf>
    <xf numFmtId="170" fontId="25" fillId="39" borderId="0" xfId="43" applyNumberFormat="1" applyFont="1" applyFill="1" applyAlignment="1" applyProtection="1">
      <alignment horizontal="center"/>
    </xf>
    <xf numFmtId="172" fontId="25" fillId="39" borderId="0" xfId="0" applyNumberFormat="1" applyFont="1" applyFill="1" applyAlignment="1" applyProtection="1">
      <alignment horizontal="center"/>
    </xf>
    <xf numFmtId="172" fontId="25" fillId="42" borderId="0" xfId="44" applyNumberFormat="1" applyFont="1" applyFill="1" applyAlignment="1" applyProtection="1">
      <alignment horizontal="center"/>
    </xf>
    <xf numFmtId="172" fontId="25" fillId="0" borderId="0" xfId="0" applyNumberFormat="1" applyFont="1" applyFill="1" applyAlignment="1" applyProtection="1">
      <alignment horizontal="center"/>
    </xf>
    <xf numFmtId="172" fontId="25" fillId="42" borderId="0" xfId="0" applyNumberFormat="1" applyFont="1" applyFill="1" applyAlignment="1" applyProtection="1">
      <alignment horizontal="center"/>
    </xf>
    <xf numFmtId="172" fontId="25" fillId="39" borderId="0" xfId="44" applyNumberFormat="1" applyFont="1" applyFill="1" applyAlignment="1" applyProtection="1">
      <alignment horizontal="center"/>
    </xf>
    <xf numFmtId="170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4" fontId="25" fillId="42" borderId="0" xfId="0" applyNumberFormat="1" applyFont="1" applyFill="1" applyAlignment="1" applyProtection="1">
      <alignment horizontal="center"/>
    </xf>
    <xf numFmtId="170" fontId="29" fillId="0" borderId="0" xfId="43" applyNumberFormat="1" applyFont="1" applyFill="1" applyAlignment="1" applyProtection="1">
      <alignment horizontal="center"/>
    </xf>
    <xf numFmtId="164" fontId="25" fillId="0" borderId="0" xfId="0" applyNumberFormat="1" applyFont="1" applyFill="1" applyAlignment="1" applyProtection="1">
      <alignment horizontal="center"/>
    </xf>
    <xf numFmtId="170" fontId="29" fillId="39" borderId="0" xfId="43" applyNumberFormat="1" applyFont="1" applyFill="1" applyAlignment="1" applyProtection="1">
      <alignment horizontal="center"/>
    </xf>
    <xf numFmtId="164" fontId="25" fillId="39" borderId="0" xfId="0" applyNumberFormat="1" applyFont="1" applyFill="1" applyAlignment="1" applyProtection="1">
      <alignment horizontal="center"/>
    </xf>
    <xf numFmtId="176" fontId="25" fillId="42" borderId="0" xfId="0" applyFont="1" applyFill="1" applyProtection="1"/>
    <xf numFmtId="176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left"/>
    </xf>
    <xf numFmtId="172" fontId="39" fillId="42" borderId="0" xfId="44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center"/>
    </xf>
    <xf numFmtId="172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6" fontId="27" fillId="33" borderId="0" xfId="26" applyFont="1" applyAlignment="1" applyProtection="1">
      <alignment horizontal="center" vertical="center" wrapText="1"/>
    </xf>
    <xf numFmtId="172" fontId="0" fillId="42" borderId="0" xfId="44" applyNumberFormat="1" applyFont="1" applyFill="1" applyAlignment="1" applyProtection="1">
      <alignment horizontal="center"/>
    </xf>
    <xf numFmtId="178" fontId="0" fillId="42" borderId="0" xfId="44" applyNumberFormat="1" applyFont="1" applyFill="1" applyAlignment="1" applyProtection="1">
      <alignment horizontal="center"/>
    </xf>
    <xf numFmtId="1" fontId="25" fillId="42" borderId="0" xfId="0" applyNumberFormat="1" applyFont="1" applyFill="1" applyAlignment="1" applyProtection="1">
      <alignment horizontal="center"/>
    </xf>
    <xf numFmtId="166" fontId="25" fillId="42" borderId="0" xfId="44" applyNumberFormat="1" applyFont="1" applyFill="1" applyAlignment="1" applyProtection="1">
      <alignment horizontal="center"/>
    </xf>
    <xf numFmtId="171" fontId="25" fillId="42" borderId="0" xfId="43" applyNumberFormat="1" applyFont="1" applyFill="1" applyAlignment="1" applyProtection="1">
      <alignment horizontal="center"/>
    </xf>
    <xf numFmtId="176" fontId="0" fillId="0" borderId="0" xfId="0" applyProtection="1"/>
    <xf numFmtId="164" fontId="25" fillId="58" borderId="0" xfId="0" applyNumberFormat="1" applyFont="1" applyFill="1" applyAlignment="1" applyProtection="1">
      <alignment horizontal="center"/>
    </xf>
    <xf numFmtId="172" fontId="25" fillId="35" borderId="0" xfId="43" applyNumberFormat="1" applyFont="1" applyFill="1" applyAlignment="1" applyProtection="1">
      <alignment horizontal="center"/>
    </xf>
    <xf numFmtId="172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1" fontId="24" fillId="36" borderId="0" xfId="0" applyNumberFormat="1" applyFont="1" applyFill="1" applyAlignment="1" applyProtection="1">
      <alignment horizontal="center"/>
    </xf>
    <xf numFmtId="181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0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0" fontId="25" fillId="42" borderId="0" xfId="43" quotePrefix="1" applyNumberFormat="1" applyFont="1" applyFill="1" applyProtection="1"/>
    <xf numFmtId="43" fontId="25" fillId="50" borderId="0" xfId="0" applyNumberFormat="1" applyFont="1" applyFill="1" applyProtection="1"/>
    <xf numFmtId="0" fontId="34" fillId="39" borderId="0" xfId="43" applyNumberFormat="1" applyFont="1" applyFill="1" applyAlignment="1" applyProtection="1">
      <alignment horizontal="center"/>
    </xf>
    <xf numFmtId="176" fontId="28" fillId="42" borderId="0" xfId="0" applyFont="1" applyFill="1" applyProtection="1">
      <protection locked="0"/>
    </xf>
    <xf numFmtId="176" fontId="25" fillId="42" borderId="0" xfId="0" applyFont="1" applyFill="1" applyAlignment="1" applyProtection="1">
      <alignment horizontal="center"/>
      <protection locked="0"/>
    </xf>
    <xf numFmtId="169" fontId="25" fillId="42" borderId="0" xfId="0" applyNumberFormat="1" applyFont="1" applyFill="1" applyAlignment="1" applyProtection="1">
      <alignment horizontal="center"/>
      <protection locked="0"/>
    </xf>
    <xf numFmtId="170" fontId="25" fillId="42" borderId="0" xfId="43" applyNumberFormat="1" applyFont="1" applyFill="1" applyAlignment="1" applyProtection="1">
      <alignment horizontal="center"/>
      <protection locked="0"/>
    </xf>
    <xf numFmtId="176" fontId="25" fillId="0" borderId="0" xfId="0" applyFont="1" applyFill="1" applyAlignment="1" applyProtection="1">
      <alignment horizontal="center"/>
      <protection locked="0"/>
    </xf>
    <xf numFmtId="176" fontId="25" fillId="39" borderId="0" xfId="0" applyFont="1" applyFill="1" applyAlignment="1" applyProtection="1">
      <alignment horizontal="center"/>
      <protection locked="0"/>
    </xf>
    <xf numFmtId="170" fontId="25" fillId="39" borderId="0" xfId="43" applyNumberFormat="1" applyFont="1" applyFill="1" applyAlignment="1" applyProtection="1">
      <alignment horizontal="center"/>
      <protection locked="0"/>
    </xf>
    <xf numFmtId="176" fontId="25" fillId="42" borderId="0" xfId="0" applyFont="1" applyFill="1" applyProtection="1">
      <protection locked="0"/>
    </xf>
    <xf numFmtId="176" fontId="25" fillId="39" borderId="0" xfId="0" applyFont="1" applyFill="1" applyProtection="1">
      <protection locked="0"/>
    </xf>
    <xf numFmtId="176" fontId="27" fillId="33" borderId="0" xfId="26" applyFont="1" applyAlignment="1" applyProtection="1">
      <alignment horizontal="center" vertical="center" wrapText="1"/>
      <protection locked="0"/>
    </xf>
    <xf numFmtId="176" fontId="0" fillId="0" borderId="0" xfId="0" applyProtection="1">
      <protection locked="0"/>
    </xf>
    <xf numFmtId="181" fontId="24" fillId="36" borderId="0" xfId="0" applyNumberFormat="1" applyFont="1" applyFill="1" applyAlignment="1" applyProtection="1">
      <alignment horizontal="center"/>
      <protection locked="0"/>
    </xf>
    <xf numFmtId="176" fontId="25" fillId="42" borderId="0" xfId="0" quotePrefix="1" applyFont="1" applyFill="1" applyProtection="1">
      <protection locked="0"/>
    </xf>
    <xf numFmtId="176" fontId="22" fillId="42" borderId="0" xfId="0" applyFont="1" applyFill="1" applyAlignment="1" applyProtection="1">
      <alignment horizontal="left"/>
      <protection locked="0"/>
    </xf>
    <xf numFmtId="176" fontId="26" fillId="33" borderId="0" xfId="26" applyFont="1" applyAlignment="1" applyProtection="1">
      <alignment horizontal="center" vertical="center" wrapText="1"/>
      <protection locked="0"/>
    </xf>
    <xf numFmtId="176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79" fontId="43" fillId="33" borderId="0" xfId="26" applyNumberFormat="1" applyFont="1" applyAlignment="1" applyProtection="1">
      <alignment horizontal="center" vertical="center" wrapText="1"/>
      <protection locked="0"/>
    </xf>
    <xf numFmtId="179" fontId="26" fillId="33" borderId="0" xfId="26" applyNumberFormat="1" applyFont="1" applyAlignment="1" applyProtection="1">
      <alignment horizontal="center" vertical="center" wrapText="1"/>
      <protection locked="0"/>
    </xf>
    <xf numFmtId="176" fontId="108" fillId="33" borderId="0" xfId="26" applyFont="1" applyAlignment="1" applyProtection="1">
      <alignment horizontal="center" vertical="center" wrapText="1"/>
      <protection locked="0"/>
    </xf>
    <xf numFmtId="176" fontId="26" fillId="33" borderId="0" xfId="26" applyFont="1" applyAlignment="1" applyProtection="1">
      <alignment horizontal="left" vertical="center" wrapText="1"/>
      <protection locked="0"/>
    </xf>
    <xf numFmtId="176" fontId="24" fillId="36" borderId="0" xfId="0" applyFont="1" applyFill="1" applyProtection="1">
      <protection locked="0"/>
    </xf>
    <xf numFmtId="176" fontId="24" fillId="36" borderId="0" xfId="0" applyFont="1" applyFill="1" applyAlignment="1" applyProtection="1">
      <alignment horizontal="center"/>
      <protection locked="0"/>
    </xf>
    <xf numFmtId="176" fontId="27" fillId="33" borderId="21" xfId="26" applyFont="1" applyBorder="1" applyAlignment="1" applyProtection="1">
      <alignment horizontal="center" vertical="center" wrapText="1"/>
      <protection locked="0"/>
    </xf>
    <xf numFmtId="176" fontId="26" fillId="42" borderId="0" xfId="26" applyFont="1" applyFill="1" applyAlignment="1" applyProtection="1">
      <alignment horizontal="center" vertical="center" wrapText="1"/>
      <protection locked="0"/>
    </xf>
    <xf numFmtId="176" fontId="39" fillId="39" borderId="0" xfId="0" applyFont="1" applyFill="1" applyAlignment="1" applyProtection="1">
      <alignment horizontal="left"/>
      <protection locked="0"/>
    </xf>
    <xf numFmtId="176" fontId="39" fillId="39" borderId="0" xfId="0" applyFont="1" applyFill="1" applyAlignment="1" applyProtection="1">
      <alignment horizontal="center"/>
      <protection locked="0"/>
    </xf>
    <xf numFmtId="176" fontId="25" fillId="0" borderId="0" xfId="0" applyFont="1" applyFill="1" applyProtection="1">
      <protection locked="0"/>
    </xf>
    <xf numFmtId="176" fontId="78" fillId="42" borderId="0" xfId="0" applyFont="1" applyFill="1" applyAlignment="1" applyProtection="1">
      <alignment horizontal="center"/>
      <protection locked="0"/>
    </xf>
    <xf numFmtId="176" fontId="78" fillId="0" borderId="11" xfId="0" applyFont="1" applyFill="1" applyBorder="1" applyAlignment="1" applyProtection="1">
      <alignment horizontal="center"/>
      <protection locked="0"/>
    </xf>
    <xf numFmtId="1" fontId="78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6" fontId="39" fillId="42" borderId="0" xfId="0" applyFont="1" applyFill="1" applyAlignment="1" applyProtection="1">
      <alignment horizontal="left"/>
      <protection locked="0"/>
    </xf>
    <xf numFmtId="176" fontId="78" fillId="42" borderId="11" xfId="0" applyFont="1" applyFill="1" applyBorder="1" applyAlignment="1" applyProtection="1">
      <alignment horizontal="center"/>
      <protection locked="0"/>
    </xf>
    <xf numFmtId="176" fontId="14" fillId="42" borderId="0" xfId="0" applyFont="1" applyFill="1" applyProtection="1">
      <protection locked="0"/>
    </xf>
    <xf numFmtId="176" fontId="28" fillId="50" borderId="0" xfId="0" applyFont="1" applyFill="1" applyProtection="1">
      <protection locked="0"/>
    </xf>
    <xf numFmtId="176" fontId="25" fillId="0" borderId="0" xfId="0" applyFont="1" applyAlignment="1" applyProtection="1">
      <alignment horizontal="center"/>
      <protection locked="0"/>
    </xf>
    <xf numFmtId="176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9" fontId="35" fillId="39" borderId="11" xfId="43" applyFont="1" applyFill="1" applyBorder="1" applyAlignment="1" applyProtection="1">
      <alignment horizontal="center"/>
      <protection locked="0"/>
    </xf>
    <xf numFmtId="9" fontId="28" fillId="39" borderId="11" xfId="43" applyFont="1" applyFill="1" applyBorder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6" fontId="24" fillId="36" borderId="11" xfId="0" applyFont="1" applyFill="1" applyBorder="1" applyProtection="1">
      <protection locked="0"/>
    </xf>
    <xf numFmtId="176" fontId="42" fillId="42" borderId="0" xfId="0" applyFont="1" applyFill="1" applyAlignment="1" applyProtection="1">
      <alignment horizontal="left" vertical="center" wrapText="1"/>
      <protection locked="0"/>
    </xf>
    <xf numFmtId="43" fontId="28" fillId="49" borderId="20" xfId="0" quotePrefix="1" applyNumberFormat="1" applyFont="1" applyFill="1" applyBorder="1" applyProtection="1">
      <protection locked="0"/>
    </xf>
    <xf numFmtId="176" fontId="28" fillId="49" borderId="20" xfId="0" quotePrefix="1" applyFont="1" applyFill="1" applyBorder="1" applyAlignment="1" applyProtection="1">
      <alignment horizontal="center"/>
      <protection locked="0"/>
    </xf>
    <xf numFmtId="170" fontId="0" fillId="0" borderId="0" xfId="0" applyNumberFormat="1" applyFill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176" fontId="0" fillId="0" borderId="0" xfId="0" pivotButton="1" applyProtection="1">
      <protection locked="0"/>
    </xf>
    <xf numFmtId="176" fontId="0" fillId="0" borderId="0" xfId="0" applyFill="1" applyAlignment="1" applyProtection="1">
      <alignment horizontal="left"/>
      <protection locked="0"/>
    </xf>
    <xf numFmtId="176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6" fontId="18" fillId="42" borderId="0" xfId="0" applyFont="1" applyFill="1" applyAlignment="1" applyProtection="1">
      <alignment horizontal="right"/>
      <protection locked="0"/>
    </xf>
    <xf numFmtId="176" fontId="86" fillId="65" borderId="0" xfId="0" applyFont="1" applyFill="1" applyProtection="1">
      <protection locked="0"/>
    </xf>
    <xf numFmtId="176" fontId="14" fillId="44" borderId="14" xfId="0" applyFont="1" applyFill="1" applyBorder="1" applyProtection="1">
      <protection locked="0"/>
    </xf>
    <xf numFmtId="176" fontId="0" fillId="51" borderId="0" xfId="0" applyFill="1" applyProtection="1">
      <protection locked="0"/>
    </xf>
    <xf numFmtId="176" fontId="0" fillId="42" borderId="0" xfId="0" applyFill="1" applyAlignment="1" applyProtection="1">
      <alignment horizontal="left"/>
      <protection locked="0"/>
    </xf>
    <xf numFmtId="176" fontId="17" fillId="42" borderId="16" xfId="0" applyFont="1" applyFill="1" applyBorder="1" applyProtection="1">
      <protection locked="0"/>
    </xf>
    <xf numFmtId="176" fontId="39" fillId="42" borderId="0" xfId="0" applyFont="1" applyFill="1" applyProtection="1">
      <protection locked="0"/>
    </xf>
    <xf numFmtId="176" fontId="45" fillId="42" borderId="0" xfId="0" applyFont="1" applyFill="1" applyProtection="1">
      <protection locked="0"/>
    </xf>
    <xf numFmtId="176" fontId="14" fillId="44" borderId="16" xfId="0" applyFont="1" applyFill="1" applyBorder="1" applyProtection="1">
      <protection locked="0"/>
    </xf>
    <xf numFmtId="176" fontId="50" fillId="42" borderId="0" xfId="0" applyFont="1" applyFill="1" applyProtection="1">
      <protection locked="0"/>
    </xf>
    <xf numFmtId="176" fontId="0" fillId="39" borderId="0" xfId="0" quotePrefix="1" applyFill="1" applyProtection="1">
      <protection locked="0"/>
    </xf>
    <xf numFmtId="170" fontId="0" fillId="42" borderId="0" xfId="43" applyNumberFormat="1" applyFont="1" applyFill="1" applyAlignment="1" applyProtection="1">
      <alignment horizontal="center"/>
      <protection locked="0"/>
    </xf>
    <xf numFmtId="170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6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6" fontId="24" fillId="42" borderId="0" xfId="0" applyFont="1" applyFill="1" applyProtection="1">
      <protection locked="0"/>
    </xf>
    <xf numFmtId="172" fontId="0" fillId="42" borderId="0" xfId="44" quotePrefix="1" applyNumberFormat="1" applyFont="1" applyFill="1" applyProtection="1">
      <protection locked="0"/>
    </xf>
    <xf numFmtId="176" fontId="44" fillId="42" borderId="0" xfId="0" applyFont="1" applyFill="1" applyProtection="1">
      <protection locked="0"/>
    </xf>
    <xf numFmtId="176" fontId="14" fillId="41" borderId="14" xfId="0" applyFont="1" applyFill="1" applyBorder="1" applyProtection="1">
      <protection locked="0"/>
    </xf>
    <xf numFmtId="166" fontId="49" fillId="0" borderId="0" xfId="44" quotePrefix="1" applyNumberFormat="1" applyFont="1" applyProtection="1">
      <protection locked="0"/>
    </xf>
    <xf numFmtId="196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6" fontId="17" fillId="42" borderId="18" xfId="0" applyFont="1" applyFill="1" applyBorder="1" applyProtection="1">
      <protection locked="0"/>
    </xf>
    <xf numFmtId="176" fontId="15" fillId="42" borderId="0" xfId="0" quotePrefix="1" applyFont="1" applyFill="1" applyProtection="1">
      <protection locked="0"/>
    </xf>
    <xf numFmtId="176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6" fontId="0" fillId="42" borderId="18" xfId="0" applyFill="1" applyBorder="1" applyProtection="1">
      <protection locked="0"/>
    </xf>
    <xf numFmtId="190" fontId="0" fillId="42" borderId="0" xfId="44" applyNumberFormat="1" applyFont="1" applyFill="1" applyProtection="1">
      <protection locked="0"/>
    </xf>
    <xf numFmtId="176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0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2" fontId="0" fillId="42" borderId="0" xfId="44" applyNumberFormat="1" applyFont="1" applyFill="1" applyProtection="1">
      <protection locked="0"/>
    </xf>
    <xf numFmtId="170" fontId="0" fillId="42" borderId="0" xfId="43" applyNumberFormat="1" applyFont="1" applyFill="1" applyProtection="1">
      <protection locked="0"/>
    </xf>
    <xf numFmtId="176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0" fontId="0" fillId="42" borderId="0" xfId="0" applyNumberFormat="1" applyFill="1" applyAlignment="1" applyProtection="1">
      <alignment horizontal="center"/>
      <protection locked="0"/>
    </xf>
    <xf numFmtId="170" fontId="0" fillId="42" borderId="0" xfId="0" quotePrefix="1" applyNumberFormat="1" applyFill="1" applyAlignment="1" applyProtection="1">
      <alignment horizontal="center"/>
      <protection locked="0"/>
    </xf>
    <xf numFmtId="172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1" fontId="0" fillId="42" borderId="0" xfId="0" applyNumberFormat="1" applyFill="1" applyProtection="1">
      <protection locked="0"/>
    </xf>
    <xf numFmtId="176" fontId="0" fillId="0" borderId="0" xfId="0" applyFill="1" applyAlignment="1" applyProtection="1">
      <alignment horizontal="center"/>
      <protection locked="0"/>
    </xf>
    <xf numFmtId="167" fontId="0" fillId="42" borderId="0" xfId="44" applyFont="1" applyFill="1" applyProtection="1">
      <protection locked="0"/>
    </xf>
    <xf numFmtId="176" fontId="15" fillId="42" borderId="0" xfId="0" applyFont="1" applyFill="1" applyProtection="1">
      <protection locked="0"/>
    </xf>
    <xf numFmtId="176" fontId="0" fillId="42" borderId="0" xfId="0" applyFont="1" applyFill="1" applyProtection="1">
      <protection locked="0"/>
    </xf>
    <xf numFmtId="185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6" fontId="19" fillId="42" borderId="0" xfId="0" applyFont="1" applyFill="1" applyProtection="1">
      <protection locked="0"/>
    </xf>
    <xf numFmtId="176" fontId="0" fillId="42" borderId="0" xfId="0" applyFill="1" applyAlignment="1" applyProtection="1">
      <alignment horizontal="left" vertical="top" wrapText="1"/>
      <protection locked="0"/>
    </xf>
    <xf numFmtId="172" fontId="39" fillId="42" borderId="0" xfId="44" applyNumberFormat="1" applyFont="1" applyFill="1" applyAlignment="1" applyProtection="1">
      <alignment horizontal="center"/>
      <protection locked="0"/>
    </xf>
    <xf numFmtId="184" fontId="0" fillId="42" borderId="0" xfId="0" applyNumberFormat="1" applyFill="1" applyProtection="1"/>
    <xf numFmtId="166" fontId="86" fillId="65" borderId="0" xfId="44" quotePrefix="1" applyNumberFormat="1" applyFont="1" applyFill="1" applyProtection="1"/>
    <xf numFmtId="176" fontId="0" fillId="42" borderId="0" xfId="0" applyFill="1" applyProtection="1"/>
    <xf numFmtId="193" fontId="0" fillId="42" borderId="0" xfId="0" applyNumberFormat="1" applyFill="1" applyProtection="1"/>
    <xf numFmtId="176" fontId="0" fillId="42" borderId="0" xfId="0" applyFill="1" applyAlignment="1" applyProtection="1">
      <alignment horizontal="center"/>
    </xf>
    <xf numFmtId="171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2" fontId="0" fillId="42" borderId="0" xfId="43" applyNumberFormat="1" applyFont="1" applyFill="1" applyAlignment="1" applyProtection="1">
      <alignment horizontal="center"/>
    </xf>
    <xf numFmtId="170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0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0" fontId="0" fillId="42" borderId="0" xfId="0" applyNumberFormat="1" applyFill="1" applyAlignment="1" applyProtection="1">
      <alignment horizontal="center"/>
    </xf>
    <xf numFmtId="176" fontId="39" fillId="42" borderId="0" xfId="0" applyFont="1" applyFill="1" applyAlignment="1" applyProtection="1">
      <alignment horizontal="center"/>
    </xf>
    <xf numFmtId="176" fontId="0" fillId="0" borderId="0" xfId="0" applyFill="1" applyAlignment="1" applyProtection="1">
      <alignment horizontal="center"/>
    </xf>
    <xf numFmtId="176" fontId="0" fillId="39" borderId="0" xfId="0" applyFont="1" applyFill="1" applyAlignment="1" applyProtection="1">
      <alignment horizontal="center"/>
    </xf>
    <xf numFmtId="172" fontId="17" fillId="42" borderId="19" xfId="44" applyNumberFormat="1" applyFont="1" applyFill="1" applyBorder="1" applyAlignment="1" applyProtection="1">
      <alignment horizontal="center"/>
    </xf>
    <xf numFmtId="170" fontId="2" fillId="42" borderId="19" xfId="43" applyNumberFormat="1" applyFill="1" applyBorder="1" applyAlignment="1" applyProtection="1">
      <alignment horizontal="center"/>
    </xf>
    <xf numFmtId="170" fontId="39" fillId="42" borderId="0" xfId="0" applyNumberFormat="1" applyFont="1" applyFill="1" applyAlignment="1" applyProtection="1">
      <alignment horizontal="center"/>
    </xf>
    <xf numFmtId="170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6" fontId="14" fillId="58" borderId="0" xfId="0" applyFont="1" applyFill="1" applyProtection="1"/>
    <xf numFmtId="172" fontId="0" fillId="42" borderId="0" xfId="0" applyNumberFormat="1" applyFill="1" applyAlignment="1" applyProtection="1">
      <alignment horizontal="center"/>
    </xf>
    <xf numFmtId="176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0" fontId="25" fillId="42" borderId="0" xfId="0" applyNumberFormat="1" applyFont="1" applyFill="1" applyAlignment="1" applyProtection="1">
      <alignment horizontal="center"/>
      <protection locked="0"/>
    </xf>
    <xf numFmtId="176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2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6" fontId="25" fillId="42" borderId="0" xfId="0" applyFont="1" applyFill="1" applyBorder="1" applyProtection="1">
      <protection locked="0"/>
    </xf>
    <xf numFmtId="176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6" fontId="0" fillId="42" borderId="0" xfId="0" applyFill="1" applyBorder="1" applyAlignment="1" applyProtection="1">
      <alignment horizontal="center"/>
      <protection locked="0"/>
    </xf>
    <xf numFmtId="170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6" fontId="25" fillId="42" borderId="0" xfId="0" applyFont="1" applyFill="1" applyBorder="1" applyAlignment="1" applyProtection="1">
      <alignment horizontal="center" vertical="center" wrapText="1"/>
      <protection locked="0"/>
    </xf>
    <xf numFmtId="176" fontId="25" fillId="42" borderId="0" xfId="0" applyFont="1" applyFill="1" applyAlignment="1" applyProtection="1">
      <alignment horizontal="center" vertical="center" wrapText="1"/>
      <protection locked="0"/>
    </xf>
    <xf numFmtId="176" fontId="25" fillId="42" borderId="0" xfId="0" applyFont="1" applyFill="1" applyBorder="1" applyAlignment="1" applyProtection="1">
      <alignment horizontal="center"/>
      <protection locked="0"/>
    </xf>
    <xf numFmtId="172" fontId="25" fillId="42" borderId="0" xfId="44" applyNumberFormat="1" applyFont="1" applyFill="1" applyBorder="1" applyAlignment="1" applyProtection="1">
      <alignment horizontal="left" vertical="top"/>
      <protection locked="0"/>
    </xf>
    <xf numFmtId="176" fontId="0" fillId="42" borderId="0" xfId="0" applyFill="1" applyBorder="1" applyProtection="1">
      <protection locked="0"/>
    </xf>
    <xf numFmtId="176" fontId="28" fillId="55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0" fontId="25" fillId="42" borderId="0" xfId="43" applyNumberFormat="1" applyFont="1" applyFill="1" applyBorder="1" applyAlignment="1" applyProtection="1">
      <alignment horizontal="center"/>
      <protection locked="0"/>
    </xf>
    <xf numFmtId="43" fontId="25" fillId="42" borderId="0" xfId="0" applyNumberFormat="1" applyFont="1" applyFill="1" applyProtection="1">
      <protection locked="0"/>
    </xf>
    <xf numFmtId="176" fontId="25" fillId="0" borderId="0" xfId="0" applyFont="1" applyProtection="1">
      <protection locked="0"/>
    </xf>
    <xf numFmtId="172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6" fillId="0" borderId="0" xfId="0" applyNumberFormat="1" applyFont="1" applyProtection="1">
      <protection locked="0"/>
    </xf>
    <xf numFmtId="172" fontId="25" fillId="42" borderId="0" xfId="44" applyNumberFormat="1" applyFont="1" applyFill="1" applyAlignment="1" applyProtection="1">
      <alignment horizontal="center"/>
      <protection locked="0"/>
    </xf>
    <xf numFmtId="176" fontId="39" fillId="42" borderId="0" xfId="0" applyFont="1" applyFill="1" applyBorder="1" applyAlignment="1" applyProtection="1">
      <alignment horizontal="left"/>
      <protection locked="0"/>
    </xf>
    <xf numFmtId="172" fontId="39" fillId="42" borderId="0" xfId="44" applyNumberFormat="1" applyFont="1" applyFill="1" applyBorder="1" applyAlignment="1" applyProtection="1">
      <alignment horizontal="center"/>
      <protection locked="0"/>
    </xf>
    <xf numFmtId="176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6" fontId="27" fillId="42" borderId="0" xfId="26" applyFont="1" applyFill="1" applyBorder="1" applyAlignment="1" applyProtection="1">
      <alignment horizontal="center" vertical="center" wrapText="1"/>
      <protection locked="0"/>
    </xf>
    <xf numFmtId="176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6" fontId="25" fillId="42" borderId="0" xfId="0" pivotButton="1" applyFont="1" applyFill="1" applyProtection="1">
      <protection locked="0"/>
    </xf>
    <xf numFmtId="176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6" fontId="41" fillId="42" borderId="0" xfId="0" applyFont="1" applyFill="1" applyProtection="1">
      <protection locked="0"/>
    </xf>
    <xf numFmtId="176" fontId="24" fillId="42" borderId="0" xfId="0" applyFont="1" applyFill="1" applyAlignment="1" applyProtection="1">
      <alignment horizontal="center"/>
      <protection locked="0"/>
    </xf>
    <xf numFmtId="169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2" fontId="32" fillId="42" borderId="0" xfId="0" applyNumberFormat="1" applyFont="1" applyFill="1" applyAlignment="1" applyProtection="1">
      <alignment horizontal="center"/>
      <protection locked="0"/>
    </xf>
    <xf numFmtId="172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6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2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0" fontId="29" fillId="42" borderId="0" xfId="43" applyNumberFormat="1" applyFont="1" applyFill="1" applyAlignment="1" applyProtection="1">
      <alignment horizontal="center"/>
      <protection locked="0"/>
    </xf>
    <xf numFmtId="164" fontId="25" fillId="42" borderId="0" xfId="0" applyNumberFormat="1" applyFont="1" applyFill="1" applyAlignment="1" applyProtection="1">
      <alignment horizontal="center"/>
      <protection locked="0"/>
    </xf>
    <xf numFmtId="176" fontId="27" fillId="42" borderId="0" xfId="26" applyFont="1" applyFill="1" applyAlignment="1" applyProtection="1">
      <alignment horizontal="center" vertical="center" wrapText="1"/>
      <protection locked="0"/>
    </xf>
    <xf numFmtId="176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69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2" fontId="0" fillId="0" borderId="0" xfId="44" applyNumberFormat="1" applyFont="1" applyFill="1" applyBorder="1" applyAlignment="1" applyProtection="1">
      <alignment horizontal="center"/>
      <protection locked="0"/>
    </xf>
    <xf numFmtId="176" fontId="0" fillId="0" borderId="0" xfId="0" applyFill="1" applyBorder="1" applyAlignment="1" applyProtection="1">
      <alignment horizontal="center"/>
      <protection locked="0"/>
    </xf>
    <xf numFmtId="176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2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2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69" fontId="25" fillId="39" borderId="0" xfId="0" applyNumberFormat="1" applyFont="1" applyFill="1" applyAlignment="1" applyProtection="1">
      <alignment horizontal="center"/>
      <protection locked="0"/>
    </xf>
    <xf numFmtId="172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2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6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72" fontId="25" fillId="0" borderId="0" xfId="44" applyNumberFormat="1" applyFont="1" applyFill="1" applyAlignment="1" applyProtection="1">
      <alignment horizontal="center"/>
      <protection locked="0"/>
    </xf>
    <xf numFmtId="176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6" fontId="25" fillId="0" borderId="0" xfId="44" applyNumberFormat="1" applyFont="1" applyFill="1" applyAlignment="1" applyProtection="1">
      <alignment horizontal="center"/>
      <protection locked="0"/>
    </xf>
    <xf numFmtId="166" fontId="25" fillId="42" borderId="0" xfId="44" applyNumberFormat="1" applyFont="1" applyFill="1" applyAlignment="1" applyProtection="1">
      <alignment horizontal="center"/>
      <protection locked="0"/>
    </xf>
    <xf numFmtId="169" fontId="28" fillId="42" borderId="0" xfId="0" applyNumberFormat="1" applyFont="1" applyFill="1" applyAlignment="1" applyProtection="1">
      <alignment horizontal="center"/>
      <protection locked="0"/>
    </xf>
    <xf numFmtId="171" fontId="25" fillId="42" borderId="0" xfId="0" applyNumberFormat="1" applyFont="1" applyFill="1" applyAlignment="1" applyProtection="1">
      <alignment horizontal="center"/>
      <protection locked="0"/>
    </xf>
    <xf numFmtId="176" fontId="25" fillId="42" borderId="11" xfId="0" applyFont="1" applyFill="1" applyBorder="1" applyAlignment="1" applyProtection="1">
      <alignment horizontal="center"/>
      <protection locked="0"/>
    </xf>
    <xf numFmtId="0" fontId="25" fillId="42" borderId="32" xfId="0" applyNumberFormat="1" applyFont="1" applyFill="1" applyBorder="1" applyAlignment="1" applyProtection="1">
      <alignment horizontal="center"/>
      <protection locked="0"/>
    </xf>
    <xf numFmtId="176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69" fontId="25" fillId="42" borderId="11" xfId="0" applyNumberFormat="1" applyFont="1" applyFill="1" applyBorder="1" applyAlignment="1" applyProtection="1">
      <alignment horizontal="center"/>
      <protection locked="0"/>
    </xf>
    <xf numFmtId="170" fontId="25" fillId="42" borderId="11" xfId="43" applyNumberFormat="1" applyFont="1" applyFill="1" applyBorder="1" applyAlignment="1" applyProtection="1">
      <alignment horizontal="center"/>
      <protection locked="0"/>
    </xf>
    <xf numFmtId="172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6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0" fontId="29" fillId="42" borderId="11" xfId="43" applyNumberFormat="1" applyFont="1" applyFill="1" applyBorder="1" applyAlignment="1" applyProtection="1">
      <alignment horizontal="center"/>
      <protection locked="0"/>
    </xf>
    <xf numFmtId="171" fontId="25" fillId="42" borderId="11" xfId="43" applyNumberFormat="1" applyFont="1" applyFill="1" applyBorder="1" applyAlignment="1" applyProtection="1">
      <alignment horizontal="center"/>
      <protection locked="0"/>
    </xf>
    <xf numFmtId="164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69" fontId="25" fillId="42" borderId="0" xfId="43" applyNumberFormat="1" applyFont="1" applyFill="1" applyAlignment="1" applyProtection="1">
      <alignment horizontal="center"/>
      <protection locked="0"/>
    </xf>
    <xf numFmtId="166" fontId="25" fillId="39" borderId="0" xfId="44" applyNumberFormat="1" applyFont="1" applyFill="1" applyAlignment="1" applyProtection="1">
      <alignment horizontal="center"/>
      <protection locked="0"/>
    </xf>
    <xf numFmtId="164" fontId="25" fillId="58" borderId="0" xfId="0" applyNumberFormat="1" applyFont="1" applyFill="1" applyAlignment="1" applyProtection="1">
      <alignment horizontal="center"/>
      <protection locked="0"/>
    </xf>
    <xf numFmtId="176" fontId="25" fillId="35" borderId="0" xfId="0" applyFont="1" applyFill="1" applyAlignment="1" applyProtection="1">
      <alignment horizontal="center"/>
      <protection locked="0"/>
    </xf>
    <xf numFmtId="176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4" fontId="25" fillId="42" borderId="0" xfId="43" applyNumberFormat="1" applyFont="1" applyFill="1" applyAlignment="1" applyProtection="1">
      <alignment horizontal="center"/>
      <protection locked="0"/>
    </xf>
    <xf numFmtId="170" fontId="21" fillId="42" borderId="0" xfId="43" applyNumberFormat="1" applyFont="1" applyFill="1" applyAlignment="1" applyProtection="1">
      <alignment horizontal="center"/>
      <protection locked="0"/>
    </xf>
    <xf numFmtId="176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6" fontId="32" fillId="42" borderId="0" xfId="0" quotePrefix="1" applyFont="1" applyFill="1" applyAlignment="1" applyProtection="1">
      <alignment horizontal="left"/>
      <protection locked="0"/>
    </xf>
    <xf numFmtId="176" fontId="74" fillId="42" borderId="0" xfId="0" applyFont="1" applyFill="1" applyAlignment="1" applyProtection="1">
      <alignment horizontal="center"/>
      <protection locked="0"/>
    </xf>
    <xf numFmtId="176" fontId="24" fillId="36" borderId="11" xfId="0" applyFont="1" applyFill="1" applyBorder="1" applyAlignment="1" applyProtection="1">
      <alignment horizontal="center"/>
      <protection locked="0"/>
    </xf>
    <xf numFmtId="9" fontId="25" fillId="42" borderId="0" xfId="43" applyFont="1" applyFill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48" borderId="11" xfId="0" applyNumberFormat="1" applyFont="1" applyFill="1" applyBorder="1" applyAlignment="1" applyProtection="1">
      <alignment horizontal="center"/>
      <protection locked="0"/>
    </xf>
    <xf numFmtId="0" fontId="0" fillId="42" borderId="0" xfId="0" applyNumberFormat="1" applyFill="1" applyAlignment="1" applyProtection="1">
      <alignment horizontal="left"/>
      <protection locked="0"/>
    </xf>
    <xf numFmtId="0" fontId="34" fillId="39" borderId="0" xfId="0" applyNumberFormat="1" applyFont="1" applyFill="1" applyProtection="1">
      <protection locked="0"/>
    </xf>
    <xf numFmtId="0" fontId="34" fillId="39" borderId="0" xfId="43" applyNumberFormat="1" applyFont="1" applyFill="1" applyAlignment="1" applyProtection="1">
      <alignment horizontal="center"/>
      <protection locked="0"/>
    </xf>
    <xf numFmtId="0" fontId="21" fillId="39" borderId="0" xfId="0" applyNumberFormat="1" applyFont="1" applyFill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6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7" fontId="25" fillId="42" borderId="0" xfId="0" applyNumberFormat="1" applyFont="1" applyFill="1" applyProtection="1">
      <protection locked="0"/>
    </xf>
    <xf numFmtId="176" fontId="28" fillId="0" borderId="0" xfId="0" applyFont="1" applyFill="1" applyProtection="1">
      <protection locked="0"/>
    </xf>
    <xf numFmtId="176" fontId="21" fillId="42" borderId="0" xfId="0" applyFont="1" applyFill="1" applyProtection="1">
      <protection locked="0"/>
    </xf>
    <xf numFmtId="176" fontId="28" fillId="0" borderId="0" xfId="0" applyFont="1" applyFill="1" applyAlignment="1" applyProtection="1">
      <alignment horizontal="center"/>
      <protection locked="0"/>
    </xf>
    <xf numFmtId="176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7" fontId="25" fillId="0" borderId="0" xfId="0" applyNumberFormat="1" applyFont="1" applyFill="1" applyProtection="1">
      <protection locked="0"/>
    </xf>
    <xf numFmtId="176" fontId="54" fillId="40" borderId="24" xfId="26" applyFont="1" applyFill="1" applyBorder="1" applyAlignment="1" applyProtection="1">
      <alignment horizontal="center" vertical="center" wrapText="1"/>
      <protection locked="0"/>
    </xf>
    <xf numFmtId="176" fontId="54" fillId="40" borderId="23" xfId="26" applyFont="1" applyFill="1" applyBorder="1" applyAlignment="1" applyProtection="1">
      <alignment horizontal="center" vertical="center" wrapText="1"/>
      <protection locked="0"/>
    </xf>
    <xf numFmtId="176" fontId="30" fillId="40" borderId="23" xfId="26" applyFont="1" applyFill="1" applyBorder="1" applyAlignment="1" applyProtection="1">
      <alignment vertical="center" wrapText="1"/>
      <protection locked="0"/>
    </xf>
    <xf numFmtId="176" fontId="26" fillId="40" borderId="23" xfId="26" applyFont="1" applyFill="1" applyBorder="1" applyAlignment="1" applyProtection="1">
      <alignment horizontal="center" vertical="center" wrapText="1"/>
      <protection locked="0"/>
    </xf>
    <xf numFmtId="176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6" fontId="31" fillId="40" borderId="25" xfId="26" applyFont="1" applyFill="1" applyBorder="1" applyAlignment="1" applyProtection="1">
      <alignment horizontal="center" vertical="center" wrapText="1"/>
      <protection locked="0"/>
    </xf>
    <xf numFmtId="176" fontId="31" fillId="0" borderId="25" xfId="26" applyFont="1" applyFill="1" applyBorder="1" applyAlignment="1" applyProtection="1">
      <alignment horizontal="center" vertical="center" wrapText="1"/>
      <protection locked="0"/>
    </xf>
    <xf numFmtId="176" fontId="31" fillId="40" borderId="0" xfId="26" applyFont="1" applyFill="1" applyBorder="1" applyAlignment="1" applyProtection="1">
      <alignment horizontal="center" vertical="center" wrapText="1"/>
      <protection locked="0"/>
    </xf>
    <xf numFmtId="176" fontId="87" fillId="66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6" fontId="21" fillId="42" borderId="23" xfId="45" applyFont="1" applyFill="1" applyBorder="1" applyAlignment="1" applyProtection="1">
      <alignment horizontal="center"/>
      <protection locked="0"/>
    </xf>
    <xf numFmtId="176" fontId="25" fillId="0" borderId="23" xfId="0" applyFont="1" applyFill="1" applyBorder="1" applyAlignment="1" applyProtection="1">
      <alignment horizontal="center"/>
      <protection locked="0"/>
    </xf>
    <xf numFmtId="176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7" fontId="25" fillId="42" borderId="0" xfId="44" applyNumberFormat="1" applyFont="1" applyFill="1" applyAlignment="1" applyProtection="1">
      <alignment horizontal="center"/>
      <protection locked="0"/>
    </xf>
    <xf numFmtId="172" fontId="32" fillId="42" borderId="23" xfId="44" applyNumberFormat="1" applyFont="1" applyFill="1" applyBorder="1" applyAlignment="1" applyProtection="1">
      <alignment horizontal="center"/>
      <protection locked="0"/>
    </xf>
    <xf numFmtId="172" fontId="25" fillId="42" borderId="23" xfId="44" applyNumberFormat="1" applyFont="1" applyFill="1" applyBorder="1" applyProtection="1">
      <protection locked="0"/>
    </xf>
    <xf numFmtId="164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7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7" fontId="40" fillId="0" borderId="0" xfId="26" applyNumberFormat="1" applyFont="1" applyFill="1" applyAlignment="1" applyProtection="1">
      <alignment horizontal="center" vertical="center" wrapText="1"/>
      <protection locked="0"/>
    </xf>
    <xf numFmtId="177" fontId="77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3" xfId="45" applyNumberFormat="1" applyFont="1" applyFill="1" applyBorder="1" applyProtection="1">
      <protection locked="0"/>
    </xf>
    <xf numFmtId="176" fontId="25" fillId="42" borderId="33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7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3" xfId="45" applyNumberFormat="1" applyFont="1" applyFill="1" applyBorder="1" applyAlignment="1" applyProtection="1">
      <alignment horizontal="center"/>
      <protection locked="0"/>
    </xf>
    <xf numFmtId="176" fontId="21" fillId="42" borderId="33" xfId="45" applyFont="1" applyFill="1" applyBorder="1" applyAlignment="1" applyProtection="1">
      <alignment horizontal="center"/>
      <protection locked="0"/>
    </xf>
    <xf numFmtId="187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6" fontId="21" fillId="42" borderId="0" xfId="45" applyFont="1" applyFill="1" applyBorder="1" applyAlignment="1" applyProtection="1">
      <alignment horizontal="center"/>
      <protection locked="0"/>
    </xf>
    <xf numFmtId="177" fontId="25" fillId="39" borderId="0" xfId="44" applyNumberFormat="1" applyFont="1" applyFill="1" applyAlignment="1" applyProtection="1">
      <alignment horizontal="center"/>
      <protection locked="0"/>
    </xf>
    <xf numFmtId="176" fontId="21" fillId="42" borderId="11" xfId="45" applyFont="1" applyFill="1" applyBorder="1" applyAlignment="1" applyProtection="1">
      <alignment horizontal="center"/>
      <protection locked="0"/>
    </xf>
    <xf numFmtId="187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60" borderId="23" xfId="45" applyNumberFormat="1" applyFont="1" applyFill="1" applyBorder="1" applyProtection="1">
      <protection locked="0"/>
    </xf>
    <xf numFmtId="2" fontId="21" fillId="61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6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7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7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6" fontId="25" fillId="0" borderId="0" xfId="0" applyFont="1" applyBorder="1" applyProtection="1">
      <protection locked="0"/>
    </xf>
    <xf numFmtId="187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80" fillId="0" borderId="0" xfId="0" applyNumberFormat="1" applyFont="1" applyAlignment="1" applyProtection="1">
      <alignment horizontal="center"/>
      <protection locked="0"/>
    </xf>
    <xf numFmtId="1" fontId="80" fillId="42" borderId="0" xfId="0" applyNumberFormat="1" applyFont="1" applyFill="1" applyAlignment="1" applyProtection="1">
      <alignment horizontal="center"/>
      <protection locked="0"/>
    </xf>
    <xf numFmtId="172" fontId="25" fillId="0" borderId="23" xfId="44" applyNumberFormat="1" applyFont="1" applyFill="1" applyBorder="1" applyProtection="1">
      <protection locked="0"/>
    </xf>
    <xf numFmtId="187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7" fontId="25" fillId="0" borderId="0" xfId="44" applyNumberFormat="1" applyFont="1" applyFill="1" applyAlignment="1" applyProtection="1">
      <alignment horizontal="center"/>
      <protection locked="0"/>
    </xf>
    <xf numFmtId="176" fontId="21" fillId="0" borderId="0" xfId="0" applyFont="1" applyAlignment="1" applyProtection="1">
      <alignment horizontal="center"/>
      <protection locked="0"/>
    </xf>
    <xf numFmtId="176" fontId="25" fillId="39" borderId="23" xfId="0" applyFont="1" applyFill="1" applyBorder="1" applyAlignment="1" applyProtection="1">
      <alignment horizontal="center"/>
      <protection locked="0"/>
    </xf>
    <xf numFmtId="187" fontId="81" fillId="42" borderId="0" xfId="26" applyNumberFormat="1" applyFont="1" applyFill="1" applyAlignment="1" applyProtection="1">
      <alignment horizontal="center" vertical="center" wrapText="1"/>
      <protection locked="0"/>
    </xf>
    <xf numFmtId="172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6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6" fontId="32" fillId="42" borderId="0" xfId="0" applyFont="1" applyFill="1" applyAlignment="1" applyProtection="1">
      <alignment horizontal="center"/>
      <protection locked="0"/>
    </xf>
    <xf numFmtId="176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95" fillId="42" borderId="0" xfId="0" applyNumberFormat="1" applyFont="1" applyFill="1" applyAlignment="1" applyProtection="1">
      <alignment horizontal="center"/>
      <protection locked="0"/>
    </xf>
    <xf numFmtId="177" fontId="32" fillId="42" borderId="0" xfId="44" applyNumberFormat="1" applyFont="1" applyFill="1" applyAlignment="1" applyProtection="1">
      <alignment horizontal="center"/>
      <protection locked="0"/>
    </xf>
    <xf numFmtId="177" fontId="32" fillId="0" borderId="0" xfId="44" applyNumberFormat="1" applyFont="1" applyFill="1" applyAlignment="1" applyProtection="1">
      <alignment horizontal="center"/>
      <protection locked="0"/>
    </xf>
    <xf numFmtId="172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6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4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6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8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6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7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6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6" fontId="25" fillId="48" borderId="0" xfId="0" applyFont="1" applyFill="1" applyAlignment="1" applyProtection="1">
      <alignment horizontal="center"/>
      <protection locked="0"/>
    </xf>
    <xf numFmtId="176" fontId="25" fillId="48" borderId="0" xfId="0" applyFont="1" applyFill="1" applyProtection="1">
      <protection locked="0"/>
    </xf>
    <xf numFmtId="176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7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7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7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96" fillId="0" borderId="0" xfId="0" applyNumberFormat="1" applyFont="1" applyFill="1" applyProtection="1">
      <protection locked="0"/>
    </xf>
    <xf numFmtId="176" fontId="97" fillId="0" borderId="0" xfId="0" applyFont="1" applyFill="1" applyAlignment="1" applyProtection="1">
      <alignment horizontal="center"/>
      <protection locked="0"/>
    </xf>
    <xf numFmtId="164" fontId="41" fillId="0" borderId="0" xfId="44" applyNumberFormat="1" applyFont="1" applyFill="1" applyAlignment="1" applyProtection="1">
      <alignment horizontal="center"/>
      <protection locked="0"/>
    </xf>
    <xf numFmtId="176" fontId="25" fillId="0" borderId="11" xfId="0" applyFont="1" applyFill="1" applyBorder="1" applyAlignment="1" applyProtection="1">
      <alignment horizontal="center"/>
      <protection locked="0"/>
    </xf>
    <xf numFmtId="176" fontId="21" fillId="0" borderId="0" xfId="0" applyFont="1" applyFill="1" applyProtection="1">
      <protection locked="0"/>
    </xf>
    <xf numFmtId="176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7" fontId="21" fillId="0" borderId="0" xfId="0" applyNumberFormat="1" applyFont="1" applyFill="1" applyProtection="1">
      <protection locked="0"/>
    </xf>
    <xf numFmtId="0" fontId="34" fillId="70" borderId="0" xfId="0" applyNumberFormat="1" applyFont="1" applyFill="1" applyProtection="1">
      <protection locked="0"/>
    </xf>
    <xf numFmtId="176" fontId="21" fillId="70" borderId="0" xfId="0" applyFont="1" applyFill="1" applyAlignment="1" applyProtection="1">
      <alignment horizontal="center"/>
      <protection locked="0"/>
    </xf>
    <xf numFmtId="2" fontId="21" fillId="70" borderId="23" xfId="45" applyNumberFormat="1" applyFont="1" applyFill="1" applyBorder="1" applyProtection="1">
      <protection locked="0"/>
    </xf>
    <xf numFmtId="176" fontId="25" fillId="70" borderId="0" xfId="0" applyFont="1" applyFill="1" applyAlignment="1" applyProtection="1">
      <alignment horizontal="center"/>
      <protection locked="0"/>
    </xf>
    <xf numFmtId="176" fontId="25" fillId="70" borderId="0" xfId="0" applyFont="1" applyFill="1" applyProtection="1">
      <protection locked="0"/>
    </xf>
    <xf numFmtId="176" fontId="25" fillId="70" borderId="23" xfId="0" applyFont="1" applyFill="1" applyBorder="1" applyAlignment="1" applyProtection="1">
      <alignment horizontal="center"/>
      <protection locked="0"/>
    </xf>
    <xf numFmtId="2" fontId="21" fillId="70" borderId="0" xfId="0" applyNumberFormat="1" applyFont="1" applyFill="1" applyAlignment="1" applyProtection="1">
      <alignment horizontal="center"/>
      <protection locked="0"/>
    </xf>
    <xf numFmtId="2" fontId="25" fillId="70" borderId="0" xfId="0" applyNumberFormat="1" applyFont="1" applyFill="1" applyProtection="1">
      <protection locked="0"/>
    </xf>
    <xf numFmtId="2" fontId="25" fillId="70" borderId="0" xfId="0" applyNumberFormat="1" applyFont="1" applyFill="1" applyAlignment="1" applyProtection="1">
      <alignment horizontal="center"/>
      <protection locked="0"/>
    </xf>
    <xf numFmtId="187" fontId="25" fillId="70" borderId="0" xfId="0" applyNumberFormat="1" applyFont="1" applyFill="1" applyProtection="1">
      <protection locked="0"/>
    </xf>
    <xf numFmtId="176" fontId="28" fillId="0" borderId="23" xfId="0" applyFont="1" applyFill="1" applyBorder="1" applyAlignment="1" applyProtection="1">
      <alignment horizontal="center"/>
      <protection locked="0"/>
    </xf>
    <xf numFmtId="176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6" fontId="111" fillId="73" borderId="46" xfId="0" applyFont="1" applyFill="1" applyBorder="1" applyAlignment="1" applyProtection="1">
      <alignment horizontal="center"/>
      <protection locked="0"/>
    </xf>
    <xf numFmtId="0" fontId="111" fillId="0" borderId="0" xfId="0" applyNumberFormat="1" applyFont="1" applyProtection="1">
      <protection locked="0"/>
    </xf>
    <xf numFmtId="176" fontId="112" fillId="0" borderId="0" xfId="0" applyFont="1" applyAlignment="1" applyProtection="1">
      <alignment horizontal="center"/>
      <protection locked="0"/>
    </xf>
    <xf numFmtId="2" fontId="112" fillId="0" borderId="0" xfId="45" applyNumberFormat="1" applyFont="1" applyProtection="1">
      <protection locked="0"/>
    </xf>
    <xf numFmtId="176" fontId="112" fillId="73" borderId="46" xfId="45" applyFont="1" applyFill="1" applyBorder="1" applyAlignment="1" applyProtection="1">
      <alignment horizontal="center"/>
      <protection locked="0"/>
    </xf>
    <xf numFmtId="176" fontId="111" fillId="0" borderId="0" xfId="0" applyFont="1" applyAlignment="1" applyProtection="1">
      <alignment horizontal="center"/>
      <protection locked="0"/>
    </xf>
    <xf numFmtId="176" fontId="111" fillId="0" borderId="0" xfId="0" applyFont="1" applyProtection="1">
      <protection locked="0"/>
    </xf>
    <xf numFmtId="2" fontId="112" fillId="0" borderId="0" xfId="0" applyNumberFormat="1" applyFont="1" applyAlignment="1" applyProtection="1">
      <alignment horizontal="center"/>
      <protection locked="0"/>
    </xf>
    <xf numFmtId="172" fontId="113" fillId="74" borderId="46" xfId="44" applyNumberFormat="1" applyFont="1" applyFill="1" applyBorder="1" applyAlignment="1" applyProtection="1">
      <alignment horizontal="center"/>
      <protection locked="0"/>
    </xf>
    <xf numFmtId="2" fontId="111" fillId="0" borderId="0" xfId="0" applyNumberFormat="1" applyFont="1" applyProtection="1">
      <protection locked="0"/>
    </xf>
    <xf numFmtId="172" fontId="111" fillId="0" borderId="46" xfId="44" applyNumberFormat="1" applyFont="1" applyFill="1" applyBorder="1" applyProtection="1">
      <protection locked="0"/>
    </xf>
    <xf numFmtId="2" fontId="111" fillId="0" borderId="0" xfId="0" applyNumberFormat="1" applyFont="1" applyAlignment="1" applyProtection="1">
      <alignment horizontal="center"/>
      <protection locked="0"/>
    </xf>
    <xf numFmtId="187" fontId="111" fillId="0" borderId="0" xfId="0" applyNumberFormat="1" applyFont="1" applyProtection="1">
      <protection locked="0"/>
    </xf>
    <xf numFmtId="2" fontId="114" fillId="0" borderId="0" xfId="0" applyNumberFormat="1" applyFont="1" applyAlignment="1" applyProtection="1">
      <alignment horizontal="center"/>
      <protection locked="0"/>
    </xf>
    <xf numFmtId="167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6" fontId="25" fillId="0" borderId="0" xfId="0" applyFont="1" applyProtection="1"/>
    <xf numFmtId="0" fontId="25" fillId="0" borderId="0" xfId="0" applyNumberFormat="1" applyFont="1" applyProtection="1"/>
    <xf numFmtId="172" fontId="32" fillId="42" borderId="23" xfId="44" applyNumberFormat="1" applyFont="1" applyFill="1" applyBorder="1" applyAlignment="1" applyProtection="1">
      <alignment horizontal="center"/>
    </xf>
    <xf numFmtId="172" fontId="32" fillId="42" borderId="33" xfId="44" applyNumberFormat="1" applyFont="1" applyFill="1" applyBorder="1" applyAlignment="1" applyProtection="1">
      <alignment horizontal="center"/>
    </xf>
    <xf numFmtId="172" fontId="32" fillId="42" borderId="0" xfId="44" applyNumberFormat="1" applyFont="1" applyFill="1" applyBorder="1" applyAlignment="1" applyProtection="1">
      <alignment horizontal="center"/>
    </xf>
    <xf numFmtId="172" fontId="32" fillId="42" borderId="11" xfId="44" applyNumberFormat="1" applyFont="1" applyFill="1" applyBorder="1" applyAlignment="1" applyProtection="1">
      <alignment horizontal="center"/>
    </xf>
    <xf numFmtId="172" fontId="25" fillId="42" borderId="23" xfId="44" applyNumberFormat="1" applyFont="1" applyFill="1" applyBorder="1" applyProtection="1"/>
    <xf numFmtId="172" fontId="25" fillId="42" borderId="33" xfId="44" applyNumberFormat="1" applyFont="1" applyFill="1" applyBorder="1" applyProtection="1"/>
    <xf numFmtId="172" fontId="25" fillId="42" borderId="0" xfId="44" applyNumberFormat="1" applyFont="1" applyFill="1" applyBorder="1" applyProtection="1"/>
    <xf numFmtId="172" fontId="25" fillId="42" borderId="11" xfId="44" applyNumberFormat="1" applyFont="1" applyFill="1" applyBorder="1" applyProtection="1"/>
    <xf numFmtId="172" fontId="25" fillId="0" borderId="23" xfId="44" applyNumberFormat="1" applyFont="1" applyFill="1" applyBorder="1" applyProtection="1"/>
    <xf numFmtId="164" fontId="32" fillId="42" borderId="0" xfId="44" applyNumberFormat="1" applyFont="1" applyFill="1" applyAlignment="1" applyProtection="1">
      <alignment horizontal="center"/>
    </xf>
    <xf numFmtId="177" fontId="25" fillId="42" borderId="0" xfId="44" applyNumberFormat="1" applyFont="1" applyFill="1" applyAlignment="1" applyProtection="1">
      <alignment horizontal="center"/>
    </xf>
    <xf numFmtId="172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2" fontId="21" fillId="42" borderId="23" xfId="45" applyNumberFormat="1" applyFont="1" applyFill="1" applyBorder="1" applyProtection="1"/>
    <xf numFmtId="2" fontId="21" fillId="42" borderId="33" xfId="45" applyNumberFormat="1" applyFont="1" applyFill="1" applyBorder="1" applyProtection="1"/>
    <xf numFmtId="2" fontId="21" fillId="42" borderId="0" xfId="45" applyNumberFormat="1" applyFont="1" applyFill="1" applyBorder="1" applyProtection="1"/>
    <xf numFmtId="2" fontId="21" fillId="42" borderId="11" xfId="45" applyNumberFormat="1" applyFont="1" applyFill="1" applyBorder="1" applyProtection="1"/>
    <xf numFmtId="2" fontId="32" fillId="42" borderId="0" xfId="45" applyNumberFormat="1" applyFont="1" applyFill="1" applyBorder="1" applyProtection="1"/>
    <xf numFmtId="176" fontId="25" fillId="0" borderId="0" xfId="0" applyFont="1" applyFill="1" applyProtection="1"/>
    <xf numFmtId="176" fontId="25" fillId="48" borderId="0" xfId="0" applyFont="1" applyFill="1" applyProtection="1"/>
    <xf numFmtId="172" fontId="32" fillId="48" borderId="23" xfId="44" applyNumberFormat="1" applyFont="1" applyFill="1" applyBorder="1" applyAlignment="1" applyProtection="1">
      <alignment horizontal="center"/>
    </xf>
    <xf numFmtId="172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4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6" fontId="21" fillId="0" borderId="0" xfId="0" applyFont="1" applyFill="1" applyProtection="1"/>
    <xf numFmtId="164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6" fontId="25" fillId="70" borderId="0" xfId="0" applyFont="1" applyFill="1" applyProtection="1"/>
    <xf numFmtId="0" fontId="25" fillId="70" borderId="0" xfId="0" applyNumberFormat="1" applyFont="1" applyFill="1" applyProtection="1"/>
    <xf numFmtId="2" fontId="21" fillId="0" borderId="0" xfId="45" applyNumberFormat="1" applyFont="1" applyFill="1" applyBorder="1" applyProtection="1"/>
    <xf numFmtId="2" fontId="21" fillId="48" borderId="0" xfId="45" applyNumberFormat="1" applyFont="1" applyFill="1" applyBorder="1" applyProtection="1"/>
    <xf numFmtId="2" fontId="21" fillId="70" borderId="0" xfId="45" applyNumberFormat="1" applyFont="1" applyFill="1" applyBorder="1" applyProtection="1"/>
    <xf numFmtId="164" fontId="41" fillId="70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6" fontId="21" fillId="42" borderId="23" xfId="45" applyFont="1" applyFill="1" applyBorder="1" applyAlignment="1" applyProtection="1">
      <alignment horizontal="center"/>
    </xf>
    <xf numFmtId="176" fontId="25" fillId="42" borderId="23" xfId="0" applyFont="1" applyFill="1" applyBorder="1" applyAlignment="1" applyProtection="1">
      <alignment horizontal="center"/>
    </xf>
    <xf numFmtId="172" fontId="32" fillId="70" borderId="23" xfId="44" applyNumberFormat="1" applyFont="1" applyFill="1" applyBorder="1" applyAlignment="1" applyProtection="1">
      <alignment horizontal="center"/>
    </xf>
    <xf numFmtId="172" fontId="32" fillId="47" borderId="23" xfId="44" applyNumberFormat="1" applyFont="1" applyFill="1" applyBorder="1" applyAlignment="1" applyProtection="1">
      <alignment horizontal="center"/>
    </xf>
    <xf numFmtId="172" fontId="25" fillId="70" borderId="23" xfId="44" applyNumberFormat="1" applyFont="1" applyFill="1" applyBorder="1" applyProtection="1"/>
    <xf numFmtId="2" fontId="28" fillId="70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2" fontId="21" fillId="0" borderId="0" xfId="45" applyNumberFormat="1" applyFont="1" applyProtection="1"/>
    <xf numFmtId="0" fontId="28" fillId="0" borderId="0" xfId="0" applyNumberFormat="1" applyFont="1" applyProtection="1"/>
    <xf numFmtId="2" fontId="21" fillId="42" borderId="0" xfId="45" applyNumberFormat="1" applyFont="1" applyFill="1" applyProtection="1"/>
    <xf numFmtId="185" fontId="25" fillId="42" borderId="0" xfId="0" applyNumberFormat="1" applyFont="1" applyFill="1" applyProtection="1">
      <protection locked="0"/>
    </xf>
    <xf numFmtId="185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7" fontId="25" fillId="42" borderId="0" xfId="44" applyNumberFormat="1" applyFont="1" applyFill="1" applyProtection="1">
      <protection locked="0"/>
    </xf>
    <xf numFmtId="172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6" fontId="26" fillId="40" borderId="24" xfId="26" applyFont="1" applyFill="1" applyBorder="1" applyAlignment="1" applyProtection="1">
      <alignment horizontal="center" vertical="center" wrapText="1"/>
      <protection locked="0"/>
    </xf>
    <xf numFmtId="176" fontId="26" fillId="40" borderId="23" xfId="26" applyFont="1" applyFill="1" applyBorder="1" applyAlignment="1" applyProtection="1">
      <alignment vertical="center" wrapText="1"/>
      <protection locked="0"/>
    </xf>
    <xf numFmtId="177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6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6" fontId="27" fillId="43" borderId="0" xfId="26" applyFont="1" applyFill="1" applyAlignment="1" applyProtection="1">
      <alignment horizontal="center" vertical="center" wrapText="1"/>
      <protection locked="0"/>
    </xf>
    <xf numFmtId="176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6" fontId="107" fillId="0" borderId="0" xfId="0" applyFont="1" applyProtection="1">
      <protection locked="0"/>
    </xf>
    <xf numFmtId="176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7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2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5" fontId="25" fillId="42" borderId="25" xfId="44" applyNumberFormat="1" applyFont="1" applyFill="1" applyBorder="1" applyAlignment="1" applyProtection="1">
      <alignment horizontal="center"/>
      <protection locked="0"/>
    </xf>
    <xf numFmtId="167" fontId="29" fillId="42" borderId="0" xfId="44" applyFont="1" applyFill="1" applyAlignment="1" applyProtection="1">
      <alignment horizontal="center"/>
      <protection locked="0"/>
    </xf>
    <xf numFmtId="172" fontId="29" fillId="42" borderId="0" xfId="44" applyNumberFormat="1" applyFont="1" applyFill="1" applyAlignment="1" applyProtection="1">
      <alignment horizontal="center"/>
      <protection locked="0"/>
    </xf>
    <xf numFmtId="176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5" fontId="25" fillId="42" borderId="25" xfId="0" applyNumberFormat="1" applyFont="1" applyFill="1" applyBorder="1" applyProtection="1">
      <protection locked="0"/>
    </xf>
    <xf numFmtId="185" fontId="25" fillId="0" borderId="0" xfId="0" applyNumberFormat="1" applyFont="1" applyProtection="1">
      <protection locked="0"/>
    </xf>
    <xf numFmtId="176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7" fontId="32" fillId="42" borderId="23" xfId="44" applyNumberFormat="1" applyFont="1" applyFill="1" applyBorder="1" applyAlignment="1" applyProtection="1">
      <alignment horizontal="center"/>
    </xf>
    <xf numFmtId="177" fontId="25" fillId="42" borderId="23" xfId="0" applyNumberFormat="1" applyFont="1" applyFill="1" applyBorder="1" applyAlignment="1" applyProtection="1">
      <alignment horizontal="center"/>
    </xf>
    <xf numFmtId="164" fontId="32" fillId="42" borderId="23" xfId="0" applyNumberFormat="1" applyFont="1" applyFill="1" applyBorder="1" applyAlignment="1" applyProtection="1">
      <alignment horizontal="center"/>
    </xf>
    <xf numFmtId="170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6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0" fontId="0" fillId="42" borderId="0" xfId="0" applyNumberFormat="1" applyFill="1" applyProtection="1">
      <protection locked="0"/>
    </xf>
    <xf numFmtId="166" fontId="86" fillId="65" borderId="0" xfId="44" applyNumberFormat="1" applyFont="1" applyFill="1" applyProtection="1"/>
    <xf numFmtId="176" fontId="0" fillId="42" borderId="0" xfId="0" applyFill="1" applyAlignment="1" applyProtection="1">
      <alignment horizontal="left"/>
    </xf>
    <xf numFmtId="177" fontId="0" fillId="51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6" fontId="94" fillId="42" borderId="0" xfId="0" applyFont="1" applyFill="1" applyProtection="1"/>
    <xf numFmtId="176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1" borderId="0" xfId="0" applyNumberFormat="1" applyFill="1" applyAlignment="1" applyProtection="1">
      <alignment horizontal="center"/>
    </xf>
    <xf numFmtId="172" fontId="0" fillId="51" borderId="0" xfId="44" applyNumberFormat="1" applyFont="1" applyFill="1" applyAlignment="1" applyProtection="1">
      <alignment horizontal="center"/>
    </xf>
    <xf numFmtId="172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3" fontId="0" fillId="42" borderId="0" xfId="44" applyNumberFormat="1" applyFont="1" applyFill="1" applyAlignment="1" applyProtection="1">
      <alignment horizontal="center" vertical="center"/>
    </xf>
    <xf numFmtId="177" fontId="25" fillId="42" borderId="0" xfId="0" applyNumberFormat="1" applyFont="1" applyFill="1" applyAlignment="1" applyProtection="1">
      <alignment horizontal="center"/>
    </xf>
    <xf numFmtId="167" fontId="0" fillId="51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6" fontId="21" fillId="48" borderId="23" xfId="45" applyFont="1" applyFill="1" applyBorder="1" applyAlignment="1" applyProtection="1">
      <alignment horizontal="center"/>
    </xf>
    <xf numFmtId="176" fontId="25" fillId="48" borderId="23" xfId="0" applyFont="1" applyFill="1" applyBorder="1" applyAlignment="1" applyProtection="1">
      <alignment horizontal="center"/>
    </xf>
    <xf numFmtId="164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14" fontId="25" fillId="0" borderId="0" xfId="0" applyNumberFormat="1" applyFont="1"/>
    <xf numFmtId="2" fontId="25" fillId="42" borderId="0" xfId="44" applyNumberFormat="1" applyFont="1" applyFill="1" applyAlignment="1">
      <alignment horizontal="center"/>
    </xf>
    <xf numFmtId="176" fontId="25" fillId="39" borderId="0" xfId="0" applyFont="1" applyFill="1"/>
    <xf numFmtId="176" fontId="25" fillId="39" borderId="0" xfId="0" applyNumberFormat="1" applyFont="1" applyFill="1"/>
    <xf numFmtId="176" fontId="17" fillId="49" borderId="20" xfId="0" applyFont="1" applyFill="1" applyBorder="1"/>
    <xf numFmtId="2" fontId="25" fillId="42" borderId="0" xfId="0" applyNumberFormat="1" applyFont="1" applyFill="1"/>
    <xf numFmtId="202" fontId="25" fillId="42" borderId="0" xfId="0" applyNumberFormat="1" applyFont="1" applyFill="1"/>
    <xf numFmtId="2" fontId="112" fillId="0" borderId="46" xfId="45" applyNumberFormat="1" applyFont="1" applyBorder="1"/>
    <xf numFmtId="176" fontId="112" fillId="73" borderId="46" xfId="45" applyFont="1" applyFill="1" applyBorder="1" applyAlignment="1">
      <alignment horizontal="center"/>
    </xf>
    <xf numFmtId="176" fontId="111" fillId="73" borderId="46" xfId="0" applyFont="1" applyFill="1" applyBorder="1" applyAlignment="1">
      <alignment horizontal="center"/>
    </xf>
    <xf numFmtId="2" fontId="112" fillId="80" borderId="0" xfId="0" applyNumberFormat="1" applyFont="1" applyFill="1" applyAlignment="1" applyProtection="1">
      <alignment horizontal="center"/>
      <protection locked="0"/>
    </xf>
    <xf numFmtId="172" fontId="111" fillId="0" borderId="46" xfId="44" applyNumberFormat="1" applyFont="1" applyFill="1" applyBorder="1" applyProtection="1"/>
    <xf numFmtId="164" fontId="40" fillId="0" borderId="0" xfId="44" applyNumberFormat="1" applyFont="1" applyFill="1" applyBorder="1" applyAlignment="1" applyProtection="1">
      <alignment horizontal="center"/>
    </xf>
    <xf numFmtId="2" fontId="114" fillId="0" borderId="0" xfId="0" applyNumberFormat="1" applyFont="1" applyAlignment="1">
      <alignment horizontal="center"/>
    </xf>
    <xf numFmtId="176" fontId="111" fillId="0" borderId="0" xfId="0" applyFont="1"/>
    <xf numFmtId="0" fontId="111" fillId="0" borderId="0" xfId="0" applyNumberFormat="1" applyFont="1"/>
    <xf numFmtId="176" fontId="0" fillId="54" borderId="0" xfId="49" applyFont="1" applyFill="1" applyAlignment="1">
      <alignment horizontal="center"/>
    </xf>
    <xf numFmtId="195" fontId="25" fillId="39" borderId="0" xfId="49" applyNumberFormat="1" applyFont="1" applyFill="1" applyAlignment="1">
      <alignment horizontal="center"/>
    </xf>
    <xf numFmtId="166" fontId="86" fillId="65" borderId="0" xfId="44" quotePrefix="1" applyNumberFormat="1" applyFont="1" applyFill="1" applyProtection="1">
      <protection locked="0"/>
    </xf>
    <xf numFmtId="176" fontId="0" fillId="42" borderId="0" xfId="0" applyFill="1" applyAlignment="1">
      <alignment horizontal="center"/>
    </xf>
    <xf numFmtId="0" fontId="118" fillId="0" borderId="56" xfId="0" applyNumberFormat="1" applyFont="1" applyBorder="1" applyAlignment="1">
      <alignment horizontal="center" wrapText="1"/>
    </xf>
    <xf numFmtId="0" fontId="118" fillId="0" borderId="56" xfId="59" applyNumberFormat="1" applyFont="1" applyFill="1" applyBorder="1" applyAlignment="1" applyProtection="1">
      <alignment horizontal="center" wrapText="1"/>
    </xf>
    <xf numFmtId="195" fontId="101" fillId="0" borderId="0" xfId="59" applyNumberFormat="1" applyFont="1" applyFill="1" applyBorder="1" applyAlignment="1" applyProtection="1">
      <alignment horizontal="right" vertical="center" wrapText="1"/>
    </xf>
    <xf numFmtId="166" fontId="38" fillId="0" borderId="0" xfId="44" applyNumberFormat="1" applyFont="1" applyFill="1" applyAlignment="1">
      <alignment horizontal="center"/>
    </xf>
    <xf numFmtId="198" fontId="85" fillId="37" borderId="0" xfId="60" applyNumberFormat="1" applyFont="1" applyFill="1" applyAlignment="1">
      <alignment horizontal="center"/>
    </xf>
    <xf numFmtId="176" fontId="33" fillId="38" borderId="0" xfId="0" applyFont="1" applyFill="1" applyAlignment="1">
      <alignment horizontal="center"/>
    </xf>
    <xf numFmtId="176" fontId="115" fillId="0" borderId="0" xfId="0" applyFont="1" applyAlignment="1">
      <alignment horizontal="center" wrapText="1"/>
    </xf>
    <xf numFmtId="176" fontId="0" fillId="42" borderId="0" xfId="0" applyFill="1" applyAlignment="1">
      <alignment horizontal="center"/>
    </xf>
  </cellXfs>
  <cellStyles count="608">
    <cellStyle name="20% - Accent1 2" xfId="67" xr:uid="{C91D2E0A-BFC7-4A95-8D96-C4AE2DB5EAA1}"/>
    <cellStyle name="20% - Accent1 2 2" xfId="513" xr:uid="{F5062E0C-6B0D-4F0C-9960-1310D1879237}"/>
    <cellStyle name="20% - Accent2 2" xfId="68" xr:uid="{2E157CB6-99C8-42B7-95EB-06ABB4AFA192}"/>
    <cellStyle name="20% - Accent2 2 2" xfId="517" xr:uid="{85E0AFB4-8D6B-4692-B605-D3CA79684500}"/>
    <cellStyle name="20% - Accent3 2" xfId="69" xr:uid="{9C39BE64-F26F-489C-BA64-C1E7FD4A226E}"/>
    <cellStyle name="20% - Accent3 2 2" xfId="521" xr:uid="{B8066004-0145-4A09-8A2B-CC4B2BE02D0A}"/>
    <cellStyle name="20% - Accent4 2" xfId="70" xr:uid="{3F38C3ED-6E19-4577-88F9-2E38FFF42893}"/>
    <cellStyle name="20% - Accent4 2 2" xfId="525" xr:uid="{C7664A88-8BB1-407D-A12E-FBFA3F5D2535}"/>
    <cellStyle name="20% - Accent5 2" xfId="71" xr:uid="{CC4A0D3A-8FCF-4FB6-928C-0D9E8A21D37B}"/>
    <cellStyle name="20% - Accent5 2 2" xfId="529" xr:uid="{3AA0DD74-8F39-442B-8E3F-4A81417556C8}"/>
    <cellStyle name="20% - Accent6 2" xfId="72" xr:uid="{3ADC5BAA-3FBC-4E65-8CFB-B77B4659550F}"/>
    <cellStyle name="20% - Accent6 2 2" xfId="533" xr:uid="{B308FE8C-6F1E-47D6-A700-CA8B456F09ED}"/>
    <cellStyle name="20% - Colore 1" xfId="1" builtinId="30" customBuiltin="1"/>
    <cellStyle name="20% - Colore 1 2" xfId="137" xr:uid="{ABBB173A-E3E7-4B54-83B6-A0D5A50925B3}"/>
    <cellStyle name="20% - Colore 1 2 2" xfId="388" xr:uid="{8685FBED-90C6-4371-AF83-119637401A7E}"/>
    <cellStyle name="20% - Colore 1 3" xfId="219" xr:uid="{47669C55-3253-45A9-9333-8CE0C0894156}"/>
    <cellStyle name="20% - Colore 1 3 2" xfId="441" xr:uid="{72E0A34C-D46A-4EA0-A3E2-439066AB3804}"/>
    <cellStyle name="20% - Colore 1 3 3" xfId="295" xr:uid="{DCA57471-ECC7-4977-BE50-84AB88B41E4F}"/>
    <cellStyle name="20% - Colore 1 4" xfId="345" xr:uid="{5755665E-4172-4FC6-9CCB-0E95AB292BDA}"/>
    <cellStyle name="20% - Colore 2" xfId="2" builtinId="34" customBuiltin="1"/>
    <cellStyle name="20% - Colore 2 2" xfId="138" xr:uid="{1F92295F-5C69-4F58-8D81-1F0160A8662C}"/>
    <cellStyle name="20% - Colore 2 2 2" xfId="389" xr:uid="{1F42D95D-0D28-4525-BF1E-94BCFDD9D385}"/>
    <cellStyle name="20% - Colore 2 3" xfId="223" xr:uid="{9A4C5E8C-A032-4489-B3D8-DFE24E33DB45}"/>
    <cellStyle name="20% - Colore 2 3 2" xfId="445" xr:uid="{ADD295F5-D2C9-48D3-A471-028CACC23F0B}"/>
    <cellStyle name="20% - Colore 2 3 3" xfId="296" xr:uid="{FF4090B2-3442-479C-BF56-C0E0ED8B809D}"/>
    <cellStyle name="20% - Colore 2 4" xfId="346" xr:uid="{7120B561-5D1B-40F2-8362-C569D300B315}"/>
    <cellStyle name="20% - Colore 3" xfId="3" builtinId="38" customBuiltin="1"/>
    <cellStyle name="20% - Colore 3 2" xfId="139" xr:uid="{DA23A9FB-0BC2-43E9-BB43-F0E99695E13C}"/>
    <cellStyle name="20% - Colore 3 2 2" xfId="390" xr:uid="{77AEAF90-64D7-4F91-A048-B4614B89894F}"/>
    <cellStyle name="20% - Colore 3 3" xfId="227" xr:uid="{DD8CC7B7-4815-4FEE-BFAD-B8F85EE06E67}"/>
    <cellStyle name="20% - Colore 3 3 2" xfId="449" xr:uid="{1785D0A6-E766-4703-871A-3E208FED3B5A}"/>
    <cellStyle name="20% - Colore 3 3 3" xfId="297" xr:uid="{A2F04B7F-6C14-4F2C-9067-D287C86F8F38}"/>
    <cellStyle name="20% - Colore 3 4" xfId="347" xr:uid="{422FD820-F79F-430F-B1A0-2A6777B6C2A7}"/>
    <cellStyle name="20% - Colore 4" xfId="4" builtinId="42" customBuiltin="1"/>
    <cellStyle name="20% - Colore 4 2" xfId="140" xr:uid="{3014CDC1-D422-4512-88DB-E45648D00C78}"/>
    <cellStyle name="20% - Colore 4 2 2" xfId="391" xr:uid="{F5A3C0D4-7039-4BAC-97C4-70DC75DD070B}"/>
    <cellStyle name="20% - Colore 4 3" xfId="231" xr:uid="{1CD061C8-8B5D-4BBB-9BA5-1CDA04877332}"/>
    <cellStyle name="20% - Colore 4 3 2" xfId="453" xr:uid="{F5317B08-A7F5-46BE-8878-78CE05728373}"/>
    <cellStyle name="20% - Colore 4 3 3" xfId="298" xr:uid="{C964FA14-1315-430A-B5AE-69ECC67B96F3}"/>
    <cellStyle name="20% - Colore 4 4" xfId="348" xr:uid="{B0BC6312-02D2-494C-9F13-F027D70E031F}"/>
    <cellStyle name="20% - Colore 5" xfId="5" builtinId="46" customBuiltin="1"/>
    <cellStyle name="20% - Colore 5 2" xfId="141" xr:uid="{86F66ECF-A12A-42D2-84B3-6FDDB554DA99}"/>
    <cellStyle name="20% - Colore 5 2 2" xfId="392" xr:uid="{CE5ED627-0F08-4E46-AEE3-562714AB5C5A}"/>
    <cellStyle name="20% - Colore 5 3" xfId="235" xr:uid="{CF248F4D-7520-4F99-A1C6-FAAF4659EB07}"/>
    <cellStyle name="20% - Colore 5 3 2" xfId="457" xr:uid="{FB8E55D1-A67B-4154-ABC0-FE522BEC84A8}"/>
    <cellStyle name="20% - Colore 5 3 3" xfId="299" xr:uid="{E7ED19F4-154F-41E5-8773-6B64784EDEE4}"/>
    <cellStyle name="20% - Colore 5 4" xfId="349" xr:uid="{0498B172-A7FB-4D0E-B341-FD2853D7C2CD}"/>
    <cellStyle name="20% - Colore 6" xfId="6" builtinId="50" customBuiltin="1"/>
    <cellStyle name="20% - Colore 6 2" xfId="142" xr:uid="{6B7C08B0-CD2E-4A32-BCC4-3FFA0DD54BD1}"/>
    <cellStyle name="20% - Colore 6 2 2" xfId="393" xr:uid="{5DBC2057-6D44-4D3A-8B63-D3E52452BBA3}"/>
    <cellStyle name="20% - Colore 6 3" xfId="239" xr:uid="{067E3DC2-FE67-4A0E-BA85-A992870CFEEF}"/>
    <cellStyle name="20% - Colore 6 3 2" xfId="461" xr:uid="{152FDBC1-668A-4F4B-A007-95D697AF55BC}"/>
    <cellStyle name="20% - Colore 6 3 3" xfId="300" xr:uid="{3F906881-2D56-4BA0-87ED-A62EAAE4FC37}"/>
    <cellStyle name="20% - Colore 6 4" xfId="350" xr:uid="{67DBCB2F-0CB9-4403-BDD6-0F6B2F2D3D40}"/>
    <cellStyle name="40% - Accent1 2" xfId="73" xr:uid="{C22420AE-C3B9-4C09-8DC8-5401C267B1A6}"/>
    <cellStyle name="40% - Accent1 2 2" xfId="514" xr:uid="{C97887AC-89DC-4B4E-9FDC-FBEA032FDE89}"/>
    <cellStyle name="40% - Accent2 2" xfId="74" xr:uid="{6E7BE011-7F9C-475C-9F30-3EC16D0F21F8}"/>
    <cellStyle name="40% - Accent2 2 2" xfId="518" xr:uid="{4E73357F-8FDE-4607-AF86-DDF4495967B5}"/>
    <cellStyle name="40% - Accent3 2" xfId="75" xr:uid="{9289E74F-2375-45D0-82AE-076EA5F3049F}"/>
    <cellStyle name="40% - Accent3 2 2" xfId="522" xr:uid="{EBE443CE-F6B4-40F6-BAA8-9411C34010B1}"/>
    <cellStyle name="40% - Accent4 2" xfId="76" xr:uid="{9A768B79-4DEE-4496-8E73-1BADF6D8DDE6}"/>
    <cellStyle name="40% - Accent4 2 2" xfId="526" xr:uid="{40726B2C-D528-4A8B-A4D5-15837DC32EC9}"/>
    <cellStyle name="40% - Accent5 2" xfId="77" xr:uid="{86B6FFE0-223F-4BAE-895C-D4A7EF4E1E34}"/>
    <cellStyle name="40% - Accent5 2 2" xfId="530" xr:uid="{7EC4392A-83BC-4440-95B4-19CE366BDDB7}"/>
    <cellStyle name="40% - Accent6 2" xfId="78" xr:uid="{6B495E4E-54FD-4F92-9CFB-E6F491DE752D}"/>
    <cellStyle name="40% - Accent6 2 2" xfId="534" xr:uid="{DDDBBB3E-8DC7-4499-A636-D0BF8A99E073}"/>
    <cellStyle name="40% - Colore 1" xfId="7" builtinId="31" customBuiltin="1"/>
    <cellStyle name="40% - Colore 1 2" xfId="143" xr:uid="{BE6F898E-E87E-4A2F-99AC-41289B487EDE}"/>
    <cellStyle name="40% - Colore 1 2 2" xfId="394" xr:uid="{DB63D8D9-47BD-412A-BC46-66295C8E70DD}"/>
    <cellStyle name="40% - Colore 1 3" xfId="220" xr:uid="{49CAC435-476E-4F40-9A70-E3E5FAEF4B59}"/>
    <cellStyle name="40% - Colore 1 3 2" xfId="442" xr:uid="{D0F725B4-0C6F-488F-B93F-8F9AC180C855}"/>
    <cellStyle name="40% - Colore 1 3 3" xfId="301" xr:uid="{48DA3F40-9D03-44F9-B74B-6ADE88192D36}"/>
    <cellStyle name="40% - Colore 1 4" xfId="351" xr:uid="{3C445EB9-6185-4A46-ACB6-EC89F3726BDC}"/>
    <cellStyle name="40% - Colore 2" xfId="8" builtinId="35" customBuiltin="1"/>
    <cellStyle name="40% - Colore 2 2" xfId="144" xr:uid="{F9E1D9F5-E044-45FE-B67A-662B92A6796B}"/>
    <cellStyle name="40% - Colore 2 2 2" xfId="395" xr:uid="{F92C75C8-7A63-4BF8-A2AB-4D6824B45FF3}"/>
    <cellStyle name="40% - Colore 2 3" xfId="224" xr:uid="{720A943D-3480-4858-AFED-9466FDC5C2EF}"/>
    <cellStyle name="40% - Colore 2 3 2" xfId="446" xr:uid="{440B10AB-6B73-41B8-B2FA-BE4341DB043A}"/>
    <cellStyle name="40% - Colore 2 3 3" xfId="302" xr:uid="{2E30023A-6042-49D6-B9FA-BE34F174994B}"/>
    <cellStyle name="40% - Colore 2 4" xfId="352" xr:uid="{3582FE9B-3690-4269-96A6-FFE0D5EBA83E}"/>
    <cellStyle name="40% - Colore 3" xfId="9" builtinId="39" customBuiltin="1"/>
    <cellStyle name="40% - Colore 3 2" xfId="145" xr:uid="{628348C7-29E8-4041-B7A3-0718F68A4D73}"/>
    <cellStyle name="40% - Colore 3 2 2" xfId="396" xr:uid="{14489C7C-E38E-4A7C-A82E-32048F05C2AC}"/>
    <cellStyle name="40% - Colore 3 3" xfId="228" xr:uid="{5738DCDF-33D0-4107-B87B-90E4B9BAB694}"/>
    <cellStyle name="40% - Colore 3 3 2" xfId="450" xr:uid="{94649749-2B3D-47C8-A9BE-EF7790C4A80C}"/>
    <cellStyle name="40% - Colore 3 3 3" xfId="303" xr:uid="{28B6AD9A-C32B-443A-BC16-AC8CFC447CF0}"/>
    <cellStyle name="40% - Colore 3 4" xfId="353" xr:uid="{B503C502-C987-4ECA-AE4E-D673F2E2A4CF}"/>
    <cellStyle name="40% - Colore 4" xfId="10" builtinId="43" customBuiltin="1"/>
    <cellStyle name="40% - Colore 4 2" xfId="146" xr:uid="{688C64FF-B821-4099-93C3-F516BD425CBE}"/>
    <cellStyle name="40% - Colore 4 2 2" xfId="397" xr:uid="{38A7C8FA-FB4D-469D-814C-9B1FE4F42B6B}"/>
    <cellStyle name="40% - Colore 4 3" xfId="232" xr:uid="{81259D0E-4608-4E9F-9391-9E90694D0D3D}"/>
    <cellStyle name="40% - Colore 4 3 2" xfId="454" xr:uid="{17F205E4-E97B-4F78-94A4-2BF9600866B7}"/>
    <cellStyle name="40% - Colore 4 3 3" xfId="304" xr:uid="{67FF4C03-90AC-4901-A5CC-0CB268CD8E46}"/>
    <cellStyle name="40% - Colore 4 4" xfId="354" xr:uid="{ACEA0EC0-23D0-4D9F-8E91-271EB4BCDC33}"/>
    <cellStyle name="40% - Colore 5" xfId="11" builtinId="47" customBuiltin="1"/>
    <cellStyle name="40% - Colore 5 2" xfId="147" xr:uid="{9FC0DFEF-2584-48D3-B234-C2D49DD0C657}"/>
    <cellStyle name="40% - Colore 5 2 2" xfId="398" xr:uid="{17C78ED9-206B-4647-9F3B-297D339E7967}"/>
    <cellStyle name="40% - Colore 5 3" xfId="236" xr:uid="{D734421B-26BF-48A5-96F4-333B3D9E6232}"/>
    <cellStyle name="40% - Colore 5 3 2" xfId="458" xr:uid="{5BB40295-2715-44DB-819A-89011F408E74}"/>
    <cellStyle name="40% - Colore 5 3 3" xfId="305" xr:uid="{68B89499-E2FC-4158-B6E8-B92815997A26}"/>
    <cellStyle name="40% - Colore 5 4" xfId="355" xr:uid="{10D6E888-FDDF-464F-BD5A-1185DF5E1B2F}"/>
    <cellStyle name="40% - Colore 6" xfId="12" builtinId="51" customBuiltin="1"/>
    <cellStyle name="40% - Colore 6 2" xfId="148" xr:uid="{56848F5C-7D47-4748-8259-9730750E041A}"/>
    <cellStyle name="40% - Colore 6 2 2" xfId="399" xr:uid="{9DD44E21-1FC8-4BCA-830B-61212F6ED05A}"/>
    <cellStyle name="40% - Colore 6 3" xfId="240" xr:uid="{5D871884-FF5A-4D90-909A-4315B0177944}"/>
    <cellStyle name="40% - Colore 6 3 2" xfId="462" xr:uid="{11B935D1-90AC-48A5-99FD-03AE01273A1D}"/>
    <cellStyle name="40% - Colore 6 3 3" xfId="306" xr:uid="{4FBB847C-560E-4036-A8BA-1088FC32A826}"/>
    <cellStyle name="40% - Colore 6 4" xfId="356" xr:uid="{67BDCA09-A519-4213-BA72-4522A1EC78F6}"/>
    <cellStyle name="60% - Accent1 2" xfId="79" xr:uid="{9A846303-4901-4DC3-AAFB-26267CAEF7F4}"/>
    <cellStyle name="60% - Accent1 2 2" xfId="515" xr:uid="{ADAAF832-F0C4-4B7E-838A-5CA38A7ED81B}"/>
    <cellStyle name="60% - Accent2 2" xfId="80" xr:uid="{0952E8EE-9462-44D7-856D-E507549226FF}"/>
    <cellStyle name="60% - Accent2 2 2" xfId="519" xr:uid="{245D3590-8B28-4553-B1DA-F94AD0C72D50}"/>
    <cellStyle name="60% - Accent3 2" xfId="81" xr:uid="{F6F96240-D073-4887-894D-6BD2EF689842}"/>
    <cellStyle name="60% - Accent3 2 2" xfId="523" xr:uid="{0637D463-9DC4-4BA4-ADF1-642348ECDFD8}"/>
    <cellStyle name="60% - Accent4 2" xfId="82" xr:uid="{2767AAED-3683-49BA-B932-99824C891430}"/>
    <cellStyle name="60% - Accent4 2 2" xfId="527" xr:uid="{65507B8D-22ED-44F1-9FE1-83D8F25E88D1}"/>
    <cellStyle name="60% - Accent5 2" xfId="83" xr:uid="{9C8BD86C-A601-4265-9827-DC661281F553}"/>
    <cellStyle name="60% - Accent5 2 2" xfId="531" xr:uid="{1BE37545-8610-4E46-9C5A-C2BC9027E83A}"/>
    <cellStyle name="60% - Accent6 2" xfId="84" xr:uid="{88FC0535-26AD-457C-9961-6FD00C6AA0FB}"/>
    <cellStyle name="60% - Accent6 2 2" xfId="535" xr:uid="{8D8DC54B-C5BD-48AD-BDAF-BC453617ADE6}"/>
    <cellStyle name="60% - Colore 1" xfId="13" builtinId="32" customBuiltin="1"/>
    <cellStyle name="60% - Colore 1 2" xfId="149" xr:uid="{7A2054B0-B0A3-4A03-96D4-B389AD9D18DA}"/>
    <cellStyle name="60% - Colore 1 3" xfId="221" xr:uid="{6F349A4E-AC14-4C85-82CE-5A4DC689AAB4}"/>
    <cellStyle name="60% - Colore 1 3 2" xfId="443" xr:uid="{42042741-A5F4-4DC4-A81A-9D11AB94496E}"/>
    <cellStyle name="60% - Colore 1 3 3" xfId="307" xr:uid="{74C716E5-2104-4FD7-B36B-EF7FF0D34EE5}"/>
    <cellStyle name="60% - Colore 2" xfId="14" builtinId="36" customBuiltin="1"/>
    <cellStyle name="60% - Colore 2 2" xfId="150" xr:uid="{413A3828-B04E-4FEA-8562-5D6C42131EF2}"/>
    <cellStyle name="60% - Colore 2 3" xfId="225" xr:uid="{069AE9C9-0C8B-4DDE-AAD1-92A47742CC9B}"/>
    <cellStyle name="60% - Colore 2 3 2" xfId="447" xr:uid="{C1C491CA-0F85-4A61-97CD-85C5D0C2372D}"/>
    <cellStyle name="60% - Colore 2 3 3" xfId="308" xr:uid="{2299CA82-6844-40E6-BAD8-296591F9177D}"/>
    <cellStyle name="60% - Colore 3" xfId="15" builtinId="40" customBuiltin="1"/>
    <cellStyle name="60% - Colore 3 2" xfId="151" xr:uid="{35B167EC-E486-465A-9677-23DB10C0268E}"/>
    <cellStyle name="60% - Colore 3 3" xfId="229" xr:uid="{9E632415-A4A6-4C4A-B633-0D0B982F1538}"/>
    <cellStyle name="60% - Colore 3 3 2" xfId="451" xr:uid="{DDD35E35-83F8-483C-8587-26DFE9BDDE7F}"/>
    <cellStyle name="60% - Colore 3 3 3" xfId="309" xr:uid="{1A6FBA97-D9AE-48F3-913E-29B374CF4B78}"/>
    <cellStyle name="60% - Colore 4" xfId="16" builtinId="44" customBuiltin="1"/>
    <cellStyle name="60% - Colore 4 2" xfId="152" xr:uid="{BE46D8BA-BE84-4A23-8E9F-1314F59036E1}"/>
    <cellStyle name="60% - Colore 4 3" xfId="233" xr:uid="{66137F6A-D862-47D7-9F86-38DD93829FBA}"/>
    <cellStyle name="60% - Colore 4 3 2" xfId="455" xr:uid="{7C60D38D-96E9-4022-A6CF-7FC0891A4F90}"/>
    <cellStyle name="60% - Colore 4 3 3" xfId="310" xr:uid="{D765377D-4E2E-4923-A2C9-B6351DE1F59E}"/>
    <cellStyle name="60% - Colore 5" xfId="17" builtinId="48" customBuiltin="1"/>
    <cellStyle name="60% - Colore 5 2" xfId="153" xr:uid="{D84283C4-B5CE-45B3-B945-473BE9EB29BA}"/>
    <cellStyle name="60% - Colore 5 3" xfId="237" xr:uid="{7C341BEC-2094-47FE-8C02-B4A5330AE5AB}"/>
    <cellStyle name="60% - Colore 5 3 2" xfId="459" xr:uid="{32084B99-41C8-4695-B05F-D8E93C652980}"/>
    <cellStyle name="60% - Colore 5 3 3" xfId="311" xr:uid="{C840EC26-7972-405D-A65E-95B784D38B84}"/>
    <cellStyle name="60% - Colore 6" xfId="18" builtinId="52" customBuiltin="1"/>
    <cellStyle name="60% - Colore 6 2" xfId="154" xr:uid="{6AA6AC6D-CAE2-4226-8E58-454E7A907B66}"/>
    <cellStyle name="60% - Colore 6 3" xfId="241" xr:uid="{A0558CEF-EC05-4D47-A3F2-F86039F5CCB2}"/>
    <cellStyle name="60% - Colore 6 3 2" xfId="463" xr:uid="{E7EBA880-70BE-4DC2-B35A-8F391E54A3A7}"/>
    <cellStyle name="60% - Colore 6 3 3" xfId="312" xr:uid="{6613EDAF-8BCD-4BBE-A0BE-3E4899353627}"/>
    <cellStyle name="Accent1 2" xfId="85" xr:uid="{34DB8579-8CCF-4C4D-AD14-05DC0EA34CE7}"/>
    <cellStyle name="Accent1 2 2" xfId="512" xr:uid="{26CBC625-38C9-43B8-9639-A3CC1887347D}"/>
    <cellStyle name="Accent2 2" xfId="86" xr:uid="{FBD7CADA-058B-4D10-8FA1-886407FA89EF}"/>
    <cellStyle name="Accent2 2 2" xfId="516" xr:uid="{1F839374-3045-4435-B697-9FFEDE784E21}"/>
    <cellStyle name="Accent3 2" xfId="87" xr:uid="{05BCFF8A-A3B2-4E03-BE56-6EEAF4ECD8F2}"/>
    <cellStyle name="Accent3 2 2" xfId="520" xr:uid="{4910CF59-AAC0-4659-960B-72B530EEA0B2}"/>
    <cellStyle name="Accent4 2" xfId="88" xr:uid="{A3CE4CFC-9AF8-462C-B292-B5C9E5F0893E}"/>
    <cellStyle name="Accent4 2 2" xfId="524" xr:uid="{F23F8E9D-9E2B-40FF-9BDA-A89B9BADEFEA}"/>
    <cellStyle name="Accent5 2" xfId="89" xr:uid="{4E6495AC-216B-4EEF-B9E7-954C01DEF9C0}"/>
    <cellStyle name="Accent5 2 2" xfId="528" xr:uid="{F444C731-E5F9-46A1-8CC1-39FD089F1B13}"/>
    <cellStyle name="Accent6 2" xfId="90" xr:uid="{DBEE0CBE-115B-45CC-96E3-55B4DF07A9C4}"/>
    <cellStyle name="Accent6 2 2" xfId="532" xr:uid="{D1DEECCC-2B23-41B9-B921-1876E359F25B}"/>
    <cellStyle name="Bad 2" xfId="91" xr:uid="{6625467B-6890-4C66-AB36-183FE6B04897}"/>
    <cellStyle name="Bad 2 2" xfId="502" xr:uid="{CBF37A5F-43D9-447B-A4B3-E9DA00499664}"/>
    <cellStyle name="blp_column_header" xfId="26" xr:uid="{00000000-0005-0000-0000-000019000000}"/>
    <cellStyle name="Calcolo" xfId="27" builtinId="22" customBuiltin="1"/>
    <cellStyle name="Calcolo 2" xfId="162" xr:uid="{E97A89C9-6BBC-4934-9DAB-A866A7B2329E}"/>
    <cellStyle name="Calcolo 3" xfId="211" xr:uid="{4CAFCBAC-6B01-4230-90D9-36B4308B2C39}"/>
    <cellStyle name="Calcolo 3 2" xfId="433" xr:uid="{24D8409F-5919-4C89-9E29-0AFC43E54307}"/>
    <cellStyle name="Calcolo 3 3" xfId="320" xr:uid="{ECC060CB-679C-43AE-B9E9-F4EB8C7D2768}"/>
    <cellStyle name="Calculation 2" xfId="92" xr:uid="{156E55A6-1694-470F-BBE3-9EE808D067E2}"/>
    <cellStyle name="Calculation 2 2" xfId="505" xr:uid="{A029C185-50E6-4DD5-8A55-A0106314ECDC}"/>
    <cellStyle name="Cella collegata" xfId="36" builtinId="24" customBuiltin="1"/>
    <cellStyle name="Cella collegata 2" xfId="171" xr:uid="{40CD293A-7A6D-4550-A697-1446B5FCE08C}"/>
    <cellStyle name="Cella collegata 3" xfId="212" xr:uid="{D5912505-CAAD-4C78-9D0A-40BDF9FD3B04}"/>
    <cellStyle name="Cella collegata 3 2" xfId="434" xr:uid="{188A02ED-BBF4-453F-A88D-B024D5981184}"/>
    <cellStyle name="Cella collegata 3 3" xfId="329" xr:uid="{6653BE4F-CCDF-441E-AF5A-B0CE5091D637}"/>
    <cellStyle name="Cella da controllare" xfId="28" builtinId="23" customBuiltin="1"/>
    <cellStyle name="Cella da controllare 2" xfId="163" xr:uid="{F6F7A572-9D9E-469D-8E03-1D215A693D44}"/>
    <cellStyle name="Cella da controllare 3" xfId="213" xr:uid="{B2034E0F-3774-416B-B541-B5CE3995F803}"/>
    <cellStyle name="Cella da controllare 3 2" xfId="435" xr:uid="{4A9FF225-0821-4EDA-9BBD-16A7FF441238}"/>
    <cellStyle name="Cella da controllare 3 3" xfId="321" xr:uid="{FC09805C-844A-4020-B44F-5492F3B78CAD}"/>
    <cellStyle name="Check Cell 2" xfId="93" xr:uid="{899EF296-8FDD-47DC-BF02-7FA0AA24E0F8}"/>
    <cellStyle name="Check Cell 2 2" xfId="507" xr:uid="{9170C3C4-DDFD-4369-8800-16736F349A66}"/>
    <cellStyle name="Collegamento ipertestuale" xfId="64" builtinId="8"/>
    <cellStyle name="Colore 1" xfId="19" builtinId="29" customBuiltin="1"/>
    <cellStyle name="Colore 1 2" xfId="155" xr:uid="{D72CE7CE-6194-4D50-BB46-9BCE345D9F69}"/>
    <cellStyle name="Colore 1 3" xfId="218" xr:uid="{5CA282BA-4A0C-4825-A56E-D1EA2C24E9DF}"/>
    <cellStyle name="Colore 1 3 2" xfId="440" xr:uid="{5DFF0247-4756-407F-91BD-0F267CAC6A5F}"/>
    <cellStyle name="Colore 1 3 3" xfId="313" xr:uid="{2DCBD380-192D-460F-9D9A-762136EB7BFD}"/>
    <cellStyle name="Colore 2" xfId="20" builtinId="33" customBuiltin="1"/>
    <cellStyle name="Colore 2 2" xfId="156" xr:uid="{0225D07C-3854-4907-A6A2-1C15C26653B6}"/>
    <cellStyle name="Colore 2 3" xfId="222" xr:uid="{5AA6F93E-6D11-4C4B-8626-E55848B46F7A}"/>
    <cellStyle name="Colore 2 3 2" xfId="444" xr:uid="{6F72F67A-217E-4859-91AA-4EF7E63A37CC}"/>
    <cellStyle name="Colore 2 3 3" xfId="314" xr:uid="{B9F54367-4815-4210-B00E-CA891F0BA4A2}"/>
    <cellStyle name="Colore 3" xfId="21" builtinId="37" customBuiltin="1"/>
    <cellStyle name="Colore 3 2" xfId="157" xr:uid="{04ADEB35-A9D0-483C-B112-5B66BFAA2742}"/>
    <cellStyle name="Colore 3 3" xfId="226" xr:uid="{ADD21D1F-5210-465C-9B11-D8FD4AEF7596}"/>
    <cellStyle name="Colore 3 3 2" xfId="448" xr:uid="{5C26417D-CDC5-42D0-BE6B-E611611432D7}"/>
    <cellStyle name="Colore 3 3 3" xfId="315" xr:uid="{1094C67B-52B2-481C-8E29-3272148490BA}"/>
    <cellStyle name="Colore 4" xfId="22" builtinId="41" customBuiltin="1"/>
    <cellStyle name="Colore 4 2" xfId="158" xr:uid="{F244E2E8-3953-42F5-9331-1A75C7051CBC}"/>
    <cellStyle name="Colore 4 3" xfId="230" xr:uid="{AE290A25-4CFC-4017-8A7A-43DC90E66F89}"/>
    <cellStyle name="Colore 4 3 2" xfId="452" xr:uid="{D8861B01-E561-43E0-AB11-DE9F774FFE34}"/>
    <cellStyle name="Colore 4 3 3" xfId="316" xr:uid="{446DC4A6-BB0B-4AF8-8CAD-C92C029F9406}"/>
    <cellStyle name="Colore 5" xfId="23" builtinId="45" customBuiltin="1"/>
    <cellStyle name="Colore 5 2" xfId="159" xr:uid="{25DF572A-14C2-480E-86B3-90E667BA6AB5}"/>
    <cellStyle name="Colore 5 3" xfId="234" xr:uid="{E0AF7350-BA1C-4064-9970-98F3F853D2F4}"/>
    <cellStyle name="Colore 5 3 2" xfId="456" xr:uid="{38E32579-57AE-4A8F-924E-58575C6A4CA2}"/>
    <cellStyle name="Colore 5 3 3" xfId="317" xr:uid="{314B3B9B-D5D3-4171-B20D-03AFC6C4D738}"/>
    <cellStyle name="Colore 6" xfId="24" builtinId="49" customBuiltin="1"/>
    <cellStyle name="Colore 6 2" xfId="160" xr:uid="{5BCDBCF6-0F44-4BC5-8F15-E60ADF999853}"/>
    <cellStyle name="Colore 6 3" xfId="238" xr:uid="{005DF8C2-3F98-4C92-85A9-D74C4A1E0C9A}"/>
    <cellStyle name="Colore 6 3 2" xfId="460" xr:uid="{98DE6480-1661-43B3-BDE9-3E2D54716B29}"/>
    <cellStyle name="Colore 6 3 3" xfId="318" xr:uid="{BE692F19-EB23-42C0-B205-1C5E0F39D90F}"/>
    <cellStyle name="Comma 11" xfId="46" xr:uid="{00000000-0005-0000-0000-00001D000000}"/>
    <cellStyle name="Comma 11 2" xfId="180" xr:uid="{6C77704C-A26A-4343-A5BF-301C2B627FBA}"/>
    <cellStyle name="Comma 11 2 2" xfId="254" xr:uid="{8774CD34-E008-4C93-8DF5-083B6BDC75EE}"/>
    <cellStyle name="Comma 11 2 2 2" xfId="402" xr:uid="{6C5B04C9-0B66-4023-8484-0ED3A1728581}"/>
    <cellStyle name="Comma 11 2 2 2 2" xfId="493" xr:uid="{DE75CD4A-F353-4F5F-99D2-785DF2DB733D}"/>
    <cellStyle name="Comma 11 2 2 2 2 2" xfId="605" xr:uid="{1B2CFC8D-48F4-4802-A727-9AFA726BD4BD}"/>
    <cellStyle name="Comma 11 2 2 2 3" xfId="580" xr:uid="{5571F3E9-BDD4-48B9-9407-F42B31BA97C9}"/>
    <cellStyle name="Comma 11 2 2 3" xfId="282" xr:uid="{79225967-7E3D-4F05-BF7A-AEAB2D96CF3D}"/>
    <cellStyle name="Comma 11 2 2 3 2" xfId="567" xr:uid="{981EBCB5-3F8F-4013-BE6C-822AE78DA431}"/>
    <cellStyle name="Comma 11 2 2 4" xfId="479" xr:uid="{E081ACA1-67E3-4039-AE4C-6E91DC896726}"/>
    <cellStyle name="Comma 11 2 2 4 2" xfId="592" xr:uid="{A4CC57BB-DEEC-4C61-BECC-3E79C9507D96}"/>
    <cellStyle name="Comma 11 2 2 5" xfId="555" xr:uid="{AE891F73-34AD-4DD8-AC4B-96D4EF57230C}"/>
    <cellStyle name="Comma 11 2 3" xfId="342" xr:uid="{894A521E-4EB8-4326-AD24-7DFA3205F7C0}"/>
    <cellStyle name="Comma 11 2 3 2" xfId="487" xr:uid="{6877DB21-97EE-49E8-8A5B-15D986A3132E}"/>
    <cellStyle name="Comma 11 2 3 2 2" xfId="599" xr:uid="{2919FC5D-5C73-4BB7-BF22-571B47CB5EB7}"/>
    <cellStyle name="Comma 11 2 3 3" xfId="574" xr:uid="{8FEB4244-F7E0-40E7-90BF-9110120BF4A8}"/>
    <cellStyle name="Comma 11 2 4" xfId="271" xr:uid="{C01BAE67-A169-4FFB-A2E2-983FFEB69237}"/>
    <cellStyle name="Comma 11 2 4 2" xfId="561" xr:uid="{1A75EA4B-D126-4370-A939-841FA56984CA}"/>
    <cellStyle name="Comma 11 2 5" xfId="473" xr:uid="{97FEA967-D527-4C97-9CDD-C7623CCEAC47}"/>
    <cellStyle name="Comma 11 2 5 2" xfId="586" xr:uid="{2488593A-FCD4-4431-8C39-08B9E327AA99}"/>
    <cellStyle name="Comma 11 2 6" xfId="549" xr:uid="{9CD42764-F66D-43EC-9013-B9739457BA4E}"/>
    <cellStyle name="Comma 11 3" xfId="251" xr:uid="{256722DC-2CEC-4B47-8929-61D5D9F43458}"/>
    <cellStyle name="Comma 11 3 2" xfId="360" xr:uid="{C02C1D49-E4B9-4FB8-BB0A-94D11F7D6B0E}"/>
    <cellStyle name="Comma 11 3 2 2" xfId="490" xr:uid="{B49DD5DF-A41A-4DF5-AE25-04A4DAFD342E}"/>
    <cellStyle name="Comma 11 3 2 2 2" xfId="602" xr:uid="{5639DA96-6D60-41B2-A631-3883F0C3857D}"/>
    <cellStyle name="Comma 11 3 2 3" xfId="577" xr:uid="{477F1EFE-65E9-492F-BB0E-FC5353CD130A}"/>
    <cellStyle name="Comma 11 3 3" xfId="276" xr:uid="{F0B67D57-ACB3-4755-9559-9A1DD25E3374}"/>
    <cellStyle name="Comma 11 3 3 2" xfId="564" xr:uid="{21580B64-9289-4BAF-9D31-1F270F61760B}"/>
    <cellStyle name="Comma 11 3 4" xfId="476" xr:uid="{2A20D3B7-DC36-459F-97CF-5899DBBA94D5}"/>
    <cellStyle name="Comma 11 3 4 2" xfId="589" xr:uid="{DFB860DE-B5FC-4E29-ADB7-226D9463AD7A}"/>
    <cellStyle name="Comma 11 3 5" xfId="552" xr:uid="{4C142037-140D-469E-918A-EDAA8C5FFD8E}"/>
    <cellStyle name="Comma 11 4" xfId="338" xr:uid="{AE2D5450-B29F-43DC-B600-191EABAD5534}"/>
    <cellStyle name="Comma 11 4 2" xfId="484" xr:uid="{A91A96B6-4D21-4C39-B10D-A1F4ED3061CD}"/>
    <cellStyle name="Comma 11 4 2 2" xfId="596" xr:uid="{40E72CDA-1AF8-49B2-9E43-6F6512874B67}"/>
    <cellStyle name="Comma 11 4 3" xfId="571" xr:uid="{70B8066C-11D5-4426-A2D6-3070D6ADC43C}"/>
    <cellStyle name="Comma 11 5" xfId="268" xr:uid="{008B9704-C917-4484-90A5-B56488D49428}"/>
    <cellStyle name="Comma 11 5 2" xfId="558" xr:uid="{9BE90830-FB3E-4BD1-A11B-88B14724CB7F}"/>
    <cellStyle name="Comma 11 6" xfId="470" xr:uid="{BD71CE58-BD7F-436F-80FB-1D7150FB89E4}"/>
    <cellStyle name="Comma 11 6 2" xfId="583" xr:uid="{067F1CFB-E9FF-4869-A3F6-94F668102200}"/>
    <cellStyle name="Comma 11 7" xfId="111" xr:uid="{83B94CF8-D775-43E3-AF57-DAF4D00AC21A}"/>
    <cellStyle name="Comma 11 8" xfId="546" xr:uid="{57F208E4-64A5-41C1-9E0E-558F3C9B981D}"/>
    <cellStyle name="Comma 2" xfId="60" xr:uid="{DD7746F2-07BA-496B-8A77-779EC83B1C0F}"/>
    <cellStyle name="Comma 2 2" xfId="416" xr:uid="{EFA736D8-E2B7-4EF9-B286-B80ACD517A55}"/>
    <cellStyle name="Comma 3" xfId="109" xr:uid="{E713FA2E-079B-4BD7-921E-51BD19E089D9}"/>
    <cellStyle name="Comma 3 2" xfId="545" xr:uid="{ABD35F74-90F3-4455-A155-64081316AF10}"/>
    <cellStyle name="Comma 4" xfId="250" xr:uid="{850F025D-2147-4849-A08A-9B8676574378}"/>
    <cellStyle name="Comma 4 2" xfId="551" xr:uid="{2D3E39E3-A6D8-461C-9C5F-98CEB7EC77D8}"/>
    <cellStyle name="Comma 5" xfId="267" xr:uid="{86226ADF-1E50-42D1-98BA-9DCDA39DFA28}"/>
    <cellStyle name="Comma 5 2" xfId="557" xr:uid="{4C6BDBE7-1A40-4E50-94B8-A75880B0B1AD}"/>
    <cellStyle name="Explanatory Text 2" xfId="94" xr:uid="{367254B7-E88E-492E-9034-893B69B3BE8E}"/>
    <cellStyle name="Explanatory Text 2 2" xfId="510" xr:uid="{E5B033BC-19E0-4EEE-A441-C1927A3510AF}"/>
    <cellStyle name="Good 2" xfId="95" xr:uid="{F589CFCE-4D8E-4889-80EB-670990DAD806}"/>
    <cellStyle name="Good 2 2" xfId="501" xr:uid="{C574C8CB-BC47-4CFB-999F-82C6733DA377}"/>
    <cellStyle name="Heading 1 2" xfId="96" xr:uid="{5CAF0CF4-0322-4DF1-BE9B-01107D84AFA8}"/>
    <cellStyle name="Heading 1 2 2" xfId="497" xr:uid="{AEE666B1-C186-45C3-AFF3-D25613E0DCC0}"/>
    <cellStyle name="Heading 2 2" xfId="97" xr:uid="{57D46160-8E17-4314-B72C-8FEB8A527066}"/>
    <cellStyle name="Heading 2 2 2" xfId="498" xr:uid="{B89725EC-A731-4A5C-B60A-D8370B681574}"/>
    <cellStyle name="Heading 3 2" xfId="98" xr:uid="{B05F5B1E-5373-47C1-9FAD-20F62DB262AE}"/>
    <cellStyle name="Heading 3 2 2" xfId="499" xr:uid="{E23C7EB8-01D9-4804-92FB-7BE74DF4E1C0}"/>
    <cellStyle name="Heading 4 2" xfId="99" xr:uid="{273A050E-C412-40DF-857B-595693D81107}"/>
    <cellStyle name="Heading 4 2 2" xfId="500" xr:uid="{C164D2A5-2007-4AF9-A846-B48881116400}"/>
    <cellStyle name="Input" xfId="35" builtinId="20" customBuiltin="1"/>
    <cellStyle name="Input 2" xfId="170" xr:uid="{42BE61B1-1253-4C31-AC4D-901FB2CC81C0}"/>
    <cellStyle name="Input 3" xfId="209" xr:uid="{36913C0D-3830-4D71-9A96-387D917F2756}"/>
    <cellStyle name="Input 3 2" xfId="431" xr:uid="{C2588123-B0D3-4CD0-AD23-185C1F3DB86D}"/>
    <cellStyle name="Input 3 3" xfId="328" xr:uid="{ED38EF17-CFEB-4276-BF34-F6865CB30316}"/>
    <cellStyle name="Input 4" xfId="100" xr:uid="{C5224B18-9FA3-49C3-B208-EF3B7FD2B0BD}"/>
    <cellStyle name="Linked Cell 2" xfId="101" xr:uid="{C1161960-59D7-4591-B90F-A163F8125112}"/>
    <cellStyle name="Linked Cell 2 2" xfId="506" xr:uid="{28CE6F83-3BAA-485E-BF2A-1CC7064D960F}"/>
    <cellStyle name="Migliaia" xfId="44" builtinId="3"/>
    <cellStyle name="Migliaia 2" xfId="52" xr:uid="{818F4B62-79F5-4331-B98F-EC6DF2D698F1}"/>
    <cellStyle name="Migliaia 2 2" xfId="365" xr:uid="{10E3581A-D33C-4D94-BB08-B5AB7E7E45F6}"/>
    <cellStyle name="Migliaia 3" xfId="178" xr:uid="{3A5D79B1-AAD3-4B20-905E-EC0FDC0F0A0E}"/>
    <cellStyle name="Migliaia 3 2" xfId="253" xr:uid="{4557188E-3141-4109-BE1E-CFEABA950549}"/>
    <cellStyle name="Migliaia 3 2 2" xfId="401" xr:uid="{DAF6EC2E-6574-4670-BB9B-F60646C33657}"/>
    <cellStyle name="Migliaia 3 2 2 2" xfId="492" xr:uid="{9ED17F16-0007-4ADD-81F0-4EA5888DD497}"/>
    <cellStyle name="Migliaia 3 2 2 2 2" xfId="604" xr:uid="{3FD76CDC-AEAE-4BB8-989D-B8F67C113A97}"/>
    <cellStyle name="Migliaia 3 2 2 3" xfId="579" xr:uid="{89360585-2EE8-4F0D-A1CC-90BBD91C3B87}"/>
    <cellStyle name="Migliaia 3 2 3" xfId="281" xr:uid="{586119C8-8F5F-4A11-81CC-E84E98C4BC2D}"/>
    <cellStyle name="Migliaia 3 2 3 2" xfId="566" xr:uid="{DDBDACF6-2992-4301-B76C-32667B436735}"/>
    <cellStyle name="Migliaia 3 2 4" xfId="478" xr:uid="{22B72AD9-74B9-4BF2-82C2-5CF45DA72FAD}"/>
    <cellStyle name="Migliaia 3 2 4 2" xfId="591" xr:uid="{75D5C040-B012-49F1-8C2D-47EC90B1ADA8}"/>
    <cellStyle name="Migliaia 3 2 5" xfId="554" xr:uid="{5731E8CF-6F95-47EF-A4B9-55381A650553}"/>
    <cellStyle name="Migliaia 3 3" xfId="341" xr:uid="{D7B6BDB6-A1EF-4F29-9503-EEB42E04659B}"/>
    <cellStyle name="Migliaia 3 3 2" xfId="486" xr:uid="{E6FC7FC9-F501-49BC-BCA3-4A99AA4C86B1}"/>
    <cellStyle name="Migliaia 3 3 2 2" xfId="598" xr:uid="{EED202C3-5F8E-4847-8069-DC2580EB7466}"/>
    <cellStyle name="Migliaia 3 3 3" xfId="573" xr:uid="{C1D6E206-8413-4209-88CA-E2797FAD911D}"/>
    <cellStyle name="Migliaia 3 4" xfId="270" xr:uid="{11CACEC7-B339-42FB-A95E-7F5E07F584EA}"/>
    <cellStyle name="Migliaia 3 4 2" xfId="560" xr:uid="{F4A481E5-2382-481A-B75C-CC624E60BD28}"/>
    <cellStyle name="Migliaia 3 5" xfId="472" xr:uid="{6C85F719-F09D-4FD1-AB8E-3101FFBBE378}"/>
    <cellStyle name="Migliaia 3 5 2" xfId="585" xr:uid="{A6F37C82-2BD3-4DDC-B4EF-A358E16E0D84}"/>
    <cellStyle name="Migliaia 3 6" xfId="548" xr:uid="{F6168C2C-5FCF-4D49-B6D6-86E76C202A54}"/>
    <cellStyle name="Migliaia 4" xfId="135" xr:uid="{22D38FD1-63EF-41F7-A008-968C2B74D460}"/>
    <cellStyle name="Migliaia 4 2" xfId="252" xr:uid="{3A2EAB35-339B-4844-88B3-D1F681D4E3D4}"/>
    <cellStyle name="Migliaia 4 2 2" xfId="386" xr:uid="{70595D07-0284-4B63-ABBF-0200040B79DE}"/>
    <cellStyle name="Migliaia 4 2 2 2" xfId="491" xr:uid="{4C36C2A1-68B0-40FB-ACBF-0FE7A9B480A7}"/>
    <cellStyle name="Migliaia 4 2 2 2 2" xfId="603" xr:uid="{C3AF0648-595F-4475-91A1-306E4B011C4A}"/>
    <cellStyle name="Migliaia 4 2 2 3" xfId="578" xr:uid="{4289E7C2-FC68-4110-B2B0-41594BB43411}"/>
    <cellStyle name="Migliaia 4 2 3" xfId="278" xr:uid="{95668A03-E823-4F10-AAA4-054E6C9D834F}"/>
    <cellStyle name="Migliaia 4 2 3 2" xfId="565" xr:uid="{F81EE516-1269-4EB9-B196-3FB176667800}"/>
    <cellStyle name="Migliaia 4 2 4" xfId="477" xr:uid="{56BB6CDA-667E-489D-B664-7BCA404A709A}"/>
    <cellStyle name="Migliaia 4 2 4 2" xfId="590" xr:uid="{AF2EAA3B-54B0-453A-9FF0-BDD88DD8AFF0}"/>
    <cellStyle name="Migliaia 4 2 5" xfId="553" xr:uid="{5678D863-1AF5-402F-B826-E778EA3FA08B}"/>
    <cellStyle name="Migliaia 4 3" xfId="340" xr:uid="{C23997BF-A226-49E4-99AE-AA96D76B2761}"/>
    <cellStyle name="Migliaia 4 3 2" xfId="485" xr:uid="{A61DBC4C-6AFE-4847-9800-DFDE18461F32}"/>
    <cellStyle name="Migliaia 4 3 2 2" xfId="597" xr:uid="{A42BDEE3-7655-4DA2-936D-4F4DB114991A}"/>
    <cellStyle name="Migliaia 4 3 3" xfId="572" xr:uid="{A51954BE-24BC-4E9C-94F4-DBB7CDC4C196}"/>
    <cellStyle name="Migliaia 4 4" xfId="269" xr:uid="{BBE914E7-AABC-4542-8E7B-0B619354FF11}"/>
    <cellStyle name="Migliaia 4 4 2" xfId="559" xr:uid="{BEB3EA12-5346-40B0-AEBD-7709217EE939}"/>
    <cellStyle name="Migliaia 4 5" xfId="471" xr:uid="{A4E785EC-9F7C-43C9-90CA-68213BD87174}"/>
    <cellStyle name="Migliaia 4 5 2" xfId="584" xr:uid="{D24072AD-D4D4-414A-A20C-1A45C8A3B351}"/>
    <cellStyle name="Migliaia 4 6" xfId="547" xr:uid="{7840A00B-0B6F-4A62-A93E-3FBD4B856F8D}"/>
    <cellStyle name="Migliaia 5" xfId="182" xr:uid="{F65DF494-0F29-47F8-AF5D-B8932151090E}"/>
    <cellStyle name="Migliaia 5 2" xfId="255" xr:uid="{CE8283C8-733C-4890-87E3-9C088B1D8450}"/>
    <cellStyle name="Migliaia 5 2 2" xfId="405" xr:uid="{C8F3B41B-D54F-48AC-835D-C8B8844CBD25}"/>
    <cellStyle name="Migliaia 5 2 2 2" xfId="494" xr:uid="{ED95B1A0-9C11-4EB6-8D79-5CCD07FEE373}"/>
    <cellStyle name="Migliaia 5 2 2 2 2" xfId="606" xr:uid="{0C151554-E5FB-47C1-A40B-52D95EFDCFC0}"/>
    <cellStyle name="Migliaia 5 2 2 3" xfId="581" xr:uid="{13DD14F1-9B6E-4AE4-AC49-764CC9AEAF37}"/>
    <cellStyle name="Migliaia 5 2 3" xfId="283" xr:uid="{89E575DD-2E76-4035-9656-A182A3B83AB0}"/>
    <cellStyle name="Migliaia 5 2 3 2" xfId="568" xr:uid="{0FC9ED69-D500-4445-89EE-282BD45A623E}"/>
    <cellStyle name="Migliaia 5 2 4" xfId="480" xr:uid="{967B272A-1440-48F9-8141-07672E8054AF}"/>
    <cellStyle name="Migliaia 5 2 4 2" xfId="593" xr:uid="{B74ABB0B-9A20-414B-A894-86CB8FB65177}"/>
    <cellStyle name="Migliaia 5 2 5" xfId="556" xr:uid="{7366AFEA-57D6-4951-879F-0A36AC1BA079}"/>
    <cellStyle name="Migliaia 5 3" xfId="343" xr:uid="{0E7E04EA-CB58-4DC7-8E56-1779D3DB1D66}"/>
    <cellStyle name="Migliaia 5 3 2" xfId="488" xr:uid="{A70E7CBF-BA86-4921-9AF0-0552092D12CD}"/>
    <cellStyle name="Migliaia 5 3 2 2" xfId="600" xr:uid="{A43B1B71-A911-40BA-BC8A-B39422149A77}"/>
    <cellStyle name="Migliaia 5 3 3" xfId="575" xr:uid="{D6CF1CA2-3FCC-4B6F-8F35-4032F2F2BA94}"/>
    <cellStyle name="Migliaia 5 4" xfId="272" xr:uid="{E05C4960-52F5-45C8-87D3-801CF6DE5560}"/>
    <cellStyle name="Migliaia 5 4 2" xfId="562" xr:uid="{B1D51228-7A1A-451E-8731-74745B7D5141}"/>
    <cellStyle name="Migliaia 5 5" xfId="474" xr:uid="{D502F20B-60AB-40E7-BB52-FC5E197C9041}"/>
    <cellStyle name="Migliaia 5 5 2" xfId="587" xr:uid="{C9FD3BFA-CA38-4A4B-A322-E89E72355F0E}"/>
    <cellStyle name="Migliaia 5 6" xfId="550" xr:uid="{1738A3D7-6D3D-425B-9492-47FC21150915}"/>
    <cellStyle name="Migliaia 6" xfId="275" xr:uid="{433BC128-74BC-4D3F-AFFF-CEDAB189A033}"/>
    <cellStyle name="Migliaia 6 2" xfId="337" xr:uid="{5231F262-FCB6-427A-9844-7E2056C0BA5D}"/>
    <cellStyle name="Migliaia 6 2 2" xfId="483" xr:uid="{2EAB03C7-BD29-44F1-9A36-EA1EBF59DF35}"/>
    <cellStyle name="Migliaia 6 2 2 2" xfId="595" xr:uid="{B8F6AFA9-2B1D-4767-A0D5-C02AEF1E83C8}"/>
    <cellStyle name="Migliaia 6 2 3" xfId="570" xr:uid="{4AF3759F-A5C5-434B-8B5C-0E87724D1C64}"/>
    <cellStyle name="Migliaia 6 3" xfId="475" xr:uid="{35A37FF7-8F22-4E66-9AA3-82CEB8C322A0}"/>
    <cellStyle name="Migliaia 6 3 2" xfId="588" xr:uid="{3E402A47-0E17-4E3B-A34A-970BC5622A82}"/>
    <cellStyle name="Migliaia 6 4" xfId="563" xr:uid="{28D6BF75-0FAA-4DA8-8896-9A3608BCE173}"/>
    <cellStyle name="Migliaia 7" xfId="359" xr:uid="{059C272F-CB7F-4583-8563-D836256A1480}"/>
    <cellStyle name="Migliaia 7 2" xfId="489" xr:uid="{85CAA26D-4E05-4FBB-93DE-8BACE3D66650}"/>
    <cellStyle name="Migliaia 7 2 2" xfId="601" xr:uid="{65A470AA-6D24-4937-8E1B-E1893F667FBB}"/>
    <cellStyle name="Migliaia 7 3" xfId="576" xr:uid="{B85AB1B7-F3CF-4764-8432-BFABA9E0CE69}"/>
    <cellStyle name="Migliaia 8" xfId="292" xr:uid="{A0F65E7E-C7ED-4C3F-89C5-C411F2612F56}"/>
    <cellStyle name="Migliaia 8 2" xfId="481" xr:uid="{C7DC6AAE-CDBE-4D50-8D90-385270C5DB90}"/>
    <cellStyle name="Migliaia 8 2 2" xfId="594" xr:uid="{1BE5A07A-2B2E-48AE-8451-E969BA15B8FC}"/>
    <cellStyle name="Migliaia 8 3" xfId="569" xr:uid="{04669F1F-15D4-4FDF-95FF-AAAA33C6C83B}"/>
    <cellStyle name="Migliaia 9" xfId="469" xr:uid="{C5AB8F89-3D62-4C7E-ABE7-D7FC8923986D}"/>
    <cellStyle name="Migliaia 9 2" xfId="582" xr:uid="{5CD7C9E8-5460-4397-B501-70433F6309A7}"/>
    <cellStyle name="Neutral 2" xfId="102" xr:uid="{50DDE689-857B-4A02-B658-ADB17C4892AC}"/>
    <cellStyle name="Neutral 2 2" xfId="503" xr:uid="{B57A03EE-01A9-4FD8-9001-C06757E6CD5E}"/>
    <cellStyle name="Neutrale" xfId="37" builtinId="28" customBuiltin="1"/>
    <cellStyle name="Neutrale 2" xfId="172" xr:uid="{87230A81-9C22-41A0-B88E-9BB9B5E56431}"/>
    <cellStyle name="Neutrale 3" xfId="208" xr:uid="{75352299-63CA-41D0-97BC-55303DD423C7}"/>
    <cellStyle name="Neutrale 3 2" xfId="430" xr:uid="{349F74DD-C551-493F-BA6F-9D5ABACCCDD7}"/>
    <cellStyle name="Neutrale 3 3" xfId="330" xr:uid="{042E50FF-B9E9-499E-92F7-A6EA720D0B60}"/>
    <cellStyle name="Normal 10" xfId="190" xr:uid="{AEEF6691-934B-49B8-8853-415745E3976C}"/>
    <cellStyle name="Normal 10 2" xfId="413" xr:uid="{FBAC074E-E5F6-4A9C-879B-7A5F3DB742A4}"/>
    <cellStyle name="Normal 11" xfId="191" xr:uid="{45DF69EF-CB64-497F-8919-2C6B88E52865}"/>
    <cellStyle name="Normal 11 2" xfId="414" xr:uid="{920D21B6-0D49-463A-A3FB-22E9036CBA39}"/>
    <cellStyle name="Normal 12" xfId="192" xr:uid="{6E278C40-451A-428B-9CE5-F45CB7055CAB}"/>
    <cellStyle name="Normal 12 2" xfId="415" xr:uid="{B4A03992-4A25-4F65-9292-CBD49A25FDA7}"/>
    <cellStyle name="Normal 13" xfId="66" xr:uid="{C6111154-1561-4AFE-9DED-677E9F76868A}"/>
    <cellStyle name="Normal 13 2" xfId="495" xr:uid="{C141D288-ADCD-4FF6-BD7D-DECDB750726E}"/>
    <cellStyle name="Normal 14" xfId="108" xr:uid="{3D2667D6-9FD2-48BF-913D-8AB86A12217F}"/>
    <cellStyle name="Normal 14 2" xfId="504" xr:uid="{564DAB1C-4251-400C-80B9-7E08F57A381D}"/>
    <cellStyle name="Normal 15" xfId="246" xr:uid="{A38545AF-A1A9-4775-9BF7-92C5C84357BC}"/>
    <cellStyle name="Normal 15 2" xfId="536" xr:uid="{F6583FDB-068F-4BEB-B70E-8EAA8B9DB9F0}"/>
    <cellStyle name="Normal 16" xfId="247" xr:uid="{457BECE4-8ADE-4632-BC67-4018176144FC}"/>
    <cellStyle name="Normal 16 2" xfId="537" xr:uid="{7A6BBC94-0B9D-491B-AC98-995163143D42}"/>
    <cellStyle name="Normal 17" xfId="248" xr:uid="{D72C8497-C8CF-4C9D-B1EE-7E2B34662D67}"/>
    <cellStyle name="Normal 17 10" xfId="112" xr:uid="{99C4D5C5-2A08-40F0-845D-3F68DE6DE180}"/>
    <cellStyle name="Normal 17 2" xfId="538" xr:uid="{02854BDE-257D-4C46-8D54-7F3C4E114601}"/>
    <cellStyle name="Normal 17 2 2" xfId="121" xr:uid="{0B0FD67C-C213-4958-8E71-8FA09EA0AC6A}"/>
    <cellStyle name="Normal 18" xfId="249" xr:uid="{FE439113-A4F4-45DF-AE9C-CB65549E34DE}"/>
    <cellStyle name="Normal 18 2" xfId="539" xr:uid="{40642443-0451-4D84-95FB-1087176D8678}"/>
    <cellStyle name="Normal 19" xfId="257" xr:uid="{A18D0E32-9BAF-4827-A5B7-A6C39619CE88}"/>
    <cellStyle name="Normal 2" xfId="45" xr:uid="{00000000-0005-0000-0000-000028000000}"/>
    <cellStyle name="Normal 2 10 2" xfId="122" xr:uid="{5BFA1389-E498-4031-A522-3679569764E5}"/>
    <cellStyle name="Normal 2 2" xfId="50" xr:uid="{F89FCAB9-0CCD-45C6-A251-046BF7069EA4}"/>
    <cellStyle name="Normal 2 3" xfId="179" xr:uid="{9070D9DC-E7D0-4E32-B4E5-9440001D298F}"/>
    <cellStyle name="Normal 2 4" xfId="110" xr:uid="{C190337A-4DFE-4B72-9326-AB229AFCADFF}"/>
    <cellStyle name="Normal 20" xfId="256" xr:uid="{E882DC63-CCB3-452A-98B3-0559B29535B1}"/>
    <cellStyle name="Normal 21" xfId="265" xr:uid="{E1E42C2B-6A2D-43EC-A48C-8FD843DEE4A8}"/>
    <cellStyle name="Normal 21 2" xfId="120" xr:uid="{4CD9F047-E819-429D-908C-A5C568DEF2DA}"/>
    <cellStyle name="Normal 22" xfId="266" xr:uid="{D3C57187-46C8-4D3C-81F0-28ACD22B114F}"/>
    <cellStyle name="Normal 23" xfId="65" xr:uid="{76663AFD-7FEA-4BF8-901C-8DAB77994EF5}"/>
    <cellStyle name="Normal 24" xfId="543" xr:uid="{E766DAEA-CC9F-45AA-8766-886E851EDEE4}"/>
    <cellStyle name="Normal 25" xfId="544" xr:uid="{7E9CBB90-E7AD-4137-834F-F54B6099A914}"/>
    <cellStyle name="Normal 26" xfId="607" xr:uid="{113E8939-7EFC-4811-A55B-2B2B7FDD5C16}"/>
    <cellStyle name="Normal 28 10" xfId="113" xr:uid="{6DCE6B73-8D7A-46A6-A6E8-441927A7ED88}"/>
    <cellStyle name="Normal 3" xfId="59" xr:uid="{40E9B7E2-346C-44C2-8F51-BF0696ECF368}"/>
    <cellStyle name="Normal 3 2" xfId="406" xr:uid="{F72BF978-AA4A-47D1-BCAB-D8AF32501E81}"/>
    <cellStyle name="Normal 3 3" xfId="183" xr:uid="{9AADFB57-12A4-44D9-B9B1-164C7F341C6B}"/>
    <cellStyle name="Normal 32 10" xfId="116" xr:uid="{012AB372-0717-41C1-AAC7-AE50EC2128ED}"/>
    <cellStyle name="Normal 4" xfId="184" xr:uid="{342A6661-56EC-4D41-8784-25DA67EF86F7}"/>
    <cellStyle name="Normal 4 2" xfId="407" xr:uid="{A342A33B-4026-42DC-8574-6A27BE70F190}"/>
    <cellStyle name="Normal 40 10" xfId="115" xr:uid="{8D5DA0D6-9808-4445-991A-1E05C8333F9E}"/>
    <cellStyle name="Normal 45" xfId="123" xr:uid="{0F83C207-F76C-4795-A666-BA0AC3A1C196}"/>
    <cellStyle name="Normal 45 2" xfId="373" xr:uid="{D416683F-1554-4654-8A05-64A16C307AB6}"/>
    <cellStyle name="Normal 46 10" xfId="114" xr:uid="{91503E2C-8CA9-4F4D-8B84-3AD074036CC6}"/>
    <cellStyle name="Normal 47" xfId="124" xr:uid="{C01C16DF-5C8F-437F-B5C4-06B88EE54B13}"/>
    <cellStyle name="Normal 47 2" xfId="374" xr:uid="{77C7CC5B-1002-4A79-9163-0B5109556023}"/>
    <cellStyle name="Normal 48" xfId="125" xr:uid="{4116D6E3-950A-4AFD-8BC6-BAA86EF2ECCE}"/>
    <cellStyle name="Normal 48 2" xfId="375" xr:uid="{5B19C74D-C10D-4A29-99F8-AE700178B4D2}"/>
    <cellStyle name="Normal 49" xfId="126" xr:uid="{682326EF-79C2-4BEB-B2C2-E152C093E32D}"/>
    <cellStyle name="Normal 49 2" xfId="376" xr:uid="{1E60B37C-D355-4F24-9A56-76025E35B5B3}"/>
    <cellStyle name="Normal 5" xfId="185" xr:uid="{6AC0D635-34FC-46CE-A79C-0B86CA9E9C75}"/>
    <cellStyle name="Normal 5 2" xfId="408" xr:uid="{699FDAB5-681B-4773-9F38-193725F19CA7}"/>
    <cellStyle name="Normal 50" xfId="127" xr:uid="{F214D524-A0E6-4C32-AAA9-7D6E9B1660A3}"/>
    <cellStyle name="Normal 50 2" xfId="377" xr:uid="{64E4275C-0E02-4CF1-B268-621B0141A337}"/>
    <cellStyle name="Normal 51" xfId="128" xr:uid="{23603761-7495-484E-9AAA-90F5F8378A78}"/>
    <cellStyle name="Normal 51 2" xfId="378" xr:uid="{CD5632AB-C83F-4967-8430-D6F37ED6CD2E}"/>
    <cellStyle name="Normal 52" xfId="129" xr:uid="{EAD7C12D-8CEC-4E97-B425-D27498FC949E}"/>
    <cellStyle name="Normal 52 2" xfId="379" xr:uid="{F153033D-B461-4A9F-8142-A49F1922541C}"/>
    <cellStyle name="Normal 53" xfId="130" xr:uid="{DCC9AA5D-BC55-4406-B02C-C088F89AF516}"/>
    <cellStyle name="Normal 53 2" xfId="380" xr:uid="{EF32D2C5-29BE-400E-8997-CB43DD0943E7}"/>
    <cellStyle name="Normal 54" xfId="131" xr:uid="{82D89614-B6D3-4DA9-AD23-91FA5F406069}"/>
    <cellStyle name="Normal 54 2" xfId="381" xr:uid="{0CCC1F48-C3A9-440F-9540-9BE2C7B5A842}"/>
    <cellStyle name="Normal 55" xfId="132" xr:uid="{B62917A5-87EA-4682-A056-1C52CA5A8506}"/>
    <cellStyle name="Normal 55 2" xfId="382" xr:uid="{25B67C8B-48A3-4256-9F82-8F1312537035}"/>
    <cellStyle name="Normal 56" xfId="117" xr:uid="{AA41A149-CF06-4D02-82B6-8130AAF38ED0}"/>
    <cellStyle name="Normal 56 2" xfId="371" xr:uid="{0EC3C2A8-5BC6-4990-9067-4D45487C1386}"/>
    <cellStyle name="Normal 57" xfId="118" xr:uid="{E5ED894A-C378-4A2A-A6C9-3B37E2EE6701}"/>
    <cellStyle name="Normal 57 2" xfId="372" xr:uid="{44705D61-43FF-4776-A67C-8A09D4080865}"/>
    <cellStyle name="Normal 6" xfId="186" xr:uid="{ED2965F8-06BB-4640-A2AE-22723923A635}"/>
    <cellStyle name="Normal 6 2" xfId="409" xr:uid="{6E0514D9-93AF-4E24-99FC-7FA25BFF819D}"/>
    <cellStyle name="Normal 6 3 10 2 10" xfId="119" xr:uid="{91C06E09-716B-4C90-B57E-2D36267E5AA9}"/>
    <cellStyle name="Normal 7" xfId="187" xr:uid="{80560207-55E1-46BD-BD66-A094BE6AEE08}"/>
    <cellStyle name="Normal 7 2" xfId="410" xr:uid="{F47D6B8D-DA0F-4A1F-9C63-2E7430216307}"/>
    <cellStyle name="Normal 8" xfId="188" xr:uid="{6D33738F-8538-46B8-A8D6-D1A80197E3B6}"/>
    <cellStyle name="Normal 8 2" xfId="411" xr:uid="{DDBA08F1-EE98-4AA8-A9BA-CAD4346B9F6D}"/>
    <cellStyle name="Normal 9" xfId="189" xr:uid="{60118FB2-5980-4063-A786-D1AD4A1707E7}"/>
    <cellStyle name="Normal 9 2" xfId="412" xr:uid="{37ECD69C-28F3-4E29-886C-1F13F1EF4147}"/>
    <cellStyle name="Normale" xfId="0" builtinId="0"/>
    <cellStyle name="Normale 10" xfId="58" xr:uid="{F241649E-BF6A-445A-BAD0-FF437E839FC4}"/>
    <cellStyle name="Normale 11" xfId="63" xr:uid="{B13513F0-1BC5-4186-AC26-4B34A4BCE88B}"/>
    <cellStyle name="Normale 11 2" xfId="383" xr:uid="{CB8F45DB-4D45-42D8-A7E0-69CFD2BE766D}"/>
    <cellStyle name="Normale 12" xfId="136" xr:uid="{CF703E19-A6E4-429B-A9B0-6AA93959A245}"/>
    <cellStyle name="Normale 12 2" xfId="387" xr:uid="{4538E3A0-2732-4CA8-8311-ED0ADEB16A52}"/>
    <cellStyle name="Normale 13" xfId="133" xr:uid="{6A4A0510-F296-41C2-9F44-3844671060CD}"/>
    <cellStyle name="Normale 13 2" xfId="384" xr:uid="{1D94228E-F3F1-44D9-963C-98CFC8ED4CC1}"/>
    <cellStyle name="Normale 14" xfId="134" xr:uid="{C728F11B-13D5-4358-AC09-EEA133203434}"/>
    <cellStyle name="Normale 14 2" xfId="385" xr:uid="{EDB22186-DF71-448C-A135-9C3788C9868A}"/>
    <cellStyle name="Normale 15" xfId="181" xr:uid="{56695F95-7A28-4844-8EFF-60D7284BAC0C}"/>
    <cellStyle name="Normale 15 2" xfId="403" xr:uid="{218EDD18-F666-4032-9B55-26D12AC19EBA}"/>
    <cellStyle name="Normale 16" xfId="62" xr:uid="{0F8B7AEA-668D-454A-87E7-0CB2E194042E}"/>
    <cellStyle name="Normale 16 2" xfId="404" xr:uid="{14491127-30F2-49C9-9811-800B96CE17BA}"/>
    <cellStyle name="Normale 17" xfId="61" xr:uid="{5771CC2D-27CE-4FDE-9C06-D27D16086C28}"/>
    <cellStyle name="Normale 17 2" xfId="285" xr:uid="{65F4F069-E107-42EA-AD89-DE50AC40E7AC}"/>
    <cellStyle name="Normale 17 3" xfId="193" xr:uid="{8E8606A7-30F7-49D8-B070-61D3A569FBB5}"/>
    <cellStyle name="Normale 18" xfId="195" xr:uid="{D4022ECA-E433-4EF7-8DCB-3566775C3711}"/>
    <cellStyle name="Normale 18 2" xfId="417" xr:uid="{FAD0069A-4534-4120-9478-96214521BB72}"/>
    <cellStyle name="Normale 19" xfId="196" xr:uid="{42091FBD-5549-44F9-934C-DA56E32205D9}"/>
    <cellStyle name="Normale 19 2" xfId="418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9" xr:uid="{945686DE-BBF8-49C4-B460-1BBA438D2610}"/>
    <cellStyle name="Normale 2 2 3" xfId="363" xr:uid="{CA69046D-A856-4137-9A1D-6B693F54D37E}"/>
    <cellStyle name="Normale 2 3" xfId="361" xr:uid="{FB8BC06E-EBFE-40C9-9AD1-02A9B96BDF1C}"/>
    <cellStyle name="Normale 20" xfId="197" xr:uid="{0D0EA518-F65A-4BA4-BC8D-E6BDE9DDBCEA}"/>
    <cellStyle name="Normale 20 2" xfId="419" xr:uid="{67BBF77D-F9EB-4AC9-BEC7-EF1864659A5F}"/>
    <cellStyle name="Normale 21" xfId="198" xr:uid="{FFB11F84-7D3D-46E6-B017-4A758AB77030}"/>
    <cellStyle name="Normale 21 2" xfId="420" xr:uid="{207AE238-65BA-456F-8B99-AEABDBDCE821}"/>
    <cellStyle name="Normale 22" xfId="199" xr:uid="{ABC885FF-42FB-4672-9670-36AC01A2F2B4}"/>
    <cellStyle name="Normale 22 2" xfId="421" xr:uid="{4850A005-BD6A-4457-A9AB-DE729AC67747}"/>
    <cellStyle name="Normale 23" xfId="200" xr:uid="{D7081D17-0CC3-4B7E-9A77-33B8C667138B}"/>
    <cellStyle name="Normale 23 2" xfId="422" xr:uid="{75F3D664-EB9A-4BE0-98DD-77A0DD820758}"/>
    <cellStyle name="Normale 23 3" xfId="294" xr:uid="{78345F9F-F59D-4D0A-84B8-1D2F34DDED17}"/>
    <cellStyle name="Normale 24" xfId="242" xr:uid="{F535DC57-BA4B-48A0-883F-691C93B698EF}"/>
    <cellStyle name="Normale 25" xfId="244" xr:uid="{30282FE9-12B9-44BB-BCBC-678F4A54E59C}"/>
    <cellStyle name="Normale 26" xfId="243" xr:uid="{CAADA080-543F-4A79-B3EB-D4730C4A854C}"/>
    <cellStyle name="Normale 27" xfId="245" xr:uid="{99423DEC-70BF-4630-AFC3-D7C3E4255221}"/>
    <cellStyle name="Normale 28" xfId="258" xr:uid="{91D700E9-1338-4ADF-B085-C09F87FC0358}"/>
    <cellStyle name="Normale 28 2" xfId="344" xr:uid="{E078B047-326B-437E-B4A6-18642C9E7B60}"/>
    <cellStyle name="Normale 29" xfId="260" xr:uid="{55977CDB-C4ED-4BAF-9116-F7B8BA1BD275}"/>
    <cellStyle name="Normale 3" xfId="48" xr:uid="{00000000-0005-0000-0000-000034000000}"/>
    <cellStyle name="Normale 3 2" xfId="362" xr:uid="{2B9CCC58-B4F1-405A-A613-E7C0984D0C9E}"/>
    <cellStyle name="Normale 30" xfId="259" xr:uid="{912BE247-8381-4A96-9AAD-EB32A62B755E}"/>
    <cellStyle name="Normale 31" xfId="261" xr:uid="{A7F0FBB3-A189-4491-B485-5B56BF0744FC}"/>
    <cellStyle name="Normale 32" xfId="262" xr:uid="{D44DE94A-A6B1-4A56-95A6-1D5E938D46CB}"/>
    <cellStyle name="Normale 33" xfId="264" xr:uid="{06E10946-D43D-407B-A221-4602CD0BF56A}"/>
    <cellStyle name="Normale 34" xfId="263" xr:uid="{A51F09B4-8C6A-4506-9932-C4F4C61045A2}"/>
    <cellStyle name="Normale 35" xfId="284" xr:uid="{A61723E9-CD46-4413-8F82-047377BBF5CF}"/>
    <cellStyle name="Normale 36" xfId="279" xr:uid="{23B9E54E-7EA0-4158-8C89-A50866A8918E}"/>
    <cellStyle name="Normale 37" xfId="274" xr:uid="{55B0A45F-D65B-4665-B737-F0A769634EF3}"/>
    <cellStyle name="Normale 38" xfId="273" xr:uid="{765D9B34-1467-40D4-B1F6-D1F65826B116}"/>
    <cellStyle name="Normale 39" xfId="287" xr:uid="{850D9CD7-E124-4CD4-AC9B-C556A3B0140F}"/>
    <cellStyle name="Normale 4" xfId="51" xr:uid="{E373701C-BD64-4FA7-AE03-22A14609A87D}"/>
    <cellStyle name="Normale 4 2" xfId="364" xr:uid="{B43FF58C-457A-4F7A-9F3C-8A187856BE04}"/>
    <cellStyle name="Normale 40" xfId="277" xr:uid="{BE60B33A-5A9E-4B16-8EFA-43A0F78DDAFA}"/>
    <cellStyle name="Normale 41" xfId="280" xr:uid="{677827AF-8246-4333-943A-3E024968F633}"/>
    <cellStyle name="Normale 42" xfId="288" xr:uid="{65A75B41-3B43-4776-876D-54FAED2CA401}"/>
    <cellStyle name="Normale 43" xfId="290" xr:uid="{6D8D7AE9-D006-4CB9-98C1-8DC8A8368496}"/>
    <cellStyle name="Normale 44" xfId="289" xr:uid="{21E7B337-D833-4034-B973-F890083DD106}"/>
    <cellStyle name="Normale 45" xfId="291" xr:uid="{6AFBC193-391B-406B-A926-8A23B1415D59}"/>
    <cellStyle name="Normale 46" xfId="464" xr:uid="{51C2E0EF-52B7-4A16-8992-82AC24155255}"/>
    <cellStyle name="Normale 47" xfId="466" xr:uid="{53CE363B-404F-4A79-9AD6-D3D2E8AC00D8}"/>
    <cellStyle name="Normale 48" xfId="465" xr:uid="{9F332913-61B4-434F-89D9-9A3F8202D0AB}"/>
    <cellStyle name="Normale 49" xfId="467" xr:uid="{C50F2FF8-6B08-41DA-9FAA-49E84A4C2586}"/>
    <cellStyle name="Normale 5" xfId="53" xr:uid="{3129D9BA-9D0E-48E5-881B-15F693212AA4}"/>
    <cellStyle name="Normale 5 2" xfId="366" xr:uid="{3CC9CE0C-4A11-4874-8253-C6E3D0EA78DC}"/>
    <cellStyle name="Normale 50" xfId="540" xr:uid="{D42F0BB0-E19C-400A-A866-603FC8BE6C10}"/>
    <cellStyle name="Normale 51" xfId="542" xr:uid="{AA5A96D6-FC4F-4455-96D0-041F409CBC62}"/>
    <cellStyle name="Normale 52" xfId="541" xr:uid="{5E925342-64EA-4CF3-91CB-4264C4570712}"/>
    <cellStyle name="Normale 53" xfId="468" xr:uid="{C86BA679-C820-49AE-A247-8966D2D71F85}"/>
    <cellStyle name="Normale 54" xfId="482" xr:uid="{7A144A15-A00F-4251-9A94-387FF1669DEA}"/>
    <cellStyle name="Normale 6" xfId="54" xr:uid="{5916EA6C-897C-486E-BE65-57181A605066}"/>
    <cellStyle name="Normale 6 2" xfId="367" xr:uid="{DC72D6EA-73D8-4F19-B0BB-8DB774E83074}"/>
    <cellStyle name="Normale 7" xfId="55" xr:uid="{39868774-8FCC-4298-8D50-DC543D98B7E1}"/>
    <cellStyle name="Normale 7 2" xfId="368" xr:uid="{5EB48C2F-BFD6-45C4-B5E3-B73E29429915}"/>
    <cellStyle name="Normale 8" xfId="56" xr:uid="{AB3A4BCE-88B3-4396-A33D-6FAB29260B1C}"/>
    <cellStyle name="Normale 8 2" xfId="369" xr:uid="{7E917175-F827-49C4-8825-3729945A80D5}"/>
    <cellStyle name="Normale 9" xfId="57" xr:uid="{5AEEA8D2-AFA1-4CAA-BEB9-E0AEACDA5420}"/>
    <cellStyle name="Normale 9 2" xfId="370" xr:uid="{D99196DB-1B91-49CF-A908-20C2386A66BB}"/>
    <cellStyle name="Nota" xfId="38" builtinId="10" customBuiltin="1"/>
    <cellStyle name="Nota 2" xfId="173" xr:uid="{46CD8765-1818-408E-B419-EFFB10AA88BB}"/>
    <cellStyle name="Nota 2 2" xfId="400" xr:uid="{898BA852-95EA-40F6-A494-B25C779317BC}"/>
    <cellStyle name="Nota 3" xfId="215" xr:uid="{66A0B244-1FF8-4B16-B2C2-4F2C0A2A4E91}"/>
    <cellStyle name="Nota 3 2" xfId="437" xr:uid="{760492F8-FA8E-45A9-ABD7-BE76299FCC7A}"/>
    <cellStyle name="Nota 3 3" xfId="331" xr:uid="{BA07DFE1-B006-4066-8C35-4AD28BD3B774}"/>
    <cellStyle name="Nota 4" xfId="357" xr:uid="{3193B657-448B-4649-8094-039F882012DA}"/>
    <cellStyle name="Note 2" xfId="103" xr:uid="{4F4AAAA6-C59B-4DDD-A5D7-EAFEA87DE65B}"/>
    <cellStyle name="Note 2 2" xfId="509" xr:uid="{60054071-4C37-42C8-BF6A-644CA74F724C}"/>
    <cellStyle name="Output" xfId="39" builtinId="21" customBuiltin="1"/>
    <cellStyle name="Output 2" xfId="174" xr:uid="{85655052-5855-40F7-98A0-84ABC113F56D}"/>
    <cellStyle name="Output 3" xfId="210" xr:uid="{456E54AF-6D09-4E22-B0C8-B008F8B61C85}"/>
    <cellStyle name="Output 3 2" xfId="432" xr:uid="{1B01988C-23E7-43DF-85B2-441D018B9479}"/>
    <cellStyle name="Output 3 3" xfId="332" xr:uid="{14B7D4A2-8F37-4533-A01F-C8BD36D5E1A6}"/>
    <cellStyle name="Output 4" xfId="104" xr:uid="{10C7EB0E-1C7C-4FAC-B1B7-2596F9F4F698}"/>
    <cellStyle name="Percentuale" xfId="43" builtinId="5"/>
    <cellStyle name="Percentuale 2" xfId="194" xr:uid="{2FE8EB2A-5477-4241-AF1D-275EA6C35B22}"/>
    <cellStyle name="Percentuale 2 2" xfId="286" xr:uid="{62CB859F-3557-4E52-96C8-8B6DEB302A89}"/>
    <cellStyle name="Percentuale 3" xfId="336" xr:uid="{C99D1F36-C176-40D6-B4E3-13F5DCC30420}"/>
    <cellStyle name="Percentuale 4" xfId="358" xr:uid="{BB5B05E7-3568-4C10-B372-E67AFA355AEE}"/>
    <cellStyle name="Percentuale 5" xfId="293" xr:uid="{9DAB12F8-A049-4D59-8330-90F87C07E4BB}"/>
    <cellStyle name="Testo avviso" xfId="42" builtinId="11" customBuiltin="1"/>
    <cellStyle name="Testo avviso 2" xfId="177" xr:uid="{2736A918-D8AA-44EE-B91D-E5E53D50659D}"/>
    <cellStyle name="Testo avviso 3" xfId="214" xr:uid="{D513E025-1123-41E8-9445-AE36D8F06A15}"/>
    <cellStyle name="Testo avviso 3 2" xfId="436" xr:uid="{096E44AE-92E3-48BE-A426-9D6721E69BA2}"/>
    <cellStyle name="Testo avviso 3 3" xfId="335" xr:uid="{2D00866E-92DE-41C0-A08F-416DE58A6906}"/>
    <cellStyle name="Testo descrittivo" xfId="29" builtinId="53" customBuiltin="1"/>
    <cellStyle name="Testo descrittivo 2" xfId="164" xr:uid="{EB34AB0B-A971-41D1-AC66-EF0F488F8DEE}"/>
    <cellStyle name="Testo descrittivo 3" xfId="216" xr:uid="{6DD728A2-A628-49A5-9625-FD3D521EF1C6}"/>
    <cellStyle name="Testo descrittivo 3 2" xfId="438" xr:uid="{4F048D52-D8CE-467E-82EF-679E2385290D}"/>
    <cellStyle name="Testo descrittivo 3 3" xfId="322" xr:uid="{5EC0B264-66BC-4544-A7CA-310A443F566A}"/>
    <cellStyle name="Title 2" xfId="105" xr:uid="{D4C44E9D-91B1-4251-9993-048CCC36C059}"/>
    <cellStyle name="Title 2 2" xfId="496" xr:uid="{71141A1D-50B2-47AF-991C-4C2BFBBCA507}"/>
    <cellStyle name="Titolo" xfId="40" builtinId="15" customBuiltin="1"/>
    <cellStyle name="Titolo 1" xfId="31" builtinId="16" customBuiltin="1"/>
    <cellStyle name="Titolo 1 2" xfId="166" xr:uid="{35FFE1A6-ECEB-4B41-BE6A-DC78F4741F7D}"/>
    <cellStyle name="Titolo 1 3" xfId="202" xr:uid="{EE6DCE9A-15A5-4133-9BAE-53813EE6E6E7}"/>
    <cellStyle name="Titolo 1 3 2" xfId="424" xr:uid="{7BFEB5DF-D0A3-4400-9850-19168125E99A}"/>
    <cellStyle name="Titolo 1 3 3" xfId="324" xr:uid="{ABCEC5EA-2A63-4319-A60C-E4A8EA705249}"/>
    <cellStyle name="Titolo 2" xfId="32" builtinId="17" customBuiltin="1"/>
    <cellStyle name="Titolo 2 2" xfId="167" xr:uid="{0202DD20-83B0-490B-ABDA-E3CE415DBD21}"/>
    <cellStyle name="Titolo 2 3" xfId="203" xr:uid="{AE7CB0A5-224A-43BE-A533-1764BFA95286}"/>
    <cellStyle name="Titolo 2 3 2" xfId="425" xr:uid="{6C47610E-A427-4E01-8560-91E7F9218C3B}"/>
    <cellStyle name="Titolo 2 3 3" xfId="325" xr:uid="{3C8949EE-DC34-4DED-AEB2-80709CD2D1E7}"/>
    <cellStyle name="Titolo 3" xfId="33" builtinId="18" customBuiltin="1"/>
    <cellStyle name="Titolo 3 2" xfId="168" xr:uid="{269442C1-0238-4118-AF15-4D3D9FAD5699}"/>
    <cellStyle name="Titolo 3 3" xfId="204" xr:uid="{D96369CD-4B41-4EB5-98AB-90CA8A79FEBE}"/>
    <cellStyle name="Titolo 3 3 2" xfId="426" xr:uid="{3CA65C91-17A0-4A46-B7C4-6E3E2BD498A1}"/>
    <cellStyle name="Titolo 3 3 3" xfId="326" xr:uid="{F1D98CD1-6F0D-4C68-9C13-C87EA57E833D}"/>
    <cellStyle name="Titolo 4" xfId="34" builtinId="19" customBuiltin="1"/>
    <cellStyle name="Titolo 4 2" xfId="169" xr:uid="{8374C201-9555-4B4D-8D9B-DBBC092DE2BB}"/>
    <cellStyle name="Titolo 4 3" xfId="205" xr:uid="{403BCAEA-6CD8-445C-94DD-8E54DD27E524}"/>
    <cellStyle name="Titolo 4 3 2" xfId="427" xr:uid="{6C8B4895-A658-41BD-B15A-01F027AEE847}"/>
    <cellStyle name="Titolo 4 3 3" xfId="327" xr:uid="{46869105-57C6-42D0-A28B-023714DE6E4B}"/>
    <cellStyle name="Titolo 5" xfId="175" xr:uid="{48E01A02-05FD-47DA-8FD8-42B82525A4A1}"/>
    <cellStyle name="Titolo 6" xfId="201" xr:uid="{36B2B832-8B5C-4A4C-AC4B-D71D015F36C7}"/>
    <cellStyle name="Titolo 6 2" xfId="423" xr:uid="{F6C768A5-661E-4A88-BEE1-811F729D9B3F}"/>
    <cellStyle name="Titolo 6 3" xfId="333" xr:uid="{E592A604-45E9-43C1-9D32-8E0244598094}"/>
    <cellStyle name="Total 2" xfId="106" xr:uid="{DC48791E-9E13-45C2-BD6A-2DE0609808A3}"/>
    <cellStyle name="Total 2 2" xfId="511" xr:uid="{4D3F78B1-3AF8-403B-805F-E5927F91C3C8}"/>
    <cellStyle name="Totale" xfId="41" builtinId="25" customBuiltin="1"/>
    <cellStyle name="Totale 2" xfId="176" xr:uid="{66356907-A747-4A26-86AF-2DA731A6F630}"/>
    <cellStyle name="Totale 3" xfId="217" xr:uid="{5134657A-5EB2-4B39-95B8-8C25BFABE062}"/>
    <cellStyle name="Totale 3 2" xfId="439" xr:uid="{CD9B615D-4092-48C7-9946-63C2054286A8}"/>
    <cellStyle name="Totale 3 3" xfId="334" xr:uid="{4D5ED823-9ECB-4119-8D6B-E1FD1A56CB67}"/>
    <cellStyle name="Valore non valido" xfId="25" builtinId="27" customBuiltin="1"/>
    <cellStyle name="Valore non valido 2" xfId="161" xr:uid="{640B1E19-17F1-4D05-935C-0D5764BF9BFD}"/>
    <cellStyle name="Valore non valido 3" xfId="207" xr:uid="{BEEFB5DE-2996-4813-B09C-FEAFB741F3BD}"/>
    <cellStyle name="Valore non valido 3 2" xfId="429" xr:uid="{28C66ED1-84D0-4A64-ADDC-C135DB4BF538}"/>
    <cellStyle name="Valore non valido 3 3" xfId="319" xr:uid="{6FD2A0C4-BDE4-4894-A7CC-402B18E23C2B}"/>
    <cellStyle name="Valore valido" xfId="30" builtinId="26" customBuiltin="1"/>
    <cellStyle name="Valore valido 2" xfId="165" xr:uid="{A894D447-DC2E-4E27-BD32-680CC6C28802}"/>
    <cellStyle name="Valore valido 3" xfId="206" xr:uid="{21F081A0-81DF-4275-B97C-2A25C1191CE2}"/>
    <cellStyle name="Valore valido 3 2" xfId="428" xr:uid="{4238428F-A98B-4348-968C-F3190323C701}"/>
    <cellStyle name="Valore valido 3 3" xfId="323" xr:uid="{8B08E9A6-467E-405B-A373-8CE00C51F355}"/>
    <cellStyle name="Warning Text 2" xfId="107" xr:uid="{776300C0-33FE-4F7C-8589-33ECB521D366}"/>
    <cellStyle name="Warning Text 2 2" xfId="508" xr:uid="{BEBEC0FD-FCFE-4D24-BE17-54E38606AF95}"/>
  </cellStyles>
  <dxfs count="415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numFmt numFmtId="2" formatCode="0.00"/>
    </dxf>
    <dxf>
      <numFmt numFmtId="172" formatCode="_-* #,##0_-;\-* #,##0_-;_-* &quot;-&quot;??_-;_-@_-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2" formatCode="_-* #,##0_-;\-* #,##0_-;_-* &quot;-&quot;??_-;_-@_-"/>
    </dxf>
    <dxf>
      <alignment wrapText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" formatCode="0"/>
    </dxf>
    <dxf>
      <numFmt numFmtId="1" formatCode="0"/>
    </dxf>
    <dxf>
      <alignment horizontal="center"/>
    </dxf>
    <dxf>
      <alignment horizontal="center"/>
    </dxf>
    <dxf>
      <alignment horizontal="center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0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 xml:space="preserve"> Equity</stp>
        <stp>SECURITY_NAME</stp>
        <stp>[Copy of EMN_IMS Bloomberg.xlsm]TradesEquity!R717C9</stp>
        <tr r="I717" s="11"/>
      </tp>
      <tp t="e">
        <v>#N/A</v>
        <stp/>
        <stp>##V3_BDPV12</stp>
        <stp xml:space="preserve"> Equity</stp>
        <stp>DVD_TYP_LAST</stp>
        <stp>[EMN_IMS Bloomberg.xlsm  -  version 362.0. 25.11.2021 16.44]Dvd!R99C9</stp>
        <tr r="I99" s="50"/>
      </tp>
      <tp t="e">
        <v>#N/A</v>
        <stp/>
        <stp>##V3_BDPV12</stp>
        <stp xml:space="preserve"> Equity</stp>
        <stp>DVD_TYP_LAST</stp>
        <stp>[EMN_IMS Bloomberg.xlsm  -  version 362.0. 25.11.2021 16.44]Dvd!R89C9</stp>
        <tr r="I89" s="50"/>
      </tp>
      <tp t="e">
        <v>#N/A</v>
        <stp/>
        <stp>##V3_BDPV12</stp>
        <stp xml:space="preserve"> Equity</stp>
        <stp>DVD_TYP_LAST</stp>
        <stp>[EMN_IMS Bloomberg.xlsm  -  version 362.0. 25.11.2021 16.44]Dvd!R79C9</stp>
        <tr r="I79" s="50"/>
      </tp>
      <tp t="e">
        <v>#N/A</v>
        <stp/>
        <stp>##V3_BDPV12</stp>
        <stp xml:space="preserve"> Equity</stp>
        <stp>DVD_TYP_LAST</stp>
        <stp>[EMN_IMS Bloomberg.xlsm  -  version 362.0. 25.11.2021 16.44]Dvd!R69C9</stp>
        <tr r="I69" s="50"/>
      </tp>
      <tp t="e">
        <v>#N/A</v>
        <stp/>
        <stp>##V3_BDPV12</stp>
        <stp xml:space="preserve"> Equity</stp>
        <stp>DVD_TYP_LAST</stp>
        <stp>[EMN_IMS Bloomberg.xlsm  -  version 362.0. 25.11.2021 16.44]Dvd!R98C9</stp>
        <tr r="I98" s="50"/>
      </tp>
      <tp t="e">
        <v>#N/A</v>
        <stp/>
        <stp>##V3_BDPV12</stp>
        <stp xml:space="preserve"> Equity</stp>
        <stp>DVD_TYP_LAST</stp>
        <stp>[EMN_IMS Bloomberg.xlsm  -  version 362.0. 25.11.2021 16.44]Dvd!R88C9</stp>
        <tr r="I88" s="50"/>
      </tp>
      <tp t="e">
        <v>#N/A</v>
        <stp/>
        <stp>##V3_BDPV12</stp>
        <stp xml:space="preserve"> Equity</stp>
        <stp>DVD_TYP_LAST</stp>
        <stp>[EMN_IMS Bloomberg.xlsm  -  version 362.0. 25.11.2021 16.44]Dvd!R78C9</stp>
        <tr r="I78" s="50"/>
      </tp>
      <tp t="e">
        <v>#N/A</v>
        <stp/>
        <stp>##V3_BDPV12</stp>
        <stp xml:space="preserve"> Equity</stp>
        <stp>DVD_TYP_LAST</stp>
        <stp>[EMN_IMS Bloomberg.xlsm  -  version 362.0. 25.11.2021 16.44]Dvd!R68C9</stp>
        <tr r="I68" s="50"/>
      </tp>
      <tp t="e">
        <v>#N/A</v>
        <stp/>
        <stp>##V3_BDPV12</stp>
        <stp xml:space="preserve"> ISIN</stp>
        <stp>SECURITY_NAME</stp>
        <stp>[EMN_IMS Bloomberg.xlsm  -  version 362.0. 25.11.2021 16.44]TradesBond!R48C6</stp>
        <tr r="F48" s="12"/>
      </tp>
      <tp t="e">
        <v>#N/A</v>
        <stp/>
        <stp>##V3_BDPV12</stp>
        <stp xml:space="preserve"> ISIN</stp>
        <stp>SECURITY_NAME</stp>
        <stp>[EMN_IMS Bloomberg.xlsm  -  version 362.0. 25.11.2021 16.44]TradesBond!R58C6</stp>
        <tr r="F58" s="12"/>
      </tp>
      <tp t="e">
        <v>#N/A</v>
        <stp/>
        <stp>##V3_BDPV12</stp>
        <stp xml:space="preserve"> ISIN</stp>
        <stp>SECURITY_NAME</stp>
        <stp>[EMN_IMS Bloomberg.xlsm  -  version 362.0. 25.11.2021 16.44]TradesBond!R18C6</stp>
        <tr r="F18" s="12"/>
      </tp>
      <tp t="e">
        <v>#N/A</v>
        <stp/>
        <stp>##V3_BDPV12</stp>
        <stp xml:space="preserve"> ISIN</stp>
        <stp>SECURITY_NAME</stp>
        <stp>[EMN_IMS Bloomberg.xlsm  -  version 362.0. 25.11.2021 16.44]TradesBond!R28C6</stp>
        <tr r="F28" s="12"/>
      </tp>
      <tp t="e">
        <v>#N/A</v>
        <stp/>
        <stp>##V3_BDPV12</stp>
        <stp xml:space="preserve"> ISIN</stp>
        <stp>SECURITY_NAME</stp>
        <stp>[EMN_IMS Bloomberg.xlsm  -  version 362.0. 25.11.2021 16.44]TradesBond!R38C6</stp>
        <tr r="F38" s="12"/>
      </tp>
      <tp t="e">
        <v>#N/A</v>
        <stp/>
        <stp>##V3_BDPV12</stp>
        <stp xml:space="preserve"> Equity</stp>
        <stp>dvd_crncy</stp>
        <stp>[EMN_IMS Bloomberg.xlsm  -  version 362.0. 25.11.2021 16.44]Dvd!R78C10</stp>
        <tr r="J78" s="50"/>
      </tp>
      <tp t="e">
        <v>#N/A</v>
        <stp/>
        <stp>##V3_BDPV12</stp>
        <stp xml:space="preserve"> Equity</stp>
        <stp>dvd_crncy</stp>
        <stp>[EMN_IMS Bloomberg.xlsm  -  version 362.0. 25.11.2021 16.44]Dvd!R79C10</stp>
        <tr r="J79" s="50"/>
      </tp>
      <tp t="e">
        <v>#N/A</v>
        <stp/>
        <stp>##V3_BDPV12</stp>
        <stp xml:space="preserve"> Equity</stp>
        <stp>dvd_crncy</stp>
        <stp>[EMN_IMS Bloomberg.xlsm  -  version 362.0. 25.11.2021 16.44]Dvd!R72C10</stp>
        <tr r="J72" s="50"/>
      </tp>
      <tp t="e">
        <v>#N/A</v>
        <stp/>
        <stp>##V3_BDPV12</stp>
        <stp xml:space="preserve"> Equity</stp>
        <stp>dvd_crncy</stp>
        <stp>[EMN_IMS Bloomberg.xlsm  -  version 362.0. 25.11.2021 16.44]Dvd!R73C10</stp>
        <tr r="J73" s="50"/>
      </tp>
      <tp t="e">
        <v>#N/A</v>
        <stp/>
        <stp>##V3_BDPV12</stp>
        <stp xml:space="preserve"> Equity</stp>
        <stp>dvd_crncy</stp>
        <stp>[EMN_IMS Bloomberg.xlsm  -  version 362.0. 25.11.2021 16.44]Dvd!R70C10</stp>
        <tr r="J70" s="50"/>
      </tp>
      <tp t="e">
        <v>#N/A</v>
        <stp/>
        <stp>##V3_BDPV12</stp>
        <stp xml:space="preserve"> Equity</stp>
        <stp>dvd_crncy</stp>
        <stp>[EMN_IMS Bloomberg.xlsm  -  version 362.0. 25.11.2021 16.44]Dvd!R71C10</stp>
        <tr r="J71" s="50"/>
      </tp>
      <tp t="e">
        <v>#N/A</v>
        <stp/>
        <stp>##V3_BDPV12</stp>
        <stp xml:space="preserve"> Equity</stp>
        <stp>dvd_crncy</stp>
        <stp>[EMN_IMS Bloomberg.xlsm  -  version 362.0. 25.11.2021 16.44]Dvd!R76C10</stp>
        <tr r="J76" s="50"/>
      </tp>
      <tp t="e">
        <v>#N/A</v>
        <stp/>
        <stp>##V3_BDPV12</stp>
        <stp xml:space="preserve"> Equity</stp>
        <stp>dvd_crncy</stp>
        <stp>[EMN_IMS Bloomberg.xlsm  -  version 362.0. 25.11.2021 16.44]Dvd!R77C10</stp>
        <tr r="J77" s="50"/>
      </tp>
      <tp t="e">
        <v>#N/A</v>
        <stp/>
        <stp>##V3_BDPV12</stp>
        <stp xml:space="preserve"> Equity</stp>
        <stp>dvd_crncy</stp>
        <stp>[EMN_IMS Bloomberg.xlsm  -  version 362.0. 25.11.2021 16.44]Dvd!R74C10</stp>
        <tr r="J74" s="50"/>
      </tp>
      <tp t="e">
        <v>#N/A</v>
        <stp/>
        <stp>##V3_BDPV12</stp>
        <stp xml:space="preserve"> Equity</stp>
        <stp>dvd_crncy</stp>
        <stp>[EMN_IMS Bloomberg.xlsm  -  version 362.0. 25.11.2021 16.44]Dvd!R75C10</stp>
        <tr r="J75" s="50"/>
      </tp>
      <tp t="e">
        <v>#N/A</v>
        <stp/>
        <stp>##V3_BDPV12</stp>
        <stp xml:space="preserve"> Equity</stp>
        <stp>dvd_crncy</stp>
        <stp>[EMN_IMS Bloomberg.xlsm  -  version 362.0. 25.11.2021 16.44]Dvd!R68C10</stp>
        <tr r="J68" s="50"/>
      </tp>
      <tp t="e">
        <v>#N/A</v>
        <stp/>
        <stp>##V3_BDPV12</stp>
        <stp xml:space="preserve"> Equity</stp>
        <stp>dvd_crncy</stp>
        <stp>[EMN_IMS Bloomberg.xlsm  -  version 362.0. 25.11.2021 16.44]Dvd!R69C10</stp>
        <tr r="J69" s="50"/>
      </tp>
      <tp t="e">
        <v>#N/A</v>
        <stp/>
        <stp>##V3_BDPV12</stp>
        <stp xml:space="preserve"> Equity</stp>
        <stp>dvd_crncy</stp>
        <stp>[EMN_IMS Bloomberg.xlsm  -  version 362.0. 25.11.2021 16.44]Dvd!R63C10</stp>
        <tr r="J63" s="50"/>
      </tp>
      <tp t="e">
        <v>#N/A</v>
        <stp/>
        <stp>##V3_BDPV12</stp>
        <stp xml:space="preserve"> Equity</stp>
        <stp>dvd_crncy</stp>
        <stp>[EMN_IMS Bloomberg.xlsm  -  version 362.0. 25.11.2021 16.44]Dvd!R66C10</stp>
        <tr r="J66" s="50"/>
      </tp>
      <tp t="e">
        <v>#N/A</v>
        <stp/>
        <stp>##V3_BDPV12</stp>
        <stp xml:space="preserve"> Equity</stp>
        <stp>dvd_crncy</stp>
        <stp>[EMN_IMS Bloomberg.xlsm  -  version 362.0. 25.11.2021 16.44]Dvd!R67C10</stp>
        <tr r="J67" s="50"/>
      </tp>
      <tp t="e">
        <v>#N/A</v>
        <stp/>
        <stp>##V3_BDPV12</stp>
        <stp xml:space="preserve"> Equity</stp>
        <stp>dvd_crncy</stp>
        <stp>[EMN_IMS Bloomberg.xlsm  -  version 362.0. 25.11.2021 16.44]Dvd!R64C10</stp>
        <tr r="J64" s="50"/>
      </tp>
      <tp t="e">
        <v>#N/A</v>
        <stp/>
        <stp>##V3_BDPV12</stp>
        <stp xml:space="preserve"> Equity</stp>
        <stp>dvd_crncy</stp>
        <stp>[EMN_IMS Bloomberg.xlsm  -  version 362.0. 25.11.2021 16.44]Dvd!R65C10</stp>
        <tr r="J65" s="50"/>
      </tp>
      <tp t="e">
        <v>#N/A</v>
        <stp/>
        <stp>##V3_BDPV12</stp>
        <stp xml:space="preserve"> Equity</stp>
        <stp>dvd_crncy</stp>
        <stp>[EMN_IMS Bloomberg.xlsm  -  version 362.0. 25.11.2021 16.44]Dvd!R98C10</stp>
        <tr r="J98" s="50"/>
      </tp>
      <tp t="e">
        <v>#N/A</v>
        <stp/>
        <stp>##V3_BDPV12</stp>
        <stp xml:space="preserve"> Equity</stp>
        <stp>dvd_crncy</stp>
        <stp>[EMN_IMS Bloomberg.xlsm  -  version 362.0. 25.11.2021 16.44]Dvd!R99C10</stp>
        <tr r="J99" s="50"/>
      </tp>
      <tp t="e">
        <v>#N/A</v>
        <stp/>
        <stp>##V3_BDPV12</stp>
        <stp xml:space="preserve"> Equity</stp>
        <stp>dvd_crncy</stp>
        <stp>[EMN_IMS Bloomberg.xlsm  -  version 362.0. 25.11.2021 16.44]Dvd!R92C10</stp>
        <tr r="J92" s="50"/>
      </tp>
      <tp t="e">
        <v>#N/A</v>
        <stp/>
        <stp>##V3_BDPV12</stp>
        <stp xml:space="preserve"> Equity</stp>
        <stp>dvd_crncy</stp>
        <stp>[EMN_IMS Bloomberg.xlsm  -  version 362.0. 25.11.2021 16.44]Dvd!R93C10</stp>
        <tr r="J93" s="50"/>
      </tp>
      <tp t="e">
        <v>#N/A</v>
        <stp/>
        <stp>##V3_BDPV12</stp>
        <stp xml:space="preserve"> Equity</stp>
        <stp>dvd_crncy</stp>
        <stp>[EMN_IMS Bloomberg.xlsm  -  version 362.0. 25.11.2021 16.44]Dvd!R90C10</stp>
        <tr r="J90" s="50"/>
      </tp>
      <tp t="e">
        <v>#N/A</v>
        <stp/>
        <stp>##V3_BDPV12</stp>
        <stp xml:space="preserve"> Equity</stp>
        <stp>dvd_crncy</stp>
        <stp>[EMN_IMS Bloomberg.xlsm  -  version 362.0. 25.11.2021 16.44]Dvd!R91C10</stp>
        <tr r="J91" s="50"/>
      </tp>
      <tp t="e">
        <v>#N/A</v>
        <stp/>
        <stp>##V3_BDPV12</stp>
        <stp xml:space="preserve"> Equity</stp>
        <stp>dvd_crncy</stp>
        <stp>[EMN_IMS Bloomberg.xlsm  -  version 362.0. 25.11.2021 16.44]Dvd!R96C10</stp>
        <tr r="J96" s="50"/>
      </tp>
      <tp t="e">
        <v>#N/A</v>
        <stp/>
        <stp>##V3_BDPV12</stp>
        <stp xml:space="preserve"> Equity</stp>
        <stp>dvd_crncy</stp>
        <stp>[EMN_IMS Bloomberg.xlsm  -  version 362.0. 25.11.2021 16.44]Dvd!R97C10</stp>
        <tr r="J97" s="50"/>
      </tp>
      <tp t="e">
        <v>#N/A</v>
        <stp/>
        <stp>##V3_BDPV12</stp>
        <stp xml:space="preserve"> Equity</stp>
        <stp>dvd_crncy</stp>
        <stp>[EMN_IMS Bloomberg.xlsm  -  version 362.0. 25.11.2021 16.44]Dvd!R94C10</stp>
        <tr r="J94" s="50"/>
      </tp>
      <tp t="e">
        <v>#N/A</v>
        <stp/>
        <stp>##V3_BDPV12</stp>
        <stp xml:space="preserve"> Equity</stp>
        <stp>dvd_crncy</stp>
        <stp>[EMN_IMS Bloomberg.xlsm  -  version 362.0. 25.11.2021 16.44]Dvd!R95C10</stp>
        <tr r="J95" s="50"/>
      </tp>
      <tp t="e">
        <v>#N/A</v>
        <stp/>
        <stp>##V3_BDPV12</stp>
        <stp xml:space="preserve"> Equity</stp>
        <stp>dvd_crncy</stp>
        <stp>[EMN_IMS Bloomberg.xlsm  -  version 362.0. 25.11.2021 16.44]Dvd!R88C10</stp>
        <tr r="J88" s="50"/>
      </tp>
      <tp t="e">
        <v>#N/A</v>
        <stp/>
        <stp>##V3_BDPV12</stp>
        <stp xml:space="preserve"> Equity</stp>
        <stp>dvd_crncy</stp>
        <stp>[EMN_IMS Bloomberg.xlsm  -  version 362.0. 25.11.2021 16.44]Dvd!R89C10</stp>
        <tr r="J89" s="50"/>
      </tp>
      <tp t="e">
        <v>#N/A</v>
        <stp/>
        <stp>##V3_BDPV12</stp>
        <stp xml:space="preserve"> Equity</stp>
        <stp>dvd_crncy</stp>
        <stp>[EMN_IMS Bloomberg.xlsm  -  version 362.0. 25.11.2021 16.44]Dvd!R82C10</stp>
        <tr r="J82" s="50"/>
      </tp>
      <tp t="e">
        <v>#N/A</v>
        <stp/>
        <stp>##V3_BDPV12</stp>
        <stp xml:space="preserve"> Equity</stp>
        <stp>dvd_crncy</stp>
        <stp>[EMN_IMS Bloomberg.xlsm  -  version 362.0. 25.11.2021 16.44]Dvd!R83C10</stp>
        <tr r="J83" s="50"/>
      </tp>
      <tp t="e">
        <v>#N/A</v>
        <stp/>
        <stp>##V3_BDPV12</stp>
        <stp xml:space="preserve"> Equity</stp>
        <stp>dvd_crncy</stp>
        <stp>[EMN_IMS Bloomberg.xlsm  -  version 362.0. 25.11.2021 16.44]Dvd!R80C10</stp>
        <tr r="J80" s="50"/>
      </tp>
      <tp t="e">
        <v>#N/A</v>
        <stp/>
        <stp>##V3_BDPV12</stp>
        <stp xml:space="preserve"> Equity</stp>
        <stp>dvd_crncy</stp>
        <stp>[EMN_IMS Bloomberg.xlsm  -  version 362.0. 25.11.2021 16.44]Dvd!R81C10</stp>
        <tr r="J81" s="50"/>
      </tp>
      <tp t="e">
        <v>#N/A</v>
        <stp/>
        <stp>##V3_BDPV12</stp>
        <stp xml:space="preserve"> Equity</stp>
        <stp>dvd_crncy</stp>
        <stp>[EMN_IMS Bloomberg.xlsm  -  version 362.0. 25.11.2021 16.44]Dvd!R86C10</stp>
        <tr r="J86" s="50"/>
      </tp>
      <tp t="e">
        <v>#N/A</v>
        <stp/>
        <stp>##V3_BDPV12</stp>
        <stp xml:space="preserve"> Equity</stp>
        <stp>dvd_crncy</stp>
        <stp>[EMN_IMS Bloomberg.xlsm  -  version 362.0. 25.11.2021 16.44]Dvd!R87C10</stp>
        <tr r="J87" s="50"/>
      </tp>
      <tp t="e">
        <v>#N/A</v>
        <stp/>
        <stp>##V3_BDPV12</stp>
        <stp xml:space="preserve"> Equity</stp>
        <stp>dvd_crncy</stp>
        <stp>[EMN_IMS Bloomberg.xlsm  -  version 362.0. 25.11.2021 16.44]Dvd!R84C10</stp>
        <tr r="J84" s="50"/>
      </tp>
      <tp t="e">
        <v>#N/A</v>
        <stp/>
        <stp>##V3_BDPV12</stp>
        <stp xml:space="preserve"> Equity</stp>
        <stp>dvd_crncy</stp>
        <stp>[EMN_IMS Bloomberg.xlsm  -  version 362.0. 25.11.2021 16.44]Dvd!R85C10</stp>
        <tr r="J85" s="50"/>
      </tp>
      <tp t="e">
        <v>#N/A</v>
        <stp/>
        <stp>##V3_BDPV12</stp>
        <stp xml:space="preserve"> ISIN</stp>
        <stp>SECURITY_NAME</stp>
        <stp>[EMN_IMS Bloomberg.xlsm  -  version 362.0. 25.11.2021 16.44]TradesBond!R49C6</stp>
        <tr r="F49" s="12"/>
      </tp>
      <tp t="e">
        <v>#N/A</v>
        <stp/>
        <stp>##V3_BDPV12</stp>
        <stp xml:space="preserve"> ISIN</stp>
        <stp>SECURITY_NAME</stp>
        <stp>[EMN_IMS Bloomberg.xlsm  -  version 362.0. 25.11.2021 16.44]TradesBond!R59C6</stp>
        <tr r="F59" s="12"/>
      </tp>
      <tp t="e">
        <v>#N/A</v>
        <stp/>
        <stp>##V3_BDPV12</stp>
        <stp xml:space="preserve"> ISIN</stp>
        <stp>SECURITY_NAME</stp>
        <stp>[EMN_IMS Bloomberg.xlsm  -  version 362.0. 25.11.2021 16.44]TradesBond!R19C6</stp>
        <tr r="F19" s="12"/>
      </tp>
      <tp t="e">
        <v>#N/A</v>
        <stp/>
        <stp>##V3_BDPV12</stp>
        <stp xml:space="preserve"> ISIN</stp>
        <stp>SECURITY_NAME</stp>
        <stp>[EMN_IMS Bloomberg.xlsm  -  version 362.0. 25.11.2021 16.44]TradesBond!R29C6</stp>
        <tr r="F29" s="12"/>
      </tp>
      <tp t="e">
        <v>#N/A</v>
        <stp/>
        <stp>##V3_BDPV12</stp>
        <stp xml:space="preserve"> ISIN</stp>
        <stp>SECURITY_NAME</stp>
        <stp>[EMN_IMS Bloomberg.xlsm  -  version 362.0. 25.11.2021 16.44]TradesBond!R39C6</stp>
        <tr r="F39" s="12"/>
      </tp>
      <tp t="e">
        <v>#N/A</v>
        <stp/>
        <stp>##V3_BDPV12</stp>
        <stp xml:space="preserve"> Equity</stp>
        <stp>DVD_TYP_LAST</stp>
        <stp>[EMN_IMS Bloomberg.xlsm  -  version 362.0. 25.11.2021 16.44]Dvd!R91C9</stp>
        <tr r="I91" s="50"/>
      </tp>
      <tp t="e">
        <v>#N/A</v>
        <stp/>
        <stp>##V3_BDPV12</stp>
        <stp xml:space="preserve"> Equity</stp>
        <stp>DVD_TYP_LAST</stp>
        <stp>[EMN_IMS Bloomberg.xlsm  -  version 362.0. 25.11.2021 16.44]Dvd!R81C9</stp>
        <tr r="I81" s="50"/>
      </tp>
      <tp t="e">
        <v>#N/A</v>
        <stp/>
        <stp>##V3_BDPV12</stp>
        <stp xml:space="preserve"> Equity</stp>
        <stp>DVD_TYP_LAST</stp>
        <stp>[EMN_IMS Bloomberg.xlsm  -  version 362.0. 25.11.2021 16.44]Dvd!R71C9</stp>
        <tr r="I71" s="50"/>
      </tp>
      <tp t="e">
        <v>#N/A</v>
        <stp/>
        <stp>##V3_BDPV12</stp>
        <stp xml:space="preserve"> ISIN</stp>
        <stp>SECURITY_NAME</stp>
        <stp>[EMN_IMS Bloomberg.xlsm  -  version 362.0. 25.11.2021 16.44]TradesBond!R44C6</stp>
        <tr r="F44" s="12"/>
      </tp>
      <tp t="e">
        <v>#N/A</v>
        <stp/>
        <stp>##V3_BDPV12</stp>
        <stp xml:space="preserve"> ISIN</stp>
        <stp>SECURITY_NAME</stp>
        <stp>[EMN_IMS Bloomberg.xlsm  -  version 362.0. 25.11.2021 16.44]TradesBond!R54C6</stp>
        <tr r="F54" s="12"/>
      </tp>
      <tp t="e">
        <v>#N/A</v>
        <stp/>
        <stp>##V3_BDPV12</stp>
        <stp xml:space="preserve"> ISIN</stp>
        <stp>SECURITY_NAME</stp>
        <stp>[EMN_IMS Bloomberg.xlsm  -  version 362.0. 25.11.2021 16.44]TradesBond!R64C6</stp>
        <tr r="F64" s="12"/>
      </tp>
      <tp t="e">
        <v>#N/A</v>
        <stp/>
        <stp>##V3_BDPV12</stp>
        <stp xml:space="preserve"> ISIN</stp>
        <stp>SECURITY_NAME</stp>
        <stp>[EMN_IMS Bloomberg.xlsm  -  version 362.0. 25.11.2021 16.44]TradesBond!R24C6</stp>
        <tr r="F24" s="12"/>
      </tp>
      <tp t="e">
        <v>#N/A</v>
        <stp/>
        <stp>##V3_BDPV12</stp>
        <stp xml:space="preserve"> ISIN</stp>
        <stp>SECURITY_NAME</stp>
        <stp>[EMN_IMS Bloomberg.xlsm  -  version 362.0. 25.11.2021 16.44]TradesBond!R34C6</stp>
        <tr r="F34" s="12"/>
      </tp>
      <tp t="e">
        <v>#N/A</v>
        <stp/>
        <stp>##V3_BDPV12</stp>
        <stp xml:space="preserve"> Equity</stp>
        <stp>DVD_TYP_LAST</stp>
        <stp>[EMN_IMS Bloomberg.xlsm  -  version 362.0. 25.11.2021 16.44]Dvd!R90C9</stp>
        <tr r="I90" s="50"/>
      </tp>
      <tp t="e">
        <v>#N/A</v>
        <stp/>
        <stp>##V3_BDPV12</stp>
        <stp xml:space="preserve"> Equity</stp>
        <stp>DVD_TYP_LAST</stp>
        <stp>[EMN_IMS Bloomberg.xlsm  -  version 362.0. 25.11.2021 16.44]Dvd!R80C9</stp>
        <tr r="I80" s="50"/>
      </tp>
      <tp t="e">
        <v>#N/A</v>
        <stp/>
        <stp>##V3_BDPV12</stp>
        <stp xml:space="preserve"> Equity</stp>
        <stp>DVD_TYP_LAST</stp>
        <stp>[EMN_IMS Bloomberg.xlsm  -  version 362.0. 25.11.2021 16.44]Dvd!R70C9</stp>
        <tr r="I70" s="50"/>
      </tp>
      <tp t="e">
        <v>#N/A</v>
        <stp/>
        <stp>##V3_BDPV12</stp>
        <stp xml:space="preserve"> ISIN</stp>
        <stp>SECURITY_NAME</stp>
        <stp>[EMN_IMS Bloomberg.xlsm  -  version 362.0. 25.11.2021 16.44]TradesBond!R45C6</stp>
        <tr r="F45" s="12"/>
      </tp>
      <tp t="e">
        <v>#N/A</v>
        <stp/>
        <stp>##V3_BDPV12</stp>
        <stp xml:space="preserve"> ISIN</stp>
        <stp>SECURITY_NAME</stp>
        <stp>[EMN_IMS Bloomberg.xlsm  -  version 362.0. 25.11.2021 16.44]TradesBond!R55C6</stp>
        <tr r="F55" s="12"/>
      </tp>
      <tp t="e">
        <v>#N/A</v>
        <stp/>
        <stp>##V3_BDPV12</stp>
        <stp xml:space="preserve"> ISIN</stp>
        <stp>SECURITY_NAME</stp>
        <stp>[EMN_IMS Bloomberg.xlsm  -  version 362.0. 25.11.2021 16.44]TradesBond!R65C6</stp>
        <tr r="F65" s="12"/>
      </tp>
      <tp t="e">
        <v>#N/A</v>
        <stp/>
        <stp>##V3_BDPV12</stp>
        <stp xml:space="preserve"> ISIN</stp>
        <stp>SECURITY_NAME</stp>
        <stp>[EMN_IMS Bloomberg.xlsm  -  version 362.0. 25.11.2021 16.44]TradesBond!R15C6</stp>
        <tr r="F15" s="12"/>
      </tp>
      <tp t="e">
        <v>#N/A</v>
        <stp/>
        <stp>##V3_BDPV12</stp>
        <stp xml:space="preserve"> ISIN</stp>
        <stp>SECURITY_NAME</stp>
        <stp>[EMN_IMS Bloomberg.xlsm  -  version 362.0. 25.11.2021 16.44]TradesBond!R25C6</stp>
        <tr r="F25" s="12"/>
      </tp>
      <tp t="e">
        <v>#N/A</v>
        <stp/>
        <stp>##V3_BDPV12</stp>
        <stp xml:space="preserve"> ISIN</stp>
        <stp>SECURITY_NAME</stp>
        <stp>[EMN_IMS Bloomberg.xlsm  -  version 362.0. 25.11.2021 16.44]TradesBond!R35C6</stp>
        <tr r="F35" s="12"/>
      </tp>
      <tp t="e">
        <v>#N/A</v>
        <stp/>
        <stp>##V3_BDPV12</stp>
        <stp xml:space="preserve"> Equity</stp>
        <stp>DVD_TYP_LAST</stp>
        <stp>[EMN_IMS Bloomberg.xlsm  -  version 362.0. 25.11.2021 16.44]Dvd!R93C9</stp>
        <tr r="I93" s="50"/>
      </tp>
      <tp t="e">
        <v>#N/A</v>
        <stp/>
        <stp>##V3_BDPV12</stp>
        <stp xml:space="preserve"> Equity</stp>
        <stp>DVD_TYP_LAST</stp>
        <stp>[EMN_IMS Bloomberg.xlsm  -  version 362.0. 25.11.2021 16.44]Dvd!R83C9</stp>
        <tr r="I83" s="50"/>
      </tp>
      <tp t="e">
        <v>#N/A</v>
        <stp/>
        <stp>##V3_BDPV12</stp>
        <stp xml:space="preserve"> Equity</stp>
        <stp>DVD_TYP_LAST</stp>
        <stp>[EMN_IMS Bloomberg.xlsm  -  version 362.0. 25.11.2021 16.44]Dvd!R73C9</stp>
        <tr r="I73" s="50"/>
      </tp>
      <tp t="e">
        <v>#N/A</v>
        <stp/>
        <stp>##V3_BDPV12</stp>
        <stp xml:space="preserve"> Equity</stp>
        <stp>DVD_TYP_LAST</stp>
        <stp>[EMN_IMS Bloomberg.xlsm  -  version 362.0. 25.11.2021 16.44]Dvd!R63C9</stp>
        <tr r="I63" s="50"/>
      </tp>
      <tp t="e">
        <v>#N/A</v>
        <stp/>
        <stp>##V3_BDPV12</stp>
        <stp xml:space="preserve"> Equity</stp>
        <stp>dvd_pay_dt</stp>
        <stp>[EMN_IMS Bloomberg.xlsm  -  version 362.0. 25.11.2021 16.44]Dvd!R100C8</stp>
        <tr r="H100" s="50"/>
      </tp>
      <tp t="e">
        <v>#N/A</v>
        <stp/>
        <stp>##V3_BDPV12</stp>
        <stp xml:space="preserve"> ISIN</stp>
        <stp>SECURITY_NAME</stp>
        <stp>[EMN_IMS Bloomberg.xlsm  -  version 362.0. 25.11.2021 16.44]TradesBond!R46C6</stp>
        <tr r="F46" s="12"/>
      </tp>
      <tp t="e">
        <v>#N/A</v>
        <stp/>
        <stp>##V3_BDPV12</stp>
        <stp xml:space="preserve"> ISIN</stp>
        <stp>SECURITY_NAME</stp>
        <stp>[EMN_IMS Bloomberg.xlsm  -  version 362.0. 25.11.2021 16.44]TradesBond!R56C6</stp>
        <tr r="F56" s="12"/>
      </tp>
      <tp t="e">
        <v>#N/A</v>
        <stp/>
        <stp>##V3_BDPV12</stp>
        <stp xml:space="preserve"> ISIN</stp>
        <stp>SECURITY_NAME</stp>
        <stp>[EMN_IMS Bloomberg.xlsm  -  version 362.0. 25.11.2021 16.44]TradesBond!R16C6</stp>
        <tr r="F16" s="12"/>
      </tp>
      <tp t="e">
        <v>#N/A</v>
        <stp/>
        <stp>##V3_BDPV12</stp>
        <stp xml:space="preserve"> ISIN</stp>
        <stp>SECURITY_NAME</stp>
        <stp>[EMN_IMS Bloomberg.xlsm  -  version 362.0. 25.11.2021 16.44]TradesBond!R26C6</stp>
        <tr r="F26" s="12"/>
      </tp>
      <tp t="e">
        <v>#N/A</v>
        <stp/>
        <stp>##V3_BDPV12</stp>
        <stp xml:space="preserve"> ISIN</stp>
        <stp>SECURITY_NAME</stp>
        <stp>[EMN_IMS Bloomberg.xlsm  -  version 362.0. 25.11.2021 16.44]TradesBond!R36C6</stp>
        <tr r="F36" s="12"/>
      </tp>
      <tp t="e">
        <v>#N/A</v>
        <stp/>
        <stp>##V3_BDPV12</stp>
        <stp xml:space="preserve"> Equity</stp>
        <stp>DVD_TYP_LAST</stp>
        <stp>[EMN_IMS Bloomberg.xlsm  -  version 362.0. 25.11.2021 16.44]Dvd!R92C9</stp>
        <tr r="I92" s="50"/>
      </tp>
      <tp t="e">
        <v>#N/A</v>
        <stp/>
        <stp>##V3_BDPV12</stp>
        <stp xml:space="preserve"> Equity</stp>
        <stp>DVD_TYP_LAST</stp>
        <stp>[EMN_IMS Bloomberg.xlsm  -  version 362.0. 25.11.2021 16.44]Dvd!R82C9</stp>
        <tr r="I82" s="50"/>
      </tp>
      <tp t="e">
        <v>#N/A</v>
        <stp/>
        <stp>##V3_BDPV12</stp>
        <stp xml:space="preserve"> Equity</stp>
        <stp>DVD_TYP_LAST</stp>
        <stp>[EMN_IMS Bloomberg.xlsm  -  version 362.0. 25.11.2021 16.44]Dvd!R72C9</stp>
        <tr r="I72" s="50"/>
      </tp>
      <tp t="e">
        <v>#N/A</v>
        <stp/>
        <stp>##V3_BDPV12</stp>
        <stp xml:space="preserve"> ISIN</stp>
        <stp>PX_LAST</stp>
        <stp>[EMN_IMS Bloomberg.xlsm  -  version 362.0. 25.11.2021 16.44]Pre-check SELL!R125C3</stp>
        <tr r="C125" s="24"/>
      </tp>
      <tp t="e">
        <v>#N/A</v>
        <stp/>
        <stp>##V3_BDPV12</stp>
        <stp xml:space="preserve"> ISIN</stp>
        <stp>SECURITY_NAME</stp>
        <stp>[EMN_IMS Bloomberg.xlsm  -  version 362.0. 25.11.2021 16.44]TradesBond!R47C6</stp>
        <tr r="F47" s="12"/>
      </tp>
      <tp t="e">
        <v>#N/A</v>
        <stp/>
        <stp>##V3_BDPV12</stp>
        <stp xml:space="preserve"> ISIN</stp>
        <stp>SECURITY_NAME</stp>
        <stp>[EMN_IMS Bloomberg.xlsm  -  version 362.0. 25.11.2021 16.44]TradesBond!R57C6</stp>
        <tr r="F57" s="12"/>
      </tp>
      <tp t="e">
        <v>#N/A</v>
        <stp/>
        <stp>##V3_BDPV12</stp>
        <stp xml:space="preserve"> ISIN</stp>
        <stp>SECURITY_NAME</stp>
        <stp>[EMN_IMS Bloomberg.xlsm  -  version 362.0. 25.11.2021 16.44]TradesBond!R17C6</stp>
        <tr r="F17" s="12"/>
      </tp>
      <tp t="e">
        <v>#N/A</v>
        <stp/>
        <stp>##V3_BDPV12</stp>
        <stp xml:space="preserve"> ISIN</stp>
        <stp>SECURITY_NAME</stp>
        <stp>[EMN_IMS Bloomberg.xlsm  -  version 362.0. 25.11.2021 16.44]TradesBond!R27C6</stp>
        <tr r="F27" s="12"/>
      </tp>
      <tp t="e">
        <v>#N/A</v>
        <stp/>
        <stp>##V3_BDPV12</stp>
        <stp xml:space="preserve"> ISIN</stp>
        <stp>SECURITY_NAME</stp>
        <stp>[EMN_IMS Bloomberg.xlsm  -  version 362.0. 25.11.2021 16.44]TradesBond!R37C6</stp>
        <tr r="F37" s="12"/>
      </tp>
      <tp t="e">
        <v>#N/A</v>
        <stp/>
        <stp>##V3_BDPV12</stp>
        <stp xml:space="preserve"> Equity</stp>
        <stp>DVD_TYP_LAST</stp>
        <stp>[EMN_IMS Bloomberg.xlsm  -  version 362.0. 25.11.2021 16.44]Dvd!R95C9</stp>
        <tr r="I95" s="50"/>
      </tp>
      <tp t="e">
        <v>#N/A</v>
        <stp/>
        <stp>##V3_BDPV12</stp>
        <stp xml:space="preserve"> Equity</stp>
        <stp>DVD_TYP_LAST</stp>
        <stp>[EMN_IMS Bloomberg.xlsm  -  version 362.0. 25.11.2021 16.44]Dvd!R85C9</stp>
        <tr r="I85" s="50"/>
      </tp>
      <tp t="e">
        <v>#N/A</v>
        <stp/>
        <stp>##V3_BDPV12</stp>
        <stp xml:space="preserve"> Equity</stp>
        <stp>DVD_TYP_LAST</stp>
        <stp>[EMN_IMS Bloomberg.xlsm  -  version 362.0. 25.11.2021 16.44]Dvd!R75C9</stp>
        <tr r="I75" s="50"/>
      </tp>
      <tp t="e">
        <v>#N/A</v>
        <stp/>
        <stp>##V3_BDPV12</stp>
        <stp xml:space="preserve"> Equity</stp>
        <stp>DVD_TYP_LAST</stp>
        <stp>[EMN_IMS Bloomberg.xlsm  -  version 362.0. 25.11.2021 16.44]Dvd!R65C9</stp>
        <tr r="I65" s="50"/>
      </tp>
      <tp t="e">
        <v>#N/A</v>
        <stp/>
        <stp>##V3_BDPV12</stp>
        <stp xml:space="preserve"> ISIN</stp>
        <stp>SECURITY_NAME</stp>
        <stp>[EMN_IMS Bloomberg.xlsm  -  version 362.0. 25.11.2021 16.44]TradesBond!R40C6</stp>
        <tr r="F40" s="12"/>
      </tp>
      <tp t="e">
        <v>#N/A</v>
        <stp/>
        <stp>##V3_BDPV12</stp>
        <stp xml:space="preserve"> ISIN</stp>
        <stp>SECURITY_NAME</stp>
        <stp>[EMN_IMS Bloomberg.xlsm  -  version 362.0. 25.11.2021 16.44]TradesBond!R50C6</stp>
        <tr r="F50" s="12"/>
      </tp>
      <tp t="e">
        <v>#N/A</v>
        <stp/>
        <stp>##V3_BDPV12</stp>
        <stp xml:space="preserve"> ISIN</stp>
        <stp>SECURITY_NAME</stp>
        <stp>[EMN_IMS Bloomberg.xlsm  -  version 362.0. 25.11.2021 16.44]TradesBond!R60C6</stp>
        <tr r="F60" s="12"/>
      </tp>
      <tp t="e">
        <v>#N/A</v>
        <stp/>
        <stp>##V3_BDPV12</stp>
        <stp xml:space="preserve"> ISIN</stp>
        <stp>SECURITY_NAME</stp>
        <stp>[EMN_IMS Bloomberg.xlsm  -  version 362.0. 25.11.2021 16.44]TradesBond!R20C6</stp>
        <tr r="F20" s="12"/>
      </tp>
      <tp t="e">
        <v>#N/A</v>
        <stp/>
        <stp>##V3_BDPV12</stp>
        <stp xml:space="preserve"> ISIN</stp>
        <stp>SECURITY_NAME</stp>
        <stp>[EMN_IMS Bloomberg.xlsm  -  version 362.0. 25.11.2021 16.44]TradesBond!R30C6</stp>
        <tr r="F30" s="12"/>
      </tp>
      <tp t="e">
        <v>#N/A</v>
        <stp/>
        <stp>##V3_BDPV12</stp>
        <stp xml:space="preserve"> Equity</stp>
        <stp>DVD_TYP_LAST</stp>
        <stp>[EMN_IMS Bloomberg.xlsm  -  version 362.0. 25.11.2021 16.44]Dvd!R94C9</stp>
        <tr r="I94" s="50"/>
      </tp>
      <tp t="e">
        <v>#N/A</v>
        <stp/>
        <stp>##V3_BDPV12</stp>
        <stp xml:space="preserve"> Equity</stp>
        <stp>DVD_TYP_LAST</stp>
        <stp>[EMN_IMS Bloomberg.xlsm  -  version 362.0. 25.11.2021 16.44]Dvd!R84C9</stp>
        <tr r="I84" s="50"/>
      </tp>
      <tp t="e">
        <v>#N/A</v>
        <stp/>
        <stp>##V3_BDPV12</stp>
        <stp xml:space="preserve"> Equity</stp>
        <stp>DVD_TYP_LAST</stp>
        <stp>[EMN_IMS Bloomberg.xlsm  -  version 362.0. 25.11.2021 16.44]Dvd!R74C9</stp>
        <tr r="I74" s="50"/>
      </tp>
      <tp t="e">
        <v>#N/A</v>
        <stp/>
        <stp>##V3_BDPV12</stp>
        <stp xml:space="preserve"> Equity</stp>
        <stp>DVD_TYP_LAST</stp>
        <stp>[EMN_IMS Bloomberg.xlsm  -  version 362.0. 25.11.2021 16.44]Dvd!R64C9</stp>
        <tr r="I64" s="50"/>
      </tp>
      <tp t="e">
        <v>#N/A</v>
        <stp/>
        <stp>##V3_BDPV12</stp>
        <stp xml:space="preserve"> ISIN</stp>
        <stp>SECURITY_NAME</stp>
        <stp>[EMN_IMS Bloomberg.xlsm  -  version 362.0. 25.11.2021 16.44]TradesBond!R41C6</stp>
        <tr r="F41" s="12"/>
      </tp>
      <tp t="e">
        <v>#N/A</v>
        <stp/>
        <stp>##V3_BDPV12</stp>
        <stp xml:space="preserve"> ISIN</stp>
        <stp>SECURITY_NAME</stp>
        <stp>[EMN_IMS Bloomberg.xlsm  -  version 362.0. 25.11.2021 16.44]TradesBond!R51C6</stp>
        <tr r="F51" s="12"/>
      </tp>
      <tp t="e">
        <v>#N/A</v>
        <stp/>
        <stp>##V3_BDPV12</stp>
        <stp xml:space="preserve"> ISIN</stp>
        <stp>SECURITY_NAME</stp>
        <stp>[EMN_IMS Bloomberg.xlsm  -  version 362.0. 25.11.2021 16.44]TradesBond!R61C6</stp>
        <tr r="F61" s="12"/>
      </tp>
      <tp t="e">
        <v>#N/A</v>
        <stp/>
        <stp>##V3_BDPV12</stp>
        <stp xml:space="preserve"> ISIN</stp>
        <stp>SECURITY_NAME</stp>
        <stp>[EMN_IMS Bloomberg.xlsm  -  version 362.0. 25.11.2021 16.44]TradesBond!R21C6</stp>
        <tr r="F21" s="12"/>
      </tp>
      <tp t="e">
        <v>#N/A</v>
        <stp/>
        <stp>##V3_BDPV12</stp>
        <stp xml:space="preserve"> ISIN</stp>
        <stp>SECURITY_NAME</stp>
        <stp>[EMN_IMS Bloomberg.xlsm  -  version 362.0. 25.11.2021 16.44]TradesBond!R31C6</stp>
        <tr r="F31" s="12"/>
      </tp>
      <tp t="e">
        <v>#N/A</v>
        <stp/>
        <stp>##V3_BDPV12</stp>
        <stp xml:space="preserve"> Equity</stp>
        <stp>DVD_TYP_LAST</stp>
        <stp>[EMN_IMS Bloomberg.xlsm  -  version 362.0. 25.11.2021 16.44]Dvd!R97C9</stp>
        <tr r="I97" s="50"/>
      </tp>
      <tp t="e">
        <v>#N/A</v>
        <stp/>
        <stp>##V3_BDPV12</stp>
        <stp xml:space="preserve"> Equity</stp>
        <stp>DVD_TYP_LAST</stp>
        <stp>[EMN_IMS Bloomberg.xlsm  -  version 362.0. 25.11.2021 16.44]Dvd!R87C9</stp>
        <tr r="I87" s="50"/>
      </tp>
      <tp t="e">
        <v>#N/A</v>
        <stp/>
        <stp>##V3_BDPV12</stp>
        <stp xml:space="preserve"> Equity</stp>
        <stp>DVD_TYP_LAST</stp>
        <stp>[EMN_IMS Bloomberg.xlsm  -  version 362.0. 25.11.2021 16.44]Dvd!R77C9</stp>
        <tr r="I77" s="50"/>
      </tp>
      <tp t="e">
        <v>#N/A</v>
        <stp/>
        <stp>##V3_BDPV12</stp>
        <stp xml:space="preserve"> Equity</stp>
        <stp>DVD_TYP_LAST</stp>
        <stp>[EMN_IMS Bloomberg.xlsm  -  version 362.0. 25.11.2021 16.44]Dvd!R67C9</stp>
        <tr r="I67" s="50"/>
      </tp>
      <tp t="e">
        <v>#N/A</v>
        <stp/>
        <stp>##V3_BDPV12</stp>
        <stp xml:space="preserve"> ISIN</stp>
        <stp>SECURITY_NAME</stp>
        <stp>[EMN_IMS Bloomberg.xlsm  -  version 362.0. 25.11.2021 16.44]TradesBond!R42C6</stp>
        <tr r="F42" s="12"/>
      </tp>
      <tp t="e">
        <v>#N/A</v>
        <stp/>
        <stp>##V3_BDPV12</stp>
        <stp xml:space="preserve"> ISIN</stp>
        <stp>SECURITY_NAME</stp>
        <stp>[EMN_IMS Bloomberg.xlsm  -  version 362.0. 25.11.2021 16.44]TradesBond!R52C6</stp>
        <tr r="F52" s="12"/>
      </tp>
      <tp t="e">
        <v>#N/A</v>
        <stp/>
        <stp>##V3_BDPV12</stp>
        <stp xml:space="preserve"> ISIN</stp>
        <stp>SECURITY_NAME</stp>
        <stp>[EMN_IMS Bloomberg.xlsm  -  version 362.0. 25.11.2021 16.44]TradesBond!R62C6</stp>
        <tr r="F62" s="12"/>
      </tp>
      <tp t="e">
        <v>#N/A</v>
        <stp/>
        <stp>##V3_BDPV12</stp>
        <stp xml:space="preserve"> ISIN</stp>
        <stp>SECURITY_NAME</stp>
        <stp>[EMN_IMS Bloomberg.xlsm  -  version 362.0. 25.11.2021 16.44]TradesBond!R22C6</stp>
        <tr r="F22" s="12"/>
      </tp>
      <tp t="e">
        <v>#N/A</v>
        <stp/>
        <stp>##V3_BDPV12</stp>
        <stp xml:space="preserve"> ISIN</stp>
        <stp>SECURITY_NAME</stp>
        <stp>[EMN_IMS Bloomberg.xlsm  -  version 362.0. 25.11.2021 16.44]TradesBond!R32C6</stp>
        <tr r="F32" s="12"/>
      </tp>
      <tp t="e">
        <v>#N/A</v>
        <stp/>
        <stp>##V3_BDPV12</stp>
        <stp xml:space="preserve"> Equity</stp>
        <stp>DVD_TYP_LAST</stp>
        <stp>[EMN_IMS Bloomberg.xlsm  -  version 362.0. 25.11.2021 16.44]Dvd!R96C9</stp>
        <tr r="I96" s="50"/>
      </tp>
      <tp t="e">
        <v>#N/A</v>
        <stp/>
        <stp>##V3_BDPV12</stp>
        <stp xml:space="preserve"> Equity</stp>
        <stp>DVD_TYP_LAST</stp>
        <stp>[EMN_IMS Bloomberg.xlsm  -  version 362.0. 25.11.2021 16.44]Dvd!R86C9</stp>
        <tr r="I86" s="50"/>
      </tp>
      <tp t="e">
        <v>#N/A</v>
        <stp/>
        <stp>##V3_BDPV12</stp>
        <stp xml:space="preserve"> Equity</stp>
        <stp>DVD_TYP_LAST</stp>
        <stp>[EMN_IMS Bloomberg.xlsm  -  version 362.0. 25.11.2021 16.44]Dvd!R76C9</stp>
        <tr r="I76" s="50"/>
      </tp>
      <tp t="e">
        <v>#N/A</v>
        <stp/>
        <stp>##V3_BDPV12</stp>
        <stp xml:space="preserve"> Equity</stp>
        <stp>DVD_TYP_LAST</stp>
        <stp>[EMN_IMS Bloomberg.xlsm  -  version 362.0. 25.11.2021 16.44]Dvd!R66C9</stp>
        <tr r="I66" s="50"/>
      </tp>
      <tp t="e">
        <v>#N/A</v>
        <stp/>
        <stp>##V3_BDPV12</stp>
        <stp xml:space="preserve"> ISIN</stp>
        <stp>SECURITY_NAME</stp>
        <stp>[EMN_IMS Bloomberg.xlsm  -  version 362.0. 25.11.2021 16.44]TradesBond!R43C6</stp>
        <tr r="F43" s="12"/>
      </tp>
      <tp t="e">
        <v>#N/A</v>
        <stp/>
        <stp>##V3_BDPV12</stp>
        <stp xml:space="preserve"> ISIN</stp>
        <stp>SECURITY_NAME</stp>
        <stp>[EMN_IMS Bloomberg.xlsm  -  version 362.0. 25.11.2021 16.44]TradesBond!R53C6</stp>
        <tr r="F53" s="12"/>
      </tp>
      <tp t="e">
        <v>#N/A</v>
        <stp/>
        <stp>##V3_BDPV12</stp>
        <stp xml:space="preserve"> ISIN</stp>
        <stp>SECURITY_NAME</stp>
        <stp>[EMN_IMS Bloomberg.xlsm  -  version 362.0. 25.11.2021 16.44]TradesBond!R63C6</stp>
        <tr r="F63" s="12"/>
      </tp>
      <tp t="e">
        <v>#N/A</v>
        <stp/>
        <stp>##V3_BDPV12</stp>
        <stp xml:space="preserve"> ISIN</stp>
        <stp>SECURITY_NAME</stp>
        <stp>[EMN_IMS Bloomberg.xlsm  -  version 362.0. 25.11.2021 16.44]TradesBond!R23C6</stp>
        <tr r="F23" s="12"/>
      </tp>
      <tp t="e">
        <v>#N/A</v>
        <stp/>
        <stp>##V3_BDPV12</stp>
        <stp xml:space="preserve"> ISIN</stp>
        <stp>SECURITY_NAME</stp>
        <stp>[EMN_IMS Bloomberg.xlsm  -  version 362.0. 25.11.2021 16.44]TradesBond!R33C6</stp>
        <tr r="F33" s="12"/>
      </tp>
      <tp t="e">
        <v>#N/A</v>
        <stp/>
        <stp>##V3_BDPV12</stp>
        <stp xml:space="preserve"> Equity</stp>
        <stp>EQY_DVD_YLD_IND_NET</stp>
        <stp>[EMN_IMS Bloomberg.xlsm  -  version 362.0. 25.11.2021 16.44]Dvd!R92C24</stp>
        <tr r="X92" s="50"/>
      </tp>
      <tp t="e">
        <v>#N/A</v>
        <stp/>
        <stp>##V3_BDPV12</stp>
        <stp xml:space="preserve"> Equity</stp>
        <stp>EQY_DVD_YLD_IND_NET</stp>
        <stp>[EMN_IMS Bloomberg.xlsm  -  version 362.0. 25.11.2021 16.44]Dvd!R93C24</stp>
        <tr r="X93" s="50"/>
      </tp>
      <tp t="e">
        <v>#N/A</v>
        <stp/>
        <stp>##V3_BDPV12</stp>
        <stp xml:space="preserve"> Equity</stp>
        <stp>EQY_DVD_YLD_IND_NET</stp>
        <stp>[EMN_IMS Bloomberg.xlsm  -  version 362.0. 25.11.2021 16.44]Dvd!R90C24</stp>
        <tr r="X90" s="50"/>
      </tp>
      <tp t="e">
        <v>#N/A</v>
        <stp/>
        <stp>##V3_BDPV12</stp>
        <stp xml:space="preserve"> Equity</stp>
        <stp>EQY_DVD_YLD_IND_NET</stp>
        <stp>[EMN_IMS Bloomberg.xlsm  -  version 362.0. 25.11.2021 16.44]Dvd!R91C24</stp>
        <tr r="X91" s="50"/>
      </tp>
      <tp t="e">
        <v>#N/A</v>
        <stp/>
        <stp>##V3_BDPV12</stp>
        <stp xml:space="preserve"> Equity</stp>
        <stp>EQY_DVD_YLD_IND_NET</stp>
        <stp>[EMN_IMS Bloomberg.xlsm  -  version 362.0. 25.11.2021 16.44]Dvd!R96C24</stp>
        <tr r="X96" s="50"/>
      </tp>
      <tp t="e">
        <v>#N/A</v>
        <stp/>
        <stp>##V3_BDPV12</stp>
        <stp xml:space="preserve"> Equity</stp>
        <stp>EQY_DVD_YLD_IND_NET</stp>
        <stp>[EMN_IMS Bloomberg.xlsm  -  version 362.0. 25.11.2021 16.44]Dvd!R97C24</stp>
        <tr r="X97" s="50"/>
      </tp>
      <tp t="e">
        <v>#N/A</v>
        <stp/>
        <stp>##V3_BDPV12</stp>
        <stp xml:space="preserve"> Equity</stp>
        <stp>EQY_DVD_YLD_IND_NET</stp>
        <stp>[EMN_IMS Bloomberg.xlsm  -  version 362.0. 25.11.2021 16.44]Dvd!R94C24</stp>
        <tr r="X94" s="50"/>
      </tp>
      <tp t="e">
        <v>#N/A</v>
        <stp/>
        <stp>##V3_BDPV12</stp>
        <stp xml:space="preserve"> Equity</stp>
        <stp>EQY_DVD_YLD_IND_NET</stp>
        <stp>[EMN_IMS Bloomberg.xlsm  -  version 362.0. 25.11.2021 16.44]Dvd!R95C24</stp>
        <tr r="X95" s="50"/>
      </tp>
      <tp t="e">
        <v>#N/A</v>
        <stp/>
        <stp>##V3_BDPV12</stp>
        <stp xml:space="preserve"> Equity</stp>
        <stp>EQY_DVD_YLD_IND_NET</stp>
        <stp>[EMN_IMS Bloomberg.xlsm  -  version 362.0. 25.11.2021 16.44]Dvd!R98C24</stp>
        <tr r="X98" s="50"/>
      </tp>
      <tp t="e">
        <v>#N/A</v>
        <stp/>
        <stp>##V3_BDPV12</stp>
        <stp xml:space="preserve"> Equity</stp>
        <stp>EQY_DVD_YLD_IND_NET</stp>
        <stp>[EMN_IMS Bloomberg.xlsm  -  version 362.0. 25.11.2021 16.44]Dvd!R99C24</stp>
        <tr r="X99" s="50"/>
      </tp>
      <tp t="e">
        <v>#N/A</v>
        <stp/>
        <stp>##V3_BDPV12</stp>
        <stp xml:space="preserve"> Equity</stp>
        <stp>EQY_DVD_YLD_IND_NET</stp>
        <stp>[EMN_IMS Bloomberg.xlsm  -  version 362.0. 25.11.2021 16.44]Dvd!R82C24</stp>
        <tr r="X82" s="50"/>
      </tp>
      <tp t="e">
        <v>#N/A</v>
        <stp/>
        <stp>##V3_BDPV12</stp>
        <stp xml:space="preserve"> Equity</stp>
        <stp>EQY_DVD_YLD_IND_NET</stp>
        <stp>[EMN_IMS Bloomberg.xlsm  -  version 362.0. 25.11.2021 16.44]Dvd!R83C24</stp>
        <tr r="X83" s="50"/>
      </tp>
      <tp t="e">
        <v>#N/A</v>
        <stp/>
        <stp>##V3_BDPV12</stp>
        <stp xml:space="preserve"> Equity</stp>
        <stp>EQY_DVD_YLD_IND_NET</stp>
        <stp>[EMN_IMS Bloomberg.xlsm  -  version 362.0. 25.11.2021 16.44]Dvd!R80C24</stp>
        <tr r="X80" s="50"/>
      </tp>
      <tp t="e">
        <v>#N/A</v>
        <stp/>
        <stp>##V3_BDPV12</stp>
        <stp xml:space="preserve"> Equity</stp>
        <stp>EQY_DVD_YLD_IND_NET</stp>
        <stp>[EMN_IMS Bloomberg.xlsm  -  version 362.0. 25.11.2021 16.44]Dvd!R81C24</stp>
        <tr r="X81" s="50"/>
      </tp>
      <tp t="e">
        <v>#N/A</v>
        <stp/>
        <stp>##V3_BDPV12</stp>
        <stp xml:space="preserve"> Equity</stp>
        <stp>EQY_DVD_YLD_IND_NET</stp>
        <stp>[EMN_IMS Bloomberg.xlsm  -  version 362.0. 25.11.2021 16.44]Dvd!R86C24</stp>
        <tr r="X86" s="50"/>
      </tp>
      <tp t="e">
        <v>#N/A</v>
        <stp/>
        <stp>##V3_BDPV12</stp>
        <stp xml:space="preserve"> Equity</stp>
        <stp>EQY_DVD_YLD_IND_NET</stp>
        <stp>[EMN_IMS Bloomberg.xlsm  -  version 362.0. 25.11.2021 16.44]Dvd!R87C24</stp>
        <tr r="X87" s="50"/>
      </tp>
      <tp t="e">
        <v>#N/A</v>
        <stp/>
        <stp>##V3_BDPV12</stp>
        <stp xml:space="preserve"> Equity</stp>
        <stp>EQY_DVD_YLD_IND_NET</stp>
        <stp>[EMN_IMS Bloomberg.xlsm  -  version 362.0. 25.11.2021 16.44]Dvd!R84C24</stp>
        <tr r="X84" s="50"/>
      </tp>
      <tp t="e">
        <v>#N/A</v>
        <stp/>
        <stp>##V3_BDPV12</stp>
        <stp xml:space="preserve"> Equity</stp>
        <stp>EQY_DVD_YLD_IND_NET</stp>
        <stp>[EMN_IMS Bloomberg.xlsm  -  version 362.0. 25.11.2021 16.44]Dvd!R85C24</stp>
        <tr r="X85" s="50"/>
      </tp>
      <tp t="e">
        <v>#N/A</v>
        <stp/>
        <stp>##V3_BDPV12</stp>
        <stp xml:space="preserve"> Equity</stp>
        <stp>EQY_DVD_YLD_IND_NET</stp>
        <stp>[EMN_IMS Bloomberg.xlsm  -  version 362.0. 25.11.2021 16.44]Dvd!R88C24</stp>
        <tr r="X88" s="50"/>
      </tp>
      <tp t="e">
        <v>#N/A</v>
        <stp/>
        <stp>##V3_BDPV12</stp>
        <stp xml:space="preserve"> Equity</stp>
        <stp>EQY_DVD_YLD_IND_NET</stp>
        <stp>[EMN_IMS Bloomberg.xlsm  -  version 362.0. 25.11.2021 16.44]Dvd!R89C24</stp>
        <tr r="X89" s="50"/>
      </tp>
      <tp t="e">
        <v>#N/A</v>
        <stp/>
        <stp>##V3_BDPV12</stp>
        <stp xml:space="preserve"> Equity</stp>
        <stp>EQY_DVD_YLD_IND_NET</stp>
        <stp>[EMN_IMS Bloomberg.xlsm  -  version 362.0. 25.11.2021 16.44]Dvd!R72C24</stp>
        <tr r="X72" s="50"/>
      </tp>
      <tp t="e">
        <v>#N/A</v>
        <stp/>
        <stp>##V3_BDPV12</stp>
        <stp xml:space="preserve"> Equity</stp>
        <stp>EQY_DVD_YLD_IND_NET</stp>
        <stp>[EMN_IMS Bloomberg.xlsm  -  version 362.0. 25.11.2021 16.44]Dvd!R73C24</stp>
        <tr r="X73" s="50"/>
      </tp>
      <tp t="e">
        <v>#N/A</v>
        <stp/>
        <stp>##V3_BDPV12</stp>
        <stp xml:space="preserve"> Equity</stp>
        <stp>EQY_DVD_YLD_IND_NET</stp>
        <stp>[EMN_IMS Bloomberg.xlsm  -  version 362.0. 25.11.2021 16.44]Dvd!R70C24</stp>
        <tr r="X70" s="50"/>
      </tp>
      <tp t="e">
        <v>#N/A</v>
        <stp/>
        <stp>##V3_BDPV12</stp>
        <stp xml:space="preserve"> Equity</stp>
        <stp>EQY_DVD_YLD_IND_NET</stp>
        <stp>[EMN_IMS Bloomberg.xlsm  -  version 362.0. 25.11.2021 16.44]Dvd!R71C24</stp>
        <tr r="X71" s="50"/>
      </tp>
      <tp t="e">
        <v>#N/A</v>
        <stp/>
        <stp>##V3_BDPV12</stp>
        <stp xml:space="preserve"> Equity</stp>
        <stp>EQY_DVD_YLD_IND_NET</stp>
        <stp>[EMN_IMS Bloomberg.xlsm  -  version 362.0. 25.11.2021 16.44]Dvd!R76C24</stp>
        <tr r="X76" s="50"/>
      </tp>
      <tp t="e">
        <v>#N/A</v>
        <stp/>
        <stp>##V3_BDPV12</stp>
        <stp xml:space="preserve"> Equity</stp>
        <stp>EQY_DVD_YLD_IND_NET</stp>
        <stp>[EMN_IMS Bloomberg.xlsm  -  version 362.0. 25.11.2021 16.44]Dvd!R77C24</stp>
        <tr r="X77" s="50"/>
      </tp>
      <tp t="e">
        <v>#N/A</v>
        <stp/>
        <stp>##V3_BDPV12</stp>
        <stp xml:space="preserve"> Equity</stp>
        <stp>EQY_DVD_YLD_IND_NET</stp>
        <stp>[EMN_IMS Bloomberg.xlsm  -  version 362.0. 25.11.2021 16.44]Dvd!R74C24</stp>
        <tr r="X74" s="50"/>
      </tp>
      <tp t="e">
        <v>#N/A</v>
        <stp/>
        <stp>##V3_BDPV12</stp>
        <stp xml:space="preserve"> Equity</stp>
        <stp>EQY_DVD_YLD_IND_NET</stp>
        <stp>[EMN_IMS Bloomberg.xlsm  -  version 362.0. 25.11.2021 16.44]Dvd!R75C24</stp>
        <tr r="X75" s="50"/>
      </tp>
      <tp t="e">
        <v>#N/A</v>
        <stp/>
        <stp>##V3_BDPV12</stp>
        <stp xml:space="preserve"> Equity</stp>
        <stp>EQY_DVD_YLD_IND_NET</stp>
        <stp>[EMN_IMS Bloomberg.xlsm  -  version 362.0. 25.11.2021 16.44]Dvd!R78C24</stp>
        <tr r="X78" s="50"/>
      </tp>
      <tp t="e">
        <v>#N/A</v>
        <stp/>
        <stp>##V3_BDPV12</stp>
        <stp xml:space="preserve"> Equity</stp>
        <stp>EQY_DVD_YLD_IND_NET</stp>
        <stp>[EMN_IMS Bloomberg.xlsm  -  version 362.0. 25.11.2021 16.44]Dvd!R79C24</stp>
        <tr r="X79" s="50"/>
      </tp>
      <tp t="e">
        <v>#N/A</v>
        <stp/>
        <stp>##V3_BDPV12</stp>
        <stp xml:space="preserve"> Equity</stp>
        <stp>EQY_DVD_YLD_IND_NET</stp>
        <stp>[EMN_IMS Bloomberg.xlsm  -  version 362.0. 25.11.2021 16.44]Dvd!R63C24</stp>
        <tr r="X63" s="50"/>
      </tp>
      <tp t="e">
        <v>#N/A</v>
        <stp/>
        <stp>##V3_BDPV12</stp>
        <stp xml:space="preserve"> Equity</stp>
        <stp>EQY_DVD_YLD_IND_NET</stp>
        <stp>[EMN_IMS Bloomberg.xlsm  -  version 362.0. 25.11.2021 16.44]Dvd!R66C24</stp>
        <tr r="X66" s="50"/>
      </tp>
      <tp t="e">
        <v>#N/A</v>
        <stp/>
        <stp>##V3_BDPV12</stp>
        <stp xml:space="preserve"> Equity</stp>
        <stp>EQY_DVD_YLD_IND_NET</stp>
        <stp>[EMN_IMS Bloomberg.xlsm  -  version 362.0. 25.11.2021 16.44]Dvd!R67C24</stp>
        <tr r="X67" s="50"/>
      </tp>
      <tp t="e">
        <v>#N/A</v>
        <stp/>
        <stp>##V3_BDPV12</stp>
        <stp xml:space="preserve"> Equity</stp>
        <stp>EQY_DVD_YLD_IND_NET</stp>
        <stp>[EMN_IMS Bloomberg.xlsm  -  version 362.0. 25.11.2021 16.44]Dvd!R64C24</stp>
        <tr r="X64" s="50"/>
      </tp>
      <tp t="e">
        <v>#N/A</v>
        <stp/>
        <stp>##V3_BDPV12</stp>
        <stp xml:space="preserve"> Equity</stp>
        <stp>EQY_DVD_YLD_IND_NET</stp>
        <stp>[EMN_IMS Bloomberg.xlsm  -  version 362.0. 25.11.2021 16.44]Dvd!R65C24</stp>
        <tr r="X65" s="50"/>
      </tp>
      <tp t="e">
        <v>#N/A</v>
        <stp/>
        <stp>##V3_BDPV12</stp>
        <stp xml:space="preserve"> Equity</stp>
        <stp>EQY_DVD_YLD_IND_NET</stp>
        <stp>[EMN_IMS Bloomberg.xlsm  -  version 362.0. 25.11.2021 16.44]Dvd!R68C24</stp>
        <tr r="X68" s="50"/>
      </tp>
      <tp t="e">
        <v>#N/A</v>
        <stp/>
        <stp>##V3_BDPV12</stp>
        <stp xml:space="preserve"> Equity</stp>
        <stp>EQY_DVD_YLD_IND_NET</stp>
        <stp>[EMN_IMS Bloomberg.xlsm  -  version 362.0. 25.11.2021 16.44]Dvd!R69C24</stp>
        <tr r="X69" s="50"/>
      </tp>
      <tp t="e">
        <v>#N/A</v>
        <stp/>
        <stp>##V3_BDPV12</stp>
        <stp xml:space="preserve"> ISIN</stp>
        <stp>Crncy</stp>
        <stp>[EMN_IMS Bloomberg.xlsm  -  version 362.0. 25.11.2021 16.44]TradesBond!R46C7</stp>
        <tr r="G46" s="12"/>
      </tp>
      <tp t="e">
        <v>#N/A</v>
        <stp/>
        <stp>##V3_BDPV12</stp>
        <stp xml:space="preserve"> ISIN</stp>
        <stp>Crncy</stp>
        <stp>[EMN_IMS Bloomberg.xlsm  -  version 362.0. 25.11.2021 16.44]TradesBond!R56C7</stp>
        <tr r="G56" s="12"/>
      </tp>
      <tp t="e">
        <v>#N/A</v>
        <stp/>
        <stp>##V3_BDPV12</stp>
        <stp xml:space="preserve"> ISIN</stp>
        <stp>Crncy</stp>
        <stp>[EMN_IMS Bloomberg.xlsm  -  version 362.0. 25.11.2021 16.44]TradesBond!R16C7</stp>
        <tr r="G16" s="12"/>
      </tp>
      <tp t="e">
        <v>#N/A</v>
        <stp/>
        <stp>##V3_BDPV12</stp>
        <stp xml:space="preserve"> ISIN</stp>
        <stp>Crncy</stp>
        <stp>[EMN_IMS Bloomberg.xlsm  -  version 362.0. 25.11.2021 16.44]TradesBond!R26C7</stp>
        <tr r="G26" s="12"/>
      </tp>
      <tp t="e">
        <v>#N/A</v>
        <stp/>
        <stp>##V3_BDPV12</stp>
        <stp xml:space="preserve"> ISIN</stp>
        <stp>Crncy</stp>
        <stp>[EMN_IMS Bloomberg.xlsm  -  version 362.0. 25.11.2021 16.44]TradesBond!R36C7</stp>
        <tr r="G36" s="12"/>
      </tp>
      <tp t="e">
        <v>#N/A</v>
        <stp/>
        <stp>##V3_BDPV12</stp>
        <stp xml:space="preserve"> ISIN</stp>
        <stp>Crncy</stp>
        <stp>[EMN_IMS Bloomberg.xlsm  -  version 362.0. 25.11.2021 16.44]TradesBond!R47C7</stp>
        <tr r="G47" s="12"/>
      </tp>
      <tp t="e">
        <v>#N/A</v>
        <stp/>
        <stp>##V3_BDPV12</stp>
        <stp xml:space="preserve"> ISIN</stp>
        <stp>Crncy</stp>
        <stp>[EMN_IMS Bloomberg.xlsm  -  version 362.0. 25.11.2021 16.44]TradesBond!R57C7</stp>
        <tr r="G57" s="12"/>
      </tp>
      <tp t="e">
        <v>#N/A</v>
        <stp/>
        <stp>##V3_BDPV12</stp>
        <stp xml:space="preserve"> ISIN</stp>
        <stp>Crncy</stp>
        <stp>[EMN_IMS Bloomberg.xlsm  -  version 362.0. 25.11.2021 16.44]TradesBond!R17C7</stp>
        <tr r="G17" s="12"/>
      </tp>
      <tp t="e">
        <v>#N/A</v>
        <stp/>
        <stp>##V3_BDPV12</stp>
        <stp xml:space="preserve"> ISIN</stp>
        <stp>Crncy</stp>
        <stp>[EMN_IMS Bloomberg.xlsm  -  version 362.0. 25.11.2021 16.44]TradesBond!R27C7</stp>
        <tr r="G27" s="12"/>
      </tp>
      <tp t="e">
        <v>#N/A</v>
        <stp/>
        <stp>##V3_BDPV12</stp>
        <stp xml:space="preserve"> ISIN</stp>
        <stp>Crncy</stp>
        <stp>[EMN_IMS Bloomberg.xlsm  -  version 362.0. 25.11.2021 16.44]TradesBond!R37C7</stp>
        <tr r="G37" s="12"/>
      </tp>
      <tp t="e">
        <v>#N/A</v>
        <stp/>
        <stp>##V3_BDPV12</stp>
        <stp xml:space="preserve"> ISIN</stp>
        <stp>Crncy</stp>
        <stp>[EMN_IMS Bloomberg.xlsm  -  version 362.0. 25.11.2021 16.44]TradesBond!R44C7</stp>
        <tr r="G44" s="12"/>
      </tp>
      <tp t="e">
        <v>#N/A</v>
        <stp/>
        <stp>##V3_BDPV12</stp>
        <stp xml:space="preserve"> ISIN</stp>
        <stp>Crncy</stp>
        <stp>[EMN_IMS Bloomberg.xlsm  -  version 362.0. 25.11.2021 16.44]TradesBond!R54C7</stp>
        <tr r="G54" s="12"/>
      </tp>
      <tp t="e">
        <v>#N/A</v>
        <stp/>
        <stp>##V3_BDPV12</stp>
        <stp xml:space="preserve"> ISIN</stp>
        <stp>Crncy</stp>
        <stp>[EMN_IMS Bloomberg.xlsm  -  version 362.0. 25.11.2021 16.44]TradesBond!R64C7</stp>
        <tr r="G64" s="12"/>
      </tp>
      <tp t="e">
        <v>#N/A</v>
        <stp/>
        <stp>##V3_BDPV12</stp>
        <stp xml:space="preserve"> ISIN</stp>
        <stp>Crncy</stp>
        <stp>[EMN_IMS Bloomberg.xlsm  -  version 362.0. 25.11.2021 16.44]TradesBond!R24C7</stp>
        <tr r="G24" s="12"/>
      </tp>
      <tp t="e">
        <v>#N/A</v>
        <stp/>
        <stp>##V3_BDPV12</stp>
        <stp xml:space="preserve"> ISIN</stp>
        <stp>Crncy</stp>
        <stp>[EMN_IMS Bloomberg.xlsm  -  version 362.0. 25.11.2021 16.44]TradesBond!R34C7</stp>
        <tr r="G34" s="12"/>
      </tp>
      <tp t="e">
        <v>#N/A</v>
        <stp/>
        <stp>##V3_BDPV12</stp>
        <stp xml:space="preserve"> ISIN</stp>
        <stp>Crncy</stp>
        <stp>[EMN_IMS Bloomberg.xlsm  -  version 362.0. 25.11.2021 16.44]TradesBond!R45C7</stp>
        <tr r="G45" s="12"/>
      </tp>
      <tp t="e">
        <v>#N/A</v>
        <stp/>
        <stp>##V3_BDPV12</stp>
        <stp xml:space="preserve"> ISIN</stp>
        <stp>Crncy</stp>
        <stp>[EMN_IMS Bloomberg.xlsm  -  version 362.0. 25.11.2021 16.44]TradesBond!R55C7</stp>
        <tr r="G55" s="12"/>
      </tp>
      <tp t="e">
        <v>#N/A</v>
        <stp/>
        <stp>##V3_BDPV12</stp>
        <stp xml:space="preserve"> ISIN</stp>
        <stp>Crncy</stp>
        <stp>[EMN_IMS Bloomberg.xlsm  -  version 362.0. 25.11.2021 16.44]TradesBond!R65C7</stp>
        <tr r="G65" s="12"/>
      </tp>
      <tp t="e">
        <v>#N/A</v>
        <stp/>
        <stp>##V3_BDPV12</stp>
        <stp xml:space="preserve"> ISIN</stp>
        <stp>Crncy</stp>
        <stp>[EMN_IMS Bloomberg.xlsm  -  version 362.0. 25.11.2021 16.44]TradesBond!R15C7</stp>
        <tr r="G15" s="12"/>
      </tp>
      <tp t="e">
        <v>#N/A</v>
        <stp/>
        <stp>##V3_BDPV12</stp>
        <stp xml:space="preserve"> ISIN</stp>
        <stp>Crncy</stp>
        <stp>[EMN_IMS Bloomberg.xlsm  -  version 362.0. 25.11.2021 16.44]TradesBond!R25C7</stp>
        <tr r="G25" s="12"/>
      </tp>
      <tp t="e">
        <v>#N/A</v>
        <stp/>
        <stp>##V3_BDPV12</stp>
        <stp xml:space="preserve"> ISIN</stp>
        <stp>Crncy</stp>
        <stp>[EMN_IMS Bloomberg.xlsm  -  version 362.0. 25.11.2021 16.44]TradesBond!R35C7</stp>
        <tr r="G35" s="12"/>
      </tp>
      <tp t="e">
        <v>#N/A</v>
        <stp/>
        <stp>##V3_BDPV12</stp>
        <stp xml:space="preserve"> ISIN</stp>
        <stp>Crncy</stp>
        <stp>[EMN_IMS Bloomberg.xlsm  -  version 362.0. 25.11.2021 16.44]TradesBond!R42C7</stp>
        <tr r="G42" s="12"/>
      </tp>
      <tp t="e">
        <v>#N/A</v>
        <stp/>
        <stp>##V3_BDPV12</stp>
        <stp xml:space="preserve"> ISIN</stp>
        <stp>Crncy</stp>
        <stp>[EMN_IMS Bloomberg.xlsm  -  version 362.0. 25.11.2021 16.44]TradesBond!R52C7</stp>
        <tr r="G52" s="12"/>
      </tp>
      <tp t="e">
        <v>#N/A</v>
        <stp/>
        <stp>##V3_BDPV12</stp>
        <stp xml:space="preserve"> ISIN</stp>
        <stp>Crncy</stp>
        <stp>[EMN_IMS Bloomberg.xlsm  -  version 362.0. 25.11.2021 16.44]TradesBond!R62C7</stp>
        <tr r="G62" s="12"/>
      </tp>
      <tp t="e">
        <v>#N/A</v>
        <stp/>
        <stp>##V3_BDPV12</stp>
        <stp xml:space="preserve"> ISIN</stp>
        <stp>Crncy</stp>
        <stp>[EMN_IMS Bloomberg.xlsm  -  version 362.0. 25.11.2021 16.44]TradesBond!R22C7</stp>
        <tr r="G22" s="12"/>
      </tp>
      <tp t="e">
        <v>#N/A</v>
        <stp/>
        <stp>##V3_BDPV12</stp>
        <stp xml:space="preserve"> ISIN</stp>
        <stp>Crncy</stp>
        <stp>[EMN_IMS Bloomberg.xlsm  -  version 362.0. 25.11.2021 16.44]TradesBond!R32C7</stp>
        <tr r="G32" s="12"/>
      </tp>
      <tp t="e">
        <v>#N/A</v>
        <stp/>
        <stp>##V3_BDPV12</stp>
        <stp xml:space="preserve"> ISIN</stp>
        <stp>Crncy</stp>
        <stp>[EMN_IMS Bloomberg.xlsm  -  version 362.0. 25.11.2021 16.44]TradesBond!R43C7</stp>
        <tr r="G43" s="12"/>
      </tp>
      <tp t="e">
        <v>#N/A</v>
        <stp/>
        <stp>##V3_BDPV12</stp>
        <stp xml:space="preserve"> ISIN</stp>
        <stp>Crncy</stp>
        <stp>[EMN_IMS Bloomberg.xlsm  -  version 362.0. 25.11.2021 16.44]TradesBond!R53C7</stp>
        <tr r="G53" s="12"/>
      </tp>
      <tp t="e">
        <v>#N/A</v>
        <stp/>
        <stp>##V3_BDPV12</stp>
        <stp xml:space="preserve"> ISIN</stp>
        <stp>Crncy</stp>
        <stp>[EMN_IMS Bloomberg.xlsm  -  version 362.0. 25.11.2021 16.44]TradesBond!R63C7</stp>
        <tr r="G63" s="12"/>
      </tp>
      <tp t="e">
        <v>#N/A</v>
        <stp/>
        <stp>##V3_BDPV12</stp>
        <stp xml:space="preserve"> ISIN</stp>
        <stp>Crncy</stp>
        <stp>[EMN_IMS Bloomberg.xlsm  -  version 362.0. 25.11.2021 16.44]TradesBond!R23C7</stp>
        <tr r="G23" s="12"/>
      </tp>
      <tp t="e">
        <v>#N/A</v>
        <stp/>
        <stp>##V3_BDPV12</stp>
        <stp xml:space="preserve"> ISIN</stp>
        <stp>Crncy</stp>
        <stp>[EMN_IMS Bloomberg.xlsm  -  version 362.0. 25.11.2021 16.44]TradesBond!R33C7</stp>
        <tr r="G33" s="12"/>
      </tp>
      <tp t="e">
        <v>#N/A</v>
        <stp/>
        <stp>##V3_BDPV12</stp>
        <stp xml:space="preserve"> Equity</stp>
        <stp>SECURITY_NAME</stp>
        <stp>[EMN_IMS Bloomberg.xlsm  -  version 362.0. 25.11.2021 16.44]Dvd!R89C4</stp>
        <tr r="D89" s="50"/>
      </tp>
      <tp t="e">
        <v>#N/A</v>
        <stp/>
        <stp>##V3_BDPV12</stp>
        <stp xml:space="preserve"> Equity</stp>
        <stp>SECURITY_NAME</stp>
        <stp>[EMN_IMS Bloomberg.xlsm  -  version 362.0. 25.11.2021 16.44]Dvd!R99C4</stp>
        <tr r="D99" s="50"/>
      </tp>
      <tp t="e">
        <v>#N/A</v>
        <stp/>
        <stp>##V3_BDPV12</stp>
        <stp xml:space="preserve"> Equity</stp>
        <stp>SECURITY_NAME</stp>
        <stp>[EMN_IMS Bloomberg.xlsm  -  version 362.0. 25.11.2021 16.44]Dvd!R69C4</stp>
        <tr r="D69" s="50"/>
      </tp>
      <tp t="e">
        <v>#N/A</v>
        <stp/>
        <stp>##V3_BDPV12</stp>
        <stp xml:space="preserve"> Equity</stp>
        <stp>SECURITY_NAME</stp>
        <stp>[EMN_IMS Bloomberg.xlsm  -  version 362.0. 25.11.2021 16.44]Dvd!R79C4</stp>
        <tr r="D79" s="50"/>
      </tp>
      <tp t="e">
        <v>#N/A</v>
        <stp/>
        <stp>##V3_BDPV12</stp>
        <stp xml:space="preserve"> ISIN</stp>
        <stp>Crncy</stp>
        <stp>[EMN_IMS Bloomberg.xlsm  -  version 362.0. 25.11.2021 16.44]TradesBond!R40C7</stp>
        <tr r="G40" s="12"/>
      </tp>
      <tp t="e">
        <v>#N/A</v>
        <stp/>
        <stp>##V3_BDPV12</stp>
        <stp xml:space="preserve"> ISIN</stp>
        <stp>Crncy</stp>
        <stp>[EMN_IMS Bloomberg.xlsm  -  version 362.0. 25.11.2021 16.44]TradesBond!R50C7</stp>
        <tr r="G50" s="12"/>
      </tp>
      <tp t="e">
        <v>#N/A</v>
        <stp/>
        <stp>##V3_BDPV12</stp>
        <stp xml:space="preserve"> ISIN</stp>
        <stp>Crncy</stp>
        <stp>[EMN_IMS Bloomberg.xlsm  -  version 362.0. 25.11.2021 16.44]TradesBond!R60C7</stp>
        <tr r="G60" s="12"/>
      </tp>
      <tp t="e">
        <v>#N/A</v>
        <stp/>
        <stp>##V3_BDPV12</stp>
        <stp xml:space="preserve"> ISIN</stp>
        <stp>Crncy</stp>
        <stp>[EMN_IMS Bloomberg.xlsm  -  version 362.0. 25.11.2021 16.44]TradesBond!R20C7</stp>
        <tr r="G20" s="12"/>
      </tp>
      <tp t="e">
        <v>#N/A</v>
        <stp/>
        <stp>##V3_BDPV12</stp>
        <stp xml:space="preserve"> ISIN</stp>
        <stp>Crncy</stp>
        <stp>[EMN_IMS Bloomberg.xlsm  -  version 362.0. 25.11.2021 16.44]TradesBond!R30C7</stp>
        <tr r="G30" s="12"/>
      </tp>
      <tp t="e">
        <v>#N/A</v>
        <stp/>
        <stp>##V3_BDPV12</stp>
        <stp xml:space="preserve"> Equity</stp>
        <stp>SECURITY_NAME</stp>
        <stp>[EMN_IMS Bloomberg.xlsm  -  version 362.0. 25.11.2021 16.44]Dvd!R88C4</stp>
        <tr r="D88" s="50"/>
      </tp>
      <tp t="e">
        <v>#N/A</v>
        <stp/>
        <stp>##V3_BDPV12</stp>
        <stp xml:space="preserve"> Equity</stp>
        <stp>SECURITY_NAME</stp>
        <stp>[EMN_IMS Bloomberg.xlsm  -  version 362.0. 25.11.2021 16.44]Dvd!R98C4</stp>
        <tr r="D98" s="50"/>
      </tp>
      <tp t="e">
        <v>#N/A</v>
        <stp/>
        <stp>##V3_BDPV12</stp>
        <stp xml:space="preserve"> Equity</stp>
        <stp>SECURITY_NAME</stp>
        <stp>[EMN_IMS Bloomberg.xlsm  -  version 362.0. 25.11.2021 16.44]Dvd!R68C4</stp>
        <tr r="D68" s="50"/>
      </tp>
      <tp t="e">
        <v>#N/A</v>
        <stp/>
        <stp>##V3_BDPV12</stp>
        <stp xml:space="preserve"> Equity</stp>
        <stp>SECURITY_NAME</stp>
        <stp>[EMN_IMS Bloomberg.xlsm  -  version 362.0. 25.11.2021 16.44]Dvd!R78C4</stp>
        <tr r="D78" s="50"/>
      </tp>
      <tp t="e">
        <v>#N/A</v>
        <stp/>
        <stp>##V3_BDPV12</stp>
        <stp xml:space="preserve"> ISIN</stp>
        <stp>Crncy</stp>
        <stp>[EMN_IMS Bloomberg.xlsm  -  version 362.0. 25.11.2021 16.44]TradesBond!R41C7</stp>
        <tr r="G41" s="12"/>
      </tp>
      <tp t="e">
        <v>#N/A</v>
        <stp/>
        <stp>##V3_BDPV12</stp>
        <stp xml:space="preserve"> ISIN</stp>
        <stp>Crncy</stp>
        <stp>[EMN_IMS Bloomberg.xlsm  -  version 362.0. 25.11.2021 16.44]TradesBond!R51C7</stp>
        <tr r="G51" s="12"/>
      </tp>
      <tp t="e">
        <v>#N/A</v>
        <stp/>
        <stp>##V3_BDPV12</stp>
        <stp xml:space="preserve"> ISIN</stp>
        <stp>Crncy</stp>
        <stp>[EMN_IMS Bloomberg.xlsm  -  version 362.0. 25.11.2021 16.44]TradesBond!R61C7</stp>
        <tr r="G61" s="12"/>
      </tp>
      <tp t="e">
        <v>#N/A</v>
        <stp/>
        <stp>##V3_BDPV12</stp>
        <stp xml:space="preserve"> ISIN</stp>
        <stp>Crncy</stp>
        <stp>[EMN_IMS Bloomberg.xlsm  -  version 362.0. 25.11.2021 16.44]TradesBond!R21C7</stp>
        <tr r="G21" s="12"/>
      </tp>
      <tp t="e">
        <v>#N/A</v>
        <stp/>
        <stp>##V3_BDPV12</stp>
        <stp xml:space="preserve"> ISIN</stp>
        <stp>Crncy</stp>
        <stp>[EMN_IMS Bloomberg.xlsm  -  version 362.0. 25.11.2021 16.44]TradesBond!R31C7</stp>
        <tr r="G31" s="12"/>
      </tp>
      <tp t="e">
        <v>#N/A</v>
        <stp/>
        <stp>##V3_BDPV12</stp>
        <stp xml:space="preserve"> Equity</stp>
        <stp>SECURITY_NAME</stp>
        <stp>[EMN_IMS Bloomberg.xlsm  -  version 362.0. 25.11.2021 16.44]Dvd!R87C4</stp>
        <tr r="D87" s="50"/>
      </tp>
      <tp t="e">
        <v>#N/A</v>
        <stp/>
        <stp>##V3_BDPV12</stp>
        <stp xml:space="preserve"> Equity</stp>
        <stp>SECURITY_NAME</stp>
        <stp>[EMN_IMS Bloomberg.xlsm  -  version 362.0. 25.11.2021 16.44]Dvd!R97C4</stp>
        <tr r="D97" s="50"/>
      </tp>
      <tp t="e">
        <v>#N/A</v>
        <stp/>
        <stp>##V3_BDPV12</stp>
        <stp xml:space="preserve"> Equity</stp>
        <stp>SECURITY_NAME</stp>
        <stp>[EMN_IMS Bloomberg.xlsm  -  version 362.0. 25.11.2021 16.44]Dvd!R67C4</stp>
        <tr r="D67" s="50"/>
      </tp>
      <tp t="e">
        <v>#N/A</v>
        <stp/>
        <stp>##V3_BDPV12</stp>
        <stp xml:space="preserve"> Equity</stp>
        <stp>SECURITY_NAME</stp>
        <stp>[EMN_IMS Bloomberg.xlsm  -  version 362.0. 25.11.2021 16.44]Dvd!R77C4</stp>
        <tr r="D77" s="50"/>
      </tp>
      <tp t="e">
        <v>#N/A</v>
        <stp/>
        <stp>##V3_BDPV12</stp>
        <stp xml:space="preserve"> Equity</stp>
        <stp>Crncy</stp>
        <stp>[Copy of EMN_IMS Bloomberg.xlsm]TradesEquity!R579C10</stp>
        <tr r="J579" s="11"/>
      </tp>
      <tp t="e">
        <v>#N/A</v>
        <stp/>
        <stp>##V3_BDPV12</stp>
        <stp xml:space="preserve"> Equity</stp>
        <stp>Crncy</stp>
        <stp>[Copy of EMN_IMS Bloomberg.xlsm]TradesEquity!R578C10</stp>
        <tr r="J578" s="11"/>
      </tp>
      <tp t="e">
        <v>#N/A</v>
        <stp/>
        <stp>##V3_BDPV12</stp>
        <stp xml:space="preserve"> Equity</stp>
        <stp>Crncy</stp>
        <stp>[Copy of EMN_IMS Bloomberg.xlsm]TradesEquity!R577C10</stp>
        <tr r="J577" s="11"/>
      </tp>
      <tp t="e">
        <v>#N/A</v>
        <stp/>
        <stp>##V3_BDPV12</stp>
        <stp xml:space="preserve"> Equity</stp>
        <stp>Crncy</stp>
        <stp>[Copy of EMN_IMS Bloomberg.xlsm]TradesEquity!R576C10</stp>
        <tr r="J576" s="11"/>
      </tp>
      <tp t="e">
        <v>#N/A</v>
        <stp/>
        <stp>##V3_BDPV12</stp>
        <stp xml:space="preserve"> Equity</stp>
        <stp>Crncy</stp>
        <stp>[Copy of EMN_IMS Bloomberg.xlsm]TradesEquity!R575C10</stp>
        <tr r="J575" s="11"/>
      </tp>
      <tp t="e">
        <v>#N/A</v>
        <stp/>
        <stp>##V3_BDPV12</stp>
        <stp xml:space="preserve"> Equity</stp>
        <stp>Crncy</stp>
        <stp>[Copy of EMN_IMS Bloomberg.xlsm]TradesEquity!R574C10</stp>
        <tr r="J574" s="11"/>
      </tp>
      <tp t="e">
        <v>#N/A</v>
        <stp/>
        <stp>##V3_BDPV12</stp>
        <stp xml:space="preserve"> Equity</stp>
        <stp>Crncy</stp>
        <stp>[Copy of EMN_IMS Bloomberg.xlsm]TradesEquity!R573C10</stp>
        <tr r="J573" s="11"/>
      </tp>
      <tp t="e">
        <v>#N/A</v>
        <stp/>
        <stp>##V3_BDPV12</stp>
        <stp xml:space="preserve"> Equity</stp>
        <stp>Crncy</stp>
        <stp>[Copy of EMN_IMS Bloomberg.xlsm]TradesEquity!R572C10</stp>
        <tr r="J572" s="11"/>
      </tp>
      <tp t="e">
        <v>#N/A</v>
        <stp/>
        <stp>##V3_BDPV12</stp>
        <stp xml:space="preserve"> Equity</stp>
        <stp>Crncy</stp>
        <stp>[Copy of EMN_IMS Bloomberg.xlsm]TradesEquity!R571C10</stp>
        <tr r="J571" s="11"/>
      </tp>
      <tp t="e">
        <v>#N/A</v>
        <stp/>
        <stp>##V3_BDPV12</stp>
        <stp xml:space="preserve"> Equity</stp>
        <stp>Crncy</stp>
        <stp>[Copy of EMN_IMS Bloomberg.xlsm]TradesEquity!R570C10</stp>
        <tr r="J570" s="11"/>
      </tp>
      <tp t="e">
        <v>#N/A</v>
        <stp/>
        <stp>##V3_BDPV12</stp>
        <stp xml:space="preserve"> Equity</stp>
        <stp>Crncy</stp>
        <stp>[Copy of EMN_IMS Bloomberg.xlsm]TradesEquity!R569C10</stp>
        <tr r="J569" s="11"/>
      </tp>
      <tp t="e">
        <v>#N/A</v>
        <stp/>
        <stp>##V3_BDPV12</stp>
        <stp xml:space="preserve"> Equity</stp>
        <stp>Crncy</stp>
        <stp>[Copy of EMN_IMS Bloomberg.xlsm]TradesEquity!R568C10</stp>
        <tr r="J568" s="11"/>
      </tp>
      <tp t="e">
        <v>#N/A</v>
        <stp/>
        <stp>##V3_BDPV12</stp>
        <stp xml:space="preserve"> Equity</stp>
        <stp>Crncy</stp>
        <stp>[Copy of EMN_IMS Bloomberg.xlsm]TradesEquity!R567C10</stp>
        <tr r="J567" s="11"/>
      </tp>
      <tp t="e">
        <v>#N/A</v>
        <stp/>
        <stp>##V3_BDPV12</stp>
        <stp xml:space="preserve"> Equity</stp>
        <stp>Crncy</stp>
        <stp>[Copy of EMN_IMS Bloomberg.xlsm]TradesEquity!R566C10</stp>
        <tr r="J566" s="11"/>
      </tp>
      <tp t="e">
        <v>#N/A</v>
        <stp/>
        <stp>##V3_BDPV12</stp>
        <stp xml:space="preserve"> Equity</stp>
        <stp>Crncy</stp>
        <stp>[Copy of EMN_IMS Bloomberg.xlsm]TradesEquity!R565C10</stp>
        <tr r="J565" s="11"/>
      </tp>
      <tp t="e">
        <v>#N/A</v>
        <stp/>
        <stp>##V3_BDPV12</stp>
        <stp xml:space="preserve"> Equity</stp>
        <stp>Crncy</stp>
        <stp>[Copy of EMN_IMS Bloomberg.xlsm]TradesEquity!R564C10</stp>
        <tr r="J564" s="11"/>
      </tp>
      <tp t="e">
        <v>#N/A</v>
        <stp/>
        <stp>##V3_BDPV12</stp>
        <stp xml:space="preserve"> Equity</stp>
        <stp>Crncy</stp>
        <stp>[Copy of EMN_IMS Bloomberg.xlsm]TradesEquity!R563C10</stp>
        <tr r="J563" s="11"/>
      </tp>
      <tp t="e">
        <v>#N/A</v>
        <stp/>
        <stp>##V3_BDPV12</stp>
        <stp xml:space="preserve"> Equity</stp>
        <stp>Crncy</stp>
        <stp>[Copy of EMN_IMS Bloomberg.xlsm]TradesEquity!R562C10</stp>
        <tr r="J562" s="11"/>
      </tp>
      <tp t="e">
        <v>#N/A</v>
        <stp/>
        <stp>##V3_BDPV12</stp>
        <stp xml:space="preserve"> Equity</stp>
        <stp>Crncy</stp>
        <stp>[Copy of EMN_IMS Bloomberg.xlsm]TradesEquity!R561C10</stp>
        <tr r="J561" s="11"/>
      </tp>
      <tp t="e">
        <v>#N/A</v>
        <stp/>
        <stp>##V3_BDPV12</stp>
        <stp xml:space="preserve"> Equity</stp>
        <stp>Crncy</stp>
        <stp>[Copy of EMN_IMS Bloomberg.xlsm]TradesEquity!R560C10</stp>
        <tr r="J560" s="11"/>
      </tp>
      <tp t="e">
        <v>#N/A</v>
        <stp/>
        <stp>##V3_BDPV12</stp>
        <stp xml:space="preserve"> Equity</stp>
        <stp>Crncy</stp>
        <stp>[Copy of EMN_IMS Bloomberg.xlsm]TradesEquity!R559C10</stp>
        <tr r="J559" s="11"/>
      </tp>
      <tp t="e">
        <v>#N/A</v>
        <stp/>
        <stp>##V3_BDPV12</stp>
        <stp xml:space="preserve"> Equity</stp>
        <stp>Crncy</stp>
        <stp>[Copy of EMN_IMS Bloomberg.xlsm]TradesEquity!R558C10</stp>
        <tr r="J558" s="11"/>
      </tp>
      <tp t="e">
        <v>#N/A</v>
        <stp/>
        <stp>##V3_BDPV12</stp>
        <stp xml:space="preserve"> Equity</stp>
        <stp>Crncy</stp>
        <stp>[Copy of EMN_IMS Bloomberg.xlsm]TradesEquity!R557C10</stp>
        <tr r="J557" s="11"/>
      </tp>
      <tp t="e">
        <v>#N/A</v>
        <stp/>
        <stp>##V3_BDPV12</stp>
        <stp xml:space="preserve"> Equity</stp>
        <stp>Crncy</stp>
        <stp>[Copy of EMN_IMS Bloomberg.xlsm]TradesEquity!R556C10</stp>
        <tr r="J556" s="11"/>
      </tp>
      <tp t="e">
        <v>#N/A</v>
        <stp/>
        <stp>##V3_BDPV12</stp>
        <stp xml:space="preserve"> Equity</stp>
        <stp>Crncy</stp>
        <stp>[Copy of EMN_IMS Bloomberg.xlsm]TradesEquity!R555C10</stp>
        <tr r="J555" s="11"/>
      </tp>
      <tp t="e">
        <v>#N/A</v>
        <stp/>
        <stp>##V3_BDPV12</stp>
        <stp xml:space="preserve"> Equity</stp>
        <stp>Crncy</stp>
        <stp>[Copy of EMN_IMS Bloomberg.xlsm]TradesEquity!R554C10</stp>
        <tr r="J554" s="11"/>
      </tp>
      <tp t="e">
        <v>#N/A</v>
        <stp/>
        <stp>##V3_BDPV12</stp>
        <stp xml:space="preserve"> Equity</stp>
        <stp>Crncy</stp>
        <stp>[Copy of EMN_IMS Bloomberg.xlsm]TradesEquity!R553C10</stp>
        <tr r="J553" s="11"/>
      </tp>
      <tp t="e">
        <v>#N/A</v>
        <stp/>
        <stp>##V3_BDPV12</stp>
        <stp xml:space="preserve"> Equity</stp>
        <stp>Crncy</stp>
        <stp>[Copy of EMN_IMS Bloomberg.xlsm]TradesEquity!R552C10</stp>
        <tr r="J552" s="11"/>
      </tp>
      <tp t="e">
        <v>#N/A</v>
        <stp/>
        <stp>##V3_BDPV12</stp>
        <stp xml:space="preserve"> Equity</stp>
        <stp>Crncy</stp>
        <stp>[Copy of EMN_IMS Bloomberg.xlsm]TradesEquity!R551C10</stp>
        <tr r="J551" s="11"/>
      </tp>
      <tp t="e">
        <v>#N/A</v>
        <stp/>
        <stp>##V3_BDPV12</stp>
        <stp xml:space="preserve"> Equity</stp>
        <stp>Crncy</stp>
        <stp>[Copy of EMN_IMS Bloomberg.xlsm]TradesEquity!R550C10</stp>
        <tr r="J550" s="11"/>
      </tp>
      <tp t="e">
        <v>#N/A</v>
        <stp/>
        <stp>##V3_BDPV12</stp>
        <stp xml:space="preserve"> Equity</stp>
        <stp>Crncy</stp>
        <stp>[Copy of EMN_IMS Bloomberg.xlsm]TradesEquity!R599C10</stp>
        <tr r="J599" s="11"/>
      </tp>
      <tp t="e">
        <v>#N/A</v>
        <stp/>
        <stp>##V3_BDPV12</stp>
        <stp xml:space="preserve"> Equity</stp>
        <stp>Crncy</stp>
        <stp>[Copy of EMN_IMS Bloomberg.xlsm]TradesEquity!R598C10</stp>
        <tr r="J598" s="11"/>
      </tp>
      <tp t="e">
        <v>#N/A</v>
        <stp/>
        <stp>##V3_BDPV12</stp>
        <stp xml:space="preserve"> Equity</stp>
        <stp>Crncy</stp>
        <stp>[Copy of EMN_IMS Bloomberg.xlsm]TradesEquity!R597C10</stp>
        <tr r="J597" s="11"/>
      </tp>
      <tp t="e">
        <v>#N/A</v>
        <stp/>
        <stp>##V3_BDPV12</stp>
        <stp xml:space="preserve"> Equity</stp>
        <stp>Crncy</stp>
        <stp>[Copy of EMN_IMS Bloomberg.xlsm]TradesEquity!R596C10</stp>
        <tr r="J596" s="11"/>
      </tp>
      <tp t="e">
        <v>#N/A</v>
        <stp/>
        <stp>##V3_BDPV12</stp>
        <stp xml:space="preserve"> Equity</stp>
        <stp>Crncy</stp>
        <stp>[Copy of EMN_IMS Bloomberg.xlsm]TradesEquity!R595C10</stp>
        <tr r="J595" s="11"/>
      </tp>
      <tp t="e">
        <v>#N/A</v>
        <stp/>
        <stp>##V3_BDPV12</stp>
        <stp xml:space="preserve"> Equity</stp>
        <stp>Crncy</stp>
        <stp>[Copy of EMN_IMS Bloomberg.xlsm]TradesEquity!R594C10</stp>
        <tr r="J594" s="11"/>
      </tp>
      <tp t="e">
        <v>#N/A</v>
        <stp/>
        <stp>##V3_BDPV12</stp>
        <stp xml:space="preserve"> Equity</stp>
        <stp>Crncy</stp>
        <stp>[Copy of EMN_IMS Bloomberg.xlsm]TradesEquity!R593C10</stp>
        <tr r="J593" s="11"/>
      </tp>
      <tp t="e">
        <v>#N/A</v>
        <stp/>
        <stp>##V3_BDPV12</stp>
        <stp xml:space="preserve"> Equity</stp>
        <stp>Crncy</stp>
        <stp>[Copy of EMN_IMS Bloomberg.xlsm]TradesEquity!R592C10</stp>
        <tr r="J592" s="11"/>
      </tp>
      <tp t="e">
        <v>#N/A</v>
        <stp/>
        <stp>##V3_BDPV12</stp>
        <stp xml:space="preserve"> Equity</stp>
        <stp>Crncy</stp>
        <stp>[Copy of EMN_IMS Bloomberg.xlsm]TradesEquity!R591C10</stp>
        <tr r="J591" s="11"/>
      </tp>
      <tp t="e">
        <v>#N/A</v>
        <stp/>
        <stp>##V3_BDPV12</stp>
        <stp xml:space="preserve"> Equity</stp>
        <stp>Crncy</stp>
        <stp>[Copy of EMN_IMS Bloomberg.xlsm]TradesEquity!R590C10</stp>
        <tr r="J590" s="11"/>
      </tp>
      <tp t="e">
        <v>#N/A</v>
        <stp/>
        <stp>##V3_BDPV12</stp>
        <stp xml:space="preserve"> Equity</stp>
        <stp>Crncy</stp>
        <stp>[Copy of EMN_IMS Bloomberg.xlsm]TradesEquity!R589C10</stp>
        <tr r="J589" s="11"/>
      </tp>
      <tp t="e">
        <v>#N/A</v>
        <stp/>
        <stp>##V3_BDPV12</stp>
        <stp xml:space="preserve"> Equity</stp>
        <stp>Crncy</stp>
        <stp>[Copy of EMN_IMS Bloomberg.xlsm]TradesEquity!R588C10</stp>
        <tr r="J588" s="11"/>
      </tp>
      <tp t="e">
        <v>#N/A</v>
        <stp/>
        <stp>##V3_BDPV12</stp>
        <stp xml:space="preserve"> Equity</stp>
        <stp>Crncy</stp>
        <stp>[Copy of EMN_IMS Bloomberg.xlsm]TradesEquity!R587C10</stp>
        <tr r="J587" s="11"/>
      </tp>
      <tp t="e">
        <v>#N/A</v>
        <stp/>
        <stp>##V3_BDPV12</stp>
        <stp xml:space="preserve"> Equity</stp>
        <stp>Crncy</stp>
        <stp>[Copy of EMN_IMS Bloomberg.xlsm]TradesEquity!R586C10</stp>
        <tr r="J586" s="11"/>
      </tp>
      <tp t="e">
        <v>#N/A</v>
        <stp/>
        <stp>##V3_BDPV12</stp>
        <stp xml:space="preserve"> Equity</stp>
        <stp>Crncy</stp>
        <stp>[Copy of EMN_IMS Bloomberg.xlsm]TradesEquity!R585C10</stp>
        <tr r="J585" s="11"/>
      </tp>
      <tp t="e">
        <v>#N/A</v>
        <stp/>
        <stp>##V3_BDPV12</stp>
        <stp xml:space="preserve"> Equity</stp>
        <stp>Crncy</stp>
        <stp>[Copy of EMN_IMS Bloomberg.xlsm]TradesEquity!R584C10</stp>
        <tr r="J584" s="11"/>
      </tp>
      <tp t="e">
        <v>#N/A</v>
        <stp/>
        <stp>##V3_BDPV12</stp>
        <stp xml:space="preserve"> Equity</stp>
        <stp>Crncy</stp>
        <stp>[Copy of EMN_IMS Bloomberg.xlsm]TradesEquity!R583C10</stp>
        <tr r="J583" s="11"/>
      </tp>
      <tp t="e">
        <v>#N/A</v>
        <stp/>
        <stp>##V3_BDPV12</stp>
        <stp xml:space="preserve"> Equity</stp>
        <stp>Crncy</stp>
        <stp>[Copy of EMN_IMS Bloomberg.xlsm]TradesEquity!R582C10</stp>
        <tr r="J582" s="11"/>
      </tp>
      <tp t="e">
        <v>#N/A</v>
        <stp/>
        <stp>##V3_BDPV12</stp>
        <stp xml:space="preserve"> Equity</stp>
        <stp>Crncy</stp>
        <stp>[Copy of EMN_IMS Bloomberg.xlsm]TradesEquity!R581C10</stp>
        <tr r="J581" s="11"/>
      </tp>
      <tp t="e">
        <v>#N/A</v>
        <stp/>
        <stp>##V3_BDPV12</stp>
        <stp xml:space="preserve"> Equity</stp>
        <stp>Crncy</stp>
        <stp>[Copy of EMN_IMS Bloomberg.xlsm]TradesEquity!R580C10</stp>
        <tr r="J580" s="11"/>
      </tp>
      <tp t="e">
        <v>#N/A</v>
        <stp/>
        <stp>##V3_BDPV12</stp>
        <stp xml:space="preserve"> Equity</stp>
        <stp>Crncy</stp>
        <stp>[Copy of EMN_IMS Bloomberg.xlsm]TradesEquity!R716C10</stp>
        <tr r="J716" s="11"/>
      </tp>
      <tp t="e">
        <v>#N/A</v>
        <stp/>
        <stp>##V3_BDPV12</stp>
        <stp xml:space="preserve"> Equity</stp>
        <stp>Crncy</stp>
        <stp>[Copy of EMN_IMS Bloomberg.xlsm]TradesEquity!R715C10</stp>
        <tr r="J715" s="11"/>
      </tp>
      <tp t="e">
        <v>#N/A</v>
        <stp/>
        <stp>##V3_BDPV12</stp>
        <stp xml:space="preserve"> Equity</stp>
        <stp>Crncy</stp>
        <stp>[Copy of EMN_IMS Bloomberg.xlsm]TradesEquity!R714C10</stp>
        <tr r="J714" s="11"/>
      </tp>
      <tp t="e">
        <v>#N/A</v>
        <stp/>
        <stp>##V3_BDPV12</stp>
        <stp xml:space="preserve"> Equity</stp>
        <stp>Crncy</stp>
        <stp>[Copy of EMN_IMS Bloomberg.xlsm]TradesEquity!R713C10</stp>
        <tr r="J713" s="11"/>
      </tp>
      <tp t="e">
        <v>#N/A</v>
        <stp/>
        <stp>##V3_BDPV12</stp>
        <stp xml:space="preserve"> Equity</stp>
        <stp>Crncy</stp>
        <stp>[Copy of EMN_IMS Bloomberg.xlsm]TradesEquity!R712C10</stp>
        <tr r="J712" s="11"/>
      </tp>
      <tp t="e">
        <v>#N/A</v>
        <stp/>
        <stp>##V3_BDPV12</stp>
        <stp xml:space="preserve"> Equity</stp>
        <stp>Crncy</stp>
        <stp>[Copy of EMN_IMS Bloomberg.xlsm]TradesEquity!R711C10</stp>
        <tr r="J711" s="11"/>
      </tp>
      <tp t="e">
        <v>#N/A</v>
        <stp/>
        <stp>##V3_BDPV12</stp>
        <stp xml:space="preserve"> Equity</stp>
        <stp>Crncy</stp>
        <stp>[Copy of EMN_IMS Bloomberg.xlsm]TradesEquity!R710C10</stp>
        <tr r="J710" s="11"/>
      </tp>
      <tp t="e">
        <v>#N/A</v>
        <stp/>
        <stp>##V3_BDPV12</stp>
        <stp xml:space="preserve"> Equity</stp>
        <stp>Crncy</stp>
        <stp>[Copy of EMN_IMS Bloomberg.xlsm]TradesEquity!R709C10</stp>
        <tr r="J709" s="11"/>
      </tp>
      <tp t="e">
        <v>#N/A</v>
        <stp/>
        <stp>##V3_BDPV12</stp>
        <stp xml:space="preserve"> Equity</stp>
        <stp>Crncy</stp>
        <stp>[Copy of EMN_IMS Bloomberg.xlsm]TradesEquity!R708C10</stp>
        <tr r="J708" s="11"/>
      </tp>
      <tp t="e">
        <v>#N/A</v>
        <stp/>
        <stp>##V3_BDPV12</stp>
        <stp xml:space="preserve"> Equity</stp>
        <stp>Crncy</stp>
        <stp>[Copy of EMN_IMS Bloomberg.xlsm]TradesEquity!R707C10</stp>
        <tr r="J707" s="11"/>
      </tp>
      <tp t="e">
        <v>#N/A</v>
        <stp/>
        <stp>##V3_BDPV12</stp>
        <stp xml:space="preserve"> Equity</stp>
        <stp>Crncy</stp>
        <stp>[Copy of EMN_IMS Bloomberg.xlsm]TradesEquity!R706C10</stp>
        <tr r="J706" s="11"/>
      </tp>
      <tp t="e">
        <v>#N/A</v>
        <stp/>
        <stp>##V3_BDPV12</stp>
        <stp xml:space="preserve"> Equity</stp>
        <stp>Crncy</stp>
        <stp>[Copy of EMN_IMS Bloomberg.xlsm]TradesEquity!R705C10</stp>
        <tr r="J705" s="11"/>
      </tp>
      <tp t="e">
        <v>#N/A</v>
        <stp/>
        <stp>##V3_BDPV12</stp>
        <stp xml:space="preserve"> Equity</stp>
        <stp>Crncy</stp>
        <stp>[Copy of EMN_IMS Bloomberg.xlsm]TradesEquity!R704C10</stp>
        <tr r="J704" s="11"/>
      </tp>
      <tp t="e">
        <v>#N/A</v>
        <stp/>
        <stp>##V3_BDPV12</stp>
        <stp xml:space="preserve"> Equity</stp>
        <stp>Crncy</stp>
        <stp>[Copy of EMN_IMS Bloomberg.xlsm]TradesEquity!R703C10</stp>
        <tr r="J703" s="11"/>
      </tp>
      <tp t="e">
        <v>#N/A</v>
        <stp/>
        <stp>##V3_BDPV12</stp>
        <stp xml:space="preserve"> Equity</stp>
        <stp>Crncy</stp>
        <stp>[Copy of EMN_IMS Bloomberg.xlsm]TradesEquity!R702C10</stp>
        <tr r="J702" s="11"/>
      </tp>
      <tp t="e">
        <v>#N/A</v>
        <stp/>
        <stp>##V3_BDPV12</stp>
        <stp xml:space="preserve"> Equity</stp>
        <stp>Crncy</stp>
        <stp>[Copy of EMN_IMS Bloomberg.xlsm]TradesEquity!R701C10</stp>
        <tr r="J701" s="11"/>
      </tp>
      <tp t="e">
        <v>#N/A</v>
        <stp/>
        <stp>##V3_BDPV12</stp>
        <stp xml:space="preserve"> Equity</stp>
        <stp>Crncy</stp>
        <stp>[Copy of EMN_IMS Bloomberg.xlsm]TradesEquity!R700C10</stp>
        <tr r="J700" s="11"/>
      </tp>
      <tp t="e">
        <v>#N/A</v>
        <stp/>
        <stp>##V3_BDPV12</stp>
        <stp xml:space="preserve"> Equity</stp>
        <stp>Crncy</stp>
        <stp>[Copy of EMN_IMS Bloomberg.xlsm]TradesEquity!R639C10</stp>
        <tr r="J639" s="11"/>
      </tp>
      <tp t="e">
        <v>#N/A</v>
        <stp/>
        <stp>##V3_BDPV12</stp>
        <stp xml:space="preserve"> Equity</stp>
        <stp>Crncy</stp>
        <stp>[Copy of EMN_IMS Bloomberg.xlsm]TradesEquity!R638C10</stp>
        <tr r="J638" s="11"/>
      </tp>
      <tp t="e">
        <v>#N/A</v>
        <stp/>
        <stp>##V3_BDPV12</stp>
        <stp xml:space="preserve"> Equity</stp>
        <stp>Crncy</stp>
        <stp>[Copy of EMN_IMS Bloomberg.xlsm]TradesEquity!R637C10</stp>
        <tr r="J637" s="11"/>
      </tp>
      <tp t="e">
        <v>#N/A</v>
        <stp/>
        <stp>##V3_BDPV12</stp>
        <stp xml:space="preserve"> Equity</stp>
        <stp>Crncy</stp>
        <stp>[Copy of EMN_IMS Bloomberg.xlsm]TradesEquity!R636C10</stp>
        <tr r="J636" s="11"/>
      </tp>
      <tp t="e">
        <v>#N/A</v>
        <stp/>
        <stp>##V3_BDPV12</stp>
        <stp xml:space="preserve"> Equity</stp>
        <stp>Crncy</stp>
        <stp>[Copy of EMN_IMS Bloomberg.xlsm]TradesEquity!R635C10</stp>
        <tr r="J635" s="11"/>
      </tp>
      <tp t="e">
        <v>#N/A</v>
        <stp/>
        <stp>##V3_BDPV12</stp>
        <stp xml:space="preserve"> Equity</stp>
        <stp>Crncy</stp>
        <stp>[Copy of EMN_IMS Bloomberg.xlsm]TradesEquity!R634C10</stp>
        <tr r="J634" s="11"/>
      </tp>
      <tp t="e">
        <v>#N/A</v>
        <stp/>
        <stp>##V3_BDPV12</stp>
        <stp xml:space="preserve"> Equity</stp>
        <stp>Crncy</stp>
        <stp>[Copy of EMN_IMS Bloomberg.xlsm]TradesEquity!R633C10</stp>
        <tr r="J633" s="11"/>
      </tp>
      <tp t="e">
        <v>#N/A</v>
        <stp/>
        <stp>##V3_BDPV12</stp>
        <stp xml:space="preserve"> Equity</stp>
        <stp>Crncy</stp>
        <stp>[Copy of EMN_IMS Bloomberg.xlsm]TradesEquity!R632C10</stp>
        <tr r="J632" s="11"/>
      </tp>
      <tp t="e">
        <v>#N/A</v>
        <stp/>
        <stp>##V3_BDPV12</stp>
        <stp xml:space="preserve"> Equity</stp>
        <stp>Crncy</stp>
        <stp>[Copy of EMN_IMS Bloomberg.xlsm]TradesEquity!R631C10</stp>
        <tr r="J631" s="11"/>
      </tp>
      <tp t="e">
        <v>#N/A</v>
        <stp/>
        <stp>##V3_BDPV12</stp>
        <stp xml:space="preserve"> Equity</stp>
        <stp>Crncy</stp>
        <stp>[Copy of EMN_IMS Bloomberg.xlsm]TradesEquity!R630C10</stp>
        <tr r="J630" s="11"/>
      </tp>
      <tp t="e">
        <v>#N/A</v>
        <stp/>
        <stp>##V3_BDPV12</stp>
        <stp xml:space="preserve"> Equity</stp>
        <stp>Crncy</stp>
        <stp>[Copy of EMN_IMS Bloomberg.xlsm]TradesEquity!R629C10</stp>
        <tr r="J629" s="11"/>
      </tp>
      <tp t="e">
        <v>#N/A</v>
        <stp/>
        <stp>##V3_BDPV12</stp>
        <stp xml:space="preserve"> Equity</stp>
        <stp>Crncy</stp>
        <stp>[Copy of EMN_IMS Bloomberg.xlsm]TradesEquity!R628C10</stp>
        <tr r="J628" s="11"/>
      </tp>
      <tp t="e">
        <v>#N/A</v>
        <stp/>
        <stp>##V3_BDPV12</stp>
        <stp xml:space="preserve"> Equity</stp>
        <stp>Crncy</stp>
        <stp>[Copy of EMN_IMS Bloomberg.xlsm]TradesEquity!R627C10</stp>
        <tr r="J627" s="11"/>
      </tp>
      <tp t="e">
        <v>#N/A</v>
        <stp/>
        <stp>##V3_BDPV12</stp>
        <stp xml:space="preserve"> Equity</stp>
        <stp>Crncy</stp>
        <stp>[Copy of EMN_IMS Bloomberg.xlsm]TradesEquity!R626C10</stp>
        <tr r="J626" s="11"/>
      </tp>
      <tp t="e">
        <v>#N/A</v>
        <stp/>
        <stp>##V3_BDPV12</stp>
        <stp xml:space="preserve"> Equity</stp>
        <stp>Crncy</stp>
        <stp>[Copy of EMN_IMS Bloomberg.xlsm]TradesEquity!R625C10</stp>
        <tr r="J625" s="11"/>
      </tp>
      <tp t="e">
        <v>#N/A</v>
        <stp/>
        <stp>##V3_BDPV12</stp>
        <stp xml:space="preserve"> Equity</stp>
        <stp>Crncy</stp>
        <stp>[Copy of EMN_IMS Bloomberg.xlsm]TradesEquity!R624C10</stp>
        <tr r="J624" s="11"/>
      </tp>
      <tp t="e">
        <v>#N/A</v>
        <stp/>
        <stp>##V3_BDPV12</stp>
        <stp xml:space="preserve"> Equity</stp>
        <stp>Crncy</stp>
        <stp>[Copy of EMN_IMS Bloomberg.xlsm]TradesEquity!R623C10</stp>
        <tr r="J623" s="11"/>
      </tp>
      <tp t="e">
        <v>#N/A</v>
        <stp/>
        <stp>##V3_BDPV12</stp>
        <stp xml:space="preserve"> Equity</stp>
        <stp>Crncy</stp>
        <stp>[Copy of EMN_IMS Bloomberg.xlsm]TradesEquity!R622C10</stp>
        <tr r="J622" s="11"/>
      </tp>
      <tp t="e">
        <v>#N/A</v>
        <stp/>
        <stp>##V3_BDPV12</stp>
        <stp xml:space="preserve"> Equity</stp>
        <stp>Crncy</stp>
        <stp>[Copy of EMN_IMS Bloomberg.xlsm]TradesEquity!R621C10</stp>
        <tr r="J621" s="11"/>
      </tp>
      <tp t="e">
        <v>#N/A</v>
        <stp/>
        <stp>##V3_BDPV12</stp>
        <stp xml:space="preserve"> Equity</stp>
        <stp>Crncy</stp>
        <stp>[Copy of EMN_IMS Bloomberg.xlsm]TradesEquity!R620C10</stp>
        <tr r="J620" s="11"/>
      </tp>
      <tp t="e">
        <v>#N/A</v>
        <stp/>
        <stp>##V3_BDPV12</stp>
        <stp xml:space="preserve"> Equity</stp>
        <stp>Crncy</stp>
        <stp>[Copy of EMN_IMS Bloomberg.xlsm]TradesEquity!R619C10</stp>
        <tr r="J619" s="11"/>
      </tp>
      <tp t="e">
        <v>#N/A</v>
        <stp/>
        <stp>##V3_BDPV12</stp>
        <stp xml:space="preserve"> Equity</stp>
        <stp>Crncy</stp>
        <stp>[Copy of EMN_IMS Bloomberg.xlsm]TradesEquity!R618C10</stp>
        <tr r="J618" s="11"/>
      </tp>
      <tp t="e">
        <v>#N/A</v>
        <stp/>
        <stp>##V3_BDPV12</stp>
        <stp xml:space="preserve"> Equity</stp>
        <stp>Crncy</stp>
        <stp>[Copy of EMN_IMS Bloomberg.xlsm]TradesEquity!R617C10</stp>
        <tr r="J617" s="11"/>
      </tp>
      <tp t="e">
        <v>#N/A</v>
        <stp/>
        <stp>##V3_BDPV12</stp>
        <stp xml:space="preserve"> Equity</stp>
        <stp>Crncy</stp>
        <stp>[Copy of EMN_IMS Bloomberg.xlsm]TradesEquity!R616C10</stp>
        <tr r="J616" s="11"/>
      </tp>
      <tp t="e">
        <v>#N/A</v>
        <stp/>
        <stp>##V3_BDPV12</stp>
        <stp xml:space="preserve"> Equity</stp>
        <stp>Crncy</stp>
        <stp>[Copy of EMN_IMS Bloomberg.xlsm]TradesEquity!R615C10</stp>
        <tr r="J615" s="11"/>
      </tp>
      <tp t="e">
        <v>#N/A</v>
        <stp/>
        <stp>##V3_BDPV12</stp>
        <stp xml:space="preserve"> Equity</stp>
        <stp>Crncy</stp>
        <stp>[Copy of EMN_IMS Bloomberg.xlsm]TradesEquity!R614C10</stp>
        <tr r="J614" s="11"/>
      </tp>
      <tp t="e">
        <v>#N/A</v>
        <stp/>
        <stp>##V3_BDPV12</stp>
        <stp xml:space="preserve"> Equity</stp>
        <stp>Crncy</stp>
        <stp>[Copy of EMN_IMS Bloomberg.xlsm]TradesEquity!R613C10</stp>
        <tr r="J613" s="11"/>
      </tp>
      <tp t="e">
        <v>#N/A</v>
        <stp/>
        <stp>##V3_BDPV12</stp>
        <stp xml:space="preserve"> Equity</stp>
        <stp>Crncy</stp>
        <stp>[Copy of EMN_IMS Bloomberg.xlsm]TradesEquity!R612C10</stp>
        <tr r="J612" s="11"/>
      </tp>
      <tp t="e">
        <v>#N/A</v>
        <stp/>
        <stp>##V3_BDPV12</stp>
        <stp xml:space="preserve"> Equity</stp>
        <stp>Crncy</stp>
        <stp>[Copy of EMN_IMS Bloomberg.xlsm]TradesEquity!R611C10</stp>
        <tr r="J611" s="11"/>
      </tp>
      <tp t="e">
        <v>#N/A</v>
        <stp/>
        <stp>##V3_BDPV12</stp>
        <stp xml:space="preserve"> Equity</stp>
        <stp>Crncy</stp>
        <stp>[Copy of EMN_IMS Bloomberg.xlsm]TradesEquity!R610C10</stp>
        <tr r="J610" s="11"/>
      </tp>
      <tp t="e">
        <v>#N/A</v>
        <stp/>
        <stp>##V3_BDPV12</stp>
        <stp xml:space="preserve"> Equity</stp>
        <stp>Crncy</stp>
        <stp>[Copy of EMN_IMS Bloomberg.xlsm]TradesEquity!R609C10</stp>
        <tr r="J609" s="11"/>
      </tp>
      <tp t="e">
        <v>#N/A</v>
        <stp/>
        <stp>##V3_BDPV12</stp>
        <stp xml:space="preserve"> Equity</stp>
        <stp>Crncy</stp>
        <stp>[Copy of EMN_IMS Bloomberg.xlsm]TradesEquity!R608C10</stp>
        <tr r="J608" s="11"/>
      </tp>
      <tp t="e">
        <v>#N/A</v>
        <stp/>
        <stp>##V3_BDPV12</stp>
        <stp xml:space="preserve"> Equity</stp>
        <stp>Crncy</stp>
        <stp>[Copy of EMN_IMS Bloomberg.xlsm]TradesEquity!R607C10</stp>
        <tr r="J607" s="11"/>
      </tp>
      <tp t="e">
        <v>#N/A</v>
        <stp/>
        <stp>##V3_BDPV12</stp>
        <stp xml:space="preserve"> Equity</stp>
        <stp>Crncy</stp>
        <stp>[Copy of EMN_IMS Bloomberg.xlsm]TradesEquity!R606C10</stp>
        <tr r="J606" s="11"/>
      </tp>
      <tp t="e">
        <v>#N/A</v>
        <stp/>
        <stp>##V3_BDPV12</stp>
        <stp xml:space="preserve"> Equity</stp>
        <stp>Crncy</stp>
        <stp>[Copy of EMN_IMS Bloomberg.xlsm]TradesEquity!R605C10</stp>
        <tr r="J605" s="11"/>
      </tp>
      <tp t="e">
        <v>#N/A</v>
        <stp/>
        <stp>##V3_BDPV12</stp>
        <stp xml:space="preserve"> Equity</stp>
        <stp>Crncy</stp>
        <stp>[Copy of EMN_IMS Bloomberg.xlsm]TradesEquity!R604C10</stp>
        <tr r="J604" s="11"/>
      </tp>
      <tp t="e">
        <v>#N/A</v>
        <stp/>
        <stp>##V3_BDPV12</stp>
        <stp xml:space="preserve"> Equity</stp>
        <stp>Crncy</stp>
        <stp>[Copy of EMN_IMS Bloomberg.xlsm]TradesEquity!R603C10</stp>
        <tr r="J603" s="11"/>
      </tp>
      <tp t="e">
        <v>#N/A</v>
        <stp/>
        <stp>##V3_BDPV12</stp>
        <stp xml:space="preserve"> Equity</stp>
        <stp>Crncy</stp>
        <stp>[Copy of EMN_IMS Bloomberg.xlsm]TradesEquity!R602C10</stp>
        <tr r="J602" s="11"/>
      </tp>
      <tp t="e">
        <v>#N/A</v>
        <stp/>
        <stp>##V3_BDPV12</stp>
        <stp xml:space="preserve"> Equity</stp>
        <stp>Crncy</stp>
        <stp>[Copy of EMN_IMS Bloomberg.xlsm]TradesEquity!R601C10</stp>
        <tr r="J601" s="11"/>
      </tp>
      <tp t="e">
        <v>#N/A</v>
        <stp/>
        <stp>##V3_BDPV12</stp>
        <stp xml:space="preserve"> Equity</stp>
        <stp>Crncy</stp>
        <stp>[Copy of EMN_IMS Bloomberg.xlsm]TradesEquity!R600C10</stp>
        <tr r="J600" s="11"/>
      </tp>
      <tp t="e">
        <v>#N/A</v>
        <stp/>
        <stp>##V3_BDPV12</stp>
        <stp xml:space="preserve"> Equity</stp>
        <stp>Crncy</stp>
        <stp>[Copy of EMN_IMS Bloomberg.xlsm]TradesEquity!R679C10</stp>
        <tr r="J679" s="11"/>
      </tp>
      <tp t="e">
        <v>#N/A</v>
        <stp/>
        <stp>##V3_BDPV12</stp>
        <stp xml:space="preserve"> Equity</stp>
        <stp>Crncy</stp>
        <stp>[Copy of EMN_IMS Bloomberg.xlsm]TradesEquity!R678C10</stp>
        <tr r="J678" s="11"/>
      </tp>
      <tp t="e">
        <v>#N/A</v>
        <stp/>
        <stp>##V3_BDPV12</stp>
        <stp xml:space="preserve"> Equity</stp>
        <stp>Crncy</stp>
        <stp>[Copy of EMN_IMS Bloomberg.xlsm]TradesEquity!R677C10</stp>
        <tr r="J677" s="11"/>
      </tp>
      <tp t="e">
        <v>#N/A</v>
        <stp/>
        <stp>##V3_BDPV12</stp>
        <stp xml:space="preserve"> Equity</stp>
        <stp>Crncy</stp>
        <stp>[Copy of EMN_IMS Bloomberg.xlsm]TradesEquity!R676C10</stp>
        <tr r="J676" s="11"/>
      </tp>
      <tp t="e">
        <v>#N/A</v>
        <stp/>
        <stp>##V3_BDPV12</stp>
        <stp xml:space="preserve"> Equity</stp>
        <stp>Crncy</stp>
        <stp>[Copy of EMN_IMS Bloomberg.xlsm]TradesEquity!R675C10</stp>
        <tr r="J675" s="11"/>
      </tp>
      <tp t="e">
        <v>#N/A</v>
        <stp/>
        <stp>##V3_BDPV12</stp>
        <stp xml:space="preserve"> Equity</stp>
        <stp>Crncy</stp>
        <stp>[Copy of EMN_IMS Bloomberg.xlsm]TradesEquity!R674C10</stp>
        <tr r="J674" s="11"/>
      </tp>
      <tp t="e">
        <v>#N/A</v>
        <stp/>
        <stp>##V3_BDPV12</stp>
        <stp xml:space="preserve"> Equity</stp>
        <stp>Crncy</stp>
        <stp>[Copy of EMN_IMS Bloomberg.xlsm]TradesEquity!R673C10</stp>
        <tr r="J673" s="11"/>
      </tp>
      <tp t="e">
        <v>#N/A</v>
        <stp/>
        <stp>##V3_BDPV12</stp>
        <stp xml:space="preserve"> Equity</stp>
        <stp>Crncy</stp>
        <stp>[Copy of EMN_IMS Bloomberg.xlsm]TradesEquity!R672C10</stp>
        <tr r="J672" s="11"/>
      </tp>
      <tp t="e">
        <v>#N/A</v>
        <stp/>
        <stp>##V3_BDPV12</stp>
        <stp xml:space="preserve"> Equity</stp>
        <stp>Crncy</stp>
        <stp>[Copy of EMN_IMS Bloomberg.xlsm]TradesEquity!R671C10</stp>
        <tr r="J671" s="11"/>
      </tp>
      <tp t="e">
        <v>#N/A</v>
        <stp/>
        <stp>##V3_BDPV12</stp>
        <stp xml:space="preserve"> Equity</stp>
        <stp>Crncy</stp>
        <stp>[Copy of EMN_IMS Bloomberg.xlsm]TradesEquity!R670C10</stp>
        <tr r="J670" s="11"/>
      </tp>
      <tp t="e">
        <v>#N/A</v>
        <stp/>
        <stp>##V3_BDPV12</stp>
        <stp xml:space="preserve"> Equity</stp>
        <stp>Crncy</stp>
        <stp>[Copy of EMN_IMS Bloomberg.xlsm]TradesEquity!R669C10</stp>
        <tr r="J669" s="11"/>
      </tp>
      <tp t="e">
        <v>#N/A</v>
        <stp/>
        <stp>##V3_BDPV12</stp>
        <stp xml:space="preserve"> Equity</stp>
        <stp>Crncy</stp>
        <stp>[Copy of EMN_IMS Bloomberg.xlsm]TradesEquity!R668C10</stp>
        <tr r="J668" s="11"/>
      </tp>
      <tp t="e">
        <v>#N/A</v>
        <stp/>
        <stp>##V3_BDPV12</stp>
        <stp xml:space="preserve"> Equity</stp>
        <stp>Crncy</stp>
        <stp>[Copy of EMN_IMS Bloomberg.xlsm]TradesEquity!R667C10</stp>
        <tr r="J667" s="11"/>
      </tp>
      <tp t="e">
        <v>#N/A</v>
        <stp/>
        <stp>##V3_BDPV12</stp>
        <stp xml:space="preserve"> Equity</stp>
        <stp>Crncy</stp>
        <stp>[Copy of EMN_IMS Bloomberg.xlsm]TradesEquity!R666C10</stp>
        <tr r="J666" s="11"/>
      </tp>
      <tp t="e">
        <v>#N/A</v>
        <stp/>
        <stp>##V3_BDPV12</stp>
        <stp xml:space="preserve"> Equity</stp>
        <stp>Crncy</stp>
        <stp>[Copy of EMN_IMS Bloomberg.xlsm]TradesEquity!R665C10</stp>
        <tr r="J665" s="11"/>
      </tp>
      <tp t="e">
        <v>#N/A</v>
        <stp/>
        <stp>##V3_BDPV12</stp>
        <stp xml:space="preserve"> Equity</stp>
        <stp>Crncy</stp>
        <stp>[Copy of EMN_IMS Bloomberg.xlsm]TradesEquity!R664C10</stp>
        <tr r="J664" s="11"/>
      </tp>
      <tp t="e">
        <v>#N/A</v>
        <stp/>
        <stp>##V3_BDPV12</stp>
        <stp xml:space="preserve"> Equity</stp>
        <stp>Crncy</stp>
        <stp>[Copy of EMN_IMS Bloomberg.xlsm]TradesEquity!R663C10</stp>
        <tr r="J663" s="11"/>
      </tp>
      <tp t="e">
        <v>#N/A</v>
        <stp/>
        <stp>##V3_BDPV12</stp>
        <stp xml:space="preserve"> Equity</stp>
        <stp>Crncy</stp>
        <stp>[Copy of EMN_IMS Bloomberg.xlsm]TradesEquity!R662C10</stp>
        <tr r="J662" s="11"/>
      </tp>
      <tp t="e">
        <v>#N/A</v>
        <stp/>
        <stp>##V3_BDPV12</stp>
        <stp xml:space="preserve"> Equity</stp>
        <stp>Crncy</stp>
        <stp>[Copy of EMN_IMS Bloomberg.xlsm]TradesEquity!R661C10</stp>
        <tr r="J661" s="11"/>
      </tp>
      <tp t="e">
        <v>#N/A</v>
        <stp/>
        <stp>##V3_BDPV12</stp>
        <stp xml:space="preserve"> Equity</stp>
        <stp>Crncy</stp>
        <stp>[Copy of EMN_IMS Bloomberg.xlsm]TradesEquity!R660C10</stp>
        <tr r="J660" s="11"/>
      </tp>
      <tp t="e">
        <v>#N/A</v>
        <stp/>
        <stp>##V3_BDPV12</stp>
        <stp xml:space="preserve"> Equity</stp>
        <stp>Crncy</stp>
        <stp>[Copy of EMN_IMS Bloomberg.xlsm]TradesEquity!R659C10</stp>
        <tr r="J659" s="11"/>
      </tp>
      <tp t="e">
        <v>#N/A</v>
        <stp/>
        <stp>##V3_BDPV12</stp>
        <stp xml:space="preserve"> Equity</stp>
        <stp>Crncy</stp>
        <stp>[Copy of EMN_IMS Bloomberg.xlsm]TradesEquity!R658C10</stp>
        <tr r="J658" s="11"/>
      </tp>
      <tp t="e">
        <v>#N/A</v>
        <stp/>
        <stp>##V3_BDPV12</stp>
        <stp xml:space="preserve"> Equity</stp>
        <stp>Crncy</stp>
        <stp>[Copy of EMN_IMS Bloomberg.xlsm]TradesEquity!R657C10</stp>
        <tr r="J657" s="11"/>
      </tp>
      <tp t="e">
        <v>#N/A</v>
        <stp/>
        <stp>##V3_BDPV12</stp>
        <stp xml:space="preserve"> Equity</stp>
        <stp>Crncy</stp>
        <stp>[Copy of EMN_IMS Bloomberg.xlsm]TradesEquity!R656C10</stp>
        <tr r="J656" s="11"/>
      </tp>
      <tp t="e">
        <v>#N/A</v>
        <stp/>
        <stp>##V3_BDPV12</stp>
        <stp xml:space="preserve"> Equity</stp>
        <stp>Crncy</stp>
        <stp>[Copy of EMN_IMS Bloomberg.xlsm]TradesEquity!R655C10</stp>
        <tr r="J655" s="11"/>
      </tp>
      <tp t="e">
        <v>#N/A</v>
        <stp/>
        <stp>##V3_BDPV12</stp>
        <stp xml:space="preserve"> Equity</stp>
        <stp>Crncy</stp>
        <stp>[Copy of EMN_IMS Bloomberg.xlsm]TradesEquity!R654C10</stp>
        <tr r="J654" s="11"/>
      </tp>
      <tp t="e">
        <v>#N/A</v>
        <stp/>
        <stp>##V3_BDPV12</stp>
        <stp xml:space="preserve"> Equity</stp>
        <stp>Crncy</stp>
        <stp>[Copy of EMN_IMS Bloomberg.xlsm]TradesEquity!R653C10</stp>
        <tr r="J653" s="11"/>
      </tp>
      <tp t="e">
        <v>#N/A</v>
        <stp/>
        <stp>##V3_BDPV12</stp>
        <stp xml:space="preserve"> Equity</stp>
        <stp>Crncy</stp>
        <stp>[Copy of EMN_IMS Bloomberg.xlsm]TradesEquity!R652C10</stp>
        <tr r="J652" s="11"/>
      </tp>
      <tp t="e">
        <v>#N/A</v>
        <stp/>
        <stp>##V3_BDPV12</stp>
        <stp xml:space="preserve"> Equity</stp>
        <stp>Crncy</stp>
        <stp>[Copy of EMN_IMS Bloomberg.xlsm]TradesEquity!R651C10</stp>
        <tr r="J651" s="11"/>
      </tp>
      <tp t="e">
        <v>#N/A</v>
        <stp/>
        <stp>##V3_BDPV12</stp>
        <stp xml:space="preserve"> Equity</stp>
        <stp>Crncy</stp>
        <stp>[Copy of EMN_IMS Bloomberg.xlsm]TradesEquity!R650C10</stp>
        <tr r="J650" s="11"/>
      </tp>
      <tp t="e">
        <v>#N/A</v>
        <stp/>
        <stp>##V3_BDPV12</stp>
        <stp xml:space="preserve"> Equity</stp>
        <stp>Crncy</stp>
        <stp>[Copy of EMN_IMS Bloomberg.xlsm]TradesEquity!R649C10</stp>
        <tr r="J649" s="11"/>
      </tp>
      <tp t="e">
        <v>#N/A</v>
        <stp/>
        <stp>##V3_BDPV12</stp>
        <stp xml:space="preserve"> Equity</stp>
        <stp>Crncy</stp>
        <stp>[Copy of EMN_IMS Bloomberg.xlsm]TradesEquity!R648C10</stp>
        <tr r="J648" s="11"/>
      </tp>
      <tp t="e">
        <v>#N/A</v>
        <stp/>
        <stp>##V3_BDPV12</stp>
        <stp xml:space="preserve"> Equity</stp>
        <stp>Crncy</stp>
        <stp>[Copy of EMN_IMS Bloomberg.xlsm]TradesEquity!R647C10</stp>
        <tr r="J647" s="11"/>
      </tp>
      <tp t="e">
        <v>#N/A</v>
        <stp/>
        <stp>##V3_BDPV12</stp>
        <stp xml:space="preserve"> Equity</stp>
        <stp>Crncy</stp>
        <stp>[Copy of EMN_IMS Bloomberg.xlsm]TradesEquity!R646C10</stp>
        <tr r="J646" s="11"/>
      </tp>
      <tp t="e">
        <v>#N/A</v>
        <stp/>
        <stp>##V3_BDPV12</stp>
        <stp xml:space="preserve"> Equity</stp>
        <stp>Crncy</stp>
        <stp>[Copy of EMN_IMS Bloomberg.xlsm]TradesEquity!R645C10</stp>
        <tr r="J645" s="11"/>
      </tp>
      <tp t="e">
        <v>#N/A</v>
        <stp/>
        <stp>##V3_BDPV12</stp>
        <stp xml:space="preserve"> Equity</stp>
        <stp>Crncy</stp>
        <stp>[Copy of EMN_IMS Bloomberg.xlsm]TradesEquity!R644C10</stp>
        <tr r="J644" s="11"/>
      </tp>
      <tp t="e">
        <v>#N/A</v>
        <stp/>
        <stp>##V3_BDPV12</stp>
        <stp xml:space="preserve"> Equity</stp>
        <stp>Crncy</stp>
        <stp>[Copy of EMN_IMS Bloomberg.xlsm]TradesEquity!R643C10</stp>
        <tr r="J643" s="11"/>
      </tp>
      <tp t="e">
        <v>#N/A</v>
        <stp/>
        <stp>##V3_BDPV12</stp>
        <stp xml:space="preserve"> Equity</stp>
        <stp>Crncy</stp>
        <stp>[Copy of EMN_IMS Bloomberg.xlsm]TradesEquity!R642C10</stp>
        <tr r="J642" s="11"/>
      </tp>
      <tp t="e">
        <v>#N/A</v>
        <stp/>
        <stp>##V3_BDPV12</stp>
        <stp xml:space="preserve"> Equity</stp>
        <stp>Crncy</stp>
        <stp>[Copy of EMN_IMS Bloomberg.xlsm]TradesEquity!R641C10</stp>
        <tr r="J641" s="11"/>
      </tp>
      <tp t="e">
        <v>#N/A</v>
        <stp/>
        <stp>##V3_BDPV12</stp>
        <stp xml:space="preserve"> Equity</stp>
        <stp>Crncy</stp>
        <stp>[Copy of EMN_IMS Bloomberg.xlsm]TradesEquity!R640C10</stp>
        <tr r="J640" s="11"/>
      </tp>
      <tp t="e">
        <v>#N/A</v>
        <stp/>
        <stp>##V3_BDPV12</stp>
        <stp xml:space="preserve"> Equity</stp>
        <stp>Crncy</stp>
        <stp>[Copy of EMN_IMS Bloomberg.xlsm]TradesEquity!R699C10</stp>
        <tr r="J699" s="11"/>
      </tp>
      <tp t="e">
        <v>#N/A</v>
        <stp/>
        <stp>##V3_BDPV12</stp>
        <stp xml:space="preserve"> Equity</stp>
        <stp>Crncy</stp>
        <stp>[Copy of EMN_IMS Bloomberg.xlsm]TradesEquity!R698C10</stp>
        <tr r="J698" s="11"/>
      </tp>
      <tp t="e">
        <v>#N/A</v>
        <stp/>
        <stp>##V3_BDPV12</stp>
        <stp xml:space="preserve"> Equity</stp>
        <stp>Crncy</stp>
        <stp>[Copy of EMN_IMS Bloomberg.xlsm]TradesEquity!R697C10</stp>
        <tr r="J697" s="11"/>
      </tp>
      <tp t="e">
        <v>#N/A</v>
        <stp/>
        <stp>##V3_BDPV12</stp>
        <stp xml:space="preserve"> Equity</stp>
        <stp>Crncy</stp>
        <stp>[Copy of EMN_IMS Bloomberg.xlsm]TradesEquity!R696C10</stp>
        <tr r="J696" s="11"/>
      </tp>
      <tp t="e">
        <v>#N/A</v>
        <stp/>
        <stp>##V3_BDPV12</stp>
        <stp xml:space="preserve"> Equity</stp>
        <stp>Crncy</stp>
        <stp>[Copy of EMN_IMS Bloomberg.xlsm]TradesEquity!R695C10</stp>
        <tr r="J695" s="11"/>
      </tp>
      <tp t="e">
        <v>#N/A</v>
        <stp/>
        <stp>##V3_BDPV12</stp>
        <stp xml:space="preserve"> Equity</stp>
        <stp>Crncy</stp>
        <stp>[Copy of EMN_IMS Bloomberg.xlsm]TradesEquity!R694C10</stp>
        <tr r="J694" s="11"/>
      </tp>
      <tp t="e">
        <v>#N/A</v>
        <stp/>
        <stp>##V3_BDPV12</stp>
        <stp xml:space="preserve"> Equity</stp>
        <stp>Crncy</stp>
        <stp>[Copy of EMN_IMS Bloomberg.xlsm]TradesEquity!R693C10</stp>
        <tr r="J693" s="11"/>
      </tp>
      <tp t="e">
        <v>#N/A</v>
        <stp/>
        <stp>##V3_BDPV12</stp>
        <stp xml:space="preserve"> Equity</stp>
        <stp>Crncy</stp>
        <stp>[Copy of EMN_IMS Bloomberg.xlsm]TradesEquity!R692C10</stp>
        <tr r="J692" s="11"/>
      </tp>
      <tp t="e">
        <v>#N/A</v>
        <stp/>
        <stp>##V3_BDPV12</stp>
        <stp xml:space="preserve"> Equity</stp>
        <stp>Crncy</stp>
        <stp>[Copy of EMN_IMS Bloomberg.xlsm]TradesEquity!R691C10</stp>
        <tr r="J691" s="11"/>
      </tp>
      <tp t="e">
        <v>#N/A</v>
        <stp/>
        <stp>##V3_BDPV12</stp>
        <stp xml:space="preserve"> Equity</stp>
        <stp>Crncy</stp>
        <stp>[Copy of EMN_IMS Bloomberg.xlsm]TradesEquity!R690C10</stp>
        <tr r="J690" s="11"/>
      </tp>
      <tp t="e">
        <v>#N/A</v>
        <stp/>
        <stp>##V3_BDPV12</stp>
        <stp xml:space="preserve"> Equity</stp>
        <stp>Crncy</stp>
        <stp>[Copy of EMN_IMS Bloomberg.xlsm]TradesEquity!R689C10</stp>
        <tr r="J689" s="11"/>
      </tp>
      <tp t="e">
        <v>#N/A</v>
        <stp/>
        <stp>##V3_BDPV12</stp>
        <stp xml:space="preserve"> Equity</stp>
        <stp>Crncy</stp>
        <stp>[Copy of EMN_IMS Bloomberg.xlsm]TradesEquity!R688C10</stp>
        <tr r="J688" s="11"/>
      </tp>
      <tp t="e">
        <v>#N/A</v>
        <stp/>
        <stp>##V3_BDPV12</stp>
        <stp xml:space="preserve"> Equity</stp>
        <stp>Crncy</stp>
        <stp>[Copy of EMN_IMS Bloomberg.xlsm]TradesEquity!R687C10</stp>
        <tr r="J687" s="11"/>
      </tp>
      <tp t="e">
        <v>#N/A</v>
        <stp/>
        <stp>##V3_BDPV12</stp>
        <stp xml:space="preserve"> Equity</stp>
        <stp>Crncy</stp>
        <stp>[Copy of EMN_IMS Bloomberg.xlsm]TradesEquity!R686C10</stp>
        <tr r="J686" s="11"/>
      </tp>
      <tp t="e">
        <v>#N/A</v>
        <stp/>
        <stp>##V3_BDPV12</stp>
        <stp xml:space="preserve"> Equity</stp>
        <stp>Crncy</stp>
        <stp>[Copy of EMN_IMS Bloomberg.xlsm]TradesEquity!R685C10</stp>
        <tr r="J685" s="11"/>
      </tp>
      <tp t="e">
        <v>#N/A</v>
        <stp/>
        <stp>##V3_BDPV12</stp>
        <stp xml:space="preserve"> Equity</stp>
        <stp>Crncy</stp>
        <stp>[Copy of EMN_IMS Bloomberg.xlsm]TradesEquity!R684C10</stp>
        <tr r="J684" s="11"/>
      </tp>
      <tp t="e">
        <v>#N/A</v>
        <stp/>
        <stp>##V3_BDPV12</stp>
        <stp xml:space="preserve"> Equity</stp>
        <stp>Crncy</stp>
        <stp>[Copy of EMN_IMS Bloomberg.xlsm]TradesEquity!R683C10</stp>
        <tr r="J683" s="11"/>
      </tp>
      <tp t="e">
        <v>#N/A</v>
        <stp/>
        <stp>##V3_BDPV12</stp>
        <stp xml:space="preserve"> Equity</stp>
        <stp>Crncy</stp>
        <stp>[Copy of EMN_IMS Bloomberg.xlsm]TradesEquity!R682C10</stp>
        <tr r="J682" s="11"/>
      </tp>
      <tp t="e">
        <v>#N/A</v>
        <stp/>
        <stp>##V3_BDPV12</stp>
        <stp xml:space="preserve"> Equity</stp>
        <stp>Crncy</stp>
        <stp>[Copy of EMN_IMS Bloomberg.xlsm]TradesEquity!R681C10</stp>
        <tr r="J681" s="11"/>
      </tp>
      <tp t="e">
        <v>#N/A</v>
        <stp/>
        <stp>##V3_BDPV12</stp>
        <stp xml:space="preserve"> Equity</stp>
        <stp>Crncy</stp>
        <stp>[Copy of EMN_IMS Bloomberg.xlsm]TradesEquity!R680C10</stp>
        <tr r="J680" s="11"/>
      </tp>
      <tp t="e">
        <v>#N/A</v>
        <stp/>
        <stp>##V3_BDPV12</stp>
        <stp xml:space="preserve"> Equity</stp>
        <stp>SECURITY_NAME</stp>
        <stp>[EMN_IMS Bloomberg.xlsm  -  version 362.0. 25.11.2021 16.44]Dvd!R86C4</stp>
        <tr r="D86" s="50"/>
      </tp>
      <tp t="e">
        <v>#N/A</v>
        <stp/>
        <stp>##V3_BDPV12</stp>
        <stp xml:space="preserve"> Equity</stp>
        <stp>SECURITY_NAME</stp>
        <stp>[EMN_IMS Bloomberg.xlsm  -  version 362.0. 25.11.2021 16.44]Dvd!R96C4</stp>
        <tr r="D96" s="50"/>
      </tp>
      <tp t="e">
        <v>#N/A</v>
        <stp/>
        <stp>##V3_BDPV12</stp>
        <stp xml:space="preserve"> Equity</stp>
        <stp>SECURITY_NAME</stp>
        <stp>[EMN_IMS Bloomberg.xlsm  -  version 362.0. 25.11.2021 16.44]Dvd!R66C4</stp>
        <tr r="D66" s="50"/>
      </tp>
      <tp t="e">
        <v>#N/A</v>
        <stp/>
        <stp>##V3_BDPV12</stp>
        <stp xml:space="preserve"> Equity</stp>
        <stp>SECURITY_NAME</stp>
        <stp>[EMN_IMS Bloomberg.xlsm  -  version 362.0. 25.11.2021 16.44]Dvd!R76C4</stp>
        <tr r="D76" s="50"/>
      </tp>
      <tp t="e">
        <v>#N/A</v>
        <stp/>
        <stp>##V3_BDPV12</stp>
        <stp xml:space="preserve"> Equity</stp>
        <stp>SECURITY_NAME</stp>
        <stp>[EMN_IMS Bloomberg.xlsm  -  version 362.0. 25.11.2021 16.44]Dvd!R85C4</stp>
        <tr r="D85" s="50"/>
      </tp>
      <tp t="e">
        <v>#N/A</v>
        <stp/>
        <stp>##V3_BDPV12</stp>
        <stp xml:space="preserve"> Equity</stp>
        <stp>SECURITY_NAME</stp>
        <stp>[EMN_IMS Bloomberg.xlsm  -  version 362.0. 25.11.2021 16.44]Dvd!R95C4</stp>
        <tr r="D95" s="50"/>
      </tp>
      <tp t="e">
        <v>#N/A</v>
        <stp/>
        <stp>##V3_BDPV12</stp>
        <stp xml:space="preserve"> Equity</stp>
        <stp>SECURITY_NAME</stp>
        <stp>[EMN_IMS Bloomberg.xlsm  -  version 362.0. 25.11.2021 16.44]Dvd!R65C4</stp>
        <tr r="D65" s="50"/>
      </tp>
      <tp t="e">
        <v>#N/A</v>
        <stp/>
        <stp>##V3_BDPV12</stp>
        <stp xml:space="preserve"> Equity</stp>
        <stp>SECURITY_NAME</stp>
        <stp>[EMN_IMS Bloomberg.xlsm  -  version 362.0. 25.11.2021 16.44]Dvd!R75C4</stp>
        <tr r="D75" s="50"/>
      </tp>
      <tp t="e">
        <v>#N/A</v>
        <stp/>
        <stp>##V3_BDPV12</stp>
        <stp xml:space="preserve"> Equity</stp>
        <stp>SECURITY_NAME</stp>
        <stp>[EMN_IMS Bloomberg.xlsm  -  version 362.0. 25.11.2021 16.44]Dvd!R84C4</stp>
        <tr r="D84" s="50"/>
      </tp>
      <tp t="e">
        <v>#N/A</v>
        <stp/>
        <stp>##V3_BDPV12</stp>
        <stp xml:space="preserve"> Equity</stp>
        <stp>SECURITY_NAME</stp>
        <stp>[EMN_IMS Bloomberg.xlsm  -  version 362.0. 25.11.2021 16.44]Dvd!R94C4</stp>
        <tr r="D94" s="50"/>
      </tp>
      <tp t="e">
        <v>#N/A</v>
        <stp/>
        <stp>##V3_BDPV12</stp>
        <stp xml:space="preserve"> Equity</stp>
        <stp>SECURITY_NAME</stp>
        <stp>[EMN_IMS Bloomberg.xlsm  -  version 362.0. 25.11.2021 16.44]Dvd!R64C4</stp>
        <tr r="D64" s="50"/>
      </tp>
      <tp t="e">
        <v>#N/A</v>
        <stp/>
        <stp>##V3_BDPV12</stp>
        <stp xml:space="preserve"> Equity</stp>
        <stp>SECURITY_NAME</stp>
        <stp>[EMN_IMS Bloomberg.xlsm  -  version 362.0. 25.11.2021 16.44]Dvd!R74C4</stp>
        <tr r="D74" s="50"/>
      </tp>
      <tp t="e">
        <v>#N/A</v>
        <stp/>
        <stp>##V3_BDPV12</stp>
        <stp xml:space="preserve"> Equity</stp>
        <stp>SECURITY_NAME</stp>
        <stp>[EMN_IMS Bloomberg.xlsm  -  version 362.0. 25.11.2021 16.44]Dvd!R83C4</stp>
        <tr r="D83" s="50"/>
      </tp>
      <tp t="e">
        <v>#N/A</v>
        <stp/>
        <stp>##V3_BDPV12</stp>
        <stp xml:space="preserve"> Equity</stp>
        <stp>SECURITY_NAME</stp>
        <stp>[EMN_IMS Bloomberg.xlsm  -  version 362.0. 25.11.2021 16.44]Dvd!R93C4</stp>
        <tr r="D93" s="50"/>
      </tp>
      <tp t="e">
        <v>#N/A</v>
        <stp/>
        <stp>##V3_BDPV12</stp>
        <stp xml:space="preserve"> Equity</stp>
        <stp>SECURITY_NAME</stp>
        <stp>[EMN_IMS Bloomberg.xlsm  -  version 362.0. 25.11.2021 16.44]Dvd!R63C4</stp>
        <tr r="D63" s="50"/>
      </tp>
      <tp t="e">
        <v>#N/A</v>
        <stp/>
        <stp>##V3_BDPV12</stp>
        <stp xml:space="preserve"> Equity</stp>
        <stp>SECURITY_NAME</stp>
        <stp>[EMN_IMS Bloomberg.xlsm  -  version 362.0. 25.11.2021 16.44]Dvd!R73C4</stp>
        <tr r="D73" s="50"/>
      </tp>
      <tp t="e">
        <v>#N/A</v>
        <stp/>
        <stp>##V3_BDPV12</stp>
        <stp xml:space="preserve"> Equity</stp>
        <stp>SECURITY_NAME</stp>
        <stp>[EMN_IMS Bloomberg.xlsm  -  version 362.0. 25.11.2021 16.44]Dvd!R82C4</stp>
        <tr r="D82" s="50"/>
      </tp>
      <tp t="e">
        <v>#N/A</v>
        <stp/>
        <stp>##V3_BDPV12</stp>
        <stp xml:space="preserve"> Equity</stp>
        <stp>SECURITY_NAME</stp>
        <stp>[EMN_IMS Bloomberg.xlsm  -  version 362.0. 25.11.2021 16.44]Dvd!R92C4</stp>
        <tr r="D92" s="50"/>
      </tp>
      <tp t="e">
        <v>#N/A</v>
        <stp/>
        <stp>##V3_BDPV12</stp>
        <stp xml:space="preserve"> Equity</stp>
        <stp>SECURITY_NAME</stp>
        <stp>[EMN_IMS Bloomberg.xlsm  -  version 362.0. 25.11.2021 16.44]Dvd!R72C4</stp>
        <tr r="D72" s="50"/>
      </tp>
      <tp t="e">
        <v>#N/A</v>
        <stp/>
        <stp>##V3_BDPV12</stp>
        <stp xml:space="preserve"> Equity</stp>
        <stp>SECURITY_NAME</stp>
        <stp>[EMN_IMS Bloomberg.xlsm  -  version 362.0. 25.11.2021 16.44]Dvd!R81C4</stp>
        <tr r="D81" s="50"/>
      </tp>
      <tp t="e">
        <v>#N/A</v>
        <stp/>
        <stp>##V3_BDPV12</stp>
        <stp xml:space="preserve"> Equity</stp>
        <stp>SECURITY_NAME</stp>
        <stp>[EMN_IMS Bloomberg.xlsm  -  version 362.0. 25.11.2021 16.44]Dvd!R91C4</stp>
        <tr r="D91" s="50"/>
      </tp>
      <tp t="e">
        <v>#N/A</v>
        <stp/>
        <stp>##V3_BDPV12</stp>
        <stp xml:space="preserve"> Equity</stp>
        <stp>SECURITY_NAME</stp>
        <stp>[EMN_IMS Bloomberg.xlsm  -  version 362.0. 25.11.2021 16.44]Dvd!R71C4</stp>
        <tr r="D71" s="50"/>
      </tp>
      <tp t="e">
        <v>#N/A</v>
        <stp/>
        <stp>##V3_BDPV12</stp>
        <stp xml:space="preserve"> ISIN</stp>
        <stp>Crncy</stp>
        <stp>[EMN_IMS Bloomberg.xlsm  -  version 362.0. 25.11.2021 16.44]TradesBond!R48C7</stp>
        <tr r="G48" s="12"/>
      </tp>
      <tp t="e">
        <v>#N/A</v>
        <stp/>
        <stp>##V3_BDPV12</stp>
        <stp xml:space="preserve"> ISIN</stp>
        <stp>Crncy</stp>
        <stp>[EMN_IMS Bloomberg.xlsm  -  version 362.0. 25.11.2021 16.44]TradesBond!R58C7</stp>
        <tr r="G58" s="12"/>
      </tp>
      <tp t="e">
        <v>#N/A</v>
        <stp/>
        <stp>##V3_BDPV12</stp>
        <stp xml:space="preserve"> ISIN</stp>
        <stp>Crncy</stp>
        <stp>[EMN_IMS Bloomberg.xlsm  -  version 362.0. 25.11.2021 16.44]TradesBond!R18C7</stp>
        <tr r="G18" s="12"/>
      </tp>
      <tp t="e">
        <v>#N/A</v>
        <stp/>
        <stp>##V3_BDPV12</stp>
        <stp xml:space="preserve"> ISIN</stp>
        <stp>Crncy</stp>
        <stp>[EMN_IMS Bloomberg.xlsm  -  version 362.0. 25.11.2021 16.44]TradesBond!R28C7</stp>
        <tr r="G28" s="12"/>
      </tp>
      <tp t="e">
        <v>#N/A</v>
        <stp/>
        <stp>##V3_BDPV12</stp>
        <stp xml:space="preserve"> ISIN</stp>
        <stp>Crncy</stp>
        <stp>[EMN_IMS Bloomberg.xlsm  -  version 362.0. 25.11.2021 16.44]TradesBond!R38C7</stp>
        <tr r="G38" s="12"/>
      </tp>
      <tp t="e">
        <v>#N/A</v>
        <stp/>
        <stp>##V3_BDPV12</stp>
        <stp xml:space="preserve"> Equity</stp>
        <stp>SECURITY_NAME</stp>
        <stp>[EMN_IMS Bloomberg.xlsm  -  version 362.0. 25.11.2021 16.44]Dvd!R80C4</stp>
        <tr r="D80" s="50"/>
      </tp>
      <tp t="e">
        <v>#N/A</v>
        <stp/>
        <stp>##V3_BDPV12</stp>
        <stp xml:space="preserve"> Equity</stp>
        <stp>SECURITY_NAME</stp>
        <stp>[EMN_IMS Bloomberg.xlsm  -  version 362.0. 25.11.2021 16.44]Dvd!R90C4</stp>
        <tr r="D90" s="50"/>
      </tp>
      <tp t="e">
        <v>#N/A</v>
        <stp/>
        <stp>##V3_BDPV12</stp>
        <stp xml:space="preserve"> Equity</stp>
        <stp>SECURITY_NAME</stp>
        <stp>[EMN_IMS Bloomberg.xlsm  -  version 362.0. 25.11.2021 16.44]Dvd!R70C4</stp>
        <tr r="D70" s="50"/>
      </tp>
      <tp t="e">
        <v>#N/A</v>
        <stp/>
        <stp>##V3_BDPV12</stp>
        <stp xml:space="preserve"> ISIN</stp>
        <stp>Crncy</stp>
        <stp>[EMN_IMS Bloomberg.xlsm  -  version 362.0. 25.11.2021 16.44]TradesBond!R49C7</stp>
        <tr r="G49" s="12"/>
      </tp>
      <tp t="e">
        <v>#N/A</v>
        <stp/>
        <stp>##V3_BDPV12</stp>
        <stp xml:space="preserve"> ISIN</stp>
        <stp>Crncy</stp>
        <stp>[EMN_IMS Bloomberg.xlsm  -  version 362.0. 25.11.2021 16.44]TradesBond!R59C7</stp>
        <tr r="G59" s="12"/>
      </tp>
      <tp t="e">
        <v>#N/A</v>
        <stp/>
        <stp>##V3_BDPV12</stp>
        <stp xml:space="preserve"> ISIN</stp>
        <stp>Crncy</stp>
        <stp>[EMN_IMS Bloomberg.xlsm  -  version 362.0. 25.11.2021 16.44]TradesBond!R19C7</stp>
        <tr r="G19" s="12"/>
      </tp>
      <tp t="e">
        <v>#N/A</v>
        <stp/>
        <stp>##V3_BDPV12</stp>
        <stp xml:space="preserve"> ISIN</stp>
        <stp>Crncy</stp>
        <stp>[EMN_IMS Bloomberg.xlsm  -  version 362.0. 25.11.2021 16.44]TradesBond!R29C7</stp>
        <tr r="G29" s="12"/>
      </tp>
      <tp t="e">
        <v>#N/A</v>
        <stp/>
        <stp>##V3_BDPV12</stp>
        <stp xml:space="preserve"> ISIN</stp>
        <stp>Crncy</stp>
        <stp>[EMN_IMS Bloomberg.xlsm  -  version 362.0. 25.11.2021 16.44]TradesBond!R39C7</stp>
        <tr r="G39" s="12"/>
      </tp>
      <tp t="e">
        <v>#N/A</v>
        <stp/>
        <stp>##V3_BDPV12</stp>
        <stp xml:space="preserve"> Equity</stp>
        <stp>SECURITY_NAME</stp>
        <stp>[EMN_IMS Bloomberg.xlsm  -  version 362.0. 25.11.2021 16.44]Dvd!R100C4</stp>
        <tr r="D100" s="50"/>
      </tp>
      <tp t="e">
        <v>#N/A</v>
        <stp/>
        <stp>##V3_BDPV12</stp>
        <stp xml:space="preserve"> Equity</stp>
        <stp>dvd_pay_dt</stp>
        <stp>[EMN_IMS Bloomberg.xlsm  -  version 362.0. 25.11.2021 16.44]Dvd!R79C8</stp>
        <tr r="H79" s="50"/>
      </tp>
      <tp t="e">
        <v>#N/A</v>
        <stp/>
        <stp>##V3_BDPV12</stp>
        <stp xml:space="preserve"> Equity</stp>
        <stp>dvd_pay_dt</stp>
        <stp>[EMN_IMS Bloomberg.xlsm  -  version 362.0. 25.11.2021 16.44]Dvd!R69C8</stp>
        <tr r="H69" s="50"/>
      </tp>
      <tp t="e">
        <v>#N/A</v>
        <stp/>
        <stp>##V3_BDPV12</stp>
        <stp xml:space="preserve"> Equity</stp>
        <stp>dvd_pay_dt</stp>
        <stp>[EMN_IMS Bloomberg.xlsm  -  version 362.0. 25.11.2021 16.44]Dvd!R99C8</stp>
        <tr r="H99" s="50"/>
      </tp>
      <tp t="e">
        <v>#N/A</v>
        <stp/>
        <stp>##V3_BDPV12</stp>
        <stp xml:space="preserve"> Equity</stp>
        <stp>dvd_pay_dt</stp>
        <stp>[EMN_IMS Bloomberg.xlsm  -  version 362.0. 25.11.2021 16.44]Dvd!R89C8</stp>
        <tr r="H89" s="50"/>
      </tp>
      <tp t="e">
        <v>#N/A</v>
        <stp/>
        <stp>##V3_BDPV12</stp>
        <stp xml:space="preserve"> Equity</stp>
        <stp>BDVD_NEXT_EST_DECL_DT</stp>
        <stp>[EMN_IMS Bloomberg.xlsm  -  version 362.0. 25.11.2021 16.44]Dvd!R100C7</stp>
        <tr r="G100" s="50"/>
      </tp>
      <tp t="e">
        <v>#N/A</v>
        <stp/>
        <stp>##V3_BDPV12</stp>
        <stp xml:space="preserve"> Equity</stp>
        <stp>dvd_pay_dt</stp>
        <stp>[EMN_IMS Bloomberg.xlsm  -  version 362.0. 25.11.2021 16.44]Dvd!R78C8</stp>
        <tr r="H78" s="50"/>
      </tp>
      <tp t="e">
        <v>#N/A</v>
        <stp/>
        <stp>##V3_BDPV12</stp>
        <stp xml:space="preserve"> Equity</stp>
        <stp>dvd_pay_dt</stp>
        <stp>[EMN_IMS Bloomberg.xlsm  -  version 362.0. 25.11.2021 16.44]Dvd!R68C8</stp>
        <tr r="H68" s="50"/>
      </tp>
      <tp t="e">
        <v>#N/A</v>
        <stp/>
        <stp>##V3_BDPV12</stp>
        <stp xml:space="preserve"> Equity</stp>
        <stp>dvd_pay_dt</stp>
        <stp>[EMN_IMS Bloomberg.xlsm  -  version 362.0. 25.11.2021 16.44]Dvd!R98C8</stp>
        <tr r="H98" s="50"/>
      </tp>
      <tp t="e">
        <v>#N/A</v>
        <stp/>
        <stp>##V3_BDPV12</stp>
        <stp xml:space="preserve"> Equity</stp>
        <stp>dvd_pay_dt</stp>
        <stp>[EMN_IMS Bloomberg.xlsm  -  version 362.0. 25.11.2021 16.44]Dvd!R88C8</stp>
        <tr r="H88" s="50"/>
      </tp>
      <tp t="e">
        <v>#N/A</v>
        <stp/>
        <stp>##V3_BDPV12</stp>
        <stp xml:space="preserve"> Equity</stp>
        <stp>BDVD_NEXT_EST_DECL_DT</stp>
        <stp>[EMN_IMS Bloomberg.xlsm  -  version 362.0. 25.11.2021 16.44]Dvd!R98C7</stp>
        <tr r="G98" s="50"/>
      </tp>
      <tp t="e">
        <v>#N/A</v>
        <stp/>
        <stp>##V3_BDPV12</stp>
        <stp xml:space="preserve"> Equity</stp>
        <stp>BDVD_NEXT_EST_DECL_DT</stp>
        <stp>[EMN_IMS Bloomberg.xlsm  -  version 362.0. 25.11.2021 16.44]Dvd!R88C7</stp>
        <tr r="G88" s="50"/>
      </tp>
      <tp t="e">
        <v>#N/A</v>
        <stp/>
        <stp>##V3_BDPV12</stp>
        <stp xml:space="preserve"> Equity</stp>
        <stp>BDVD_NEXT_EST_DECL_DT</stp>
        <stp>[EMN_IMS Bloomberg.xlsm  -  version 362.0. 25.11.2021 16.44]Dvd!R78C7</stp>
        <tr r="G78" s="50"/>
      </tp>
      <tp t="e">
        <v>#N/A</v>
        <stp/>
        <stp>##V3_BDPV12</stp>
        <stp xml:space="preserve"> Equity</stp>
        <stp>BDVD_NEXT_EST_DECL_DT</stp>
        <stp>[EMN_IMS Bloomberg.xlsm  -  version 362.0. 25.11.2021 16.44]Dvd!R68C7</stp>
        <tr r="G68" s="50"/>
      </tp>
      <tp t="e">
        <v>#N/A</v>
        <stp/>
        <stp>##V3_BDPV12</stp>
        <stp xml:space="preserve"> Equity</stp>
        <stp>BDVD_NEXT_EST_DECL_DT</stp>
        <stp>[EMN_IMS Bloomberg.xlsm  -  version 362.0. 25.11.2021 16.44]Dvd!R99C7</stp>
        <tr r="G99" s="50"/>
      </tp>
      <tp t="e">
        <v>#N/A</v>
        <stp/>
        <stp>##V3_BDPV12</stp>
        <stp xml:space="preserve"> Equity</stp>
        <stp>BDVD_NEXT_EST_DECL_DT</stp>
        <stp>[EMN_IMS Bloomberg.xlsm  -  version 362.0. 25.11.2021 16.44]Dvd!R89C7</stp>
        <tr r="G89" s="50"/>
      </tp>
      <tp t="e">
        <v>#N/A</v>
        <stp/>
        <stp>##V3_BDPV12</stp>
        <stp xml:space="preserve"> Equity</stp>
        <stp>BDVD_NEXT_EST_DECL_DT</stp>
        <stp>[EMN_IMS Bloomberg.xlsm  -  version 362.0. 25.11.2021 16.44]Dvd!R79C7</stp>
        <tr r="G79" s="50"/>
      </tp>
      <tp t="e">
        <v>#N/A</v>
        <stp/>
        <stp>##V3_BDPV12</stp>
        <stp xml:space="preserve"> Equity</stp>
        <stp>BDVD_NEXT_EST_DECL_DT</stp>
        <stp>[EMN_IMS Bloomberg.xlsm  -  version 362.0. 25.11.2021 16.44]Dvd!R69C7</stp>
        <tr r="G69" s="50"/>
      </tp>
      <tp t="e">
        <v>#N/A</v>
        <stp/>
        <stp>##V3_BDPV12</stp>
        <stp xml:space="preserve"> Equity</stp>
        <stp>BDVD_NEXT_EST_DECL_DT</stp>
        <stp>[EMN_IMS Bloomberg.xlsm  -  version 362.0. 25.11.2021 16.44]Dvd!R96C7</stp>
        <tr r="G96" s="50"/>
      </tp>
      <tp t="e">
        <v>#N/A</v>
        <stp/>
        <stp>##V3_BDPV12</stp>
        <stp xml:space="preserve"> Equity</stp>
        <stp>BDVD_NEXT_EST_DECL_DT</stp>
        <stp>[EMN_IMS Bloomberg.xlsm  -  version 362.0. 25.11.2021 16.44]Dvd!R86C7</stp>
        <tr r="G86" s="50"/>
      </tp>
      <tp t="e">
        <v>#N/A</v>
        <stp/>
        <stp>##V3_BDPV12</stp>
        <stp xml:space="preserve"> Equity</stp>
        <stp>BDVD_NEXT_EST_DECL_DT</stp>
        <stp>[EMN_IMS Bloomberg.xlsm  -  version 362.0. 25.11.2021 16.44]Dvd!R76C7</stp>
        <tr r="G76" s="50"/>
      </tp>
      <tp t="e">
        <v>#N/A</v>
        <stp/>
        <stp>##V3_BDPV12</stp>
        <stp xml:space="preserve"> Equity</stp>
        <stp>BDVD_NEXT_EST_DECL_DT</stp>
        <stp>[EMN_IMS Bloomberg.xlsm  -  version 362.0. 25.11.2021 16.44]Dvd!R66C7</stp>
        <tr r="G66" s="50"/>
      </tp>
      <tp t="e">
        <v>#N/A</v>
        <stp/>
        <stp>##V3_BDPV12</stp>
        <stp xml:space="preserve"> Equity</stp>
        <stp>dvd_pay_dt</stp>
        <stp>[EMN_IMS Bloomberg.xlsm  -  version 362.0. 25.11.2021 16.44]Dvd!R75C8</stp>
        <tr r="H75" s="50"/>
      </tp>
      <tp t="e">
        <v>#N/A</v>
        <stp/>
        <stp>##V3_BDPV12</stp>
        <stp xml:space="preserve"> Equity</stp>
        <stp>dvd_pay_dt</stp>
        <stp>[EMN_IMS Bloomberg.xlsm  -  version 362.0. 25.11.2021 16.44]Dvd!R65C8</stp>
        <tr r="H65" s="50"/>
      </tp>
      <tp t="e">
        <v>#N/A</v>
        <stp/>
        <stp>##V3_BDPV12</stp>
        <stp xml:space="preserve"> Equity</stp>
        <stp>dvd_pay_dt</stp>
        <stp>[EMN_IMS Bloomberg.xlsm  -  version 362.0. 25.11.2021 16.44]Dvd!R95C8</stp>
        <tr r="H95" s="50"/>
      </tp>
      <tp t="e">
        <v>#N/A</v>
        <stp/>
        <stp>##V3_BDPV12</stp>
        <stp xml:space="preserve"> Equity</stp>
        <stp>dvd_pay_dt</stp>
        <stp>[EMN_IMS Bloomberg.xlsm  -  version 362.0. 25.11.2021 16.44]Dvd!R85C8</stp>
        <tr r="H85" s="50"/>
      </tp>
      <tp t="e">
        <v>#N/A</v>
        <stp/>
        <stp>##V3_BDPV12</stp>
        <stp xml:space="preserve"> Equity</stp>
        <stp>BDVD_NEXT_EST_DECL_DT</stp>
        <stp>[EMN_IMS Bloomberg.xlsm  -  version 362.0. 25.11.2021 16.44]Dvd!R97C7</stp>
        <tr r="G97" s="50"/>
      </tp>
      <tp t="e">
        <v>#N/A</v>
        <stp/>
        <stp>##V3_BDPV12</stp>
        <stp xml:space="preserve"> Equity</stp>
        <stp>BDVD_NEXT_EST_DECL_DT</stp>
        <stp>[EMN_IMS Bloomberg.xlsm  -  version 362.0. 25.11.2021 16.44]Dvd!R87C7</stp>
        <tr r="G87" s="50"/>
      </tp>
      <tp t="e">
        <v>#N/A</v>
        <stp/>
        <stp>##V3_BDPV12</stp>
        <stp xml:space="preserve"> Equity</stp>
        <stp>BDVD_NEXT_EST_DECL_DT</stp>
        <stp>[EMN_IMS Bloomberg.xlsm  -  version 362.0. 25.11.2021 16.44]Dvd!R77C7</stp>
        <tr r="G77" s="50"/>
      </tp>
      <tp t="e">
        <v>#N/A</v>
        <stp/>
        <stp>##V3_BDPV12</stp>
        <stp xml:space="preserve"> Equity</stp>
        <stp>BDVD_NEXT_EST_DECL_DT</stp>
        <stp>[EMN_IMS Bloomberg.xlsm  -  version 362.0. 25.11.2021 16.44]Dvd!R67C7</stp>
        <tr r="G67" s="50"/>
      </tp>
      <tp t="e">
        <v>#N/A</v>
        <stp/>
        <stp>##V3_BDPV12</stp>
        <stp xml:space="preserve"> Equity</stp>
        <stp>dvd_pay_dt</stp>
        <stp>[EMN_IMS Bloomberg.xlsm  -  version 362.0. 25.11.2021 16.44]Dvd!R74C8</stp>
        <tr r="H74" s="50"/>
      </tp>
      <tp t="e">
        <v>#N/A</v>
        <stp/>
        <stp>##V3_BDPV12</stp>
        <stp xml:space="preserve"> Equity</stp>
        <stp>dvd_pay_dt</stp>
        <stp>[EMN_IMS Bloomberg.xlsm  -  version 362.0. 25.11.2021 16.44]Dvd!R64C8</stp>
        <tr r="H64" s="50"/>
      </tp>
      <tp t="e">
        <v>#N/A</v>
        <stp/>
        <stp>##V3_BDPV12</stp>
        <stp xml:space="preserve"> Equity</stp>
        <stp>dvd_pay_dt</stp>
        <stp>[EMN_IMS Bloomberg.xlsm  -  version 362.0. 25.11.2021 16.44]Dvd!R94C8</stp>
        <tr r="H94" s="50"/>
      </tp>
      <tp t="e">
        <v>#N/A</v>
        <stp/>
        <stp>##V3_BDPV12</stp>
        <stp xml:space="preserve"> Equity</stp>
        <stp>dvd_pay_dt</stp>
        <stp>[EMN_IMS Bloomberg.xlsm  -  version 362.0. 25.11.2021 16.44]Dvd!R84C8</stp>
        <tr r="H84" s="50"/>
      </tp>
      <tp t="e">
        <v>#N/A</v>
        <stp/>
        <stp>##V3_BDPV12</stp>
        <stp xml:space="preserve"> Equity</stp>
        <stp>dvd_crncy</stp>
        <stp>[EMN_IMS Bloomberg.xlsm  -  version 362.0. 25.11.2021 16.44]Dvd!R100C10</stp>
        <tr r="J100" s="50"/>
      </tp>
      <tp t="e">
        <v>#N/A</v>
        <stp/>
        <stp>##V3_BDPV12</stp>
        <stp xml:space="preserve"> Equity</stp>
        <stp>BDVD_NEXT_EST_DECL_DT</stp>
        <stp>[EMN_IMS Bloomberg.xlsm  -  version 362.0. 25.11.2021 16.44]Dvd!R94C7</stp>
        <tr r="G94" s="50"/>
      </tp>
      <tp t="e">
        <v>#N/A</v>
        <stp/>
        <stp>##V3_BDPV12</stp>
        <stp xml:space="preserve"> Equity</stp>
        <stp>BDVD_NEXT_EST_DECL_DT</stp>
        <stp>[EMN_IMS Bloomberg.xlsm  -  version 362.0. 25.11.2021 16.44]Dvd!R84C7</stp>
        <tr r="G84" s="50"/>
      </tp>
      <tp t="e">
        <v>#N/A</v>
        <stp/>
        <stp>##V3_BDPV12</stp>
        <stp xml:space="preserve"> Equity</stp>
        <stp>BDVD_NEXT_EST_DECL_DT</stp>
        <stp>[EMN_IMS Bloomberg.xlsm  -  version 362.0. 25.11.2021 16.44]Dvd!R74C7</stp>
        <tr r="G74" s="50"/>
      </tp>
      <tp t="e">
        <v>#N/A</v>
        <stp/>
        <stp>##V3_BDPV12</stp>
        <stp xml:space="preserve"> Equity</stp>
        <stp>BDVD_NEXT_EST_DECL_DT</stp>
        <stp>[EMN_IMS Bloomberg.xlsm  -  version 362.0. 25.11.2021 16.44]Dvd!R64C7</stp>
        <tr r="G64" s="50"/>
      </tp>
      <tp t="e">
        <v>#N/A</v>
        <stp/>
        <stp>##V3_BDPV12</stp>
        <stp xml:space="preserve"> Equity</stp>
        <stp>dvd_pay_dt</stp>
        <stp>[EMN_IMS Bloomberg.xlsm  -  version 362.0. 25.11.2021 16.44]Dvd!R77C8</stp>
        <tr r="H77" s="50"/>
      </tp>
      <tp t="e">
        <v>#N/A</v>
        <stp/>
        <stp>##V3_BDPV12</stp>
        <stp xml:space="preserve"> Equity</stp>
        <stp>dvd_pay_dt</stp>
        <stp>[EMN_IMS Bloomberg.xlsm  -  version 362.0. 25.11.2021 16.44]Dvd!R67C8</stp>
        <tr r="H67" s="50"/>
      </tp>
      <tp t="e">
        <v>#N/A</v>
        <stp/>
        <stp>##V3_BDPV12</stp>
        <stp xml:space="preserve"> Equity</stp>
        <stp>dvd_pay_dt</stp>
        <stp>[EMN_IMS Bloomberg.xlsm  -  version 362.0. 25.11.2021 16.44]Dvd!R97C8</stp>
        <tr r="H97" s="50"/>
      </tp>
      <tp t="e">
        <v>#N/A</v>
        <stp/>
        <stp>##V3_BDPV12</stp>
        <stp xml:space="preserve"> Equity</stp>
        <stp>dvd_pay_dt</stp>
        <stp>[EMN_IMS Bloomberg.xlsm  -  version 362.0. 25.11.2021 16.44]Dvd!R87C8</stp>
        <tr r="H87" s="50"/>
      </tp>
      <tp t="e">
        <v>#N/A</v>
        <stp/>
        <stp>##V3_BDPV12</stp>
        <stp xml:space="preserve"> Equity</stp>
        <stp>BDVD_NEXT_EST_DECL_DT</stp>
        <stp>[EMN_IMS Bloomberg.xlsm  -  version 362.0. 25.11.2021 16.44]Dvd!R95C7</stp>
        <tr r="G95" s="50"/>
      </tp>
      <tp t="e">
        <v>#N/A</v>
        <stp/>
        <stp>##V3_BDPV12</stp>
        <stp xml:space="preserve"> Equity</stp>
        <stp>BDVD_NEXT_EST_DECL_DT</stp>
        <stp>[EMN_IMS Bloomberg.xlsm  -  version 362.0. 25.11.2021 16.44]Dvd!R85C7</stp>
        <tr r="G85" s="50"/>
      </tp>
      <tp t="e">
        <v>#N/A</v>
        <stp/>
        <stp>##V3_BDPV12</stp>
        <stp xml:space="preserve"> Equity</stp>
        <stp>BDVD_NEXT_EST_DECL_DT</stp>
        <stp>[EMN_IMS Bloomberg.xlsm  -  version 362.0. 25.11.2021 16.44]Dvd!R75C7</stp>
        <tr r="G75" s="50"/>
      </tp>
      <tp t="e">
        <v>#N/A</v>
        <stp/>
        <stp>##V3_BDPV12</stp>
        <stp xml:space="preserve"> Equity</stp>
        <stp>BDVD_NEXT_EST_DECL_DT</stp>
        <stp>[EMN_IMS Bloomberg.xlsm  -  version 362.0. 25.11.2021 16.44]Dvd!R65C7</stp>
        <tr r="G65" s="50"/>
      </tp>
      <tp t="e">
        <v>#N/A</v>
        <stp/>
        <stp>##V3_BDPV12</stp>
        <stp xml:space="preserve"> Equity</stp>
        <stp>dvd_pay_dt</stp>
        <stp>[EMN_IMS Bloomberg.xlsm  -  version 362.0. 25.11.2021 16.44]Dvd!R76C8</stp>
        <tr r="H76" s="50"/>
      </tp>
      <tp t="e">
        <v>#N/A</v>
        <stp/>
        <stp>##V3_BDPV12</stp>
        <stp xml:space="preserve"> Equity</stp>
        <stp>dvd_pay_dt</stp>
        <stp>[EMN_IMS Bloomberg.xlsm  -  version 362.0. 25.11.2021 16.44]Dvd!R66C8</stp>
        <tr r="H66" s="50"/>
      </tp>
      <tp t="e">
        <v>#N/A</v>
        <stp/>
        <stp>##V3_BDPV12</stp>
        <stp xml:space="preserve"> Equity</stp>
        <stp>dvd_pay_dt</stp>
        <stp>[EMN_IMS Bloomberg.xlsm  -  version 362.0. 25.11.2021 16.44]Dvd!R96C8</stp>
        <tr r="H96" s="50"/>
      </tp>
      <tp t="e">
        <v>#N/A</v>
        <stp/>
        <stp>##V3_BDPV12</stp>
        <stp xml:space="preserve"> Equity</stp>
        <stp>dvd_pay_dt</stp>
        <stp>[EMN_IMS Bloomberg.xlsm  -  version 362.0. 25.11.2021 16.44]Dvd!R86C8</stp>
        <tr r="H86" s="50"/>
      </tp>
      <tp t="e">
        <v>#N/A</v>
        <stp/>
        <stp>##V3_BDPV12</stp>
        <stp xml:space="preserve"> Equity</stp>
        <stp>BDVD_NEXT_EST_DECL_DT</stp>
        <stp>[EMN_IMS Bloomberg.xlsm  -  version 362.0. 25.11.2021 16.44]Dvd!R92C7</stp>
        <tr r="G92" s="50"/>
      </tp>
      <tp t="e">
        <v>#N/A</v>
        <stp/>
        <stp>##V3_BDPV12</stp>
        <stp xml:space="preserve"> Equity</stp>
        <stp>BDVD_NEXT_EST_DECL_DT</stp>
        <stp>[EMN_IMS Bloomberg.xlsm  -  version 362.0. 25.11.2021 16.44]Dvd!R82C7</stp>
        <tr r="G82" s="50"/>
      </tp>
      <tp t="e">
        <v>#N/A</v>
        <stp/>
        <stp>##V3_BDPV12</stp>
        <stp xml:space="preserve"> Equity</stp>
        <stp>BDVD_NEXT_EST_DECL_DT</stp>
        <stp>[EMN_IMS Bloomberg.xlsm  -  version 362.0. 25.11.2021 16.44]Dvd!R72C7</stp>
        <tr r="G72" s="50"/>
      </tp>
      <tp t="e">
        <v>#N/A</v>
        <stp/>
        <stp>##V3_BDPV12</stp>
        <stp xml:space="preserve"> Equity</stp>
        <stp>dvd_pay_dt</stp>
        <stp>[EMN_IMS Bloomberg.xlsm  -  version 362.0. 25.11.2021 16.44]Dvd!R71C8</stp>
        <tr r="H71" s="50"/>
      </tp>
      <tp t="e">
        <v>#N/A</v>
        <stp/>
        <stp>##V3_BDPV12</stp>
        <stp xml:space="preserve"> Equity</stp>
        <stp>dvd_pay_dt</stp>
        <stp>[EMN_IMS Bloomberg.xlsm  -  version 362.0. 25.11.2021 16.44]Dvd!R91C8</stp>
        <tr r="H91" s="50"/>
      </tp>
      <tp t="e">
        <v>#N/A</v>
        <stp/>
        <stp>##V3_BDPV12</stp>
        <stp xml:space="preserve"> Equity</stp>
        <stp>dvd_pay_dt</stp>
        <stp>[EMN_IMS Bloomberg.xlsm  -  version 362.0. 25.11.2021 16.44]Dvd!R81C8</stp>
        <tr r="H81" s="50"/>
      </tp>
      <tp t="e">
        <v>#N/A</v>
        <stp/>
        <stp>##V3_BDPV12</stp>
        <stp xml:space="preserve"> Equity</stp>
        <stp>BDVD_NEXT_EST_DECL_DT</stp>
        <stp>[EMN_IMS Bloomberg.xlsm  -  version 362.0. 25.11.2021 16.44]Dvd!R93C7</stp>
        <tr r="G93" s="50"/>
      </tp>
      <tp t="e">
        <v>#N/A</v>
        <stp/>
        <stp>##V3_BDPV12</stp>
        <stp xml:space="preserve"> Equity</stp>
        <stp>BDVD_NEXT_EST_DECL_DT</stp>
        <stp>[EMN_IMS Bloomberg.xlsm  -  version 362.0. 25.11.2021 16.44]Dvd!R83C7</stp>
        <tr r="G83" s="50"/>
      </tp>
      <tp t="e">
        <v>#N/A</v>
        <stp/>
        <stp>##V3_BDPV12</stp>
        <stp xml:space="preserve"> Equity</stp>
        <stp>BDVD_NEXT_EST_DECL_DT</stp>
        <stp>[EMN_IMS Bloomberg.xlsm  -  version 362.0. 25.11.2021 16.44]Dvd!R73C7</stp>
        <tr r="G73" s="50"/>
      </tp>
      <tp t="e">
        <v>#N/A</v>
        <stp/>
        <stp>##V3_BDPV12</stp>
        <stp xml:space="preserve"> Equity</stp>
        <stp>BDVD_NEXT_EST_DECL_DT</stp>
        <stp>[EMN_IMS Bloomberg.xlsm  -  version 362.0. 25.11.2021 16.44]Dvd!R63C7</stp>
        <tr r="G63" s="50"/>
      </tp>
      <tp t="e">
        <v>#N/A</v>
        <stp/>
        <stp>##V3_BDPV12</stp>
        <stp xml:space="preserve"> Equity</stp>
        <stp>dvd_pay_dt</stp>
        <stp>[EMN_IMS Bloomberg.xlsm  -  version 362.0. 25.11.2021 16.44]Dvd!R70C8</stp>
        <tr r="H70" s="50"/>
      </tp>
      <tp t="e">
        <v>#N/A</v>
        <stp/>
        <stp>##V3_BDPV12</stp>
        <stp xml:space="preserve"> Equity</stp>
        <stp>dvd_pay_dt</stp>
        <stp>[EMN_IMS Bloomberg.xlsm  -  version 362.0. 25.11.2021 16.44]Dvd!R90C8</stp>
        <tr r="H90" s="50"/>
      </tp>
      <tp t="e">
        <v>#N/A</v>
        <stp/>
        <stp>##V3_BDPV12</stp>
        <stp xml:space="preserve"> Equity</stp>
        <stp>dvd_pay_dt</stp>
        <stp>[EMN_IMS Bloomberg.xlsm  -  version 362.0. 25.11.2021 16.44]Dvd!R80C8</stp>
        <tr r="H80" s="50"/>
      </tp>
      <tp t="e">
        <v>#N/A</v>
        <stp/>
        <stp>##V3_BDPV12</stp>
        <stp xml:space="preserve"> Equity</stp>
        <stp>BDVD_NEXT_EST_DECL_DT</stp>
        <stp>[EMN_IMS Bloomberg.xlsm  -  version 362.0. 25.11.2021 16.44]Dvd!R90C7</stp>
        <tr r="G90" s="50"/>
      </tp>
      <tp t="e">
        <v>#N/A</v>
        <stp/>
        <stp>##V3_BDPV12</stp>
        <stp xml:space="preserve"> Equity</stp>
        <stp>BDVD_NEXT_EST_DECL_DT</stp>
        <stp>[EMN_IMS Bloomberg.xlsm  -  version 362.0. 25.11.2021 16.44]Dvd!R80C7</stp>
        <tr r="G80" s="50"/>
      </tp>
      <tp t="e">
        <v>#N/A</v>
        <stp/>
        <stp>##V3_BDPV12</stp>
        <stp xml:space="preserve"> Equity</stp>
        <stp>BDVD_NEXT_EST_DECL_DT</stp>
        <stp>[EMN_IMS Bloomberg.xlsm  -  version 362.0. 25.11.2021 16.44]Dvd!R70C7</stp>
        <tr r="G70" s="50"/>
      </tp>
      <tp t="e">
        <v>#N/A</v>
        <stp/>
        <stp>##V3_BDPV12</stp>
        <stp xml:space="preserve"> Equity</stp>
        <stp>dvd_pay_dt</stp>
        <stp>[EMN_IMS Bloomberg.xlsm  -  version 362.0. 25.11.2021 16.44]Dvd!R73C8</stp>
        <tr r="H73" s="50"/>
      </tp>
      <tp t="e">
        <v>#N/A</v>
        <stp/>
        <stp>##V3_BDPV12</stp>
        <stp xml:space="preserve"> Equity</stp>
        <stp>dvd_pay_dt</stp>
        <stp>[EMN_IMS Bloomberg.xlsm  -  version 362.0. 25.11.2021 16.44]Dvd!R63C8</stp>
        <tr r="H63" s="50"/>
      </tp>
      <tp t="e">
        <v>#N/A</v>
        <stp/>
        <stp>##V3_BDPV12</stp>
        <stp xml:space="preserve"> Equity</stp>
        <stp>dvd_pay_dt</stp>
        <stp>[EMN_IMS Bloomberg.xlsm  -  version 362.0. 25.11.2021 16.44]Dvd!R93C8</stp>
        <tr r="H93" s="50"/>
      </tp>
      <tp t="e">
        <v>#N/A</v>
        <stp/>
        <stp>##V3_BDPV12</stp>
        <stp xml:space="preserve"> Equity</stp>
        <stp>dvd_pay_dt</stp>
        <stp>[EMN_IMS Bloomberg.xlsm  -  version 362.0. 25.11.2021 16.44]Dvd!R83C8</stp>
        <tr r="H83" s="50"/>
      </tp>
      <tp t="e">
        <v>#N/A</v>
        <stp/>
        <stp>##V3_BDPV12</stp>
        <stp xml:space="preserve"> Equity</stp>
        <stp>BDVD_NEXT_EST_DECL_DT</stp>
        <stp>[EMN_IMS Bloomberg.xlsm  -  version 362.0. 25.11.2021 16.44]Dvd!R91C7</stp>
        <tr r="G91" s="50"/>
      </tp>
      <tp t="e">
        <v>#N/A</v>
        <stp/>
        <stp>##V3_BDPV12</stp>
        <stp xml:space="preserve"> Equity</stp>
        <stp>BDVD_NEXT_EST_DECL_DT</stp>
        <stp>[EMN_IMS Bloomberg.xlsm  -  version 362.0. 25.11.2021 16.44]Dvd!R81C7</stp>
        <tr r="G81" s="50"/>
      </tp>
      <tp t="e">
        <v>#N/A</v>
        <stp/>
        <stp>##V3_BDPV12</stp>
        <stp xml:space="preserve"> Equity</stp>
        <stp>BDVD_NEXT_EST_DECL_DT</stp>
        <stp>[EMN_IMS Bloomberg.xlsm  -  version 362.0. 25.11.2021 16.44]Dvd!R71C7</stp>
        <tr r="G71" s="50"/>
      </tp>
      <tp t="e">
        <v>#N/A</v>
        <stp/>
        <stp>##V3_BDPV12</stp>
        <stp xml:space="preserve"> Equity</stp>
        <stp>dvd_pay_dt</stp>
        <stp>[EMN_IMS Bloomberg.xlsm  -  version 362.0. 25.11.2021 16.44]Dvd!R72C8</stp>
        <tr r="H72" s="50"/>
      </tp>
      <tp t="e">
        <v>#N/A</v>
        <stp/>
        <stp>##V3_BDPV12</stp>
        <stp xml:space="preserve"> Equity</stp>
        <stp>dvd_pay_dt</stp>
        <stp>[EMN_IMS Bloomberg.xlsm  -  version 362.0. 25.11.2021 16.44]Dvd!R92C8</stp>
        <tr r="H92" s="50"/>
      </tp>
      <tp t="e">
        <v>#N/A</v>
        <stp/>
        <stp>##V3_BDPV12</stp>
        <stp xml:space="preserve"> Equity</stp>
        <stp>dvd_pay_dt</stp>
        <stp>[EMN_IMS Bloomberg.xlsm  -  version 362.0. 25.11.2021 16.44]Dvd!R82C8</stp>
        <tr r="H82" s="50"/>
      </tp>
      <tp t="e">
        <v>#N/A</v>
        <stp/>
        <stp>##V3_BDPV12</stp>
        <stp xml:space="preserve"> Equity</stp>
        <stp>dvd_ex_dt</stp>
        <stp>[EMN_IMS Bloomberg.xlsm  -  version 362.0. 25.11.2021 16.44]Dvd!R71C6</stp>
        <tr r="F71" s="50"/>
      </tp>
      <tp t="e">
        <v>#N/A</v>
        <stp/>
        <stp>##V3_BDPV12</stp>
        <stp xml:space="preserve"> Equity</stp>
        <stp>dvd_ex_dt</stp>
        <stp>[EMN_IMS Bloomberg.xlsm  -  version 362.0. 25.11.2021 16.44]Dvd!R81C6</stp>
        <tr r="F81" s="50"/>
      </tp>
      <tp t="e">
        <v>#N/A</v>
        <stp/>
        <stp>##V3_BDPV12</stp>
        <stp xml:space="preserve"> Equity</stp>
        <stp>dvd_ex_dt</stp>
        <stp>[EMN_IMS Bloomberg.xlsm  -  version 362.0. 25.11.2021 16.44]Dvd!R91C6</stp>
        <tr r="F91" s="50"/>
      </tp>
      <tp t="e">
        <v>#N/A</v>
        <stp/>
        <stp>##V3_BDPV12</stp>
        <stp xml:space="preserve"> Equity</stp>
        <stp>dvd_ex_dt</stp>
        <stp>[EMN_IMS Bloomberg.xlsm  -  version 362.0. 25.11.2021 16.44]Dvd!R70C6</stp>
        <tr r="F70" s="50"/>
      </tp>
      <tp t="e">
        <v>#N/A</v>
        <stp/>
        <stp>##V3_BDPV12</stp>
        <stp xml:space="preserve"> Equity</stp>
        <stp>dvd_ex_dt</stp>
        <stp>[EMN_IMS Bloomberg.xlsm  -  version 362.0. 25.11.2021 16.44]Dvd!R80C6</stp>
        <tr r="F80" s="50"/>
      </tp>
      <tp t="e">
        <v>#N/A</v>
        <stp/>
        <stp>##V3_BDPV12</stp>
        <stp xml:space="preserve"> Equity</stp>
        <stp>dvd_ex_dt</stp>
        <stp>[EMN_IMS Bloomberg.xlsm  -  version 362.0. 25.11.2021 16.44]Dvd!R90C6</stp>
        <tr r="F90" s="50"/>
      </tp>
      <tp t="e">
        <v>#N/A</v>
        <stp/>
        <stp>##V3_BDPV12</stp>
        <stp xml:space="preserve"> Equity</stp>
        <stp>dvd_ex_dt</stp>
        <stp>[EMN_IMS Bloomberg.xlsm  -  version 362.0. 25.11.2021 16.44]Dvd!R63C6</stp>
        <tr r="F63" s="50"/>
      </tp>
      <tp t="e">
        <v>#N/A</v>
        <stp/>
        <stp>##V3_BDPV12</stp>
        <stp xml:space="preserve"> Equity</stp>
        <stp>dvd_ex_dt</stp>
        <stp>[EMN_IMS Bloomberg.xlsm  -  version 362.0. 25.11.2021 16.44]Dvd!R73C6</stp>
        <tr r="F73" s="50"/>
      </tp>
      <tp t="e">
        <v>#N/A</v>
        <stp/>
        <stp>##V3_BDPV12</stp>
        <stp xml:space="preserve"> Equity</stp>
        <stp>dvd_ex_dt</stp>
        <stp>[EMN_IMS Bloomberg.xlsm  -  version 362.0. 25.11.2021 16.44]Dvd!R83C6</stp>
        <tr r="F83" s="50"/>
      </tp>
      <tp t="e">
        <v>#N/A</v>
        <stp/>
        <stp>##V3_BDPV12</stp>
        <stp xml:space="preserve"> Equity</stp>
        <stp>dvd_ex_dt</stp>
        <stp>[EMN_IMS Bloomberg.xlsm  -  version 362.0. 25.11.2021 16.44]Dvd!R93C6</stp>
        <tr r="F93" s="50"/>
      </tp>
      <tp t="e">
        <v>#N/A</v>
        <stp/>
        <stp>##V3_BDPV12</stp>
        <stp xml:space="preserve"> Equity</stp>
        <stp>dvd_ex_dt</stp>
        <stp>[EMN_IMS Bloomberg.xlsm  -  version 362.0. 25.11.2021 16.44]Dvd!R72C6</stp>
        <tr r="F72" s="50"/>
      </tp>
      <tp t="e">
        <v>#N/A</v>
        <stp/>
        <stp>##V3_BDPV12</stp>
        <stp xml:space="preserve"> Equity</stp>
        <stp>dvd_ex_dt</stp>
        <stp>[EMN_IMS Bloomberg.xlsm  -  version 362.0. 25.11.2021 16.44]Dvd!R82C6</stp>
        <tr r="F82" s="50"/>
      </tp>
      <tp t="e">
        <v>#N/A</v>
        <stp/>
        <stp>##V3_BDPV12</stp>
        <stp xml:space="preserve"> Equity</stp>
        <stp>dvd_ex_dt</stp>
        <stp>[EMN_IMS Bloomberg.xlsm  -  version 362.0. 25.11.2021 16.44]Dvd!R92C6</stp>
        <tr r="F92" s="50"/>
      </tp>
      <tp t="e">
        <v>#N/A</v>
        <stp/>
        <stp>##V3_BDPV12</stp>
        <stp xml:space="preserve"> Equity</stp>
        <stp>dvd_ex_dt</stp>
        <stp>[EMN_IMS Bloomberg.xlsm  -  version 362.0. 25.11.2021 16.44]Dvd!R65C6</stp>
        <tr r="F65" s="50"/>
      </tp>
      <tp t="e">
        <v>#N/A</v>
        <stp/>
        <stp>##V3_BDPV12</stp>
        <stp xml:space="preserve"> Equity</stp>
        <stp>dvd_ex_dt</stp>
        <stp>[EMN_IMS Bloomberg.xlsm  -  version 362.0. 25.11.2021 16.44]Dvd!R75C6</stp>
        <tr r="F75" s="50"/>
      </tp>
      <tp t="e">
        <v>#N/A</v>
        <stp/>
        <stp>##V3_BDPV12</stp>
        <stp xml:space="preserve"> Equity</stp>
        <stp>dvd_ex_dt</stp>
        <stp>[EMN_IMS Bloomberg.xlsm  -  version 362.0. 25.11.2021 16.44]Dvd!R85C6</stp>
        <tr r="F85" s="50"/>
      </tp>
      <tp t="e">
        <v>#N/A</v>
        <stp/>
        <stp>##V3_BDPV12</stp>
        <stp xml:space="preserve"> Equity</stp>
        <stp>dvd_ex_dt</stp>
        <stp>[EMN_IMS Bloomberg.xlsm  -  version 362.0. 25.11.2021 16.44]Dvd!R95C6</stp>
        <tr r="F95" s="50"/>
      </tp>
      <tp t="e">
        <v>#N/A</v>
        <stp/>
        <stp>##V3_BDPV12</stp>
        <stp xml:space="preserve"> Equity</stp>
        <stp>DVD_TYP_LAST</stp>
        <stp>[EMN_IMS Bloomberg.xlsm  -  version 362.0. 25.11.2021 16.44]Dvd!R100C9</stp>
        <tr r="I100" s="50"/>
      </tp>
      <tp t="e">
        <v>#N/A</v>
        <stp/>
        <stp>##V3_BDPV12</stp>
        <stp xml:space="preserve"> Equity</stp>
        <stp>dvd_ex_dt</stp>
        <stp>[EMN_IMS Bloomberg.xlsm  -  version 362.0. 25.11.2021 16.44]Dvd!R64C6</stp>
        <tr r="F64" s="50"/>
      </tp>
      <tp t="e">
        <v>#N/A</v>
        <stp/>
        <stp>##V3_BDPV12</stp>
        <stp xml:space="preserve"> Equity</stp>
        <stp>dvd_ex_dt</stp>
        <stp>[EMN_IMS Bloomberg.xlsm  -  version 362.0. 25.11.2021 16.44]Dvd!R74C6</stp>
        <tr r="F74" s="50"/>
      </tp>
      <tp t="e">
        <v>#N/A</v>
        <stp/>
        <stp>##V3_BDPV12</stp>
        <stp xml:space="preserve"> Equity</stp>
        <stp>dvd_ex_dt</stp>
        <stp>[EMN_IMS Bloomberg.xlsm  -  version 362.0. 25.11.2021 16.44]Dvd!R84C6</stp>
        <tr r="F84" s="50"/>
      </tp>
      <tp t="e">
        <v>#N/A</v>
        <stp/>
        <stp>##V3_BDPV12</stp>
        <stp xml:space="preserve"> Equity</stp>
        <stp>dvd_ex_dt</stp>
        <stp>[EMN_IMS Bloomberg.xlsm  -  version 362.0. 25.11.2021 16.44]Dvd!R94C6</stp>
        <tr r="F94" s="50"/>
      </tp>
      <tp t="e">
        <v>#N/A</v>
        <stp/>
        <stp>##V3_BDPV12</stp>
        <stp xml:space="preserve"> Equity</stp>
        <stp>dvd_sh_last</stp>
        <stp>[EMN_IMS Bloomberg.xlsm  -  version 362.0. 25.11.2021 16.44]Dvd!R100C5</stp>
        <tr r="E100" s="50"/>
      </tp>
      <tp t="e">
        <v>#N/A</v>
        <stp/>
        <stp>##V3_BDPV12</stp>
        <stp xml:space="preserve"> Equity</stp>
        <stp>dvd_ex_dt</stp>
        <stp>[EMN_IMS Bloomberg.xlsm  -  version 362.0. 25.11.2021 16.44]Dvd!R67C6</stp>
        <tr r="F67" s="50"/>
      </tp>
      <tp t="e">
        <v>#N/A</v>
        <stp/>
        <stp>##V3_BDPV12</stp>
        <stp xml:space="preserve"> Equity</stp>
        <stp>dvd_ex_dt</stp>
        <stp>[EMN_IMS Bloomberg.xlsm  -  version 362.0. 25.11.2021 16.44]Dvd!R77C6</stp>
        <tr r="F77" s="50"/>
      </tp>
      <tp t="e">
        <v>#N/A</v>
        <stp/>
        <stp>##V3_BDPV12</stp>
        <stp xml:space="preserve"> Equity</stp>
        <stp>dvd_ex_dt</stp>
        <stp>[EMN_IMS Bloomberg.xlsm  -  version 362.0. 25.11.2021 16.44]Dvd!R87C6</stp>
        <tr r="F87" s="50"/>
      </tp>
      <tp t="e">
        <v>#N/A</v>
        <stp/>
        <stp>##V3_BDPV12</stp>
        <stp xml:space="preserve"> Equity</stp>
        <stp>dvd_ex_dt</stp>
        <stp>[EMN_IMS Bloomberg.xlsm  -  version 362.0. 25.11.2021 16.44]Dvd!R97C6</stp>
        <tr r="F97" s="50"/>
      </tp>
      <tp t="e">
        <v>#N/A</v>
        <stp/>
        <stp>##V3_BDPV12</stp>
        <stp xml:space="preserve"> Equity</stp>
        <stp>dvd_ex_dt</stp>
        <stp>[EMN_IMS Bloomberg.xlsm  -  version 362.0. 25.11.2021 16.44]Dvd!R66C6</stp>
        <tr r="F66" s="50"/>
      </tp>
      <tp t="e">
        <v>#N/A</v>
        <stp/>
        <stp>##V3_BDPV12</stp>
        <stp xml:space="preserve"> Equity</stp>
        <stp>dvd_ex_dt</stp>
        <stp>[EMN_IMS Bloomberg.xlsm  -  version 362.0. 25.11.2021 16.44]Dvd!R76C6</stp>
        <tr r="F76" s="50"/>
      </tp>
      <tp t="e">
        <v>#N/A</v>
        <stp/>
        <stp>##V3_BDPV12</stp>
        <stp xml:space="preserve"> Equity</stp>
        <stp>dvd_ex_dt</stp>
        <stp>[EMN_IMS Bloomberg.xlsm  -  version 362.0. 25.11.2021 16.44]Dvd!R86C6</stp>
        <tr r="F86" s="50"/>
      </tp>
      <tp t="e">
        <v>#N/A</v>
        <stp/>
        <stp>##V3_BDPV12</stp>
        <stp xml:space="preserve"> Equity</stp>
        <stp>dvd_ex_dt</stp>
        <stp>[EMN_IMS Bloomberg.xlsm  -  version 362.0. 25.11.2021 16.44]Dvd!R96C6</stp>
        <tr r="F96" s="50"/>
      </tp>
      <tp t="e">
        <v>#N/A</v>
        <stp/>
        <stp>##V3_BDPV12</stp>
        <stp xml:space="preserve"> Equity</stp>
        <stp>dvd_ex_dt</stp>
        <stp>[EMN_IMS Bloomberg.xlsm  -  version 362.0. 25.11.2021 16.44]Dvd!R69C6</stp>
        <tr r="F69" s="50"/>
      </tp>
      <tp t="e">
        <v>#N/A</v>
        <stp/>
        <stp>##V3_BDPV12</stp>
        <stp xml:space="preserve"> Equity</stp>
        <stp>dvd_ex_dt</stp>
        <stp>[EMN_IMS Bloomberg.xlsm  -  version 362.0. 25.11.2021 16.44]Dvd!R79C6</stp>
        <tr r="F79" s="50"/>
      </tp>
      <tp t="e">
        <v>#N/A</v>
        <stp/>
        <stp>##V3_BDPV12</stp>
        <stp xml:space="preserve"> Equity</stp>
        <stp>dvd_ex_dt</stp>
        <stp>[EMN_IMS Bloomberg.xlsm  -  version 362.0. 25.11.2021 16.44]Dvd!R89C6</stp>
        <tr r="F89" s="50"/>
      </tp>
      <tp t="e">
        <v>#N/A</v>
        <stp/>
        <stp>##V3_BDPV12</stp>
        <stp xml:space="preserve"> Equity</stp>
        <stp>dvd_ex_dt</stp>
        <stp>[EMN_IMS Bloomberg.xlsm  -  version 362.0. 25.11.2021 16.44]Dvd!R99C6</stp>
        <tr r="F99" s="50"/>
      </tp>
      <tp t="e">
        <v>#N/A</v>
        <stp/>
        <stp>##V3_BDPV12</stp>
        <stp xml:space="preserve"> Equity</stp>
        <stp>dvd_ex_dt</stp>
        <stp>[EMN_IMS Bloomberg.xlsm  -  version 362.0. 25.11.2021 16.44]Dvd!R68C6</stp>
        <tr r="F68" s="50"/>
      </tp>
      <tp t="e">
        <v>#N/A</v>
        <stp/>
        <stp>##V3_BDPV12</stp>
        <stp xml:space="preserve"> Equity</stp>
        <stp>dvd_ex_dt</stp>
        <stp>[EMN_IMS Bloomberg.xlsm  -  version 362.0. 25.11.2021 16.44]Dvd!R78C6</stp>
        <tr r="F78" s="50"/>
      </tp>
      <tp t="e">
        <v>#N/A</v>
        <stp/>
        <stp>##V3_BDPV12</stp>
        <stp xml:space="preserve"> Equity</stp>
        <stp>dvd_ex_dt</stp>
        <stp>[EMN_IMS Bloomberg.xlsm  -  version 362.0. 25.11.2021 16.44]Dvd!R88C6</stp>
        <tr r="F88" s="50"/>
      </tp>
      <tp t="e">
        <v>#N/A</v>
        <stp/>
        <stp>##V3_BDPV12</stp>
        <stp xml:space="preserve"> Equity</stp>
        <stp>dvd_ex_dt</stp>
        <stp>[EMN_IMS Bloomberg.xlsm  -  version 362.0. 25.11.2021 16.44]Dvd!R98C6</stp>
        <tr r="F98" s="50"/>
      </tp>
      <tp t="e">
        <v>#N/A</v>
        <stp/>
        <stp>##V3_BDPV12</stp>
        <stp xml:space="preserve"> ISIN</stp>
        <stp>Crncy</stp>
        <stp>[EMN_IMS Bloomberg.xlsm  -  version 362.0. 25.11.2021 16.44]Pre-check SELL!R126C3</stp>
        <tr r="C126" s="24"/>
      </tp>
      <tp t="e">
        <v>#N/A</v>
        <stp/>
        <stp>##V3_BDPV12</stp>
        <stp xml:space="preserve"> Equity</stp>
        <stp>DVD_FREQ</stp>
        <stp>[EMN_IMS Bloomberg.xlsm  -  version 362.0. 25.11.2021 16.44]Dvd!R159C22</stp>
        <tr r="V159" s="50"/>
      </tp>
      <tp t="e">
        <v>#N/A</v>
        <stp/>
        <stp>##V3_BDPV12</stp>
        <stp xml:space="preserve"> Equity</stp>
        <stp>DVD_FREQ</stp>
        <stp>[EMN_IMS Bloomberg.xlsm  -  version 362.0. 25.11.2021 16.44]Dvd!R158C22</stp>
        <tr r="V158" s="50"/>
      </tp>
      <tp t="e">
        <v>#N/A</v>
        <stp/>
        <stp>##V3_BDPV12</stp>
        <stp xml:space="preserve"> Equity</stp>
        <stp>DVD_FREQ</stp>
        <stp>[EMN_IMS Bloomberg.xlsm  -  version 362.0. 25.11.2021 16.44]Dvd!R153C22</stp>
        <tr r="V153" s="50"/>
      </tp>
      <tp t="e">
        <v>#N/A</v>
        <stp/>
        <stp>##V3_BDPV12</stp>
        <stp xml:space="preserve"> Equity</stp>
        <stp>DVD_FREQ</stp>
        <stp>[EMN_IMS Bloomberg.xlsm  -  version 362.0. 25.11.2021 16.44]Dvd!R152C22</stp>
        <tr r="V152" s="50"/>
      </tp>
      <tp t="e">
        <v>#N/A</v>
        <stp/>
        <stp>##V3_BDPV12</stp>
        <stp xml:space="preserve"> Equity</stp>
        <stp>DVD_FREQ</stp>
        <stp>[EMN_IMS Bloomberg.xlsm  -  version 362.0. 25.11.2021 16.44]Dvd!R151C22</stp>
        <tr r="V151" s="50"/>
      </tp>
      <tp t="e">
        <v>#N/A</v>
        <stp/>
        <stp>##V3_BDPV12</stp>
        <stp xml:space="preserve"> Equity</stp>
        <stp>DVD_FREQ</stp>
        <stp>[EMN_IMS Bloomberg.xlsm  -  version 362.0. 25.11.2021 16.44]Dvd!R150C22</stp>
        <tr r="V150" s="50"/>
      </tp>
      <tp t="e">
        <v>#N/A</v>
        <stp/>
        <stp>##V3_BDPV12</stp>
        <stp xml:space="preserve"> Equity</stp>
        <stp>DVD_FREQ</stp>
        <stp>[EMN_IMS Bloomberg.xlsm  -  version 362.0. 25.11.2021 16.44]Dvd!R157C22</stp>
        <tr r="V157" s="50"/>
      </tp>
      <tp t="e">
        <v>#N/A</v>
        <stp/>
        <stp>##V3_BDPV12</stp>
        <stp xml:space="preserve"> Equity</stp>
        <stp>DVD_FREQ</stp>
        <stp>[EMN_IMS Bloomberg.xlsm  -  version 362.0. 25.11.2021 16.44]Dvd!R156C22</stp>
        <tr r="V156" s="50"/>
      </tp>
      <tp t="e">
        <v>#N/A</v>
        <stp/>
        <stp>##V3_BDPV12</stp>
        <stp xml:space="preserve"> Equity</stp>
        <stp>DVD_FREQ</stp>
        <stp>[EMN_IMS Bloomberg.xlsm  -  version 362.0. 25.11.2021 16.44]Dvd!R155C22</stp>
        <tr r="V155" s="50"/>
      </tp>
      <tp t="e">
        <v>#N/A</v>
        <stp/>
        <stp>##V3_BDPV12</stp>
        <stp xml:space="preserve"> Equity</stp>
        <stp>DVD_FREQ</stp>
        <stp>[EMN_IMS Bloomberg.xlsm  -  version 362.0. 25.11.2021 16.44]Dvd!R154C22</stp>
        <tr r="V154" s="50"/>
      </tp>
      <tp t="e">
        <v>#N/A</v>
        <stp/>
        <stp>##V3_BDPV12</stp>
        <stp xml:space="preserve"> Equity</stp>
        <stp>DVD_FREQ</stp>
        <stp>[EMN_IMS Bloomberg.xlsm  -  version 362.0. 25.11.2021 16.44]Dvd!R149C22</stp>
        <tr r="V149" s="50"/>
      </tp>
      <tp t="e">
        <v>#N/A</v>
        <stp/>
        <stp>##V3_BDPV12</stp>
        <stp xml:space="preserve"> Equity</stp>
        <stp>DVD_FREQ</stp>
        <stp>[EMN_IMS Bloomberg.xlsm  -  version 362.0. 25.11.2021 16.44]Dvd!R148C22</stp>
        <tr r="V148" s="50"/>
      </tp>
      <tp t="e">
        <v>#N/A</v>
        <stp/>
        <stp>##V3_BDPV12</stp>
        <stp xml:space="preserve"> Equity</stp>
        <stp>DVD_FREQ</stp>
        <stp>[EMN_IMS Bloomberg.xlsm  -  version 362.0. 25.11.2021 16.44]Dvd!R143C22</stp>
        <tr r="V143" s="50"/>
      </tp>
      <tp t="e">
        <v>#N/A</v>
        <stp/>
        <stp>##V3_BDPV12</stp>
        <stp xml:space="preserve"> Equity</stp>
        <stp>DVD_FREQ</stp>
        <stp>[EMN_IMS Bloomberg.xlsm  -  version 362.0. 25.11.2021 16.44]Dvd!R142C22</stp>
        <tr r="V142" s="50"/>
      </tp>
      <tp t="e">
        <v>#N/A</v>
        <stp/>
        <stp>##V3_BDPV12</stp>
        <stp xml:space="preserve"> Equity</stp>
        <stp>DVD_FREQ</stp>
        <stp>[EMN_IMS Bloomberg.xlsm  -  version 362.0. 25.11.2021 16.44]Dvd!R141C22</stp>
        <tr r="V141" s="50"/>
      </tp>
      <tp t="e">
        <v>#N/A</v>
        <stp/>
        <stp>##V3_BDPV12</stp>
        <stp xml:space="preserve"> Equity</stp>
        <stp>DVD_FREQ</stp>
        <stp>[EMN_IMS Bloomberg.xlsm  -  version 362.0. 25.11.2021 16.44]Dvd!R140C22</stp>
        <tr r="V140" s="50"/>
      </tp>
      <tp t="e">
        <v>#N/A</v>
        <stp/>
        <stp>##V3_BDPV12</stp>
        <stp xml:space="preserve"> Equity</stp>
        <stp>DVD_FREQ</stp>
        <stp>[EMN_IMS Bloomberg.xlsm  -  version 362.0. 25.11.2021 16.44]Dvd!R147C22</stp>
        <tr r="V147" s="50"/>
      </tp>
      <tp t="e">
        <v>#N/A</v>
        <stp/>
        <stp>##V3_BDPV12</stp>
        <stp xml:space="preserve"> Equity</stp>
        <stp>DVD_FREQ</stp>
        <stp>[EMN_IMS Bloomberg.xlsm  -  version 362.0. 25.11.2021 16.44]Dvd!R146C22</stp>
        <tr r="V146" s="50"/>
      </tp>
      <tp t="e">
        <v>#N/A</v>
        <stp/>
        <stp>##V3_BDPV12</stp>
        <stp xml:space="preserve"> Equity</stp>
        <stp>DVD_FREQ</stp>
        <stp>[EMN_IMS Bloomberg.xlsm  -  version 362.0. 25.11.2021 16.44]Dvd!R145C22</stp>
        <tr r="V145" s="50"/>
      </tp>
      <tp t="e">
        <v>#N/A</v>
        <stp/>
        <stp>##V3_BDPV12</stp>
        <stp xml:space="preserve"> Equity</stp>
        <stp>DVD_FREQ</stp>
        <stp>[EMN_IMS Bloomberg.xlsm  -  version 362.0. 25.11.2021 16.44]Dvd!R144C22</stp>
        <tr r="V144" s="50"/>
      </tp>
      <tp t="e">
        <v>#N/A</v>
        <stp/>
        <stp>##V3_BDPV12</stp>
        <stp xml:space="preserve"> Equity</stp>
        <stp>DVD_FREQ</stp>
        <stp>[EMN_IMS Bloomberg.xlsm  -  version 362.0. 25.11.2021 16.44]Dvd!R179C22</stp>
        <tr r="V179" s="50"/>
      </tp>
      <tp t="e">
        <v>#N/A</v>
        <stp/>
        <stp>##V3_BDPV12</stp>
        <stp xml:space="preserve"> Equity</stp>
        <stp>DVD_FREQ</stp>
        <stp>[EMN_IMS Bloomberg.xlsm  -  version 362.0. 25.11.2021 16.44]Dvd!R178C22</stp>
        <tr r="V178" s="50"/>
      </tp>
      <tp t="e">
        <v>#N/A</v>
        <stp/>
        <stp>##V3_BDPV12</stp>
        <stp xml:space="preserve"> Equity</stp>
        <stp>DVD_FREQ</stp>
        <stp>[EMN_IMS Bloomberg.xlsm  -  version 362.0. 25.11.2021 16.44]Dvd!R173C22</stp>
        <tr r="V173" s="50"/>
      </tp>
      <tp t="e">
        <v>#N/A</v>
        <stp/>
        <stp>##V3_BDPV12</stp>
        <stp xml:space="preserve"> Equity</stp>
        <stp>DVD_FREQ</stp>
        <stp>[EMN_IMS Bloomberg.xlsm  -  version 362.0. 25.11.2021 16.44]Dvd!R172C22</stp>
        <tr r="V172" s="50"/>
      </tp>
      <tp t="e">
        <v>#N/A</v>
        <stp/>
        <stp>##V3_BDPV12</stp>
        <stp xml:space="preserve"> Equity</stp>
        <stp>DVD_FREQ</stp>
        <stp>[EMN_IMS Bloomberg.xlsm  -  version 362.0. 25.11.2021 16.44]Dvd!R171C22</stp>
        <tr r="V171" s="50"/>
      </tp>
      <tp t="e">
        <v>#N/A</v>
        <stp/>
        <stp>##V3_BDPV12</stp>
        <stp xml:space="preserve"> Equity</stp>
        <stp>DVD_FREQ</stp>
        <stp>[EMN_IMS Bloomberg.xlsm  -  version 362.0. 25.11.2021 16.44]Dvd!R170C22</stp>
        <tr r="V170" s="50"/>
      </tp>
      <tp t="e">
        <v>#N/A</v>
        <stp/>
        <stp>##V3_BDPV12</stp>
        <stp xml:space="preserve"> Equity</stp>
        <stp>DVD_FREQ</stp>
        <stp>[EMN_IMS Bloomberg.xlsm  -  version 362.0. 25.11.2021 16.44]Dvd!R177C22</stp>
        <tr r="V177" s="50"/>
      </tp>
      <tp t="e">
        <v>#N/A</v>
        <stp/>
        <stp>##V3_BDPV12</stp>
        <stp xml:space="preserve"> Equity</stp>
        <stp>DVD_FREQ</stp>
        <stp>[EMN_IMS Bloomberg.xlsm  -  version 362.0. 25.11.2021 16.44]Dvd!R176C22</stp>
        <tr r="V176" s="50"/>
      </tp>
      <tp t="e">
        <v>#N/A</v>
        <stp/>
        <stp>##V3_BDPV12</stp>
        <stp xml:space="preserve"> Equity</stp>
        <stp>DVD_FREQ</stp>
        <stp>[EMN_IMS Bloomberg.xlsm  -  version 362.0. 25.11.2021 16.44]Dvd!R175C22</stp>
        <tr r="V175" s="50"/>
      </tp>
      <tp t="e">
        <v>#N/A</v>
        <stp/>
        <stp>##V3_BDPV12</stp>
        <stp xml:space="preserve"> Equity</stp>
        <stp>DVD_FREQ</stp>
        <stp>[EMN_IMS Bloomberg.xlsm  -  version 362.0. 25.11.2021 16.44]Dvd!R174C22</stp>
        <tr r="V174" s="50"/>
      </tp>
      <tp t="e">
        <v>#N/A</v>
        <stp/>
        <stp>##V3_BDPV12</stp>
        <stp xml:space="preserve"> Equity</stp>
        <stp>DVD_FREQ</stp>
        <stp>[EMN_IMS Bloomberg.xlsm  -  version 362.0. 25.11.2021 16.44]Dvd!R169C22</stp>
        <tr r="V169" s="50"/>
      </tp>
      <tp t="e">
        <v>#N/A</v>
        <stp/>
        <stp>##V3_BDPV12</stp>
        <stp xml:space="preserve"> Equity</stp>
        <stp>DVD_FREQ</stp>
        <stp>[EMN_IMS Bloomberg.xlsm  -  version 362.0. 25.11.2021 16.44]Dvd!R168C22</stp>
        <tr r="V168" s="50"/>
      </tp>
      <tp t="e">
        <v>#N/A</v>
        <stp/>
        <stp>##V3_BDPV12</stp>
        <stp xml:space="preserve"> Equity</stp>
        <stp>DVD_FREQ</stp>
        <stp>[EMN_IMS Bloomberg.xlsm  -  version 362.0. 25.11.2021 16.44]Dvd!R163C22</stp>
        <tr r="V163" s="50"/>
      </tp>
      <tp t="e">
        <v>#N/A</v>
        <stp/>
        <stp>##V3_BDPV12</stp>
        <stp xml:space="preserve"> Equity</stp>
        <stp>DVD_FREQ</stp>
        <stp>[EMN_IMS Bloomberg.xlsm  -  version 362.0. 25.11.2021 16.44]Dvd!R162C22</stp>
        <tr r="V162" s="50"/>
      </tp>
      <tp t="e">
        <v>#N/A</v>
        <stp/>
        <stp>##V3_BDPV12</stp>
        <stp xml:space="preserve"> Equity</stp>
        <stp>DVD_FREQ</stp>
        <stp>[EMN_IMS Bloomberg.xlsm  -  version 362.0. 25.11.2021 16.44]Dvd!R161C22</stp>
        <tr r="V161" s="50"/>
      </tp>
      <tp t="e">
        <v>#N/A</v>
        <stp/>
        <stp>##V3_BDPV12</stp>
        <stp xml:space="preserve"> Equity</stp>
        <stp>DVD_FREQ</stp>
        <stp>[EMN_IMS Bloomberg.xlsm  -  version 362.0. 25.11.2021 16.44]Dvd!R160C22</stp>
        <tr r="V160" s="50"/>
      </tp>
      <tp t="e">
        <v>#N/A</v>
        <stp/>
        <stp>##V3_BDPV12</stp>
        <stp xml:space="preserve"> Equity</stp>
        <stp>DVD_FREQ</stp>
        <stp>[EMN_IMS Bloomberg.xlsm  -  version 362.0. 25.11.2021 16.44]Dvd!R167C22</stp>
        <tr r="V167" s="50"/>
      </tp>
      <tp t="e">
        <v>#N/A</v>
        <stp/>
        <stp>##V3_BDPV12</stp>
        <stp xml:space="preserve"> Equity</stp>
        <stp>DVD_FREQ</stp>
        <stp>[EMN_IMS Bloomberg.xlsm  -  version 362.0. 25.11.2021 16.44]Dvd!R166C22</stp>
        <tr r="V166" s="50"/>
      </tp>
      <tp t="e">
        <v>#N/A</v>
        <stp/>
        <stp>##V3_BDPV12</stp>
        <stp xml:space="preserve"> Equity</stp>
        <stp>DVD_FREQ</stp>
        <stp>[EMN_IMS Bloomberg.xlsm  -  version 362.0. 25.11.2021 16.44]Dvd!R165C22</stp>
        <tr r="V165" s="50"/>
      </tp>
      <tp t="e">
        <v>#N/A</v>
        <stp/>
        <stp>##V3_BDPV12</stp>
        <stp xml:space="preserve"> Equity</stp>
        <stp>DVD_FREQ</stp>
        <stp>[EMN_IMS Bloomberg.xlsm  -  version 362.0. 25.11.2021 16.44]Dvd!R164C22</stp>
        <tr r="V164" s="50"/>
      </tp>
      <tp t="e">
        <v>#N/A</v>
        <stp/>
        <stp>##V3_BDPV12</stp>
        <stp xml:space="preserve"> Equity</stp>
        <stp>DVD_FREQ</stp>
        <stp>[EMN_IMS Bloomberg.xlsm  -  version 362.0. 25.11.2021 16.44]Dvd!R119C22</stp>
        <tr r="V119" s="50"/>
      </tp>
      <tp t="e">
        <v>#N/A</v>
        <stp/>
        <stp>##V3_BDPV12</stp>
        <stp xml:space="preserve"> Equity</stp>
        <stp>DVD_FREQ</stp>
        <stp>[EMN_IMS Bloomberg.xlsm  -  version 362.0. 25.11.2021 16.44]Dvd!R118C22</stp>
        <tr r="V118" s="50"/>
      </tp>
      <tp t="e">
        <v>#N/A</v>
        <stp/>
        <stp>##V3_BDPV12</stp>
        <stp xml:space="preserve"> Equity</stp>
        <stp>DVD_FREQ</stp>
        <stp>[EMN_IMS Bloomberg.xlsm  -  version 362.0. 25.11.2021 16.44]Dvd!R113C22</stp>
        <tr r="V113" s="50"/>
      </tp>
      <tp t="e">
        <v>#N/A</v>
        <stp/>
        <stp>##V3_BDPV12</stp>
        <stp xml:space="preserve"> Equity</stp>
        <stp>DVD_FREQ</stp>
        <stp>[EMN_IMS Bloomberg.xlsm  -  version 362.0. 25.11.2021 16.44]Dvd!R112C22</stp>
        <tr r="V112" s="50"/>
      </tp>
      <tp t="e">
        <v>#N/A</v>
        <stp/>
        <stp>##V3_BDPV12</stp>
        <stp xml:space="preserve"> Equity</stp>
        <stp>DVD_FREQ</stp>
        <stp>[EMN_IMS Bloomberg.xlsm  -  version 362.0. 25.11.2021 16.44]Dvd!R111C22</stp>
        <tr r="V111" s="50"/>
      </tp>
      <tp t="e">
        <v>#N/A</v>
        <stp/>
        <stp>##V3_BDPV12</stp>
        <stp xml:space="preserve"> Equity</stp>
        <stp>DVD_FREQ</stp>
        <stp>[EMN_IMS Bloomberg.xlsm  -  version 362.0. 25.11.2021 16.44]Dvd!R110C22</stp>
        <tr r="V110" s="50"/>
      </tp>
      <tp t="e">
        <v>#N/A</v>
        <stp/>
        <stp>##V3_BDPV12</stp>
        <stp xml:space="preserve"> Equity</stp>
        <stp>DVD_FREQ</stp>
        <stp>[EMN_IMS Bloomberg.xlsm  -  version 362.0. 25.11.2021 16.44]Dvd!R117C22</stp>
        <tr r="V117" s="50"/>
      </tp>
      <tp t="e">
        <v>#N/A</v>
        <stp/>
        <stp>##V3_BDPV12</stp>
        <stp xml:space="preserve"> Equity</stp>
        <stp>DVD_FREQ</stp>
        <stp>[EMN_IMS Bloomberg.xlsm  -  version 362.0. 25.11.2021 16.44]Dvd!R115C22</stp>
        <tr r="V115" s="50"/>
      </tp>
      <tp t="e">
        <v>#N/A</v>
        <stp/>
        <stp>##V3_BDPV12</stp>
        <stp xml:space="preserve"> Equity</stp>
        <stp>DVD_FREQ</stp>
        <stp>[EMN_IMS Bloomberg.xlsm  -  version 362.0. 25.11.2021 16.44]Dvd!R114C22</stp>
        <tr r="V114" s="50"/>
      </tp>
      <tp t="e">
        <v>#N/A</v>
        <stp/>
        <stp>##V3_BDPV12</stp>
        <stp xml:space="preserve"> Equity</stp>
        <stp>DVD_FREQ</stp>
        <stp>[EMN_IMS Bloomberg.xlsm  -  version 362.0. 25.11.2021 16.44]Dvd!R109C22</stp>
        <tr r="V109" s="50"/>
      </tp>
      <tp t="e">
        <v>#N/A</v>
        <stp/>
        <stp>##V3_BDPV12</stp>
        <stp xml:space="preserve"> Equity</stp>
        <stp>DVD_FREQ</stp>
        <stp>[EMN_IMS Bloomberg.xlsm  -  version 362.0. 25.11.2021 16.44]Dvd!R108C22</stp>
        <tr r="V108" s="50"/>
      </tp>
      <tp t="e">
        <v>#N/A</v>
        <stp/>
        <stp>##V3_BDPV12</stp>
        <stp xml:space="preserve"> Equity</stp>
        <stp>DVD_FREQ</stp>
        <stp>[EMN_IMS Bloomberg.xlsm  -  version 362.0. 25.11.2021 16.44]Dvd!R103C22</stp>
        <tr r="V103" s="50"/>
      </tp>
      <tp t="e">
        <v>#N/A</v>
        <stp/>
        <stp>##V3_BDPV12</stp>
        <stp xml:space="preserve"> Equity</stp>
        <stp>DVD_FREQ</stp>
        <stp>[EMN_IMS Bloomberg.xlsm  -  version 362.0. 25.11.2021 16.44]Dvd!R102C22</stp>
        <tr r="V102" s="50"/>
      </tp>
      <tp t="e">
        <v>#N/A</v>
        <stp/>
        <stp>##V3_BDPV12</stp>
        <stp xml:space="preserve"> Equity</stp>
        <stp>DVD_FREQ</stp>
        <stp>[EMN_IMS Bloomberg.xlsm  -  version 362.0. 25.11.2021 16.44]Dvd!R101C22</stp>
        <tr r="V101" s="50"/>
      </tp>
      <tp t="e">
        <v>#N/A</v>
        <stp/>
        <stp>##V3_BDPV12</stp>
        <stp xml:space="preserve"> Equity</stp>
        <stp>DVD_FREQ</stp>
        <stp>[EMN_IMS Bloomberg.xlsm  -  version 362.0. 25.11.2021 16.44]Dvd!R100C22</stp>
        <tr r="V100" s="50"/>
      </tp>
      <tp t="e">
        <v>#N/A</v>
        <stp/>
        <stp>##V3_BDPV12</stp>
        <stp xml:space="preserve"> Equity</stp>
        <stp>DVD_FREQ</stp>
        <stp>[EMN_IMS Bloomberg.xlsm  -  version 362.0. 25.11.2021 16.44]Dvd!R107C22</stp>
        <tr r="V107" s="50"/>
      </tp>
      <tp t="e">
        <v>#N/A</v>
        <stp/>
        <stp>##V3_BDPV12</stp>
        <stp xml:space="preserve"> Equity</stp>
        <stp>DVD_FREQ</stp>
        <stp>[EMN_IMS Bloomberg.xlsm  -  version 362.0. 25.11.2021 16.44]Dvd!R106C22</stp>
        <tr r="V106" s="50"/>
      </tp>
      <tp t="e">
        <v>#N/A</v>
        <stp/>
        <stp>##V3_BDPV12</stp>
        <stp xml:space="preserve"> Equity</stp>
        <stp>DVD_FREQ</stp>
        <stp>[EMN_IMS Bloomberg.xlsm  -  version 362.0. 25.11.2021 16.44]Dvd!R105C22</stp>
        <tr r="V105" s="50"/>
      </tp>
      <tp t="e">
        <v>#N/A</v>
        <stp/>
        <stp>##V3_BDPV12</stp>
        <stp xml:space="preserve"> Equity</stp>
        <stp>DVD_FREQ</stp>
        <stp>[EMN_IMS Bloomberg.xlsm  -  version 362.0. 25.11.2021 16.44]Dvd!R104C22</stp>
        <tr r="V104" s="50"/>
      </tp>
      <tp t="e">
        <v>#N/A</v>
        <stp/>
        <stp>##V3_BDPV12</stp>
        <stp xml:space="preserve"> Equity</stp>
        <stp>DVD_FREQ</stp>
        <stp>[EMN_IMS Bloomberg.xlsm  -  version 362.0. 25.11.2021 16.44]Dvd!R139C22</stp>
        <tr r="V139" s="50"/>
      </tp>
      <tp t="e">
        <v>#N/A</v>
        <stp/>
        <stp>##V3_BDPV12</stp>
        <stp xml:space="preserve"> Equity</stp>
        <stp>DVD_FREQ</stp>
        <stp>[EMN_IMS Bloomberg.xlsm  -  version 362.0. 25.11.2021 16.44]Dvd!R138C22</stp>
        <tr r="V138" s="50"/>
      </tp>
      <tp t="e">
        <v>#N/A</v>
        <stp/>
        <stp>##V3_BDPV12</stp>
        <stp xml:space="preserve"> Equity</stp>
        <stp>DVD_FREQ</stp>
        <stp>[EMN_IMS Bloomberg.xlsm  -  version 362.0. 25.11.2021 16.44]Dvd!R133C22</stp>
        <tr r="V133" s="50"/>
      </tp>
      <tp t="e">
        <v>#N/A</v>
        <stp/>
        <stp>##V3_BDPV12</stp>
        <stp xml:space="preserve"> Equity</stp>
        <stp>DVD_FREQ</stp>
        <stp>[EMN_IMS Bloomberg.xlsm  -  version 362.0. 25.11.2021 16.44]Dvd!R132C22</stp>
        <tr r="V132" s="50"/>
      </tp>
      <tp t="e">
        <v>#N/A</v>
        <stp/>
        <stp>##V3_BDPV12</stp>
        <stp xml:space="preserve"> Equity</stp>
        <stp>DVD_FREQ</stp>
        <stp>[EMN_IMS Bloomberg.xlsm  -  version 362.0. 25.11.2021 16.44]Dvd!R131C22</stp>
        <tr r="V131" s="50"/>
      </tp>
      <tp t="e">
        <v>#N/A</v>
        <stp/>
        <stp>##V3_BDPV12</stp>
        <stp xml:space="preserve"> Equity</stp>
        <stp>DVD_FREQ</stp>
        <stp>[EMN_IMS Bloomberg.xlsm  -  version 362.0. 25.11.2021 16.44]Dvd!R130C22</stp>
        <tr r="V130" s="50"/>
      </tp>
      <tp t="e">
        <v>#N/A</v>
        <stp/>
        <stp>##V3_BDPV12</stp>
        <stp xml:space="preserve"> Equity</stp>
        <stp>DVD_FREQ</stp>
        <stp>[EMN_IMS Bloomberg.xlsm  -  version 362.0. 25.11.2021 16.44]Dvd!R137C22</stp>
        <tr r="V137" s="50"/>
      </tp>
      <tp t="e">
        <v>#N/A</v>
        <stp/>
        <stp>##V3_BDPV12</stp>
        <stp xml:space="preserve"> Equity</stp>
        <stp>DVD_FREQ</stp>
        <stp>[EMN_IMS Bloomberg.xlsm  -  version 362.0. 25.11.2021 16.44]Dvd!R136C22</stp>
        <tr r="V136" s="50"/>
      </tp>
      <tp t="e">
        <v>#N/A</v>
        <stp/>
        <stp>##V3_BDPV12</stp>
        <stp xml:space="preserve"> Equity</stp>
        <stp>DVD_FREQ</stp>
        <stp>[EMN_IMS Bloomberg.xlsm  -  version 362.0. 25.11.2021 16.44]Dvd!R135C22</stp>
        <tr r="V135" s="50"/>
      </tp>
      <tp t="e">
        <v>#N/A</v>
        <stp/>
        <stp>##V3_BDPV12</stp>
        <stp xml:space="preserve"> Equity</stp>
        <stp>DVD_FREQ</stp>
        <stp>[EMN_IMS Bloomberg.xlsm  -  version 362.0. 25.11.2021 16.44]Dvd!R134C22</stp>
        <tr r="V134" s="50"/>
      </tp>
      <tp t="e">
        <v>#N/A</v>
        <stp/>
        <stp>##V3_BDPV12</stp>
        <stp xml:space="preserve"> Equity</stp>
        <stp>DVD_FREQ</stp>
        <stp>[EMN_IMS Bloomberg.xlsm  -  version 362.0. 25.11.2021 16.44]Dvd!R129C22</stp>
        <tr r="V129" s="50"/>
      </tp>
      <tp t="e">
        <v>#N/A</v>
        <stp/>
        <stp>##V3_BDPV12</stp>
        <stp xml:space="preserve"> Equity</stp>
        <stp>DVD_FREQ</stp>
        <stp>[EMN_IMS Bloomberg.xlsm  -  version 362.0. 25.11.2021 16.44]Dvd!R128C22</stp>
        <tr r="V128" s="50"/>
      </tp>
      <tp t="e">
        <v>#N/A</v>
        <stp/>
        <stp>##V3_BDPV12</stp>
        <stp xml:space="preserve"> Equity</stp>
        <stp>DVD_FREQ</stp>
        <stp>[EMN_IMS Bloomberg.xlsm  -  version 362.0. 25.11.2021 16.44]Dvd!R123C22</stp>
        <tr r="V123" s="50"/>
      </tp>
      <tp t="e">
        <v>#N/A</v>
        <stp/>
        <stp>##V3_BDPV12</stp>
        <stp xml:space="preserve"> Equity</stp>
        <stp>DVD_FREQ</stp>
        <stp>[EMN_IMS Bloomberg.xlsm  -  version 362.0. 25.11.2021 16.44]Dvd!R122C22</stp>
        <tr r="V122" s="50"/>
      </tp>
      <tp t="e">
        <v>#N/A</v>
        <stp/>
        <stp>##V3_BDPV12</stp>
        <stp xml:space="preserve"> Equity</stp>
        <stp>DVD_FREQ</stp>
        <stp>[EMN_IMS Bloomberg.xlsm  -  version 362.0. 25.11.2021 16.44]Dvd!R121C22</stp>
        <tr r="V121" s="50"/>
      </tp>
      <tp t="e">
        <v>#N/A</v>
        <stp/>
        <stp>##V3_BDPV12</stp>
        <stp xml:space="preserve"> Equity</stp>
        <stp>DVD_FREQ</stp>
        <stp>[EMN_IMS Bloomberg.xlsm  -  version 362.0. 25.11.2021 16.44]Dvd!R120C22</stp>
        <tr r="V120" s="50"/>
      </tp>
      <tp t="e">
        <v>#N/A</v>
        <stp/>
        <stp>##V3_BDPV12</stp>
        <stp xml:space="preserve"> Equity</stp>
        <stp>DVD_FREQ</stp>
        <stp>[EMN_IMS Bloomberg.xlsm  -  version 362.0. 25.11.2021 16.44]Dvd!R127C22</stp>
        <tr r="V127" s="50"/>
      </tp>
      <tp t="e">
        <v>#N/A</v>
        <stp/>
        <stp>##V3_BDPV12</stp>
        <stp xml:space="preserve"> Equity</stp>
        <stp>DVD_FREQ</stp>
        <stp>[EMN_IMS Bloomberg.xlsm  -  version 362.0. 25.11.2021 16.44]Dvd!R126C22</stp>
        <tr r="V126" s="50"/>
      </tp>
      <tp t="e">
        <v>#N/A</v>
        <stp/>
        <stp>##V3_BDPV12</stp>
        <stp xml:space="preserve"> Equity</stp>
        <stp>DVD_FREQ</stp>
        <stp>[EMN_IMS Bloomberg.xlsm  -  version 362.0. 25.11.2021 16.44]Dvd!R125C22</stp>
        <tr r="V125" s="50"/>
      </tp>
      <tp t="e">
        <v>#N/A</v>
        <stp/>
        <stp>##V3_BDPV12</stp>
        <stp xml:space="preserve"> Equity</stp>
        <stp>DVD_FREQ</stp>
        <stp>[EMN_IMS Bloomberg.xlsm  -  version 362.0. 25.11.2021 16.44]Dvd!R124C22</stp>
        <tr r="V124" s="50"/>
      </tp>
      <tp t="e">
        <v>#N/A</v>
        <stp/>
        <stp>##V3_BDPV12</stp>
        <stp xml:space="preserve"> Equity</stp>
        <stp>DVD_FREQ</stp>
        <stp>[EMN_IMS Bloomberg.xlsm  -  version 362.0. 25.11.2021 16.44]Dvd!R199C22</stp>
        <tr r="V199" s="50"/>
      </tp>
      <tp t="e">
        <v>#N/A</v>
        <stp/>
        <stp>##V3_BDPV12</stp>
        <stp xml:space="preserve"> Equity</stp>
        <stp>DVD_FREQ</stp>
        <stp>[EMN_IMS Bloomberg.xlsm  -  version 362.0. 25.11.2021 16.44]Dvd!R198C22</stp>
        <tr r="V198" s="50"/>
      </tp>
      <tp t="e">
        <v>#N/A</v>
        <stp/>
        <stp>##V3_BDPV12</stp>
        <stp xml:space="preserve"> Equity</stp>
        <stp>DVD_FREQ</stp>
        <stp>[EMN_IMS Bloomberg.xlsm  -  version 362.0. 25.11.2021 16.44]Dvd!R193C22</stp>
        <tr r="V193" s="50"/>
      </tp>
      <tp t="e">
        <v>#N/A</v>
        <stp/>
        <stp>##V3_BDPV12</stp>
        <stp xml:space="preserve"> Equity</stp>
        <stp>DVD_FREQ</stp>
        <stp>[EMN_IMS Bloomberg.xlsm  -  version 362.0. 25.11.2021 16.44]Dvd!R192C22</stp>
        <tr r="V192" s="50"/>
      </tp>
      <tp t="e">
        <v>#N/A</v>
        <stp/>
        <stp>##V3_BDPV12</stp>
        <stp xml:space="preserve"> Equity</stp>
        <stp>DVD_FREQ</stp>
        <stp>[EMN_IMS Bloomberg.xlsm  -  version 362.0. 25.11.2021 16.44]Dvd!R191C22</stp>
        <tr r="V191" s="50"/>
      </tp>
      <tp t="e">
        <v>#N/A</v>
        <stp/>
        <stp>##V3_BDPV12</stp>
        <stp xml:space="preserve"> Equity</stp>
        <stp>DVD_FREQ</stp>
        <stp>[EMN_IMS Bloomberg.xlsm  -  version 362.0. 25.11.2021 16.44]Dvd!R190C22</stp>
        <tr r="V190" s="50"/>
      </tp>
      <tp t="e">
        <v>#N/A</v>
        <stp/>
        <stp>##V3_BDPV12</stp>
        <stp xml:space="preserve"> Equity</stp>
        <stp>DVD_FREQ</stp>
        <stp>[EMN_IMS Bloomberg.xlsm  -  version 362.0. 25.11.2021 16.44]Dvd!R197C22</stp>
        <tr r="V197" s="50"/>
      </tp>
      <tp t="e">
        <v>#N/A</v>
        <stp/>
        <stp>##V3_BDPV12</stp>
        <stp xml:space="preserve"> Equity</stp>
        <stp>DVD_FREQ</stp>
        <stp>[EMN_IMS Bloomberg.xlsm  -  version 362.0. 25.11.2021 16.44]Dvd!R196C22</stp>
        <tr r="V196" s="50"/>
      </tp>
      <tp t="e">
        <v>#N/A</v>
        <stp/>
        <stp>##V3_BDPV12</stp>
        <stp xml:space="preserve"> Equity</stp>
        <stp>DVD_FREQ</stp>
        <stp>[EMN_IMS Bloomberg.xlsm  -  version 362.0. 25.11.2021 16.44]Dvd!R195C22</stp>
        <tr r="V195" s="50"/>
      </tp>
      <tp t="e">
        <v>#N/A</v>
        <stp/>
        <stp>##V3_BDPV12</stp>
        <stp xml:space="preserve"> Equity</stp>
        <stp>DVD_FREQ</stp>
        <stp>[EMN_IMS Bloomberg.xlsm  -  version 362.0. 25.11.2021 16.44]Dvd!R194C22</stp>
        <tr r="V194" s="50"/>
      </tp>
      <tp t="e">
        <v>#N/A</v>
        <stp/>
        <stp>##V3_BDPV12</stp>
        <stp xml:space="preserve"> Equity</stp>
        <stp>DVD_FREQ</stp>
        <stp>[EMN_IMS Bloomberg.xlsm  -  version 362.0. 25.11.2021 16.44]Dvd!R189C22</stp>
        <tr r="V189" s="50"/>
      </tp>
      <tp t="e">
        <v>#N/A</v>
        <stp/>
        <stp>##V3_BDPV12</stp>
        <stp xml:space="preserve"> Equity</stp>
        <stp>DVD_FREQ</stp>
        <stp>[EMN_IMS Bloomberg.xlsm  -  version 362.0. 25.11.2021 16.44]Dvd!R188C22</stp>
        <tr r="V188" s="50"/>
      </tp>
      <tp t="e">
        <v>#N/A</v>
        <stp/>
        <stp>##V3_BDPV12</stp>
        <stp xml:space="preserve"> Equity</stp>
        <stp>DVD_FREQ</stp>
        <stp>[EMN_IMS Bloomberg.xlsm  -  version 362.0. 25.11.2021 16.44]Dvd!R183C22</stp>
        <tr r="V183" s="50"/>
      </tp>
      <tp t="e">
        <v>#N/A</v>
        <stp/>
        <stp>##V3_BDPV12</stp>
        <stp xml:space="preserve"> Equity</stp>
        <stp>DVD_FREQ</stp>
        <stp>[EMN_IMS Bloomberg.xlsm  -  version 362.0. 25.11.2021 16.44]Dvd!R182C22</stp>
        <tr r="V182" s="50"/>
      </tp>
      <tp t="e">
        <v>#N/A</v>
        <stp/>
        <stp>##V3_BDPV12</stp>
        <stp xml:space="preserve"> Equity</stp>
        <stp>DVD_FREQ</stp>
        <stp>[EMN_IMS Bloomberg.xlsm  -  version 362.0. 25.11.2021 16.44]Dvd!R181C22</stp>
        <tr r="V181" s="50"/>
      </tp>
      <tp t="e">
        <v>#N/A</v>
        <stp/>
        <stp>##V3_BDPV12</stp>
        <stp xml:space="preserve"> Equity</stp>
        <stp>DVD_FREQ</stp>
        <stp>[EMN_IMS Bloomberg.xlsm  -  version 362.0. 25.11.2021 16.44]Dvd!R180C22</stp>
        <tr r="V180" s="50"/>
      </tp>
      <tp t="e">
        <v>#N/A</v>
        <stp/>
        <stp>##V3_BDPV12</stp>
        <stp xml:space="preserve"> Equity</stp>
        <stp>DVD_FREQ</stp>
        <stp>[EMN_IMS Bloomberg.xlsm  -  version 362.0. 25.11.2021 16.44]Dvd!R187C22</stp>
        <tr r="V187" s="50"/>
      </tp>
      <tp t="e">
        <v>#N/A</v>
        <stp/>
        <stp>##V3_BDPV12</stp>
        <stp xml:space="preserve"> Equity</stp>
        <stp>DVD_FREQ</stp>
        <stp>[EMN_IMS Bloomberg.xlsm  -  version 362.0. 25.11.2021 16.44]Dvd!R186C22</stp>
        <tr r="V186" s="50"/>
      </tp>
      <tp t="e">
        <v>#N/A</v>
        <stp/>
        <stp>##V3_BDPV12</stp>
        <stp xml:space="preserve"> Equity</stp>
        <stp>DVD_FREQ</stp>
        <stp>[EMN_IMS Bloomberg.xlsm  -  version 362.0. 25.11.2021 16.44]Dvd!R185C22</stp>
        <tr r="V185" s="50"/>
      </tp>
      <tp t="e">
        <v>#N/A</v>
        <stp/>
        <stp>##V3_BDPV12</stp>
        <stp xml:space="preserve"> Equity</stp>
        <stp>DVD_FREQ</stp>
        <stp>[EMN_IMS Bloomberg.xlsm  -  version 362.0. 25.11.2021 16.44]Dvd!R184C22</stp>
        <tr r="V184" s="50"/>
      </tp>
      <tp t="e">
        <v>#N/A</v>
        <stp/>
        <stp>##V3_BDPV12</stp>
        <stp xml:space="preserve"> Equity</stp>
        <stp>DVD_FREQ</stp>
        <stp>[EMN_IMS Bloomberg.xlsm  -  version 362.0. 25.11.2021 16.44]Dvd!R349C22</stp>
        <tr r="V349" s="50"/>
      </tp>
      <tp t="e">
        <v>#N/A</v>
        <stp/>
        <stp>##V3_BDPV12</stp>
        <stp xml:space="preserve"> Equity</stp>
        <stp>DVD_FREQ</stp>
        <stp>[EMN_IMS Bloomberg.xlsm  -  version 362.0. 25.11.2021 16.44]Dvd!R348C22</stp>
        <tr r="V348" s="50"/>
      </tp>
      <tp t="e">
        <v>#N/A</v>
        <stp/>
        <stp>##V3_BDPV12</stp>
        <stp xml:space="preserve"> Equity</stp>
        <stp>DVD_FREQ</stp>
        <stp>[EMN_IMS Bloomberg.xlsm  -  version 362.0. 25.11.2021 16.44]Dvd!R343C22</stp>
        <tr r="V343" s="50"/>
      </tp>
      <tp t="e">
        <v>#N/A</v>
        <stp/>
        <stp>##V3_BDPV12</stp>
        <stp xml:space="preserve"> Equity</stp>
        <stp>DVD_FREQ</stp>
        <stp>[EMN_IMS Bloomberg.xlsm  -  version 362.0. 25.11.2021 16.44]Dvd!R342C22</stp>
        <tr r="V342" s="50"/>
      </tp>
      <tp t="e">
        <v>#N/A</v>
        <stp/>
        <stp>##V3_BDPV12</stp>
        <stp xml:space="preserve"> Equity</stp>
        <stp>DVD_FREQ</stp>
        <stp>[EMN_IMS Bloomberg.xlsm  -  version 362.0. 25.11.2021 16.44]Dvd!R341C22</stp>
        <tr r="V341" s="50"/>
      </tp>
      <tp t="e">
        <v>#N/A</v>
        <stp/>
        <stp>##V3_BDPV12</stp>
        <stp xml:space="preserve"> Equity</stp>
        <stp>DVD_FREQ</stp>
        <stp>[EMN_IMS Bloomberg.xlsm  -  version 362.0. 25.11.2021 16.44]Dvd!R340C22</stp>
        <tr r="V340" s="50"/>
      </tp>
      <tp t="e">
        <v>#N/A</v>
        <stp/>
        <stp>##V3_BDPV12</stp>
        <stp xml:space="preserve"> Equity</stp>
        <stp>DVD_FREQ</stp>
        <stp>[EMN_IMS Bloomberg.xlsm  -  version 362.0. 25.11.2021 16.44]Dvd!R347C22</stp>
        <tr r="V347" s="50"/>
      </tp>
      <tp t="e">
        <v>#N/A</v>
        <stp/>
        <stp>##V3_BDPV12</stp>
        <stp xml:space="preserve"> Equity</stp>
        <stp>DVD_FREQ</stp>
        <stp>[EMN_IMS Bloomberg.xlsm  -  version 362.0. 25.11.2021 16.44]Dvd!R346C22</stp>
        <tr r="V346" s="50"/>
      </tp>
      <tp t="e">
        <v>#N/A</v>
        <stp/>
        <stp>##V3_BDPV12</stp>
        <stp xml:space="preserve"> Equity</stp>
        <stp>DVD_FREQ</stp>
        <stp>[EMN_IMS Bloomberg.xlsm  -  version 362.0. 25.11.2021 16.44]Dvd!R345C22</stp>
        <tr r="V345" s="50"/>
      </tp>
      <tp t="e">
        <v>#N/A</v>
        <stp/>
        <stp>##V3_BDPV12</stp>
        <stp xml:space="preserve"> Equity</stp>
        <stp>DVD_FREQ</stp>
        <stp>[EMN_IMS Bloomberg.xlsm  -  version 362.0. 25.11.2021 16.44]Dvd!R344C22</stp>
        <tr r="V344" s="50"/>
      </tp>
      <tp t="e">
        <v>#N/A</v>
        <stp/>
        <stp>##V3_BDPV12</stp>
        <stp xml:space="preserve"> Equity</stp>
        <stp>DVD_FREQ</stp>
        <stp>[EMN_IMS Bloomberg.xlsm  -  version 362.0. 25.11.2021 16.44]Dvd!R339C22</stp>
        <tr r="V339" s="50"/>
      </tp>
      <tp t="e">
        <v>#N/A</v>
        <stp/>
        <stp>##V3_BDPV12</stp>
        <stp xml:space="preserve"> Equity</stp>
        <stp>DVD_FREQ</stp>
        <stp>[EMN_IMS Bloomberg.xlsm  -  version 362.0. 25.11.2021 16.44]Dvd!R338C22</stp>
        <tr r="V338" s="50"/>
      </tp>
      <tp t="e">
        <v>#N/A</v>
        <stp/>
        <stp>##V3_BDPV12</stp>
        <stp xml:space="preserve"> Equity</stp>
        <stp>DVD_FREQ</stp>
        <stp>[EMN_IMS Bloomberg.xlsm  -  version 362.0. 25.11.2021 16.44]Dvd!R333C22</stp>
        <tr r="V333" s="50"/>
      </tp>
      <tp t="e">
        <v>#N/A</v>
        <stp/>
        <stp>##V3_BDPV12</stp>
        <stp xml:space="preserve"> Equity</stp>
        <stp>DVD_FREQ</stp>
        <stp>[EMN_IMS Bloomberg.xlsm  -  version 362.0. 25.11.2021 16.44]Dvd!R332C22</stp>
        <tr r="V332" s="50"/>
      </tp>
      <tp t="e">
        <v>#N/A</v>
        <stp/>
        <stp>##V3_BDPV12</stp>
        <stp xml:space="preserve"> Equity</stp>
        <stp>DVD_FREQ</stp>
        <stp>[EMN_IMS Bloomberg.xlsm  -  version 362.0. 25.11.2021 16.44]Dvd!R331C22</stp>
        <tr r="V331" s="50"/>
      </tp>
      <tp t="e">
        <v>#N/A</v>
        <stp/>
        <stp>##V3_BDPV12</stp>
        <stp xml:space="preserve"> Equity</stp>
        <stp>DVD_FREQ</stp>
        <stp>[EMN_IMS Bloomberg.xlsm  -  version 362.0. 25.11.2021 16.44]Dvd!R330C22</stp>
        <tr r="V330" s="50"/>
      </tp>
      <tp t="e">
        <v>#N/A</v>
        <stp/>
        <stp>##V3_BDPV12</stp>
        <stp xml:space="preserve"> Equity</stp>
        <stp>DVD_FREQ</stp>
        <stp>[EMN_IMS Bloomberg.xlsm  -  version 362.0. 25.11.2021 16.44]Dvd!R337C22</stp>
        <tr r="V337" s="50"/>
      </tp>
      <tp t="e">
        <v>#N/A</v>
        <stp/>
        <stp>##V3_BDPV12</stp>
        <stp xml:space="preserve"> Equity</stp>
        <stp>DVD_FREQ</stp>
        <stp>[EMN_IMS Bloomberg.xlsm  -  version 362.0. 25.11.2021 16.44]Dvd!R336C22</stp>
        <tr r="V336" s="50"/>
      </tp>
      <tp t="e">
        <v>#N/A</v>
        <stp/>
        <stp>##V3_BDPV12</stp>
        <stp xml:space="preserve"> Equity</stp>
        <stp>DVD_FREQ</stp>
        <stp>[EMN_IMS Bloomberg.xlsm  -  version 362.0. 25.11.2021 16.44]Dvd!R335C22</stp>
        <tr r="V335" s="50"/>
      </tp>
      <tp t="e">
        <v>#N/A</v>
        <stp/>
        <stp>##V3_BDPV12</stp>
        <stp xml:space="preserve"> Equity</stp>
        <stp>DVD_FREQ</stp>
        <stp>[EMN_IMS Bloomberg.xlsm  -  version 362.0. 25.11.2021 16.44]Dvd!R334C22</stp>
        <tr r="V334" s="50"/>
      </tp>
      <tp t="e">
        <v>#N/A</v>
        <stp/>
        <stp>##V3_BDPV12</stp>
        <stp xml:space="preserve"> Equity</stp>
        <stp>DVD_FREQ</stp>
        <stp>[EMN_IMS Bloomberg.xlsm  -  version 362.0. 25.11.2021 16.44]Dvd!R329C22</stp>
        <tr r="V329" s="50"/>
      </tp>
      <tp t="e">
        <v>#N/A</v>
        <stp/>
        <stp>##V3_BDPV12</stp>
        <stp xml:space="preserve"> Equity</stp>
        <stp>DVD_FREQ</stp>
        <stp>[EMN_IMS Bloomberg.xlsm  -  version 362.0. 25.11.2021 16.44]Dvd!R328C22</stp>
        <tr r="V328" s="50"/>
      </tp>
      <tp t="e">
        <v>#N/A</v>
        <stp/>
        <stp>##V3_BDPV12</stp>
        <stp xml:space="preserve"> Equity</stp>
        <stp>DVD_FREQ</stp>
        <stp>[EMN_IMS Bloomberg.xlsm  -  version 362.0. 25.11.2021 16.44]Dvd!R323C22</stp>
        <tr r="V323" s="50"/>
      </tp>
      <tp t="e">
        <v>#N/A</v>
        <stp/>
        <stp>##V3_BDPV12</stp>
        <stp xml:space="preserve"> Equity</stp>
        <stp>DVD_FREQ</stp>
        <stp>[EMN_IMS Bloomberg.xlsm  -  version 362.0. 25.11.2021 16.44]Dvd!R327C22</stp>
        <tr r="V327" s="50"/>
      </tp>
      <tp t="e">
        <v>#N/A</v>
        <stp/>
        <stp>##V3_BDPV12</stp>
        <stp xml:space="preserve"> Equity</stp>
        <stp>DVD_FREQ</stp>
        <stp>[EMN_IMS Bloomberg.xlsm  -  version 362.0. 25.11.2021 16.44]Dvd!R326C22</stp>
        <tr r="V326" s="50"/>
      </tp>
      <tp t="e">
        <v>#N/A</v>
        <stp/>
        <stp>##V3_BDPV12</stp>
        <stp xml:space="preserve"> Equity</stp>
        <stp>DVD_FREQ</stp>
        <stp>[EMN_IMS Bloomberg.xlsm  -  version 362.0. 25.11.2021 16.44]Dvd!R325C22</stp>
        <tr r="V325" s="50"/>
      </tp>
      <tp t="e">
        <v>#N/A</v>
        <stp/>
        <stp>##V3_BDPV12</stp>
        <stp xml:space="preserve"> Equity</stp>
        <stp>DVD_FREQ</stp>
        <stp>[EMN_IMS Bloomberg.xlsm  -  version 362.0. 25.11.2021 16.44]Dvd!R324C22</stp>
        <tr r="V324" s="50"/>
      </tp>
      <tp t="e">
        <v>#N/A</v>
        <stp/>
        <stp>##V3_BDPV12</stp>
        <stp xml:space="preserve"> Equity</stp>
        <stp>DVD_FREQ</stp>
        <stp>[EMN_IMS Bloomberg.xlsm  -  version 362.0. 25.11.2021 16.44]Dvd!R219C22</stp>
        <tr r="V219" s="50"/>
      </tp>
      <tp t="e">
        <v>#N/A</v>
        <stp/>
        <stp>##V3_BDPV12</stp>
        <stp xml:space="preserve"> Equity</stp>
        <stp>DVD_FREQ</stp>
        <stp>[EMN_IMS Bloomberg.xlsm  -  version 362.0. 25.11.2021 16.44]Dvd!R218C22</stp>
        <tr r="V218" s="50"/>
      </tp>
      <tp t="e">
        <v>#N/A</v>
        <stp/>
        <stp>##V3_BDPV12</stp>
        <stp xml:space="preserve"> Equity</stp>
        <stp>DVD_FREQ</stp>
        <stp>[EMN_IMS Bloomberg.xlsm  -  version 362.0. 25.11.2021 16.44]Dvd!R213C22</stp>
        <tr r="V213" s="50"/>
      </tp>
      <tp t="e">
        <v>#N/A</v>
        <stp/>
        <stp>##V3_BDPV12</stp>
        <stp xml:space="preserve"> Equity</stp>
        <stp>DVD_FREQ</stp>
        <stp>[EMN_IMS Bloomberg.xlsm  -  version 362.0. 25.11.2021 16.44]Dvd!R212C22</stp>
        <tr r="V212" s="50"/>
      </tp>
      <tp t="e">
        <v>#N/A</v>
        <stp/>
        <stp>##V3_BDPV12</stp>
        <stp xml:space="preserve"> Equity</stp>
        <stp>DVD_FREQ</stp>
        <stp>[EMN_IMS Bloomberg.xlsm  -  version 362.0. 25.11.2021 16.44]Dvd!R211C22</stp>
        <tr r="V211" s="50"/>
      </tp>
      <tp t="e">
        <v>#N/A</v>
        <stp/>
        <stp>##V3_BDPV12</stp>
        <stp xml:space="preserve"> Equity</stp>
        <stp>DVD_FREQ</stp>
        <stp>[EMN_IMS Bloomberg.xlsm  -  version 362.0. 25.11.2021 16.44]Dvd!R210C22</stp>
        <tr r="V210" s="50"/>
      </tp>
      <tp t="e">
        <v>#N/A</v>
        <stp/>
        <stp>##V3_BDPV12</stp>
        <stp xml:space="preserve"> Equity</stp>
        <stp>DVD_FREQ</stp>
        <stp>[EMN_IMS Bloomberg.xlsm  -  version 362.0. 25.11.2021 16.44]Dvd!R217C22</stp>
        <tr r="V217" s="50"/>
      </tp>
      <tp t="e">
        <v>#N/A</v>
        <stp/>
        <stp>##V3_BDPV12</stp>
        <stp xml:space="preserve"> Equity</stp>
        <stp>DVD_FREQ</stp>
        <stp>[EMN_IMS Bloomberg.xlsm  -  version 362.0. 25.11.2021 16.44]Dvd!R216C22</stp>
        <tr r="V216" s="50"/>
      </tp>
      <tp t="e">
        <v>#N/A</v>
        <stp/>
        <stp>##V3_BDPV12</stp>
        <stp xml:space="preserve"> Equity</stp>
        <stp>DVD_FREQ</stp>
        <stp>[EMN_IMS Bloomberg.xlsm  -  version 362.0. 25.11.2021 16.44]Dvd!R215C22</stp>
        <tr r="V215" s="50"/>
      </tp>
      <tp t="e">
        <v>#N/A</v>
        <stp/>
        <stp>##V3_BDPV12</stp>
        <stp xml:space="preserve"> Equity</stp>
        <stp>DVD_FREQ</stp>
        <stp>[EMN_IMS Bloomberg.xlsm  -  version 362.0. 25.11.2021 16.44]Dvd!R214C22</stp>
        <tr r="V214" s="50"/>
      </tp>
      <tp t="e">
        <v>#N/A</v>
        <stp/>
        <stp>##V3_BDPV12</stp>
        <stp xml:space="preserve"> Equity</stp>
        <stp>DVD_FREQ</stp>
        <stp>[EMN_IMS Bloomberg.xlsm  -  version 362.0. 25.11.2021 16.44]Dvd!R209C22</stp>
        <tr r="V209" s="50"/>
      </tp>
      <tp t="e">
        <v>#N/A</v>
        <stp/>
        <stp>##V3_BDPV12</stp>
        <stp xml:space="preserve"> Equity</stp>
        <stp>DVD_FREQ</stp>
        <stp>[EMN_IMS Bloomberg.xlsm  -  version 362.0. 25.11.2021 16.44]Dvd!R208C22</stp>
        <tr r="V208" s="50"/>
      </tp>
      <tp t="e">
        <v>#N/A</v>
        <stp/>
        <stp>##V3_BDPV12</stp>
        <stp xml:space="preserve"> Equity</stp>
        <stp>DVD_FREQ</stp>
        <stp>[EMN_IMS Bloomberg.xlsm  -  version 362.0. 25.11.2021 16.44]Dvd!R203C22</stp>
        <tr r="V203" s="50"/>
      </tp>
      <tp t="e">
        <v>#N/A</v>
        <stp/>
        <stp>##V3_BDPV12</stp>
        <stp xml:space="preserve"> Equity</stp>
        <stp>DVD_FREQ</stp>
        <stp>[EMN_IMS Bloomberg.xlsm  -  version 362.0. 25.11.2021 16.44]Dvd!R202C22</stp>
        <tr r="V202" s="50"/>
      </tp>
      <tp t="e">
        <v>#N/A</v>
        <stp/>
        <stp>##V3_BDPV12</stp>
        <stp xml:space="preserve"> Equity</stp>
        <stp>DVD_FREQ</stp>
        <stp>[EMN_IMS Bloomberg.xlsm  -  version 362.0. 25.11.2021 16.44]Dvd!R201C22</stp>
        <tr r="V201" s="50"/>
      </tp>
      <tp t="e">
        <v>#N/A</v>
        <stp/>
        <stp>##V3_BDPV12</stp>
        <stp xml:space="preserve"> Equity</stp>
        <stp>DVD_FREQ</stp>
        <stp>[EMN_IMS Bloomberg.xlsm  -  version 362.0. 25.11.2021 16.44]Dvd!R200C22</stp>
        <tr r="V200" s="50"/>
      </tp>
      <tp t="e">
        <v>#N/A</v>
        <stp/>
        <stp>##V3_BDPV12</stp>
        <stp xml:space="preserve"> Equity</stp>
        <stp>DVD_FREQ</stp>
        <stp>[EMN_IMS Bloomberg.xlsm  -  version 362.0. 25.11.2021 16.44]Dvd!R207C22</stp>
        <tr r="V207" s="50"/>
      </tp>
      <tp t="e">
        <v>#N/A</v>
        <stp/>
        <stp>##V3_BDPV12</stp>
        <stp xml:space="preserve"> Equity</stp>
        <stp>DVD_FREQ</stp>
        <stp>[EMN_IMS Bloomberg.xlsm  -  version 362.0. 25.11.2021 16.44]Dvd!R206C22</stp>
        <tr r="V206" s="50"/>
      </tp>
      <tp t="e">
        <v>#N/A</v>
        <stp/>
        <stp>##V3_BDPV12</stp>
        <stp xml:space="preserve"> Equity</stp>
        <stp>DVD_FREQ</stp>
        <stp>[EMN_IMS Bloomberg.xlsm  -  version 362.0. 25.11.2021 16.44]Dvd!R205C22</stp>
        <tr r="V205" s="50"/>
      </tp>
      <tp t="e">
        <v>#N/A</v>
        <stp/>
        <stp>##V3_BDPV12</stp>
        <stp xml:space="preserve"> Equity</stp>
        <stp>DVD_FREQ</stp>
        <stp>[EMN_IMS Bloomberg.xlsm  -  version 362.0. 25.11.2021 16.44]Dvd!R204C22</stp>
        <tr r="V204" s="50"/>
      </tp>
      <tp t="e">
        <v>#N/A</v>
        <stp/>
        <stp>##V3_BDPV12</stp>
        <stp xml:space="preserve"> Equity</stp>
        <stp>DVD_FREQ</stp>
        <stp>[EMN_IMS Bloomberg.xlsm  -  version 362.0. 25.11.2021 16.44]Dvd!R221C22</stp>
        <tr r="V221" s="50"/>
      </tp>
      <tp t="e">
        <v>#N/A</v>
        <stp/>
        <stp>##V3_BDPV12</stp>
        <stp xml:space="preserve"> Equity</stp>
        <stp>DVD_FREQ</stp>
        <stp>[EMN_IMS Bloomberg.xlsm  -  version 362.0. 25.11.2021 16.44]Dvd!R220C22</stp>
        <tr r="V220" s="50"/>
      </tp>
      <tp t="e">
        <v>#N/A</v>
        <stp/>
        <stp>##V3_BDPV12</stp>
        <stp xml:space="preserve"> Equity</stp>
        <stp>EQY_DVD_YLD_IND_NET</stp>
        <stp>[EMN_IMS Bloomberg.xlsm  -  version 362.0. 25.11.2021 16.44]Dvd!R169C24</stp>
        <tr r="X169" s="50"/>
      </tp>
      <tp t="e">
        <v>#N/A</v>
        <stp/>
        <stp>##V3_BDPV12</stp>
        <stp xml:space="preserve"> Equity</stp>
        <stp>EQY_DVD_YLD_IND_NET</stp>
        <stp>[EMN_IMS Bloomberg.xlsm  -  version 362.0. 25.11.2021 16.44]Dvd!R168C24</stp>
        <tr r="X168" s="50"/>
      </tp>
      <tp t="e">
        <v>#N/A</v>
        <stp/>
        <stp>##V3_BDPV12</stp>
        <stp xml:space="preserve"> Equity</stp>
        <stp>EQY_DVD_YLD_IND_NET</stp>
        <stp>[EMN_IMS Bloomberg.xlsm  -  version 362.0. 25.11.2021 16.44]Dvd!R167C24</stp>
        <tr r="X167" s="50"/>
      </tp>
      <tp t="e">
        <v>#N/A</v>
        <stp/>
        <stp>##V3_BDPV12</stp>
        <stp xml:space="preserve"> Equity</stp>
        <stp>EQY_DVD_YLD_IND_NET</stp>
        <stp>[EMN_IMS Bloomberg.xlsm  -  version 362.0. 25.11.2021 16.44]Dvd!R166C24</stp>
        <tr r="X166" s="50"/>
      </tp>
      <tp t="e">
        <v>#N/A</v>
        <stp/>
        <stp>##V3_BDPV12</stp>
        <stp xml:space="preserve"> Equity</stp>
        <stp>EQY_DVD_YLD_IND_NET</stp>
        <stp>[EMN_IMS Bloomberg.xlsm  -  version 362.0. 25.11.2021 16.44]Dvd!R165C24</stp>
        <tr r="X165" s="50"/>
      </tp>
      <tp t="e">
        <v>#N/A</v>
        <stp/>
        <stp>##V3_BDPV12</stp>
        <stp xml:space="preserve"> Equity</stp>
        <stp>EQY_DVD_YLD_IND_NET</stp>
        <stp>[EMN_IMS Bloomberg.xlsm  -  version 362.0. 25.11.2021 16.44]Dvd!R164C24</stp>
        <tr r="X164" s="50"/>
      </tp>
      <tp t="e">
        <v>#N/A</v>
        <stp/>
        <stp>##V3_BDPV12</stp>
        <stp xml:space="preserve"> Equity</stp>
        <stp>EQY_DVD_YLD_IND_NET</stp>
        <stp>[EMN_IMS Bloomberg.xlsm  -  version 362.0. 25.11.2021 16.44]Dvd!R163C24</stp>
        <tr r="X163" s="50"/>
      </tp>
      <tp t="e">
        <v>#N/A</v>
        <stp/>
        <stp>##V3_BDPV12</stp>
        <stp xml:space="preserve"> Equity</stp>
        <stp>EQY_DVD_YLD_IND_NET</stp>
        <stp>[EMN_IMS Bloomberg.xlsm  -  version 362.0. 25.11.2021 16.44]Dvd!R162C24</stp>
        <tr r="X162" s="50"/>
      </tp>
      <tp t="e">
        <v>#N/A</v>
        <stp/>
        <stp>##V3_BDPV12</stp>
        <stp xml:space="preserve"> Equity</stp>
        <stp>EQY_DVD_YLD_IND_NET</stp>
        <stp>[EMN_IMS Bloomberg.xlsm  -  version 362.0. 25.11.2021 16.44]Dvd!R161C24</stp>
        <tr r="X161" s="50"/>
      </tp>
      <tp t="e">
        <v>#N/A</v>
        <stp/>
        <stp>##V3_BDPV12</stp>
        <stp xml:space="preserve"> Equity</stp>
        <stp>EQY_DVD_YLD_IND_NET</stp>
        <stp>[EMN_IMS Bloomberg.xlsm  -  version 362.0. 25.11.2021 16.44]Dvd!R160C24</stp>
        <tr r="X160" s="50"/>
      </tp>
      <tp t="e">
        <v>#N/A</v>
        <stp/>
        <stp>##V3_BDPV12</stp>
        <stp xml:space="preserve"> Equity</stp>
        <stp>EQY_DVD_YLD_IND_NET</stp>
        <stp>[EMN_IMS Bloomberg.xlsm  -  version 362.0. 25.11.2021 16.44]Dvd!R179C24</stp>
        <tr r="X179" s="50"/>
      </tp>
      <tp t="e">
        <v>#N/A</v>
        <stp/>
        <stp>##V3_BDPV12</stp>
        <stp xml:space="preserve"> Equity</stp>
        <stp>EQY_DVD_YLD_IND_NET</stp>
        <stp>[EMN_IMS Bloomberg.xlsm  -  version 362.0. 25.11.2021 16.44]Dvd!R178C24</stp>
        <tr r="X178" s="50"/>
      </tp>
      <tp t="e">
        <v>#N/A</v>
        <stp/>
        <stp>##V3_BDPV12</stp>
        <stp xml:space="preserve"> Equity</stp>
        <stp>EQY_DVD_YLD_IND_NET</stp>
        <stp>[EMN_IMS Bloomberg.xlsm  -  version 362.0. 25.11.2021 16.44]Dvd!R177C24</stp>
        <tr r="X177" s="50"/>
      </tp>
      <tp t="e">
        <v>#N/A</v>
        <stp/>
        <stp>##V3_BDPV12</stp>
        <stp xml:space="preserve"> Equity</stp>
        <stp>EQY_DVD_YLD_IND_NET</stp>
        <stp>[EMN_IMS Bloomberg.xlsm  -  version 362.0. 25.11.2021 16.44]Dvd!R176C24</stp>
        <tr r="X176" s="50"/>
      </tp>
      <tp t="e">
        <v>#N/A</v>
        <stp/>
        <stp>##V3_BDPV12</stp>
        <stp xml:space="preserve"> Equity</stp>
        <stp>EQY_DVD_YLD_IND_NET</stp>
        <stp>[EMN_IMS Bloomberg.xlsm  -  version 362.0. 25.11.2021 16.44]Dvd!R175C24</stp>
        <tr r="X175" s="50"/>
      </tp>
      <tp t="e">
        <v>#N/A</v>
        <stp/>
        <stp>##V3_BDPV12</stp>
        <stp xml:space="preserve"> Equity</stp>
        <stp>EQY_DVD_YLD_IND_NET</stp>
        <stp>[EMN_IMS Bloomberg.xlsm  -  version 362.0. 25.11.2021 16.44]Dvd!R174C24</stp>
        <tr r="X174" s="50"/>
      </tp>
      <tp t="e">
        <v>#N/A</v>
        <stp/>
        <stp>##V3_BDPV12</stp>
        <stp xml:space="preserve"> Equity</stp>
        <stp>EQY_DVD_YLD_IND_NET</stp>
        <stp>[EMN_IMS Bloomberg.xlsm  -  version 362.0. 25.11.2021 16.44]Dvd!R173C24</stp>
        <tr r="X173" s="50"/>
      </tp>
      <tp t="e">
        <v>#N/A</v>
        <stp/>
        <stp>##V3_BDPV12</stp>
        <stp xml:space="preserve"> Equity</stp>
        <stp>EQY_DVD_YLD_IND_NET</stp>
        <stp>[EMN_IMS Bloomberg.xlsm  -  version 362.0. 25.11.2021 16.44]Dvd!R172C24</stp>
        <tr r="X172" s="50"/>
      </tp>
      <tp t="e">
        <v>#N/A</v>
        <stp/>
        <stp>##V3_BDPV12</stp>
        <stp xml:space="preserve"> Equity</stp>
        <stp>EQY_DVD_YLD_IND_NET</stp>
        <stp>[EMN_IMS Bloomberg.xlsm  -  version 362.0. 25.11.2021 16.44]Dvd!R171C24</stp>
        <tr r="X171" s="50"/>
      </tp>
      <tp t="e">
        <v>#N/A</v>
        <stp/>
        <stp>##V3_BDPV12</stp>
        <stp xml:space="preserve"> Equity</stp>
        <stp>EQY_DVD_YLD_IND_NET</stp>
        <stp>[EMN_IMS Bloomberg.xlsm  -  version 362.0. 25.11.2021 16.44]Dvd!R170C24</stp>
        <tr r="X170" s="50"/>
      </tp>
      <tp t="e">
        <v>#N/A</v>
        <stp/>
        <stp>##V3_BDPV12</stp>
        <stp xml:space="preserve"> Equity</stp>
        <stp>EQY_DVD_YLD_IND_NET</stp>
        <stp>[EMN_IMS Bloomberg.xlsm  -  version 362.0. 25.11.2021 16.44]Dvd!R149C24</stp>
        <tr r="X149" s="50"/>
      </tp>
      <tp t="e">
        <v>#N/A</v>
        <stp/>
        <stp>##V3_BDPV12</stp>
        <stp xml:space="preserve"> Equity</stp>
        <stp>EQY_DVD_YLD_IND_NET</stp>
        <stp>[EMN_IMS Bloomberg.xlsm  -  version 362.0. 25.11.2021 16.44]Dvd!R148C24</stp>
        <tr r="X148" s="50"/>
      </tp>
      <tp t="e">
        <v>#N/A</v>
        <stp/>
        <stp>##V3_BDPV12</stp>
        <stp xml:space="preserve"> Equity</stp>
        <stp>EQY_DVD_YLD_IND_NET</stp>
        <stp>[EMN_IMS Bloomberg.xlsm  -  version 362.0. 25.11.2021 16.44]Dvd!R147C24</stp>
        <tr r="X147" s="50"/>
      </tp>
      <tp t="e">
        <v>#N/A</v>
        <stp/>
        <stp>##V3_BDPV12</stp>
        <stp xml:space="preserve"> Equity</stp>
        <stp>EQY_DVD_YLD_IND_NET</stp>
        <stp>[EMN_IMS Bloomberg.xlsm  -  version 362.0. 25.11.2021 16.44]Dvd!R146C24</stp>
        <tr r="X146" s="50"/>
      </tp>
      <tp t="e">
        <v>#N/A</v>
        <stp/>
        <stp>##V3_BDPV12</stp>
        <stp xml:space="preserve"> Equity</stp>
        <stp>EQY_DVD_YLD_IND_NET</stp>
        <stp>[EMN_IMS Bloomberg.xlsm  -  version 362.0. 25.11.2021 16.44]Dvd!R145C24</stp>
        <tr r="X145" s="50"/>
      </tp>
      <tp t="e">
        <v>#N/A</v>
        <stp/>
        <stp>##V3_BDPV12</stp>
        <stp xml:space="preserve"> Equity</stp>
        <stp>EQY_DVD_YLD_IND_NET</stp>
        <stp>[EMN_IMS Bloomberg.xlsm  -  version 362.0. 25.11.2021 16.44]Dvd!R144C24</stp>
        <tr r="X144" s="50"/>
      </tp>
      <tp t="e">
        <v>#N/A</v>
        <stp/>
        <stp>##V3_BDPV12</stp>
        <stp xml:space="preserve"> Equity</stp>
        <stp>EQY_DVD_YLD_IND_NET</stp>
        <stp>[EMN_IMS Bloomberg.xlsm  -  version 362.0. 25.11.2021 16.44]Dvd!R143C24</stp>
        <tr r="X143" s="50"/>
      </tp>
      <tp t="e">
        <v>#N/A</v>
        <stp/>
        <stp>##V3_BDPV12</stp>
        <stp xml:space="preserve"> Equity</stp>
        <stp>EQY_DVD_YLD_IND_NET</stp>
        <stp>[EMN_IMS Bloomberg.xlsm  -  version 362.0. 25.11.2021 16.44]Dvd!R142C24</stp>
        <tr r="X142" s="50"/>
      </tp>
      <tp t="e">
        <v>#N/A</v>
        <stp/>
        <stp>##V3_BDPV12</stp>
        <stp xml:space="preserve"> Equity</stp>
        <stp>EQY_DVD_YLD_IND_NET</stp>
        <stp>[EMN_IMS Bloomberg.xlsm  -  version 362.0. 25.11.2021 16.44]Dvd!R141C24</stp>
        <tr r="X141" s="50"/>
      </tp>
      <tp t="e">
        <v>#N/A</v>
        <stp/>
        <stp>##V3_BDPV12</stp>
        <stp xml:space="preserve"> Equity</stp>
        <stp>EQY_DVD_YLD_IND_NET</stp>
        <stp>[EMN_IMS Bloomberg.xlsm  -  version 362.0. 25.11.2021 16.44]Dvd!R140C24</stp>
        <tr r="X140" s="50"/>
      </tp>
      <tp t="e">
        <v>#N/A</v>
        <stp/>
        <stp>##V3_BDPV12</stp>
        <stp xml:space="preserve"> Equity</stp>
        <stp>EQY_DVD_YLD_IND_NET</stp>
        <stp>[EMN_IMS Bloomberg.xlsm  -  version 362.0. 25.11.2021 16.44]Dvd!R159C24</stp>
        <tr r="X159" s="50"/>
      </tp>
      <tp t="e">
        <v>#N/A</v>
        <stp/>
        <stp>##V3_BDPV12</stp>
        <stp xml:space="preserve"> Equity</stp>
        <stp>EQY_DVD_YLD_IND_NET</stp>
        <stp>[EMN_IMS Bloomberg.xlsm  -  version 362.0. 25.11.2021 16.44]Dvd!R158C24</stp>
        <tr r="X158" s="50"/>
      </tp>
      <tp t="e">
        <v>#N/A</v>
        <stp/>
        <stp>##V3_BDPV12</stp>
        <stp xml:space="preserve"> Equity</stp>
        <stp>EQY_DVD_YLD_IND_NET</stp>
        <stp>[EMN_IMS Bloomberg.xlsm  -  version 362.0. 25.11.2021 16.44]Dvd!R157C24</stp>
        <tr r="X157" s="50"/>
      </tp>
      <tp t="e">
        <v>#N/A</v>
        <stp/>
        <stp>##V3_BDPV12</stp>
        <stp xml:space="preserve"> Equity</stp>
        <stp>EQY_DVD_YLD_IND_NET</stp>
        <stp>[EMN_IMS Bloomberg.xlsm  -  version 362.0. 25.11.2021 16.44]Dvd!R156C24</stp>
        <tr r="X156" s="50"/>
      </tp>
      <tp t="e">
        <v>#N/A</v>
        <stp/>
        <stp>##V3_BDPV12</stp>
        <stp xml:space="preserve"> Equity</stp>
        <stp>EQY_DVD_YLD_IND_NET</stp>
        <stp>[EMN_IMS Bloomberg.xlsm  -  version 362.0. 25.11.2021 16.44]Dvd!R155C24</stp>
        <tr r="X155" s="50"/>
      </tp>
      <tp t="e">
        <v>#N/A</v>
        <stp/>
        <stp>##V3_BDPV12</stp>
        <stp xml:space="preserve"> Equity</stp>
        <stp>EQY_DVD_YLD_IND_NET</stp>
        <stp>[EMN_IMS Bloomberg.xlsm  -  version 362.0. 25.11.2021 16.44]Dvd!R154C24</stp>
        <tr r="X154" s="50"/>
      </tp>
      <tp t="e">
        <v>#N/A</v>
        <stp/>
        <stp>##V3_BDPV12</stp>
        <stp xml:space="preserve"> Equity</stp>
        <stp>EQY_DVD_YLD_IND_NET</stp>
        <stp>[EMN_IMS Bloomberg.xlsm  -  version 362.0. 25.11.2021 16.44]Dvd!R153C24</stp>
        <tr r="X153" s="50"/>
      </tp>
      <tp t="e">
        <v>#N/A</v>
        <stp/>
        <stp>##V3_BDPV12</stp>
        <stp xml:space="preserve"> Equity</stp>
        <stp>EQY_DVD_YLD_IND_NET</stp>
        <stp>[EMN_IMS Bloomberg.xlsm  -  version 362.0. 25.11.2021 16.44]Dvd!R152C24</stp>
        <tr r="X152" s="50"/>
      </tp>
      <tp t="e">
        <v>#N/A</v>
        <stp/>
        <stp>##V3_BDPV12</stp>
        <stp xml:space="preserve"> Equity</stp>
        <stp>EQY_DVD_YLD_IND_NET</stp>
        <stp>[EMN_IMS Bloomberg.xlsm  -  version 362.0. 25.11.2021 16.44]Dvd!R151C24</stp>
        <tr r="X151" s="50"/>
      </tp>
      <tp t="e">
        <v>#N/A</v>
        <stp/>
        <stp>##V3_BDPV12</stp>
        <stp xml:space="preserve"> Equity</stp>
        <stp>EQY_DVD_YLD_IND_NET</stp>
        <stp>[EMN_IMS Bloomberg.xlsm  -  version 362.0. 25.11.2021 16.44]Dvd!R150C24</stp>
        <tr r="X150" s="50"/>
      </tp>
      <tp t="e">
        <v>#N/A</v>
        <stp/>
        <stp>##V3_BDPV12</stp>
        <stp xml:space="preserve"> Equity</stp>
        <stp>EQY_DVD_YLD_IND_NET</stp>
        <stp>[EMN_IMS Bloomberg.xlsm  -  version 362.0. 25.11.2021 16.44]Dvd!R129C24</stp>
        <tr r="X129" s="50"/>
      </tp>
      <tp t="e">
        <v>#N/A</v>
        <stp/>
        <stp>##V3_BDPV12</stp>
        <stp xml:space="preserve"> Equity</stp>
        <stp>EQY_DVD_YLD_IND_NET</stp>
        <stp>[EMN_IMS Bloomberg.xlsm  -  version 362.0. 25.11.2021 16.44]Dvd!R128C24</stp>
        <tr r="X128" s="50"/>
      </tp>
      <tp t="e">
        <v>#N/A</v>
        <stp/>
        <stp>##V3_BDPV12</stp>
        <stp xml:space="preserve"> Equity</stp>
        <stp>EQY_DVD_YLD_IND_NET</stp>
        <stp>[EMN_IMS Bloomberg.xlsm  -  version 362.0. 25.11.2021 16.44]Dvd!R127C24</stp>
        <tr r="X127" s="50"/>
      </tp>
      <tp t="e">
        <v>#N/A</v>
        <stp/>
        <stp>##V3_BDPV12</stp>
        <stp xml:space="preserve"> Equity</stp>
        <stp>EQY_DVD_YLD_IND_NET</stp>
        <stp>[EMN_IMS Bloomberg.xlsm  -  version 362.0. 25.11.2021 16.44]Dvd!R126C24</stp>
        <tr r="X126" s="50"/>
      </tp>
      <tp t="e">
        <v>#N/A</v>
        <stp/>
        <stp>##V3_BDPV12</stp>
        <stp xml:space="preserve"> Equity</stp>
        <stp>EQY_DVD_YLD_IND_NET</stp>
        <stp>[EMN_IMS Bloomberg.xlsm  -  version 362.0. 25.11.2021 16.44]Dvd!R125C24</stp>
        <tr r="X125" s="50"/>
      </tp>
      <tp t="e">
        <v>#N/A</v>
        <stp/>
        <stp>##V3_BDPV12</stp>
        <stp xml:space="preserve"> Equity</stp>
        <stp>EQY_DVD_YLD_IND_NET</stp>
        <stp>[EMN_IMS Bloomberg.xlsm  -  version 362.0. 25.11.2021 16.44]Dvd!R124C24</stp>
        <tr r="X124" s="50"/>
      </tp>
      <tp t="e">
        <v>#N/A</v>
        <stp/>
        <stp>##V3_BDPV12</stp>
        <stp xml:space="preserve"> Equity</stp>
        <stp>EQY_DVD_YLD_IND_NET</stp>
        <stp>[EMN_IMS Bloomberg.xlsm  -  version 362.0. 25.11.2021 16.44]Dvd!R123C24</stp>
        <tr r="X123" s="50"/>
      </tp>
      <tp t="e">
        <v>#N/A</v>
        <stp/>
        <stp>##V3_BDPV12</stp>
        <stp xml:space="preserve"> Equity</stp>
        <stp>EQY_DVD_YLD_IND_NET</stp>
        <stp>[EMN_IMS Bloomberg.xlsm  -  version 362.0. 25.11.2021 16.44]Dvd!R122C24</stp>
        <tr r="X122" s="50"/>
      </tp>
      <tp t="e">
        <v>#N/A</v>
        <stp/>
        <stp>##V3_BDPV12</stp>
        <stp xml:space="preserve"> Equity</stp>
        <stp>EQY_DVD_YLD_IND_NET</stp>
        <stp>[EMN_IMS Bloomberg.xlsm  -  version 362.0. 25.11.2021 16.44]Dvd!R121C24</stp>
        <tr r="X121" s="50"/>
      </tp>
      <tp t="e">
        <v>#N/A</v>
        <stp/>
        <stp>##V3_BDPV12</stp>
        <stp xml:space="preserve"> Equity</stp>
        <stp>EQY_DVD_YLD_IND_NET</stp>
        <stp>[EMN_IMS Bloomberg.xlsm  -  version 362.0. 25.11.2021 16.44]Dvd!R120C24</stp>
        <tr r="X120" s="50"/>
      </tp>
      <tp t="e">
        <v>#N/A</v>
        <stp/>
        <stp>##V3_BDPV12</stp>
        <stp xml:space="preserve"> Equity</stp>
        <stp>EQY_DVD_YLD_IND_NET</stp>
        <stp>[EMN_IMS Bloomberg.xlsm  -  version 362.0. 25.11.2021 16.44]Dvd!R139C24</stp>
        <tr r="X139" s="50"/>
      </tp>
      <tp t="e">
        <v>#N/A</v>
        <stp/>
        <stp>##V3_BDPV12</stp>
        <stp xml:space="preserve"> Equity</stp>
        <stp>EQY_DVD_YLD_IND_NET</stp>
        <stp>[EMN_IMS Bloomberg.xlsm  -  version 362.0. 25.11.2021 16.44]Dvd!R138C24</stp>
        <tr r="X138" s="50"/>
      </tp>
      <tp t="e">
        <v>#N/A</v>
        <stp/>
        <stp>##V3_BDPV12</stp>
        <stp xml:space="preserve"> Equity</stp>
        <stp>EQY_DVD_YLD_IND_NET</stp>
        <stp>[EMN_IMS Bloomberg.xlsm  -  version 362.0. 25.11.2021 16.44]Dvd!R137C24</stp>
        <tr r="X137" s="50"/>
      </tp>
      <tp t="e">
        <v>#N/A</v>
        <stp/>
        <stp>##V3_BDPV12</stp>
        <stp xml:space="preserve"> Equity</stp>
        <stp>EQY_DVD_YLD_IND_NET</stp>
        <stp>[EMN_IMS Bloomberg.xlsm  -  version 362.0. 25.11.2021 16.44]Dvd!R136C24</stp>
        <tr r="X136" s="50"/>
      </tp>
      <tp t="e">
        <v>#N/A</v>
        <stp/>
        <stp>##V3_BDPV12</stp>
        <stp xml:space="preserve"> Equity</stp>
        <stp>EQY_DVD_YLD_IND_NET</stp>
        <stp>[EMN_IMS Bloomberg.xlsm  -  version 362.0. 25.11.2021 16.44]Dvd!R135C24</stp>
        <tr r="X135" s="50"/>
      </tp>
      <tp t="e">
        <v>#N/A</v>
        <stp/>
        <stp>##V3_BDPV12</stp>
        <stp xml:space="preserve"> Equity</stp>
        <stp>EQY_DVD_YLD_IND_NET</stp>
        <stp>[EMN_IMS Bloomberg.xlsm  -  version 362.0. 25.11.2021 16.44]Dvd!R134C24</stp>
        <tr r="X134" s="50"/>
      </tp>
      <tp t="e">
        <v>#N/A</v>
        <stp/>
        <stp>##V3_BDPV12</stp>
        <stp xml:space="preserve"> Equity</stp>
        <stp>EQY_DVD_YLD_IND_NET</stp>
        <stp>[EMN_IMS Bloomberg.xlsm  -  version 362.0. 25.11.2021 16.44]Dvd!R133C24</stp>
        <tr r="X133" s="50"/>
      </tp>
      <tp t="e">
        <v>#N/A</v>
        <stp/>
        <stp>##V3_BDPV12</stp>
        <stp xml:space="preserve"> Equity</stp>
        <stp>EQY_DVD_YLD_IND_NET</stp>
        <stp>[EMN_IMS Bloomberg.xlsm  -  version 362.0. 25.11.2021 16.44]Dvd!R132C24</stp>
        <tr r="X132" s="50"/>
      </tp>
      <tp t="e">
        <v>#N/A</v>
        <stp/>
        <stp>##V3_BDPV12</stp>
        <stp xml:space="preserve"> Equity</stp>
        <stp>EQY_DVD_YLD_IND_NET</stp>
        <stp>[EMN_IMS Bloomberg.xlsm  -  version 362.0. 25.11.2021 16.44]Dvd!R131C24</stp>
        <tr r="X131" s="50"/>
      </tp>
      <tp t="e">
        <v>#N/A</v>
        <stp/>
        <stp>##V3_BDPV12</stp>
        <stp xml:space="preserve"> Equity</stp>
        <stp>EQY_DVD_YLD_IND_NET</stp>
        <stp>[EMN_IMS Bloomberg.xlsm  -  version 362.0. 25.11.2021 16.44]Dvd!R130C24</stp>
        <tr r="X130" s="50"/>
      </tp>
      <tp t="e">
        <v>#N/A</v>
        <stp/>
        <stp>##V3_BDPV12</stp>
        <stp xml:space="preserve"> Equity</stp>
        <stp>EQY_DVD_YLD_IND_NET</stp>
        <stp>[EMN_IMS Bloomberg.xlsm  -  version 362.0. 25.11.2021 16.44]Dvd!R109C24</stp>
        <tr r="X109" s="50"/>
      </tp>
      <tp t="e">
        <v>#N/A</v>
        <stp/>
        <stp>##V3_BDPV12</stp>
        <stp xml:space="preserve"> Equity</stp>
        <stp>EQY_DVD_YLD_IND_NET</stp>
        <stp>[EMN_IMS Bloomberg.xlsm  -  version 362.0. 25.11.2021 16.44]Dvd!R108C24</stp>
        <tr r="X108" s="50"/>
      </tp>
      <tp t="e">
        <v>#N/A</v>
        <stp/>
        <stp>##V3_BDPV12</stp>
        <stp xml:space="preserve"> Equity</stp>
        <stp>EQY_DVD_YLD_IND_NET</stp>
        <stp>[EMN_IMS Bloomberg.xlsm  -  version 362.0. 25.11.2021 16.44]Dvd!R107C24</stp>
        <tr r="X107" s="50"/>
      </tp>
      <tp t="e">
        <v>#N/A</v>
        <stp/>
        <stp>##V3_BDPV12</stp>
        <stp xml:space="preserve"> Equity</stp>
        <stp>EQY_DVD_YLD_IND_NET</stp>
        <stp>[EMN_IMS Bloomberg.xlsm  -  version 362.0. 25.11.2021 16.44]Dvd!R106C24</stp>
        <tr r="X106" s="50"/>
      </tp>
      <tp t="e">
        <v>#N/A</v>
        <stp/>
        <stp>##V3_BDPV12</stp>
        <stp xml:space="preserve"> Equity</stp>
        <stp>EQY_DVD_YLD_IND_NET</stp>
        <stp>[EMN_IMS Bloomberg.xlsm  -  version 362.0. 25.11.2021 16.44]Dvd!R105C24</stp>
        <tr r="X105" s="50"/>
      </tp>
      <tp t="e">
        <v>#N/A</v>
        <stp/>
        <stp>##V3_BDPV12</stp>
        <stp xml:space="preserve"> Equity</stp>
        <stp>EQY_DVD_YLD_IND_NET</stp>
        <stp>[EMN_IMS Bloomberg.xlsm  -  version 362.0. 25.11.2021 16.44]Dvd!R104C24</stp>
        <tr r="X104" s="50"/>
      </tp>
      <tp t="e">
        <v>#N/A</v>
        <stp/>
        <stp>##V3_BDPV12</stp>
        <stp xml:space="preserve"> Equity</stp>
        <stp>EQY_DVD_YLD_IND_NET</stp>
        <stp>[EMN_IMS Bloomberg.xlsm  -  version 362.0. 25.11.2021 16.44]Dvd!R103C24</stp>
        <tr r="X103" s="50"/>
      </tp>
      <tp t="e">
        <v>#N/A</v>
        <stp/>
        <stp>##V3_BDPV12</stp>
        <stp xml:space="preserve"> Equity</stp>
        <stp>EQY_DVD_YLD_IND_NET</stp>
        <stp>[EMN_IMS Bloomberg.xlsm  -  version 362.0. 25.11.2021 16.44]Dvd!R102C24</stp>
        <tr r="X102" s="50"/>
      </tp>
      <tp t="e">
        <v>#N/A</v>
        <stp/>
        <stp>##V3_BDPV12</stp>
        <stp xml:space="preserve"> Equity</stp>
        <stp>EQY_DVD_YLD_IND_NET</stp>
        <stp>[EMN_IMS Bloomberg.xlsm  -  version 362.0. 25.11.2021 16.44]Dvd!R101C24</stp>
        <tr r="X101" s="50"/>
      </tp>
      <tp t="e">
        <v>#N/A</v>
        <stp/>
        <stp>##V3_BDPV12</stp>
        <stp xml:space="preserve"> Equity</stp>
        <stp>EQY_DVD_YLD_IND_NET</stp>
        <stp>[EMN_IMS Bloomberg.xlsm  -  version 362.0. 25.11.2021 16.44]Dvd!R100C24</stp>
        <tr r="X100" s="50"/>
      </tp>
      <tp t="e">
        <v>#N/A</v>
        <stp/>
        <stp>##V3_BDPV12</stp>
        <stp xml:space="preserve"> Equity</stp>
        <stp>EQY_DVD_YLD_IND_NET</stp>
        <stp>[EMN_IMS Bloomberg.xlsm  -  version 362.0. 25.11.2021 16.44]Dvd!R119C24</stp>
        <tr r="X119" s="50"/>
      </tp>
      <tp t="e">
        <v>#N/A</v>
        <stp/>
        <stp>##V3_BDPV12</stp>
        <stp xml:space="preserve"> Equity</stp>
        <stp>EQY_DVD_YLD_IND_NET</stp>
        <stp>[EMN_IMS Bloomberg.xlsm  -  version 362.0. 25.11.2021 16.44]Dvd!R118C24</stp>
        <tr r="X118" s="50"/>
      </tp>
      <tp t="e">
        <v>#N/A</v>
        <stp/>
        <stp>##V3_BDPV12</stp>
        <stp xml:space="preserve"> Equity</stp>
        <stp>EQY_DVD_YLD_IND_NET</stp>
        <stp>[EMN_IMS Bloomberg.xlsm  -  version 362.0. 25.11.2021 16.44]Dvd!R117C24</stp>
        <tr r="X117" s="50"/>
      </tp>
      <tp t="e">
        <v>#N/A</v>
        <stp/>
        <stp>##V3_BDPV12</stp>
        <stp xml:space="preserve"> Equity</stp>
        <stp>EQY_DVD_YLD_IND_NET</stp>
        <stp>[EMN_IMS Bloomberg.xlsm  -  version 362.0. 25.11.2021 16.44]Dvd!R115C24</stp>
        <tr r="X115" s="50"/>
      </tp>
      <tp t="e">
        <v>#N/A</v>
        <stp/>
        <stp>##V3_BDPV12</stp>
        <stp xml:space="preserve"> Equity</stp>
        <stp>EQY_DVD_YLD_IND_NET</stp>
        <stp>[EMN_IMS Bloomberg.xlsm  -  version 362.0. 25.11.2021 16.44]Dvd!R114C24</stp>
        <tr r="X114" s="50"/>
      </tp>
      <tp t="e">
        <v>#N/A</v>
        <stp/>
        <stp>##V3_BDPV12</stp>
        <stp xml:space="preserve"> Equity</stp>
        <stp>EQY_DVD_YLD_IND_NET</stp>
        <stp>[EMN_IMS Bloomberg.xlsm  -  version 362.0. 25.11.2021 16.44]Dvd!R113C24</stp>
        <tr r="X113" s="50"/>
      </tp>
      <tp t="e">
        <v>#N/A</v>
        <stp/>
        <stp>##V3_BDPV12</stp>
        <stp xml:space="preserve"> Equity</stp>
        <stp>EQY_DVD_YLD_IND_NET</stp>
        <stp>[EMN_IMS Bloomberg.xlsm  -  version 362.0. 25.11.2021 16.44]Dvd!R112C24</stp>
        <tr r="X112" s="50"/>
      </tp>
      <tp t="e">
        <v>#N/A</v>
        <stp/>
        <stp>##V3_BDPV12</stp>
        <stp xml:space="preserve"> Equity</stp>
        <stp>EQY_DVD_YLD_IND_NET</stp>
        <stp>[EMN_IMS Bloomberg.xlsm  -  version 362.0. 25.11.2021 16.44]Dvd!R111C24</stp>
        <tr r="X111" s="50"/>
      </tp>
      <tp t="e">
        <v>#N/A</v>
        <stp/>
        <stp>##V3_BDPV12</stp>
        <stp xml:space="preserve"> Equity</stp>
        <stp>EQY_DVD_YLD_IND_NET</stp>
        <stp>[EMN_IMS Bloomberg.xlsm  -  version 362.0. 25.11.2021 16.44]Dvd!R110C24</stp>
        <tr r="X110" s="50"/>
      </tp>
      <tp t="e">
        <v>#N/A</v>
        <stp/>
        <stp>##V3_BDPV12</stp>
        <stp xml:space="preserve"> Equity</stp>
        <stp>EQY_DVD_YLD_IND_NET</stp>
        <stp>[EMN_IMS Bloomberg.xlsm  -  version 362.0. 25.11.2021 16.44]Dvd!R189C24</stp>
        <tr r="X189" s="50"/>
      </tp>
      <tp t="e">
        <v>#N/A</v>
        <stp/>
        <stp>##V3_BDPV12</stp>
        <stp xml:space="preserve"> Equity</stp>
        <stp>EQY_DVD_YLD_IND_NET</stp>
        <stp>[EMN_IMS Bloomberg.xlsm  -  version 362.0. 25.11.2021 16.44]Dvd!R188C24</stp>
        <tr r="X188" s="50"/>
      </tp>
      <tp t="e">
        <v>#N/A</v>
        <stp/>
        <stp>##V3_BDPV12</stp>
        <stp xml:space="preserve"> Equity</stp>
        <stp>EQY_DVD_YLD_IND_NET</stp>
        <stp>[EMN_IMS Bloomberg.xlsm  -  version 362.0. 25.11.2021 16.44]Dvd!R187C24</stp>
        <tr r="X187" s="50"/>
      </tp>
      <tp t="e">
        <v>#N/A</v>
        <stp/>
        <stp>##V3_BDPV12</stp>
        <stp xml:space="preserve"> Equity</stp>
        <stp>EQY_DVD_YLD_IND_NET</stp>
        <stp>[EMN_IMS Bloomberg.xlsm  -  version 362.0. 25.11.2021 16.44]Dvd!R186C24</stp>
        <tr r="X186" s="50"/>
      </tp>
      <tp t="e">
        <v>#N/A</v>
        <stp/>
        <stp>##V3_BDPV12</stp>
        <stp xml:space="preserve"> Equity</stp>
        <stp>EQY_DVD_YLD_IND_NET</stp>
        <stp>[EMN_IMS Bloomberg.xlsm  -  version 362.0. 25.11.2021 16.44]Dvd!R185C24</stp>
        <tr r="X185" s="50"/>
      </tp>
      <tp t="e">
        <v>#N/A</v>
        <stp/>
        <stp>##V3_BDPV12</stp>
        <stp xml:space="preserve"> Equity</stp>
        <stp>EQY_DVD_YLD_IND_NET</stp>
        <stp>[EMN_IMS Bloomberg.xlsm  -  version 362.0. 25.11.2021 16.44]Dvd!R184C24</stp>
        <tr r="X184" s="50"/>
      </tp>
      <tp t="e">
        <v>#N/A</v>
        <stp/>
        <stp>##V3_BDPV12</stp>
        <stp xml:space="preserve"> Equity</stp>
        <stp>EQY_DVD_YLD_IND_NET</stp>
        <stp>[EMN_IMS Bloomberg.xlsm  -  version 362.0. 25.11.2021 16.44]Dvd!R183C24</stp>
        <tr r="X183" s="50"/>
      </tp>
      <tp t="e">
        <v>#N/A</v>
        <stp/>
        <stp>##V3_BDPV12</stp>
        <stp xml:space="preserve"> Equity</stp>
        <stp>EQY_DVD_YLD_IND_NET</stp>
        <stp>[EMN_IMS Bloomberg.xlsm  -  version 362.0. 25.11.2021 16.44]Dvd!R182C24</stp>
        <tr r="X182" s="50"/>
      </tp>
      <tp t="e">
        <v>#N/A</v>
        <stp/>
        <stp>##V3_BDPV12</stp>
        <stp xml:space="preserve"> Equity</stp>
        <stp>EQY_DVD_YLD_IND_NET</stp>
        <stp>[EMN_IMS Bloomberg.xlsm  -  version 362.0. 25.11.2021 16.44]Dvd!R181C24</stp>
        <tr r="X181" s="50"/>
      </tp>
      <tp t="e">
        <v>#N/A</v>
        <stp/>
        <stp>##V3_BDPV12</stp>
        <stp xml:space="preserve"> Equity</stp>
        <stp>EQY_DVD_YLD_IND_NET</stp>
        <stp>[EMN_IMS Bloomberg.xlsm  -  version 362.0. 25.11.2021 16.44]Dvd!R180C24</stp>
        <tr r="X180" s="50"/>
      </tp>
      <tp t="e">
        <v>#N/A</v>
        <stp/>
        <stp>##V3_BDPV12</stp>
        <stp xml:space="preserve"> Equity</stp>
        <stp>EQY_DVD_YLD_IND_NET</stp>
        <stp>[EMN_IMS Bloomberg.xlsm  -  version 362.0. 25.11.2021 16.44]Dvd!R199C24</stp>
        <tr r="X199" s="50"/>
      </tp>
      <tp t="e">
        <v>#N/A</v>
        <stp/>
        <stp>##V3_BDPV12</stp>
        <stp xml:space="preserve"> Equity</stp>
        <stp>EQY_DVD_YLD_IND_NET</stp>
        <stp>[EMN_IMS Bloomberg.xlsm  -  version 362.0. 25.11.2021 16.44]Dvd!R198C24</stp>
        <tr r="X198" s="50"/>
      </tp>
      <tp t="e">
        <v>#N/A</v>
        <stp/>
        <stp>##V3_BDPV12</stp>
        <stp xml:space="preserve"> Equity</stp>
        <stp>EQY_DVD_YLD_IND_NET</stp>
        <stp>[EMN_IMS Bloomberg.xlsm  -  version 362.0. 25.11.2021 16.44]Dvd!R197C24</stp>
        <tr r="X197" s="50"/>
      </tp>
      <tp t="e">
        <v>#N/A</v>
        <stp/>
        <stp>##V3_BDPV12</stp>
        <stp xml:space="preserve"> Equity</stp>
        <stp>EQY_DVD_YLD_IND_NET</stp>
        <stp>[EMN_IMS Bloomberg.xlsm  -  version 362.0. 25.11.2021 16.44]Dvd!R196C24</stp>
        <tr r="X196" s="50"/>
      </tp>
      <tp t="e">
        <v>#N/A</v>
        <stp/>
        <stp>##V3_BDPV12</stp>
        <stp xml:space="preserve"> Equity</stp>
        <stp>EQY_DVD_YLD_IND_NET</stp>
        <stp>[EMN_IMS Bloomberg.xlsm  -  version 362.0. 25.11.2021 16.44]Dvd!R195C24</stp>
        <tr r="X195" s="50"/>
      </tp>
      <tp t="e">
        <v>#N/A</v>
        <stp/>
        <stp>##V3_BDPV12</stp>
        <stp xml:space="preserve"> Equity</stp>
        <stp>EQY_DVD_YLD_IND_NET</stp>
        <stp>[EMN_IMS Bloomberg.xlsm  -  version 362.0. 25.11.2021 16.44]Dvd!R194C24</stp>
        <tr r="X194" s="50"/>
      </tp>
      <tp t="e">
        <v>#N/A</v>
        <stp/>
        <stp>##V3_BDPV12</stp>
        <stp xml:space="preserve"> Equity</stp>
        <stp>EQY_DVD_YLD_IND_NET</stp>
        <stp>[EMN_IMS Bloomberg.xlsm  -  version 362.0. 25.11.2021 16.44]Dvd!R193C24</stp>
        <tr r="X193" s="50"/>
      </tp>
      <tp t="e">
        <v>#N/A</v>
        <stp/>
        <stp>##V3_BDPV12</stp>
        <stp xml:space="preserve"> Equity</stp>
        <stp>EQY_DVD_YLD_IND_NET</stp>
        <stp>[EMN_IMS Bloomberg.xlsm  -  version 362.0. 25.11.2021 16.44]Dvd!R192C24</stp>
        <tr r="X192" s="50"/>
      </tp>
      <tp t="e">
        <v>#N/A</v>
        <stp/>
        <stp>##V3_BDPV12</stp>
        <stp xml:space="preserve"> Equity</stp>
        <stp>EQY_DVD_YLD_IND_NET</stp>
        <stp>[EMN_IMS Bloomberg.xlsm  -  version 362.0. 25.11.2021 16.44]Dvd!R191C24</stp>
        <tr r="X191" s="50"/>
      </tp>
      <tp t="e">
        <v>#N/A</v>
        <stp/>
        <stp>##V3_BDPV12</stp>
        <stp xml:space="preserve"> Equity</stp>
        <stp>EQY_DVD_YLD_IND_NET</stp>
        <stp>[EMN_IMS Bloomberg.xlsm  -  version 362.0. 25.11.2021 16.44]Dvd!R190C24</stp>
        <tr r="X190" s="50"/>
      </tp>
      <tp t="e">
        <v>#N/A</v>
        <stp/>
        <stp>##V3_BDPV12</stp>
        <stp xml:space="preserve"> Equity</stp>
        <stp>EQY_DVD_YLD_IND_NET</stp>
        <stp>[EMN_IMS Bloomberg.xlsm  -  version 362.0. 25.11.2021 16.44]Dvd!R349C24</stp>
        <tr r="X349" s="50"/>
      </tp>
      <tp t="e">
        <v>#N/A</v>
        <stp/>
        <stp>##V3_BDPV12</stp>
        <stp xml:space="preserve"> Equity</stp>
        <stp>EQY_DVD_YLD_IND_NET</stp>
        <stp>[EMN_IMS Bloomberg.xlsm  -  version 362.0. 25.11.2021 16.44]Dvd!R348C24</stp>
        <tr r="X348" s="50"/>
      </tp>
      <tp t="e">
        <v>#N/A</v>
        <stp/>
        <stp>##V3_BDPV12</stp>
        <stp xml:space="preserve"> Equity</stp>
        <stp>EQY_DVD_YLD_IND_NET</stp>
        <stp>[EMN_IMS Bloomberg.xlsm  -  version 362.0. 25.11.2021 16.44]Dvd!R347C24</stp>
        <tr r="X347" s="50"/>
      </tp>
      <tp t="e">
        <v>#N/A</v>
        <stp/>
        <stp>##V3_BDPV12</stp>
        <stp xml:space="preserve"> Equity</stp>
        <stp>EQY_DVD_YLD_IND_NET</stp>
        <stp>[EMN_IMS Bloomberg.xlsm  -  version 362.0. 25.11.2021 16.44]Dvd!R346C24</stp>
        <tr r="X346" s="50"/>
      </tp>
      <tp t="e">
        <v>#N/A</v>
        <stp/>
        <stp>##V3_BDPV12</stp>
        <stp xml:space="preserve"> Equity</stp>
        <stp>EQY_DVD_YLD_IND_NET</stp>
        <stp>[EMN_IMS Bloomberg.xlsm  -  version 362.0. 25.11.2021 16.44]Dvd!R345C24</stp>
        <tr r="X345" s="50"/>
      </tp>
      <tp t="e">
        <v>#N/A</v>
        <stp/>
        <stp>##V3_BDPV12</stp>
        <stp xml:space="preserve"> Equity</stp>
        <stp>EQY_DVD_YLD_IND_NET</stp>
        <stp>[EMN_IMS Bloomberg.xlsm  -  version 362.0. 25.11.2021 16.44]Dvd!R344C24</stp>
        <tr r="X344" s="50"/>
      </tp>
      <tp t="e">
        <v>#N/A</v>
        <stp/>
        <stp>##V3_BDPV12</stp>
        <stp xml:space="preserve"> Equity</stp>
        <stp>EQY_DVD_YLD_IND_NET</stp>
        <stp>[EMN_IMS Bloomberg.xlsm  -  version 362.0. 25.11.2021 16.44]Dvd!R343C24</stp>
        <tr r="X343" s="50"/>
      </tp>
      <tp t="e">
        <v>#N/A</v>
        <stp/>
        <stp>##V3_BDPV12</stp>
        <stp xml:space="preserve"> Equity</stp>
        <stp>EQY_DVD_YLD_IND_NET</stp>
        <stp>[EMN_IMS Bloomberg.xlsm  -  version 362.0. 25.11.2021 16.44]Dvd!R342C24</stp>
        <tr r="X342" s="50"/>
      </tp>
      <tp t="e">
        <v>#N/A</v>
        <stp/>
        <stp>##V3_BDPV12</stp>
        <stp xml:space="preserve"> Equity</stp>
        <stp>EQY_DVD_YLD_IND_NET</stp>
        <stp>[EMN_IMS Bloomberg.xlsm  -  version 362.0. 25.11.2021 16.44]Dvd!R341C24</stp>
        <tr r="X341" s="50"/>
      </tp>
      <tp t="e">
        <v>#N/A</v>
        <stp/>
        <stp>##V3_BDPV12</stp>
        <stp xml:space="preserve"> Equity</stp>
        <stp>EQY_DVD_YLD_IND_NET</stp>
        <stp>[EMN_IMS Bloomberg.xlsm  -  version 362.0. 25.11.2021 16.44]Dvd!R340C24</stp>
        <tr r="X340" s="50"/>
      </tp>
      <tp t="e">
        <v>#N/A</v>
        <stp/>
        <stp>##V3_BDPV12</stp>
        <stp xml:space="preserve"> Equity</stp>
        <stp>EQY_DVD_YLD_IND_NET</stp>
        <stp>[EMN_IMS Bloomberg.xlsm  -  version 362.0. 25.11.2021 16.44]Dvd!R329C24</stp>
        <tr r="X329" s="50"/>
      </tp>
      <tp t="e">
        <v>#N/A</v>
        <stp/>
        <stp>##V3_BDPV12</stp>
        <stp xml:space="preserve"> Equity</stp>
        <stp>EQY_DVD_YLD_IND_NET</stp>
        <stp>[EMN_IMS Bloomberg.xlsm  -  version 362.0. 25.11.2021 16.44]Dvd!R328C24</stp>
        <tr r="X328" s="50"/>
      </tp>
      <tp t="e">
        <v>#N/A</v>
        <stp/>
        <stp>##V3_BDPV12</stp>
        <stp xml:space="preserve"> Equity</stp>
        <stp>EQY_DVD_YLD_IND_NET</stp>
        <stp>[EMN_IMS Bloomberg.xlsm  -  version 362.0. 25.11.2021 16.44]Dvd!R327C24</stp>
        <tr r="X327" s="50"/>
      </tp>
      <tp t="e">
        <v>#N/A</v>
        <stp/>
        <stp>##V3_BDPV12</stp>
        <stp xml:space="preserve"> Equity</stp>
        <stp>EQY_DVD_YLD_IND_NET</stp>
        <stp>[EMN_IMS Bloomberg.xlsm  -  version 362.0. 25.11.2021 16.44]Dvd!R326C24</stp>
        <tr r="X326" s="50"/>
      </tp>
      <tp t="e">
        <v>#N/A</v>
        <stp/>
        <stp>##V3_BDPV12</stp>
        <stp xml:space="preserve"> Equity</stp>
        <stp>EQY_DVD_YLD_IND_NET</stp>
        <stp>[EMN_IMS Bloomberg.xlsm  -  version 362.0. 25.11.2021 16.44]Dvd!R325C24</stp>
        <tr r="X325" s="50"/>
      </tp>
      <tp t="e">
        <v>#N/A</v>
        <stp/>
        <stp>##V3_BDPV12</stp>
        <stp xml:space="preserve"> Equity</stp>
        <stp>EQY_DVD_YLD_IND_NET</stp>
        <stp>[EMN_IMS Bloomberg.xlsm  -  version 362.0. 25.11.2021 16.44]Dvd!R324C24</stp>
        <tr r="X324" s="50"/>
      </tp>
      <tp t="e">
        <v>#N/A</v>
        <stp/>
        <stp>##V3_BDPV12</stp>
        <stp xml:space="preserve"> Equity</stp>
        <stp>EQY_DVD_YLD_IND_NET</stp>
        <stp>[EMN_IMS Bloomberg.xlsm  -  version 362.0. 25.11.2021 16.44]Dvd!R323C24</stp>
        <tr r="X323" s="50"/>
      </tp>
      <tp t="e">
        <v>#N/A</v>
        <stp/>
        <stp>##V3_BDPV12</stp>
        <stp xml:space="preserve"> Equity</stp>
        <stp>EQY_DVD_YLD_IND_NET</stp>
        <stp>[EMN_IMS Bloomberg.xlsm  -  version 362.0. 25.11.2021 16.44]Dvd!R339C24</stp>
        <tr r="X339" s="50"/>
      </tp>
      <tp t="e">
        <v>#N/A</v>
        <stp/>
        <stp>##V3_BDPV12</stp>
        <stp xml:space="preserve"> Equity</stp>
        <stp>EQY_DVD_YLD_IND_NET</stp>
        <stp>[EMN_IMS Bloomberg.xlsm  -  version 362.0. 25.11.2021 16.44]Dvd!R338C24</stp>
        <tr r="X338" s="50"/>
      </tp>
      <tp t="e">
        <v>#N/A</v>
        <stp/>
        <stp>##V3_BDPV12</stp>
        <stp xml:space="preserve"> Equity</stp>
        <stp>EQY_DVD_YLD_IND_NET</stp>
        <stp>[EMN_IMS Bloomberg.xlsm  -  version 362.0. 25.11.2021 16.44]Dvd!R337C24</stp>
        <tr r="X337" s="50"/>
      </tp>
      <tp t="e">
        <v>#N/A</v>
        <stp/>
        <stp>##V3_BDPV12</stp>
        <stp xml:space="preserve"> Equity</stp>
        <stp>EQY_DVD_YLD_IND_NET</stp>
        <stp>[EMN_IMS Bloomberg.xlsm  -  version 362.0. 25.11.2021 16.44]Dvd!R336C24</stp>
        <tr r="X336" s="50"/>
      </tp>
      <tp t="e">
        <v>#N/A</v>
        <stp/>
        <stp>##V3_BDPV12</stp>
        <stp xml:space="preserve"> Equity</stp>
        <stp>EQY_DVD_YLD_IND_NET</stp>
        <stp>[EMN_IMS Bloomberg.xlsm  -  version 362.0. 25.11.2021 16.44]Dvd!R335C24</stp>
        <tr r="X335" s="50"/>
      </tp>
      <tp t="e">
        <v>#N/A</v>
        <stp/>
        <stp>##V3_BDPV12</stp>
        <stp xml:space="preserve"> Equity</stp>
        <stp>EQY_DVD_YLD_IND_NET</stp>
        <stp>[EMN_IMS Bloomberg.xlsm  -  version 362.0. 25.11.2021 16.44]Dvd!R334C24</stp>
        <tr r="X334" s="50"/>
      </tp>
      <tp t="e">
        <v>#N/A</v>
        <stp/>
        <stp>##V3_BDPV12</stp>
        <stp xml:space="preserve"> Equity</stp>
        <stp>EQY_DVD_YLD_IND_NET</stp>
        <stp>[EMN_IMS Bloomberg.xlsm  -  version 362.0. 25.11.2021 16.44]Dvd!R333C24</stp>
        <tr r="X333" s="50"/>
      </tp>
      <tp t="e">
        <v>#N/A</v>
        <stp/>
        <stp>##V3_BDPV12</stp>
        <stp xml:space="preserve"> Equity</stp>
        <stp>EQY_DVD_YLD_IND_NET</stp>
        <stp>[EMN_IMS Bloomberg.xlsm  -  version 362.0. 25.11.2021 16.44]Dvd!R332C24</stp>
        <tr r="X332" s="50"/>
      </tp>
      <tp t="e">
        <v>#N/A</v>
        <stp/>
        <stp>##V3_BDPV12</stp>
        <stp xml:space="preserve"> Equity</stp>
        <stp>EQY_DVD_YLD_IND_NET</stp>
        <stp>[EMN_IMS Bloomberg.xlsm  -  version 362.0. 25.11.2021 16.44]Dvd!R331C24</stp>
        <tr r="X331" s="50"/>
      </tp>
      <tp t="e">
        <v>#N/A</v>
        <stp/>
        <stp>##V3_BDPV12</stp>
        <stp xml:space="preserve"> Equity</stp>
        <stp>EQY_DVD_YLD_IND_NET</stp>
        <stp>[EMN_IMS Bloomberg.xlsm  -  version 362.0. 25.11.2021 16.44]Dvd!R330C24</stp>
        <tr r="X330" s="50"/>
      </tp>
      <tp t="e">
        <v>#N/A</v>
        <stp/>
        <stp>##V3_BDPV12</stp>
        <stp xml:space="preserve"> Equity</stp>
        <stp>EQY_DVD_YLD_IND_NET</stp>
        <stp>[EMN_IMS Bloomberg.xlsm  -  version 362.0. 25.11.2021 16.44]Dvd!R221C24</stp>
        <tr r="X221" s="50"/>
      </tp>
      <tp t="e">
        <v>#N/A</v>
        <stp/>
        <stp>##V3_BDPV12</stp>
        <stp xml:space="preserve"> Equity</stp>
        <stp>EQY_DVD_YLD_IND_NET</stp>
        <stp>[EMN_IMS Bloomberg.xlsm  -  version 362.0. 25.11.2021 16.44]Dvd!R220C24</stp>
        <tr r="X220" s="50"/>
      </tp>
      <tp t="e">
        <v>#N/A</v>
        <stp/>
        <stp>##V3_BDPV12</stp>
        <stp xml:space="preserve"> Equity</stp>
        <stp>EQY_DVD_YLD_IND_NET</stp>
        <stp>[EMN_IMS Bloomberg.xlsm  -  version 362.0. 25.11.2021 16.44]Dvd!R209C24</stp>
        <tr r="X209" s="50"/>
      </tp>
      <tp t="e">
        <v>#N/A</v>
        <stp/>
        <stp>##V3_BDPV12</stp>
        <stp xml:space="preserve"> Equity</stp>
        <stp>EQY_DVD_YLD_IND_NET</stp>
        <stp>[EMN_IMS Bloomberg.xlsm  -  version 362.0. 25.11.2021 16.44]Dvd!R208C24</stp>
        <tr r="X208" s="50"/>
      </tp>
      <tp t="e">
        <v>#N/A</v>
        <stp/>
        <stp>##V3_BDPV12</stp>
        <stp xml:space="preserve"> Equity</stp>
        <stp>EQY_DVD_YLD_IND_NET</stp>
        <stp>[EMN_IMS Bloomberg.xlsm  -  version 362.0. 25.11.2021 16.44]Dvd!R207C24</stp>
        <tr r="X207" s="50"/>
      </tp>
      <tp t="e">
        <v>#N/A</v>
        <stp/>
        <stp>##V3_BDPV12</stp>
        <stp xml:space="preserve"> Equity</stp>
        <stp>EQY_DVD_YLD_IND_NET</stp>
        <stp>[EMN_IMS Bloomberg.xlsm  -  version 362.0. 25.11.2021 16.44]Dvd!R206C24</stp>
        <tr r="X206" s="50"/>
      </tp>
      <tp t="e">
        <v>#N/A</v>
        <stp/>
        <stp>##V3_BDPV12</stp>
        <stp xml:space="preserve"> Equity</stp>
        <stp>EQY_DVD_YLD_IND_NET</stp>
        <stp>[EMN_IMS Bloomberg.xlsm  -  version 362.0. 25.11.2021 16.44]Dvd!R205C24</stp>
        <tr r="X205" s="50"/>
      </tp>
      <tp t="e">
        <v>#N/A</v>
        <stp/>
        <stp>##V3_BDPV12</stp>
        <stp xml:space="preserve"> Equity</stp>
        <stp>EQY_DVD_YLD_IND_NET</stp>
        <stp>[EMN_IMS Bloomberg.xlsm  -  version 362.0. 25.11.2021 16.44]Dvd!R204C24</stp>
        <tr r="X204" s="50"/>
      </tp>
      <tp t="e">
        <v>#N/A</v>
        <stp/>
        <stp>##V3_BDPV12</stp>
        <stp xml:space="preserve"> Equity</stp>
        <stp>EQY_DVD_YLD_IND_NET</stp>
        <stp>[EMN_IMS Bloomberg.xlsm  -  version 362.0. 25.11.2021 16.44]Dvd!R203C24</stp>
        <tr r="X203" s="50"/>
      </tp>
      <tp t="e">
        <v>#N/A</v>
        <stp/>
        <stp>##V3_BDPV12</stp>
        <stp xml:space="preserve"> Equity</stp>
        <stp>EQY_DVD_YLD_IND_NET</stp>
        <stp>[EMN_IMS Bloomberg.xlsm  -  version 362.0. 25.11.2021 16.44]Dvd!R202C24</stp>
        <tr r="X202" s="50"/>
      </tp>
      <tp t="e">
        <v>#N/A</v>
        <stp/>
        <stp>##V3_BDPV12</stp>
        <stp xml:space="preserve"> Equity</stp>
        <stp>EQY_DVD_YLD_IND_NET</stp>
        <stp>[EMN_IMS Bloomberg.xlsm  -  version 362.0. 25.11.2021 16.44]Dvd!R201C24</stp>
        <tr r="X201" s="50"/>
      </tp>
      <tp t="e">
        <v>#N/A</v>
        <stp/>
        <stp>##V3_BDPV12</stp>
        <stp xml:space="preserve"> Equity</stp>
        <stp>EQY_DVD_YLD_IND_NET</stp>
        <stp>[EMN_IMS Bloomberg.xlsm  -  version 362.0. 25.11.2021 16.44]Dvd!R200C24</stp>
        <tr r="X200" s="50"/>
      </tp>
      <tp t="e">
        <v>#N/A</v>
        <stp/>
        <stp>##V3_BDPV12</stp>
        <stp xml:space="preserve"> Equity</stp>
        <stp>EQY_DVD_YLD_IND_NET</stp>
        <stp>[EMN_IMS Bloomberg.xlsm  -  version 362.0. 25.11.2021 16.44]Dvd!R219C24</stp>
        <tr r="X219" s="50"/>
      </tp>
      <tp t="e">
        <v>#N/A</v>
        <stp/>
        <stp>##V3_BDPV12</stp>
        <stp xml:space="preserve"> Equity</stp>
        <stp>EQY_DVD_YLD_IND_NET</stp>
        <stp>[EMN_IMS Bloomberg.xlsm  -  version 362.0. 25.11.2021 16.44]Dvd!R218C24</stp>
        <tr r="X218" s="50"/>
      </tp>
      <tp t="e">
        <v>#N/A</v>
        <stp/>
        <stp>##V3_BDPV12</stp>
        <stp xml:space="preserve"> Equity</stp>
        <stp>EQY_DVD_YLD_IND_NET</stp>
        <stp>[EMN_IMS Bloomberg.xlsm  -  version 362.0. 25.11.2021 16.44]Dvd!R217C24</stp>
        <tr r="X217" s="50"/>
      </tp>
      <tp t="e">
        <v>#N/A</v>
        <stp/>
        <stp>##V3_BDPV12</stp>
        <stp xml:space="preserve"> Equity</stp>
        <stp>EQY_DVD_YLD_IND_NET</stp>
        <stp>[EMN_IMS Bloomberg.xlsm  -  version 362.0. 25.11.2021 16.44]Dvd!R216C24</stp>
        <tr r="X216" s="50"/>
      </tp>
      <tp t="e">
        <v>#N/A</v>
        <stp/>
        <stp>##V3_BDPV12</stp>
        <stp xml:space="preserve"> Equity</stp>
        <stp>EQY_DVD_YLD_IND_NET</stp>
        <stp>[EMN_IMS Bloomberg.xlsm  -  version 362.0. 25.11.2021 16.44]Dvd!R215C24</stp>
        <tr r="X215" s="50"/>
      </tp>
      <tp t="e">
        <v>#N/A</v>
        <stp/>
        <stp>##V3_BDPV12</stp>
        <stp xml:space="preserve"> Equity</stp>
        <stp>EQY_DVD_YLD_IND_NET</stp>
        <stp>[EMN_IMS Bloomberg.xlsm  -  version 362.0. 25.11.2021 16.44]Dvd!R214C24</stp>
        <tr r="X214" s="50"/>
      </tp>
      <tp t="e">
        <v>#N/A</v>
        <stp/>
        <stp>##V3_BDPV12</stp>
        <stp xml:space="preserve"> Equity</stp>
        <stp>EQY_DVD_YLD_IND_NET</stp>
        <stp>[EMN_IMS Bloomberg.xlsm  -  version 362.0. 25.11.2021 16.44]Dvd!R213C24</stp>
        <tr r="X213" s="50"/>
      </tp>
      <tp t="e">
        <v>#N/A</v>
        <stp/>
        <stp>##V3_BDPV12</stp>
        <stp xml:space="preserve"> Equity</stp>
        <stp>EQY_DVD_YLD_IND_NET</stp>
        <stp>[EMN_IMS Bloomberg.xlsm  -  version 362.0. 25.11.2021 16.44]Dvd!R212C24</stp>
        <tr r="X212" s="50"/>
      </tp>
      <tp t="e">
        <v>#N/A</v>
        <stp/>
        <stp>##V3_BDPV12</stp>
        <stp xml:space="preserve"> Equity</stp>
        <stp>EQY_DVD_YLD_IND_NET</stp>
        <stp>[EMN_IMS Bloomberg.xlsm  -  version 362.0. 25.11.2021 16.44]Dvd!R211C24</stp>
        <tr r="X211" s="50"/>
      </tp>
      <tp t="e">
        <v>#N/A</v>
        <stp/>
        <stp>##V3_BDPV12</stp>
        <stp xml:space="preserve"> Equity</stp>
        <stp>EQY_DVD_YLD_IND_NET</stp>
        <stp>[EMN_IMS Bloomberg.xlsm  -  version 362.0. 25.11.2021 16.44]Dvd!R210C24</stp>
        <tr r="X210" s="50"/>
      </tp>
      <tp t="e">
        <v>#N/A</v>
        <stp/>
        <stp>##V3_BDPV12</stp>
        <stp xml:space="preserve"> Equity</stp>
        <stp>ID_ISIN</stp>
        <stp>[Copy of EMN_IMS Bloomberg.xlsm]TradesEquity!R592C5</stp>
        <stp>Fill</stp>
        <stp/>
        <tr r="E592" s="11"/>
      </tp>
      <tp t="e">
        <v>#N/A</v>
        <stp/>
        <stp>##V3_BDPV12</stp>
        <stp xml:space="preserve"> Equity</stp>
        <stp>ID_ISIN</stp>
        <stp>[Copy of EMN_IMS Bloomberg.xlsm]TradesEquity!R593C5</stp>
        <stp>Fill</stp>
        <stp/>
        <tr r="E593" s="11"/>
      </tp>
      <tp t="e">
        <v>#N/A</v>
        <stp/>
        <stp>##V3_BDPV12</stp>
        <stp xml:space="preserve"> Equity</stp>
        <stp>ID_ISIN</stp>
        <stp>[Copy of EMN_IMS Bloomberg.xlsm]TradesEquity!R590C5</stp>
        <stp>Fill</stp>
        <stp/>
        <tr r="E590" s="11"/>
      </tp>
      <tp t="e">
        <v>#N/A</v>
        <stp/>
        <stp>##V3_BDPV12</stp>
        <stp xml:space="preserve"> Equity</stp>
        <stp>ID_ISIN</stp>
        <stp>[Copy of EMN_IMS Bloomberg.xlsm]TradesEquity!R591C5</stp>
        <stp>Fill</stp>
        <stp/>
        <tr r="E591" s="11"/>
      </tp>
      <tp t="e">
        <v>#N/A</v>
        <stp/>
        <stp>##V3_BDPV12</stp>
        <stp xml:space="preserve"> Equity</stp>
        <stp>ID_ISIN</stp>
        <stp>[Copy of EMN_IMS Bloomberg.xlsm]TradesEquity!R596C5</stp>
        <stp>Fill</stp>
        <stp/>
        <tr r="E596" s="11"/>
      </tp>
      <tp t="e">
        <v>#N/A</v>
        <stp/>
        <stp>##V3_BDPV12</stp>
        <stp xml:space="preserve"> Equity</stp>
        <stp>ID_ISIN</stp>
        <stp>[Copy of EMN_IMS Bloomberg.xlsm]TradesEquity!R597C5</stp>
        <stp>Fill</stp>
        <stp/>
        <tr r="E597" s="11"/>
      </tp>
      <tp t="e">
        <v>#N/A</v>
        <stp/>
        <stp>##V3_BDPV12</stp>
        <stp xml:space="preserve"> Equity</stp>
        <stp>ID_ISIN</stp>
        <stp>[Copy of EMN_IMS Bloomberg.xlsm]TradesEquity!R594C5</stp>
        <stp>Fill</stp>
        <stp/>
        <tr r="E594" s="11"/>
      </tp>
      <tp t="e">
        <v>#N/A</v>
        <stp/>
        <stp>##V3_BDPV12</stp>
        <stp xml:space="preserve"> Equity</stp>
        <stp>ID_ISIN</stp>
        <stp>[Copy of EMN_IMS Bloomberg.xlsm]TradesEquity!R595C5</stp>
        <stp>Fill</stp>
        <stp/>
        <tr r="E595" s="11"/>
      </tp>
      <tp t="e">
        <v>#N/A</v>
        <stp/>
        <stp>##V3_BDPV12</stp>
        <stp xml:space="preserve"> Equity</stp>
        <stp>ID_ISIN</stp>
        <stp>[Copy of EMN_IMS Bloomberg.xlsm]TradesEquity!R598C5</stp>
        <stp>Fill</stp>
        <stp/>
        <tr r="E598" s="11"/>
      </tp>
      <tp t="e">
        <v>#N/A</v>
        <stp/>
        <stp>##V3_BDPV12</stp>
        <stp xml:space="preserve"> Equity</stp>
        <stp>ID_ISIN</stp>
        <stp>[Copy of EMN_IMS Bloomberg.xlsm]TradesEquity!R599C5</stp>
        <stp>Fill</stp>
        <stp/>
        <tr r="E599" s="11"/>
      </tp>
      <tp t="e">
        <v>#N/A</v>
        <stp/>
        <stp>##V3_BDPV12</stp>
        <stp xml:space="preserve"> Equity</stp>
        <stp>ID_ISIN</stp>
        <stp>[Copy of EMN_IMS Bloomberg.xlsm]TradesEquity!R582C5</stp>
        <stp>Fill</stp>
        <stp/>
        <tr r="E582" s="11"/>
      </tp>
      <tp t="e">
        <v>#N/A</v>
        <stp/>
        <stp>##V3_BDPV12</stp>
        <stp xml:space="preserve"> Equity</stp>
        <stp>ID_ISIN</stp>
        <stp>[Copy of EMN_IMS Bloomberg.xlsm]TradesEquity!R583C5</stp>
        <stp>Fill</stp>
        <stp/>
        <tr r="E583" s="11"/>
      </tp>
      <tp t="e">
        <v>#N/A</v>
        <stp/>
        <stp>##V3_BDPV12</stp>
        <stp xml:space="preserve"> Equity</stp>
        <stp>ID_ISIN</stp>
        <stp>[Copy of EMN_IMS Bloomberg.xlsm]TradesEquity!R580C5</stp>
        <stp>Fill</stp>
        <stp/>
        <tr r="E580" s="11"/>
      </tp>
      <tp t="e">
        <v>#N/A</v>
        <stp/>
        <stp>##V3_BDPV12</stp>
        <stp xml:space="preserve"> Equity</stp>
        <stp>ID_ISIN</stp>
        <stp>[Copy of EMN_IMS Bloomberg.xlsm]TradesEquity!R581C5</stp>
        <stp>Fill</stp>
        <stp/>
        <tr r="E581" s="11"/>
      </tp>
      <tp t="e">
        <v>#N/A</v>
        <stp/>
        <stp>##V3_BDPV12</stp>
        <stp xml:space="preserve"> Equity</stp>
        <stp>ID_ISIN</stp>
        <stp>[Copy of EMN_IMS Bloomberg.xlsm]TradesEquity!R586C5</stp>
        <stp>Fill</stp>
        <stp/>
        <tr r="E586" s="11"/>
      </tp>
      <tp t="e">
        <v>#N/A</v>
        <stp/>
        <stp>##V3_BDPV12</stp>
        <stp xml:space="preserve"> Equity</stp>
        <stp>ID_ISIN</stp>
        <stp>[Copy of EMN_IMS Bloomberg.xlsm]TradesEquity!R587C5</stp>
        <stp>Fill</stp>
        <stp/>
        <tr r="E587" s="11"/>
      </tp>
      <tp t="e">
        <v>#N/A</v>
        <stp/>
        <stp>##V3_BDPV12</stp>
        <stp xml:space="preserve"> Equity</stp>
        <stp>ID_ISIN</stp>
        <stp>[Copy of EMN_IMS Bloomberg.xlsm]TradesEquity!R584C5</stp>
        <stp>Fill</stp>
        <stp/>
        <tr r="E584" s="11"/>
      </tp>
      <tp t="e">
        <v>#N/A</v>
        <stp/>
        <stp>##V3_BDPV12</stp>
        <stp xml:space="preserve"> Equity</stp>
        <stp>ID_ISIN</stp>
        <stp>[Copy of EMN_IMS Bloomberg.xlsm]TradesEquity!R585C5</stp>
        <stp>Fill</stp>
        <stp/>
        <tr r="E585" s="11"/>
      </tp>
      <tp t="e">
        <v>#N/A</v>
        <stp/>
        <stp>##V3_BDPV12</stp>
        <stp xml:space="preserve"> Equity</stp>
        <stp>ID_ISIN</stp>
        <stp>[Copy of EMN_IMS Bloomberg.xlsm]TradesEquity!R588C5</stp>
        <stp>Fill</stp>
        <stp/>
        <tr r="E588" s="11"/>
      </tp>
      <tp t="e">
        <v>#N/A</v>
        <stp/>
        <stp>##V3_BDPV12</stp>
        <stp xml:space="preserve"> Equity</stp>
        <stp>ID_ISIN</stp>
        <stp>[Copy of EMN_IMS Bloomberg.xlsm]TradesEquity!R589C5</stp>
        <stp>Fill</stp>
        <stp/>
        <tr r="E589" s="11"/>
      </tp>
      <tp t="e">
        <v>#N/A</v>
        <stp/>
        <stp>##V3_BDPV12</stp>
        <stp xml:space="preserve"> Equity</stp>
        <stp>ID_ISIN</stp>
        <stp>[Copy of EMN_IMS Bloomberg.xlsm]TradesEquity!R572C5</stp>
        <stp>Fill</stp>
        <stp/>
        <tr r="E572" s="11"/>
      </tp>
      <tp t="e">
        <v>#N/A</v>
        <stp/>
        <stp>##V3_BDPV12</stp>
        <stp xml:space="preserve"> Equity</stp>
        <stp>ID_ISIN</stp>
        <stp>[Copy of EMN_IMS Bloomberg.xlsm]TradesEquity!R573C5</stp>
        <stp>Fill</stp>
        <stp/>
        <tr r="E573" s="11"/>
      </tp>
      <tp t="e">
        <v>#N/A</v>
        <stp/>
        <stp>##V3_BDPV12</stp>
        <stp xml:space="preserve"> Equity</stp>
        <stp>ID_ISIN</stp>
        <stp>[Copy of EMN_IMS Bloomberg.xlsm]TradesEquity!R570C5</stp>
        <stp>Fill</stp>
        <stp/>
        <tr r="E570" s="11"/>
      </tp>
      <tp t="e">
        <v>#N/A</v>
        <stp/>
        <stp>##V3_BDPV12</stp>
        <stp xml:space="preserve"> Equity</stp>
        <stp>ID_ISIN</stp>
        <stp>[Copy of EMN_IMS Bloomberg.xlsm]TradesEquity!R571C5</stp>
        <stp>Fill</stp>
        <stp/>
        <tr r="E571" s="11"/>
      </tp>
      <tp t="e">
        <v>#N/A</v>
        <stp/>
        <stp>##V3_BDPV12</stp>
        <stp xml:space="preserve"> Equity</stp>
        <stp>ID_ISIN</stp>
        <stp>[Copy of EMN_IMS Bloomberg.xlsm]TradesEquity!R576C5</stp>
        <stp>Fill</stp>
        <stp/>
        <tr r="E576" s="11"/>
      </tp>
      <tp t="e">
        <v>#N/A</v>
        <stp/>
        <stp>##V3_BDPV12</stp>
        <stp xml:space="preserve"> Equity</stp>
        <stp>ID_ISIN</stp>
        <stp>[Copy of EMN_IMS Bloomberg.xlsm]TradesEquity!R577C5</stp>
        <stp>Fill</stp>
        <stp/>
        <tr r="E577" s="11"/>
      </tp>
      <tp t="e">
        <v>#N/A</v>
        <stp/>
        <stp>##V3_BDPV12</stp>
        <stp xml:space="preserve"> Equity</stp>
        <stp>ID_ISIN</stp>
        <stp>[Copy of EMN_IMS Bloomberg.xlsm]TradesEquity!R574C5</stp>
        <stp>Fill</stp>
        <stp/>
        <tr r="E574" s="11"/>
      </tp>
      <tp t="e">
        <v>#N/A</v>
        <stp/>
        <stp>##V3_BDPV12</stp>
        <stp xml:space="preserve"> Equity</stp>
        <stp>ID_ISIN</stp>
        <stp>[Copy of EMN_IMS Bloomberg.xlsm]TradesEquity!R575C5</stp>
        <stp>Fill</stp>
        <stp/>
        <tr r="E575" s="11"/>
      </tp>
      <tp t="e">
        <v>#N/A</v>
        <stp/>
        <stp>##V3_BDPV12</stp>
        <stp xml:space="preserve"> Equity</stp>
        <stp>ID_ISIN</stp>
        <stp>[Copy of EMN_IMS Bloomberg.xlsm]TradesEquity!R578C5</stp>
        <stp>Fill</stp>
        <stp/>
        <tr r="E578" s="11"/>
      </tp>
      <tp t="e">
        <v>#N/A</v>
        <stp/>
        <stp>##V3_BDPV12</stp>
        <stp xml:space="preserve"> Equity</stp>
        <stp>ID_ISIN</stp>
        <stp>[Copy of EMN_IMS Bloomberg.xlsm]TradesEquity!R579C5</stp>
        <stp>Fill</stp>
        <stp/>
        <tr r="E579" s="11"/>
      </tp>
      <tp t="e">
        <v>#N/A</v>
        <stp/>
        <stp>##V3_BDPV12</stp>
        <stp xml:space="preserve"> Equity</stp>
        <stp>ID_ISIN</stp>
        <stp>[Copy of EMN_IMS Bloomberg.xlsm]TradesEquity!R562C5</stp>
        <stp>Fill</stp>
        <stp/>
        <tr r="E562" s="11"/>
      </tp>
      <tp t="e">
        <v>#N/A</v>
        <stp/>
        <stp>##V3_BDPV12</stp>
        <stp xml:space="preserve"> Equity</stp>
        <stp>ID_ISIN</stp>
        <stp>[Copy of EMN_IMS Bloomberg.xlsm]TradesEquity!R563C5</stp>
        <stp>Fill</stp>
        <stp/>
        <tr r="E563" s="11"/>
      </tp>
      <tp t="e">
        <v>#N/A</v>
        <stp/>
        <stp>##V3_BDPV12</stp>
        <stp xml:space="preserve"> Equity</stp>
        <stp>ID_ISIN</stp>
        <stp>[Copy of EMN_IMS Bloomberg.xlsm]TradesEquity!R560C5</stp>
        <stp>Fill</stp>
        <stp/>
        <tr r="E560" s="11"/>
      </tp>
      <tp t="e">
        <v>#N/A</v>
        <stp/>
        <stp>##V3_BDPV12</stp>
        <stp xml:space="preserve"> Equity</stp>
        <stp>ID_ISIN</stp>
        <stp>[Copy of EMN_IMS Bloomberg.xlsm]TradesEquity!R561C5</stp>
        <stp>Fill</stp>
        <stp/>
        <tr r="E561" s="11"/>
      </tp>
      <tp t="e">
        <v>#N/A</v>
        <stp/>
        <stp>##V3_BDPV12</stp>
        <stp xml:space="preserve"> Equity</stp>
        <stp>ID_ISIN</stp>
        <stp>[Copy of EMN_IMS Bloomberg.xlsm]TradesEquity!R566C5</stp>
        <stp>Fill</stp>
        <stp/>
        <tr r="E566" s="11"/>
      </tp>
      <tp t="e">
        <v>#N/A</v>
        <stp/>
        <stp>##V3_BDPV12</stp>
        <stp xml:space="preserve"> Equity</stp>
        <stp>ID_ISIN</stp>
        <stp>[Copy of EMN_IMS Bloomberg.xlsm]TradesEquity!R567C5</stp>
        <stp>Fill</stp>
        <stp/>
        <tr r="E567" s="11"/>
      </tp>
      <tp t="e">
        <v>#N/A</v>
        <stp/>
        <stp>##V3_BDPV12</stp>
        <stp xml:space="preserve"> Equity</stp>
        <stp>ID_ISIN</stp>
        <stp>[Copy of EMN_IMS Bloomberg.xlsm]TradesEquity!R564C5</stp>
        <stp>Fill</stp>
        <stp/>
        <tr r="E564" s="11"/>
      </tp>
      <tp t="e">
        <v>#N/A</v>
        <stp/>
        <stp>##V3_BDPV12</stp>
        <stp xml:space="preserve"> Equity</stp>
        <stp>ID_ISIN</stp>
        <stp>[Copy of EMN_IMS Bloomberg.xlsm]TradesEquity!R565C5</stp>
        <stp>Fill</stp>
        <stp/>
        <tr r="E565" s="11"/>
      </tp>
      <tp t="e">
        <v>#N/A</v>
        <stp/>
        <stp>##V3_BDPV12</stp>
        <stp xml:space="preserve"> Equity</stp>
        <stp>ID_ISIN</stp>
        <stp>[Copy of EMN_IMS Bloomberg.xlsm]TradesEquity!R568C5</stp>
        <stp>Fill</stp>
        <stp/>
        <tr r="E568" s="11"/>
      </tp>
      <tp t="e">
        <v>#N/A</v>
        <stp/>
        <stp>##V3_BDPV12</stp>
        <stp xml:space="preserve"> Equity</stp>
        <stp>ID_ISIN</stp>
        <stp>[Copy of EMN_IMS Bloomberg.xlsm]TradesEquity!R569C5</stp>
        <stp>Fill</stp>
        <stp/>
        <tr r="E569" s="11"/>
      </tp>
      <tp t="e">
        <v>#N/A</v>
        <stp/>
        <stp>##V3_BDPV12</stp>
        <stp xml:space="preserve"> Equity</stp>
        <stp>ID_ISIN</stp>
        <stp>[Copy of EMN_IMS Bloomberg.xlsm]TradesEquity!R552C5</stp>
        <stp>Fill</stp>
        <stp/>
        <tr r="E552" s="11"/>
      </tp>
      <tp t="e">
        <v>#N/A</v>
        <stp/>
        <stp>##V3_BDPV12</stp>
        <stp xml:space="preserve"> Equity</stp>
        <stp>ID_ISIN</stp>
        <stp>[Copy of EMN_IMS Bloomberg.xlsm]TradesEquity!R553C5</stp>
        <stp>Fill</stp>
        <stp/>
        <tr r="E553" s="11"/>
      </tp>
      <tp t="e">
        <v>#N/A</v>
        <stp/>
        <stp>##V3_BDPV12</stp>
        <stp xml:space="preserve"> Equity</stp>
        <stp>ID_ISIN</stp>
        <stp>[Copy of EMN_IMS Bloomberg.xlsm]TradesEquity!R550C5</stp>
        <stp>Fill</stp>
        <stp/>
        <tr r="E550" s="11"/>
      </tp>
      <tp t="e">
        <v>#N/A</v>
        <stp/>
        <stp>##V3_BDPV12</stp>
        <stp xml:space="preserve"> Equity</stp>
        <stp>ID_ISIN</stp>
        <stp>[Copy of EMN_IMS Bloomberg.xlsm]TradesEquity!R551C5</stp>
        <stp>Fill</stp>
        <stp/>
        <tr r="E551" s="11"/>
      </tp>
      <tp t="e">
        <v>#N/A</v>
        <stp/>
        <stp>##V3_BDPV12</stp>
        <stp xml:space="preserve"> Equity</stp>
        <stp>ID_ISIN</stp>
        <stp>[Copy of EMN_IMS Bloomberg.xlsm]TradesEquity!R556C5</stp>
        <stp>Fill</stp>
        <stp/>
        <tr r="E556" s="11"/>
      </tp>
      <tp t="e">
        <v>#N/A</v>
        <stp/>
        <stp>##V3_BDPV12</stp>
        <stp xml:space="preserve"> Equity</stp>
        <stp>ID_ISIN</stp>
        <stp>[Copy of EMN_IMS Bloomberg.xlsm]TradesEquity!R557C5</stp>
        <stp>Fill</stp>
        <stp/>
        <tr r="E557" s="11"/>
      </tp>
      <tp t="e">
        <v>#N/A</v>
        <stp/>
        <stp>##V3_BDPV12</stp>
        <stp xml:space="preserve"> Equity</stp>
        <stp>ID_ISIN</stp>
        <stp>[Copy of EMN_IMS Bloomberg.xlsm]TradesEquity!R554C5</stp>
        <stp>Fill</stp>
        <stp/>
        <tr r="E554" s="11"/>
      </tp>
      <tp t="e">
        <v>#N/A</v>
        <stp/>
        <stp>##V3_BDPV12</stp>
        <stp xml:space="preserve"> Equity</stp>
        <stp>ID_ISIN</stp>
        <stp>[Copy of EMN_IMS Bloomberg.xlsm]TradesEquity!R555C5</stp>
        <stp>Fill</stp>
        <stp/>
        <tr r="E555" s="11"/>
      </tp>
      <tp t="e">
        <v>#N/A</v>
        <stp/>
        <stp>##V3_BDPV12</stp>
        <stp xml:space="preserve"> Equity</stp>
        <stp>ID_ISIN</stp>
        <stp>[Copy of EMN_IMS Bloomberg.xlsm]TradesEquity!R558C5</stp>
        <stp>Fill</stp>
        <stp/>
        <tr r="E558" s="11"/>
      </tp>
      <tp t="e">
        <v>#N/A</v>
        <stp/>
        <stp>##V3_BDPV12</stp>
        <stp xml:space="preserve"> Equity</stp>
        <stp>ID_ISIN</stp>
        <stp>[Copy of EMN_IMS Bloomberg.xlsm]TradesEquity!R559C5</stp>
        <stp>Fill</stp>
        <stp/>
        <tr r="E559" s="11"/>
      </tp>
      <tp t="e">
        <v>#N/A</v>
        <stp/>
        <stp>##V3_BDPV12</stp>
        <stp xml:space="preserve"> Equity</stp>
        <stp>DVD_FREQ</stp>
        <stp>[EMN_IMS Bloomberg.xlsm  -  version 362.0. 25.11.2021 16.44]Dvd!R97C22</stp>
        <tr r="V97" s="50"/>
      </tp>
      <tp t="e">
        <v>#N/A</v>
        <stp/>
        <stp>##V3_BDPV12</stp>
        <stp xml:space="preserve"> Equity</stp>
        <stp>DVD_FREQ</stp>
        <stp>[EMN_IMS Bloomberg.xlsm  -  version 362.0. 25.11.2021 16.44]Dvd!R96C22</stp>
        <tr r="V96" s="50"/>
      </tp>
      <tp t="e">
        <v>#N/A</v>
        <stp/>
        <stp>##V3_BDPV12</stp>
        <stp xml:space="preserve"> Equity</stp>
        <stp>DVD_FREQ</stp>
        <stp>[EMN_IMS Bloomberg.xlsm  -  version 362.0. 25.11.2021 16.44]Dvd!R95C22</stp>
        <tr r="V95" s="50"/>
      </tp>
      <tp t="e">
        <v>#N/A</v>
        <stp/>
        <stp>##V3_BDPV12</stp>
        <stp xml:space="preserve"> Equity</stp>
        <stp>DVD_FREQ</stp>
        <stp>[EMN_IMS Bloomberg.xlsm  -  version 362.0. 25.11.2021 16.44]Dvd!R94C22</stp>
        <tr r="V94" s="50"/>
      </tp>
      <tp t="e">
        <v>#N/A</v>
        <stp/>
        <stp>##V3_BDPV12</stp>
        <stp xml:space="preserve"> Equity</stp>
        <stp>DVD_FREQ</stp>
        <stp>[EMN_IMS Bloomberg.xlsm  -  version 362.0. 25.11.2021 16.44]Dvd!R93C22</stp>
        <tr r="V93" s="50"/>
      </tp>
      <tp t="e">
        <v>#N/A</v>
        <stp/>
        <stp>##V3_BDPV12</stp>
        <stp xml:space="preserve"> Equity</stp>
        <stp>DVD_FREQ</stp>
        <stp>[EMN_IMS Bloomberg.xlsm  -  version 362.0. 25.11.2021 16.44]Dvd!R92C22</stp>
        <tr r="V92" s="50"/>
      </tp>
      <tp t="e">
        <v>#N/A</v>
        <stp/>
        <stp>##V3_BDPV12</stp>
        <stp xml:space="preserve"> Equity</stp>
        <stp>DVD_FREQ</stp>
        <stp>[EMN_IMS Bloomberg.xlsm  -  version 362.0. 25.11.2021 16.44]Dvd!R91C22</stp>
        <tr r="V91" s="50"/>
      </tp>
      <tp t="e">
        <v>#N/A</v>
        <stp/>
        <stp>##V3_BDPV12</stp>
        <stp xml:space="preserve"> Equity</stp>
        <stp>DVD_FREQ</stp>
        <stp>[EMN_IMS Bloomberg.xlsm  -  version 362.0. 25.11.2021 16.44]Dvd!R90C22</stp>
        <tr r="V90" s="50"/>
      </tp>
      <tp t="e">
        <v>#N/A</v>
        <stp/>
        <stp>##V3_BDPV12</stp>
        <stp xml:space="preserve"> Equity</stp>
        <stp>DVD_FREQ</stp>
        <stp>[EMN_IMS Bloomberg.xlsm  -  version 362.0. 25.11.2021 16.44]Dvd!R99C22</stp>
        <tr r="V99" s="50"/>
      </tp>
      <tp t="e">
        <v>#N/A</v>
        <stp/>
        <stp>##V3_BDPV12</stp>
        <stp xml:space="preserve"> Equity</stp>
        <stp>DVD_FREQ</stp>
        <stp>[EMN_IMS Bloomberg.xlsm  -  version 362.0. 25.11.2021 16.44]Dvd!R98C22</stp>
        <tr r="V98" s="50"/>
      </tp>
      <tp t="e">
        <v>#N/A</v>
        <stp/>
        <stp>##V3_BDPV12</stp>
        <stp xml:space="preserve"> Equity</stp>
        <stp>DVD_FREQ</stp>
        <stp>[EMN_IMS Bloomberg.xlsm  -  version 362.0. 25.11.2021 16.44]Dvd!R87C22</stp>
        <tr r="V87" s="50"/>
      </tp>
      <tp t="e">
        <v>#N/A</v>
        <stp/>
        <stp>##V3_BDPV12</stp>
        <stp xml:space="preserve"> Equity</stp>
        <stp>DVD_FREQ</stp>
        <stp>[EMN_IMS Bloomberg.xlsm  -  version 362.0. 25.11.2021 16.44]Dvd!R86C22</stp>
        <tr r="V86" s="50"/>
      </tp>
      <tp t="e">
        <v>#N/A</v>
        <stp/>
        <stp>##V3_BDPV12</stp>
        <stp xml:space="preserve"> Equity</stp>
        <stp>DVD_FREQ</stp>
        <stp>[EMN_IMS Bloomberg.xlsm  -  version 362.0. 25.11.2021 16.44]Dvd!R85C22</stp>
        <tr r="V85" s="50"/>
      </tp>
      <tp t="e">
        <v>#N/A</v>
        <stp/>
        <stp>##V3_BDPV12</stp>
        <stp xml:space="preserve"> Equity</stp>
        <stp>DVD_FREQ</stp>
        <stp>[EMN_IMS Bloomberg.xlsm  -  version 362.0. 25.11.2021 16.44]Dvd!R84C22</stp>
        <tr r="V84" s="50"/>
      </tp>
      <tp t="e">
        <v>#N/A</v>
        <stp/>
        <stp>##V3_BDPV12</stp>
        <stp xml:space="preserve"> Equity</stp>
        <stp>DVD_FREQ</stp>
        <stp>[EMN_IMS Bloomberg.xlsm  -  version 362.0. 25.11.2021 16.44]Dvd!R83C22</stp>
        <tr r="V83" s="50"/>
      </tp>
      <tp t="e">
        <v>#N/A</v>
        <stp/>
        <stp>##V3_BDPV12</stp>
        <stp xml:space="preserve"> Equity</stp>
        <stp>DVD_FREQ</stp>
        <stp>[EMN_IMS Bloomberg.xlsm  -  version 362.0. 25.11.2021 16.44]Dvd!R82C22</stp>
        <tr r="V82" s="50"/>
      </tp>
      <tp t="e">
        <v>#N/A</v>
        <stp/>
        <stp>##V3_BDPV12</stp>
        <stp xml:space="preserve"> Equity</stp>
        <stp>DVD_FREQ</stp>
        <stp>[EMN_IMS Bloomberg.xlsm  -  version 362.0. 25.11.2021 16.44]Dvd!R81C22</stp>
        <tr r="V81" s="50"/>
      </tp>
      <tp t="e">
        <v>#N/A</v>
        <stp/>
        <stp>##V3_BDPV12</stp>
        <stp xml:space="preserve"> Equity</stp>
        <stp>DVD_FREQ</stp>
        <stp>[EMN_IMS Bloomberg.xlsm  -  version 362.0. 25.11.2021 16.44]Dvd!R80C22</stp>
        <tr r="V80" s="50"/>
      </tp>
      <tp t="e">
        <v>#N/A</v>
        <stp/>
        <stp>##V3_BDPV12</stp>
        <stp xml:space="preserve"> Equity</stp>
        <stp>DVD_FREQ</stp>
        <stp>[EMN_IMS Bloomberg.xlsm  -  version 362.0. 25.11.2021 16.44]Dvd!R89C22</stp>
        <tr r="V89" s="50"/>
      </tp>
      <tp t="e">
        <v>#N/A</v>
        <stp/>
        <stp>##V3_BDPV12</stp>
        <stp xml:space="preserve"> Equity</stp>
        <stp>DVD_FREQ</stp>
        <stp>[EMN_IMS Bloomberg.xlsm  -  version 362.0. 25.11.2021 16.44]Dvd!R88C22</stp>
        <tr r="V88" s="50"/>
      </tp>
      <tp t="e">
        <v>#N/A</v>
        <stp/>
        <stp>##V3_BDPV12</stp>
        <stp xml:space="preserve"> Equity</stp>
        <stp>DVD_FREQ</stp>
        <stp>[EMN_IMS Bloomberg.xlsm  -  version 362.0. 25.11.2021 16.44]Dvd!R77C22</stp>
        <tr r="V77" s="50"/>
      </tp>
      <tp t="e">
        <v>#N/A</v>
        <stp/>
        <stp>##V3_BDPV12</stp>
        <stp xml:space="preserve"> Equity</stp>
        <stp>DVD_FREQ</stp>
        <stp>[EMN_IMS Bloomberg.xlsm  -  version 362.0. 25.11.2021 16.44]Dvd!R76C22</stp>
        <tr r="V76" s="50"/>
      </tp>
      <tp t="e">
        <v>#N/A</v>
        <stp/>
        <stp>##V3_BDPV12</stp>
        <stp xml:space="preserve"> Equity</stp>
        <stp>DVD_FREQ</stp>
        <stp>[EMN_IMS Bloomberg.xlsm  -  version 362.0. 25.11.2021 16.44]Dvd!R75C22</stp>
        <tr r="V75" s="50"/>
      </tp>
      <tp t="e">
        <v>#N/A</v>
        <stp/>
        <stp>##V3_BDPV12</stp>
        <stp xml:space="preserve"> Equity</stp>
        <stp>DVD_FREQ</stp>
        <stp>[EMN_IMS Bloomberg.xlsm  -  version 362.0. 25.11.2021 16.44]Dvd!R74C22</stp>
        <tr r="V74" s="50"/>
      </tp>
      <tp t="e">
        <v>#N/A</v>
        <stp/>
        <stp>##V3_BDPV12</stp>
        <stp xml:space="preserve"> Equity</stp>
        <stp>DVD_FREQ</stp>
        <stp>[EMN_IMS Bloomberg.xlsm  -  version 362.0. 25.11.2021 16.44]Dvd!R73C22</stp>
        <tr r="V73" s="50"/>
      </tp>
      <tp t="e">
        <v>#N/A</v>
        <stp/>
        <stp>##V3_BDPV12</stp>
        <stp xml:space="preserve"> Equity</stp>
        <stp>DVD_FREQ</stp>
        <stp>[EMN_IMS Bloomberg.xlsm  -  version 362.0. 25.11.2021 16.44]Dvd!R72C22</stp>
        <tr r="V72" s="50"/>
      </tp>
      <tp t="e">
        <v>#N/A</v>
        <stp/>
        <stp>##V3_BDPV12</stp>
        <stp xml:space="preserve"> Equity</stp>
        <stp>DVD_FREQ</stp>
        <stp>[EMN_IMS Bloomberg.xlsm  -  version 362.0. 25.11.2021 16.44]Dvd!R71C22</stp>
        <tr r="V71" s="50"/>
      </tp>
      <tp t="e">
        <v>#N/A</v>
        <stp/>
        <stp>##V3_BDPV12</stp>
        <stp xml:space="preserve"> Equity</stp>
        <stp>DVD_FREQ</stp>
        <stp>[EMN_IMS Bloomberg.xlsm  -  version 362.0. 25.11.2021 16.44]Dvd!R70C22</stp>
        <tr r="V70" s="50"/>
      </tp>
      <tp t="e">
        <v>#N/A</v>
        <stp/>
        <stp>##V3_BDPV12</stp>
        <stp xml:space="preserve"> Equity</stp>
        <stp>DVD_FREQ</stp>
        <stp>[EMN_IMS Bloomberg.xlsm  -  version 362.0. 25.11.2021 16.44]Dvd!R79C22</stp>
        <tr r="V79" s="50"/>
      </tp>
      <tp t="e">
        <v>#N/A</v>
        <stp/>
        <stp>##V3_BDPV12</stp>
        <stp xml:space="preserve"> Equity</stp>
        <stp>DVD_FREQ</stp>
        <stp>[EMN_IMS Bloomberg.xlsm  -  version 362.0. 25.11.2021 16.44]Dvd!R78C22</stp>
        <tr r="V78" s="50"/>
      </tp>
      <tp t="e">
        <v>#N/A</v>
        <stp/>
        <stp>##V3_BDPV12</stp>
        <stp xml:space="preserve"> Equity</stp>
        <stp>DVD_FREQ</stp>
        <stp>[EMN_IMS Bloomberg.xlsm  -  version 362.0. 25.11.2021 16.44]Dvd!R67C22</stp>
        <tr r="V67" s="50"/>
      </tp>
      <tp t="e">
        <v>#N/A</v>
        <stp/>
        <stp>##V3_BDPV12</stp>
        <stp xml:space="preserve"> Equity</stp>
        <stp>DVD_FREQ</stp>
        <stp>[EMN_IMS Bloomberg.xlsm  -  version 362.0. 25.11.2021 16.44]Dvd!R66C22</stp>
        <tr r="V66" s="50"/>
      </tp>
      <tp t="e">
        <v>#N/A</v>
        <stp/>
        <stp>##V3_BDPV12</stp>
        <stp xml:space="preserve"> Equity</stp>
        <stp>DVD_FREQ</stp>
        <stp>[EMN_IMS Bloomberg.xlsm  -  version 362.0. 25.11.2021 16.44]Dvd!R65C22</stp>
        <tr r="V65" s="50"/>
      </tp>
      <tp t="e">
        <v>#N/A</v>
        <stp/>
        <stp>##V3_BDPV12</stp>
        <stp xml:space="preserve"> Equity</stp>
        <stp>DVD_FREQ</stp>
        <stp>[EMN_IMS Bloomberg.xlsm  -  version 362.0. 25.11.2021 16.44]Dvd!R64C22</stp>
        <tr r="V64" s="50"/>
      </tp>
      <tp t="e">
        <v>#N/A</v>
        <stp/>
        <stp>##V3_BDPV12</stp>
        <stp xml:space="preserve"> Equity</stp>
        <stp>DVD_FREQ</stp>
        <stp>[EMN_IMS Bloomberg.xlsm  -  version 362.0. 25.11.2021 16.44]Dvd!R63C22</stp>
        <tr r="V63" s="50"/>
      </tp>
      <tp t="e">
        <v>#N/A</v>
        <stp/>
        <stp>##V3_BDPV12</stp>
        <stp xml:space="preserve"> Equity</stp>
        <stp>DVD_FREQ</stp>
        <stp>[EMN_IMS Bloomberg.xlsm  -  version 362.0. 25.11.2021 16.44]Dvd!R69C22</stp>
        <tr r="V69" s="50"/>
      </tp>
      <tp t="e">
        <v>#N/A</v>
        <stp/>
        <stp>##V3_BDPV12</stp>
        <stp xml:space="preserve"> Equity</stp>
        <stp>DVD_FREQ</stp>
        <stp>[EMN_IMS Bloomberg.xlsm  -  version 362.0. 25.11.2021 16.44]Dvd!R68C22</stp>
        <tr r="V68" s="50"/>
      </tp>
      <tp t="e">
        <v>#N/A</v>
        <stp/>
        <stp>##V3_BDPV12</stp>
        <stp xml:space="preserve"> Equity</stp>
        <stp>ID_ISIN</stp>
        <stp>[Copy of EMN_IMS Bloomberg.xlsm]TradesEquity!R712C5</stp>
        <stp>Fill</stp>
        <stp/>
        <tr r="E712" s="11"/>
      </tp>
      <tp t="e">
        <v>#N/A</v>
        <stp/>
        <stp>##V3_BDPV12</stp>
        <stp xml:space="preserve"> Equity</stp>
        <stp>ID_ISIN</stp>
        <stp>[Copy of EMN_IMS Bloomberg.xlsm]TradesEquity!R713C5</stp>
        <stp>Fill</stp>
        <stp/>
        <tr r="E713" s="11"/>
      </tp>
      <tp t="e">
        <v>#N/A</v>
        <stp/>
        <stp>##V3_BDPV12</stp>
        <stp xml:space="preserve"> Equity</stp>
        <stp>ID_ISIN</stp>
        <stp>[Copy of EMN_IMS Bloomberg.xlsm]TradesEquity!R710C5</stp>
        <stp>Fill</stp>
        <stp/>
        <tr r="E710" s="11"/>
      </tp>
      <tp t="e">
        <v>#N/A</v>
        <stp/>
        <stp>##V3_BDPV12</stp>
        <stp xml:space="preserve"> Equity</stp>
        <stp>ID_ISIN</stp>
        <stp>[Copy of EMN_IMS Bloomberg.xlsm]TradesEquity!R711C5</stp>
        <stp>Fill</stp>
        <stp/>
        <tr r="E711" s="11"/>
      </tp>
      <tp t="e">
        <v>#N/A</v>
        <stp/>
        <stp>##V3_BDPV12</stp>
        <stp xml:space="preserve"> Equity</stp>
        <stp>ID_ISIN</stp>
        <stp>[Copy of EMN_IMS Bloomberg.xlsm]TradesEquity!R716C5</stp>
        <stp>Fill</stp>
        <stp/>
        <tr r="E716" s="11"/>
      </tp>
      <tp t="e">
        <v>#N/A</v>
        <stp/>
        <stp>##V3_BDPV12</stp>
        <stp xml:space="preserve"> Equity</stp>
        <stp>ID_ISIN</stp>
        <stp>[Copy of EMN_IMS Bloomberg.xlsm]TradesEquity!R714C5</stp>
        <stp>Fill</stp>
        <stp/>
        <tr r="E714" s="11"/>
      </tp>
      <tp t="e">
        <v>#N/A</v>
        <stp/>
        <stp>##V3_BDPV12</stp>
        <stp xml:space="preserve"> Equity</stp>
        <stp>ID_ISIN</stp>
        <stp>[Copy of EMN_IMS Bloomberg.xlsm]TradesEquity!R715C5</stp>
        <stp>Fill</stp>
        <stp/>
        <tr r="E715" s="11"/>
      </tp>
      <tp t="e">
        <v>#N/A</v>
        <stp/>
        <stp>##V3_BDPV12</stp>
        <stp xml:space="preserve"> Equity</stp>
        <stp>ID_ISIN</stp>
        <stp>[Copy of EMN_IMS Bloomberg.xlsm]TradesEquity!R702C5</stp>
        <stp>Fill</stp>
        <stp/>
        <tr r="E702" s="11"/>
      </tp>
      <tp t="e">
        <v>#N/A</v>
        <stp/>
        <stp>##V3_BDPV12</stp>
        <stp xml:space="preserve"> Equity</stp>
        <stp>ID_ISIN</stp>
        <stp>[Copy of EMN_IMS Bloomberg.xlsm]TradesEquity!R703C5</stp>
        <stp>Fill</stp>
        <stp/>
        <tr r="E703" s="11"/>
      </tp>
      <tp t="e">
        <v>#N/A</v>
        <stp/>
        <stp>##V3_BDPV12</stp>
        <stp xml:space="preserve"> Equity</stp>
        <stp>ID_ISIN</stp>
        <stp>[Copy of EMN_IMS Bloomberg.xlsm]TradesEquity!R700C5</stp>
        <stp>Fill</stp>
        <stp/>
        <tr r="E700" s="11"/>
      </tp>
      <tp t="e">
        <v>#N/A</v>
        <stp/>
        <stp>##V3_BDPV12</stp>
        <stp xml:space="preserve"> Equity</stp>
        <stp>ID_ISIN</stp>
        <stp>[Copy of EMN_IMS Bloomberg.xlsm]TradesEquity!R701C5</stp>
        <stp>Fill</stp>
        <stp/>
        <tr r="E701" s="11"/>
      </tp>
      <tp t="e">
        <v>#N/A</v>
        <stp/>
        <stp>##V3_BDPV12</stp>
        <stp xml:space="preserve"> Equity</stp>
        <stp>ID_ISIN</stp>
        <stp>[Copy of EMN_IMS Bloomberg.xlsm]TradesEquity!R706C5</stp>
        <stp>Fill</stp>
        <stp/>
        <tr r="E706" s="11"/>
      </tp>
      <tp t="e">
        <v>#N/A</v>
        <stp/>
        <stp>##V3_BDPV12</stp>
        <stp xml:space="preserve"> Equity</stp>
        <stp>ID_ISIN</stp>
        <stp>[Copy of EMN_IMS Bloomberg.xlsm]TradesEquity!R707C5</stp>
        <stp>Fill</stp>
        <stp/>
        <tr r="E707" s="11"/>
      </tp>
      <tp t="e">
        <v>#N/A</v>
        <stp/>
        <stp>##V3_BDPV12</stp>
        <stp xml:space="preserve"> Equity</stp>
        <stp>ID_ISIN</stp>
        <stp>[Copy of EMN_IMS Bloomberg.xlsm]TradesEquity!R704C5</stp>
        <stp>Fill</stp>
        <stp/>
        <tr r="E704" s="11"/>
      </tp>
      <tp t="e">
        <v>#N/A</v>
        <stp/>
        <stp>##V3_BDPV12</stp>
        <stp xml:space="preserve"> Equity</stp>
        <stp>ID_ISIN</stp>
        <stp>[Copy of EMN_IMS Bloomberg.xlsm]TradesEquity!R705C5</stp>
        <stp>Fill</stp>
        <stp/>
        <tr r="E705" s="11"/>
      </tp>
      <tp t="e">
        <v>#N/A</v>
        <stp/>
        <stp>##V3_BDPV12</stp>
        <stp xml:space="preserve"> Equity</stp>
        <stp>ID_ISIN</stp>
        <stp>[Copy of EMN_IMS Bloomberg.xlsm]TradesEquity!R708C5</stp>
        <stp>Fill</stp>
        <stp/>
        <tr r="E708" s="11"/>
      </tp>
      <tp t="e">
        <v>#N/A</v>
        <stp/>
        <stp>##V3_BDPV12</stp>
        <stp xml:space="preserve"> Equity</stp>
        <stp>ID_ISIN</stp>
        <stp>[Copy of EMN_IMS Bloomberg.xlsm]TradesEquity!R709C5</stp>
        <stp>Fill</stp>
        <stp/>
        <tr r="E709" s="11"/>
      </tp>
      <tp t="e">
        <v>#N/A</v>
        <stp/>
        <stp>##V3_BDPV12</stp>
        <stp xml:space="preserve"> ISIN</stp>
        <stp>SECURITY_NAME</stp>
        <stp>[EMN_IMS Bloomberg.xlsm  -  version 362.0. 25.11.2021 16.44]Pre-check SELL!R117C3</stp>
        <tr r="C117" s="24"/>
      </tp>
      <tp t="e">
        <v>#N/A</v>
        <stp/>
        <stp>##V3_BDPV12</stp>
        <stp xml:space="preserve"> Equity</stp>
        <stp>ID_ISIN</stp>
        <stp>[Copy of EMN_IMS Bloomberg.xlsm]TradesEquity!R692C5</stp>
        <stp>Fill</stp>
        <stp/>
        <tr r="E692" s="11"/>
      </tp>
      <tp t="e">
        <v>#N/A</v>
        <stp/>
        <stp>##V3_BDPV12</stp>
        <stp xml:space="preserve"> Equity</stp>
        <stp>ID_ISIN</stp>
        <stp>[Copy of EMN_IMS Bloomberg.xlsm]TradesEquity!R693C5</stp>
        <stp>Fill</stp>
        <stp/>
        <tr r="E693" s="11"/>
      </tp>
      <tp t="e">
        <v>#N/A</v>
        <stp/>
        <stp>##V3_BDPV12</stp>
        <stp xml:space="preserve"> Equity</stp>
        <stp>ID_ISIN</stp>
        <stp>[Copy of EMN_IMS Bloomberg.xlsm]TradesEquity!R690C5</stp>
        <stp>Fill</stp>
        <stp/>
        <tr r="E690" s="11"/>
      </tp>
      <tp t="e">
        <v>#N/A</v>
        <stp/>
        <stp>##V3_BDPV12</stp>
        <stp xml:space="preserve"> Equity</stp>
        <stp>ID_ISIN</stp>
        <stp>[Copy of EMN_IMS Bloomberg.xlsm]TradesEquity!R691C5</stp>
        <stp>Fill</stp>
        <stp/>
        <tr r="E691" s="11"/>
      </tp>
      <tp t="e">
        <v>#N/A</v>
        <stp/>
        <stp>##V3_BDPV12</stp>
        <stp xml:space="preserve"> Equity</stp>
        <stp>ID_ISIN</stp>
        <stp>[Copy of EMN_IMS Bloomberg.xlsm]TradesEquity!R696C5</stp>
        <stp>Fill</stp>
        <stp/>
        <tr r="E696" s="11"/>
      </tp>
      <tp t="e">
        <v>#N/A</v>
        <stp/>
        <stp>##V3_BDPV12</stp>
        <stp xml:space="preserve"> Equity</stp>
        <stp>ID_ISIN</stp>
        <stp>[Copy of EMN_IMS Bloomberg.xlsm]TradesEquity!R697C5</stp>
        <stp>Fill</stp>
        <stp/>
        <tr r="E697" s="11"/>
      </tp>
      <tp t="e">
        <v>#N/A</v>
        <stp/>
        <stp>##V3_BDPV12</stp>
        <stp xml:space="preserve"> Equity</stp>
        <stp>ID_ISIN</stp>
        <stp>[Copy of EMN_IMS Bloomberg.xlsm]TradesEquity!R694C5</stp>
        <stp>Fill</stp>
        <stp/>
        <tr r="E694" s="11"/>
      </tp>
      <tp t="e">
        <v>#N/A</v>
        <stp/>
        <stp>##V3_BDPV12</stp>
        <stp xml:space="preserve"> Equity</stp>
        <stp>ID_ISIN</stp>
        <stp>[Copy of EMN_IMS Bloomberg.xlsm]TradesEquity!R695C5</stp>
        <stp>Fill</stp>
        <stp/>
        <tr r="E695" s="11"/>
      </tp>
      <tp t="e">
        <v>#N/A</v>
        <stp/>
        <stp>##V3_BDPV12</stp>
        <stp xml:space="preserve"> Equity</stp>
        <stp>ID_ISIN</stp>
        <stp>[Copy of EMN_IMS Bloomberg.xlsm]TradesEquity!R698C5</stp>
        <stp>Fill</stp>
        <stp/>
        <tr r="E698" s="11"/>
      </tp>
      <tp t="e">
        <v>#N/A</v>
        <stp/>
        <stp>##V3_BDPV12</stp>
        <stp xml:space="preserve"> Equity</stp>
        <stp>ID_ISIN</stp>
        <stp>[Copy of EMN_IMS Bloomberg.xlsm]TradesEquity!R699C5</stp>
        <stp>Fill</stp>
        <stp/>
        <tr r="E699" s="11"/>
      </tp>
      <tp t="e">
        <v>#N/A</v>
        <stp/>
        <stp>##V3_BDPV12</stp>
        <stp xml:space="preserve"> Equity</stp>
        <stp>ID_ISIN</stp>
        <stp>[Copy of EMN_IMS Bloomberg.xlsm]TradesEquity!R682C5</stp>
        <stp>Fill</stp>
        <stp/>
        <tr r="E682" s="11"/>
      </tp>
      <tp t="e">
        <v>#N/A</v>
        <stp/>
        <stp>##V3_BDPV12</stp>
        <stp xml:space="preserve"> Equity</stp>
        <stp>ID_ISIN</stp>
        <stp>[Copy of EMN_IMS Bloomberg.xlsm]TradesEquity!R683C5</stp>
        <stp>Fill</stp>
        <stp/>
        <tr r="E683" s="11"/>
      </tp>
      <tp t="e">
        <v>#N/A</v>
        <stp/>
        <stp>##V3_BDPV12</stp>
        <stp xml:space="preserve"> Equity</stp>
        <stp>ID_ISIN</stp>
        <stp>[Copy of EMN_IMS Bloomberg.xlsm]TradesEquity!R680C5</stp>
        <stp>Fill</stp>
        <stp/>
        <tr r="E680" s="11"/>
      </tp>
      <tp t="e">
        <v>#N/A</v>
        <stp/>
        <stp>##V3_BDPV12</stp>
        <stp xml:space="preserve"> Equity</stp>
        <stp>ID_ISIN</stp>
        <stp>[Copy of EMN_IMS Bloomberg.xlsm]TradesEquity!R681C5</stp>
        <stp>Fill</stp>
        <stp/>
        <tr r="E681" s="11"/>
      </tp>
      <tp t="e">
        <v>#N/A</v>
        <stp/>
        <stp>##V3_BDPV12</stp>
        <stp xml:space="preserve"> Equity</stp>
        <stp>ID_ISIN</stp>
        <stp>[Copy of EMN_IMS Bloomberg.xlsm]TradesEquity!R686C5</stp>
        <stp>Fill</stp>
        <stp/>
        <tr r="E686" s="11"/>
      </tp>
      <tp t="e">
        <v>#N/A</v>
        <stp/>
        <stp>##V3_BDPV12</stp>
        <stp xml:space="preserve"> Equity</stp>
        <stp>ID_ISIN</stp>
        <stp>[Copy of EMN_IMS Bloomberg.xlsm]TradesEquity!R687C5</stp>
        <stp>Fill</stp>
        <stp/>
        <tr r="E687" s="11"/>
      </tp>
      <tp t="e">
        <v>#N/A</v>
        <stp/>
        <stp>##V3_BDPV12</stp>
        <stp xml:space="preserve"> Equity</stp>
        <stp>ID_ISIN</stp>
        <stp>[Copy of EMN_IMS Bloomberg.xlsm]TradesEquity!R684C5</stp>
        <stp>Fill</stp>
        <stp/>
        <tr r="E684" s="11"/>
      </tp>
      <tp t="e">
        <v>#N/A</v>
        <stp/>
        <stp>##V3_BDPV12</stp>
        <stp xml:space="preserve"> Equity</stp>
        <stp>ID_ISIN</stp>
        <stp>[Copy of EMN_IMS Bloomberg.xlsm]TradesEquity!R685C5</stp>
        <stp>Fill</stp>
        <stp/>
        <tr r="E685" s="11"/>
      </tp>
      <tp t="e">
        <v>#N/A</v>
        <stp/>
        <stp>##V3_BDPV12</stp>
        <stp xml:space="preserve"> Equity</stp>
        <stp>ID_ISIN</stp>
        <stp>[Copy of EMN_IMS Bloomberg.xlsm]TradesEquity!R688C5</stp>
        <stp>Fill</stp>
        <stp/>
        <tr r="E688" s="11"/>
      </tp>
      <tp t="e">
        <v>#N/A</v>
        <stp/>
        <stp>##V3_BDPV12</stp>
        <stp xml:space="preserve"> Equity</stp>
        <stp>ID_ISIN</stp>
        <stp>[Copy of EMN_IMS Bloomberg.xlsm]TradesEquity!R689C5</stp>
        <stp>Fill</stp>
        <stp/>
        <tr r="E689" s="11"/>
      </tp>
      <tp t="e">
        <v>#N/A</v>
        <stp/>
        <stp>##V3_BDPV12</stp>
        <stp xml:space="preserve"> Equity</stp>
        <stp>ID_ISIN</stp>
        <stp>[Copy of EMN_IMS Bloomberg.xlsm]TradesEquity!R672C5</stp>
        <stp>Fill</stp>
        <stp/>
        <tr r="E672" s="11"/>
      </tp>
      <tp t="e">
        <v>#N/A</v>
        <stp/>
        <stp>##V3_BDPV12</stp>
        <stp xml:space="preserve"> Equity</stp>
        <stp>ID_ISIN</stp>
        <stp>[Copy of EMN_IMS Bloomberg.xlsm]TradesEquity!R673C5</stp>
        <stp>Fill</stp>
        <stp/>
        <tr r="E673" s="11"/>
      </tp>
      <tp t="e">
        <v>#N/A</v>
        <stp/>
        <stp>##V3_BDPV12</stp>
        <stp xml:space="preserve"> Equity</stp>
        <stp>ID_ISIN</stp>
        <stp>[Copy of EMN_IMS Bloomberg.xlsm]TradesEquity!R670C5</stp>
        <stp>Fill</stp>
        <stp/>
        <tr r="E670" s="11"/>
      </tp>
      <tp t="e">
        <v>#N/A</v>
        <stp/>
        <stp>##V3_BDPV12</stp>
        <stp xml:space="preserve"> Equity</stp>
        <stp>ID_ISIN</stp>
        <stp>[Copy of EMN_IMS Bloomberg.xlsm]TradesEquity!R671C5</stp>
        <stp>Fill</stp>
        <stp/>
        <tr r="E671" s="11"/>
      </tp>
      <tp t="e">
        <v>#N/A</v>
        <stp/>
        <stp>##V3_BDPV12</stp>
        <stp xml:space="preserve"> Equity</stp>
        <stp>ID_ISIN</stp>
        <stp>[Copy of EMN_IMS Bloomberg.xlsm]TradesEquity!R676C5</stp>
        <stp>Fill</stp>
        <stp/>
        <tr r="E676" s="11"/>
      </tp>
      <tp t="e">
        <v>#N/A</v>
        <stp/>
        <stp>##V3_BDPV12</stp>
        <stp xml:space="preserve"> Equity</stp>
        <stp>ID_ISIN</stp>
        <stp>[Copy of EMN_IMS Bloomberg.xlsm]TradesEquity!R677C5</stp>
        <stp>Fill</stp>
        <stp/>
        <tr r="E677" s="11"/>
      </tp>
      <tp t="e">
        <v>#N/A</v>
        <stp/>
        <stp>##V3_BDPV12</stp>
        <stp xml:space="preserve"> Equity</stp>
        <stp>ID_ISIN</stp>
        <stp>[Copy of EMN_IMS Bloomberg.xlsm]TradesEquity!R674C5</stp>
        <stp>Fill</stp>
        <stp/>
        <tr r="E674" s="11"/>
      </tp>
      <tp t="e">
        <v>#N/A</v>
        <stp/>
        <stp>##V3_BDPV12</stp>
        <stp xml:space="preserve"> Equity</stp>
        <stp>ID_ISIN</stp>
        <stp>[Copy of EMN_IMS Bloomberg.xlsm]TradesEquity!R675C5</stp>
        <stp>Fill</stp>
        <stp/>
        <tr r="E675" s="11"/>
      </tp>
      <tp t="e">
        <v>#N/A</v>
        <stp/>
        <stp>##V3_BDPV12</stp>
        <stp xml:space="preserve"> Equity</stp>
        <stp>ID_ISIN</stp>
        <stp>[Copy of EMN_IMS Bloomberg.xlsm]TradesEquity!R678C5</stp>
        <stp>Fill</stp>
        <stp/>
        <tr r="E678" s="11"/>
      </tp>
      <tp t="e">
        <v>#N/A</v>
        <stp/>
        <stp>##V3_BDPV12</stp>
        <stp xml:space="preserve"> Equity</stp>
        <stp>ID_ISIN</stp>
        <stp>[Copy of EMN_IMS Bloomberg.xlsm]TradesEquity!R679C5</stp>
        <stp>Fill</stp>
        <stp/>
        <tr r="E679" s="11"/>
      </tp>
      <tp t="e">
        <v>#N/A</v>
        <stp/>
        <stp>##V3_BDPV12</stp>
        <stp xml:space="preserve"> Equity</stp>
        <stp>ID_ISIN</stp>
        <stp>[Copy of EMN_IMS Bloomberg.xlsm]TradesEquity!R662C5</stp>
        <stp>Fill</stp>
        <stp/>
        <tr r="E662" s="11"/>
      </tp>
      <tp t="e">
        <v>#N/A</v>
        <stp/>
        <stp>##V3_BDPV12</stp>
        <stp xml:space="preserve"> Equity</stp>
        <stp>ID_ISIN</stp>
        <stp>[Copy of EMN_IMS Bloomberg.xlsm]TradesEquity!R663C5</stp>
        <stp>Fill</stp>
        <stp/>
        <tr r="E663" s="11"/>
      </tp>
      <tp t="e">
        <v>#N/A</v>
        <stp/>
        <stp>##V3_BDPV12</stp>
        <stp xml:space="preserve"> Equity</stp>
        <stp>ID_ISIN</stp>
        <stp>[Copy of EMN_IMS Bloomberg.xlsm]TradesEquity!R660C5</stp>
        <stp>Fill</stp>
        <stp/>
        <tr r="E660" s="11"/>
      </tp>
      <tp t="e">
        <v>#N/A</v>
        <stp/>
        <stp>##V3_BDPV12</stp>
        <stp xml:space="preserve"> Equity</stp>
        <stp>ID_ISIN</stp>
        <stp>[Copy of EMN_IMS Bloomberg.xlsm]TradesEquity!R661C5</stp>
        <stp>Fill</stp>
        <stp/>
        <tr r="E661" s="11"/>
      </tp>
      <tp t="e">
        <v>#N/A</v>
        <stp/>
        <stp>##V3_BDPV12</stp>
        <stp xml:space="preserve"> Equity</stp>
        <stp>ID_ISIN</stp>
        <stp>[Copy of EMN_IMS Bloomberg.xlsm]TradesEquity!R666C5</stp>
        <stp>Fill</stp>
        <stp/>
        <tr r="E666" s="11"/>
      </tp>
      <tp t="e">
        <v>#N/A</v>
        <stp/>
        <stp>##V3_BDPV12</stp>
        <stp xml:space="preserve"> Equity</stp>
        <stp>ID_ISIN</stp>
        <stp>[Copy of EMN_IMS Bloomberg.xlsm]TradesEquity!R667C5</stp>
        <stp>Fill</stp>
        <stp/>
        <tr r="E667" s="11"/>
      </tp>
      <tp t="e">
        <v>#N/A</v>
        <stp/>
        <stp>##V3_BDPV12</stp>
        <stp xml:space="preserve"> Equity</stp>
        <stp>ID_ISIN</stp>
        <stp>[Copy of EMN_IMS Bloomberg.xlsm]TradesEquity!R664C5</stp>
        <stp>Fill</stp>
        <stp/>
        <tr r="E664" s="11"/>
      </tp>
      <tp t="e">
        <v>#N/A</v>
        <stp/>
        <stp>##V3_BDPV12</stp>
        <stp xml:space="preserve"> Equity</stp>
        <stp>ID_ISIN</stp>
        <stp>[Copy of EMN_IMS Bloomberg.xlsm]TradesEquity!R665C5</stp>
        <stp>Fill</stp>
        <stp/>
        <tr r="E665" s="11"/>
      </tp>
      <tp t="e">
        <v>#N/A</v>
        <stp/>
        <stp>##V3_BDPV12</stp>
        <stp xml:space="preserve"> Equity</stp>
        <stp>ID_ISIN</stp>
        <stp>[Copy of EMN_IMS Bloomberg.xlsm]TradesEquity!R668C5</stp>
        <stp>Fill</stp>
        <stp/>
        <tr r="E668" s="11"/>
      </tp>
      <tp t="e">
        <v>#N/A</v>
        <stp/>
        <stp>##V3_BDPV12</stp>
        <stp xml:space="preserve"> Equity</stp>
        <stp>ID_ISIN</stp>
        <stp>[Copy of EMN_IMS Bloomberg.xlsm]TradesEquity!R669C5</stp>
        <stp>Fill</stp>
        <stp/>
        <tr r="E669" s="11"/>
      </tp>
      <tp t="e">
        <v>#N/A</v>
        <stp/>
        <stp>##V3_BDPV12</stp>
        <stp xml:space="preserve"> Equity</stp>
        <stp>ID_ISIN</stp>
        <stp>[Copy of EMN_IMS Bloomberg.xlsm]TradesEquity!R652C5</stp>
        <stp>Fill</stp>
        <stp/>
        <tr r="E652" s="11"/>
      </tp>
      <tp t="e">
        <v>#N/A</v>
        <stp/>
        <stp>##V3_BDPV12</stp>
        <stp xml:space="preserve"> Equity</stp>
        <stp>ID_ISIN</stp>
        <stp>[Copy of EMN_IMS Bloomberg.xlsm]TradesEquity!R653C5</stp>
        <stp>Fill</stp>
        <stp/>
        <tr r="E653" s="11"/>
      </tp>
      <tp t="e">
        <v>#N/A</v>
        <stp/>
        <stp>##V3_BDPV12</stp>
        <stp xml:space="preserve"> Equity</stp>
        <stp>ID_ISIN</stp>
        <stp>[Copy of EMN_IMS Bloomberg.xlsm]TradesEquity!R650C5</stp>
        <stp>Fill</stp>
        <stp/>
        <tr r="E650" s="11"/>
      </tp>
      <tp t="e">
        <v>#N/A</v>
        <stp/>
        <stp>##V3_BDPV12</stp>
        <stp xml:space="preserve"> Equity</stp>
        <stp>ID_ISIN</stp>
        <stp>[Copy of EMN_IMS Bloomberg.xlsm]TradesEquity!R651C5</stp>
        <stp>Fill</stp>
        <stp/>
        <tr r="E651" s="11"/>
      </tp>
      <tp t="e">
        <v>#N/A</v>
        <stp/>
        <stp>##V3_BDPV12</stp>
        <stp xml:space="preserve"> Equity</stp>
        <stp>ID_ISIN</stp>
        <stp>[Copy of EMN_IMS Bloomberg.xlsm]TradesEquity!R656C5</stp>
        <stp>Fill</stp>
        <stp/>
        <tr r="E656" s="11"/>
      </tp>
      <tp t="e">
        <v>#N/A</v>
        <stp/>
        <stp>##V3_BDPV12</stp>
        <stp xml:space="preserve"> Equity</stp>
        <stp>ID_ISIN</stp>
        <stp>[Copy of EMN_IMS Bloomberg.xlsm]TradesEquity!R657C5</stp>
        <stp>Fill</stp>
        <stp/>
        <tr r="E657" s="11"/>
      </tp>
      <tp t="e">
        <v>#N/A</v>
        <stp/>
        <stp>##V3_BDPV12</stp>
        <stp xml:space="preserve"> Equity</stp>
        <stp>ID_ISIN</stp>
        <stp>[Copy of EMN_IMS Bloomberg.xlsm]TradesEquity!R654C5</stp>
        <stp>Fill</stp>
        <stp/>
        <tr r="E654" s="11"/>
      </tp>
      <tp t="e">
        <v>#N/A</v>
        <stp/>
        <stp>##V3_BDPV12</stp>
        <stp xml:space="preserve"> Equity</stp>
        <stp>ID_ISIN</stp>
        <stp>[Copy of EMN_IMS Bloomberg.xlsm]TradesEquity!R655C5</stp>
        <stp>Fill</stp>
        <stp/>
        <tr r="E655" s="11"/>
      </tp>
      <tp t="e">
        <v>#N/A</v>
        <stp/>
        <stp>##V3_BDPV12</stp>
        <stp xml:space="preserve"> Equity</stp>
        <stp>ID_ISIN</stp>
        <stp>[Copy of EMN_IMS Bloomberg.xlsm]TradesEquity!R658C5</stp>
        <stp>Fill</stp>
        <stp/>
        <tr r="E658" s="11"/>
      </tp>
      <tp t="e">
        <v>#N/A</v>
        <stp/>
        <stp>##V3_BDPV12</stp>
        <stp xml:space="preserve"> Equity</stp>
        <stp>ID_ISIN</stp>
        <stp>[Copy of EMN_IMS Bloomberg.xlsm]TradesEquity!R659C5</stp>
        <stp>Fill</stp>
        <stp/>
        <tr r="E659" s="11"/>
      </tp>
      <tp t="e">
        <v>#N/A</v>
        <stp/>
        <stp>##V3_BDPV12</stp>
        <stp xml:space="preserve"> Equity</stp>
        <stp>ID_ISIN</stp>
        <stp>[Copy of EMN_IMS Bloomberg.xlsm]TradesEquity!R642C5</stp>
        <stp>Fill</stp>
        <stp/>
        <tr r="E642" s="11"/>
      </tp>
      <tp t="e">
        <v>#N/A</v>
        <stp/>
        <stp>##V3_BDPV12</stp>
        <stp xml:space="preserve"> Equity</stp>
        <stp>ID_ISIN</stp>
        <stp>[Copy of EMN_IMS Bloomberg.xlsm]TradesEquity!R643C5</stp>
        <stp>Fill</stp>
        <stp/>
        <tr r="E643" s="11"/>
      </tp>
      <tp t="e">
        <v>#N/A</v>
        <stp/>
        <stp>##V3_BDPV12</stp>
        <stp xml:space="preserve"> Equity</stp>
        <stp>ID_ISIN</stp>
        <stp>[Copy of EMN_IMS Bloomberg.xlsm]TradesEquity!R640C5</stp>
        <stp>Fill</stp>
        <stp/>
        <tr r="E640" s="11"/>
      </tp>
      <tp t="e">
        <v>#N/A</v>
        <stp/>
        <stp>##V3_BDPV12</stp>
        <stp xml:space="preserve"> Equity</stp>
        <stp>ID_ISIN</stp>
        <stp>[Copy of EMN_IMS Bloomberg.xlsm]TradesEquity!R641C5</stp>
        <stp>Fill</stp>
        <stp/>
        <tr r="E641" s="11"/>
      </tp>
      <tp t="e">
        <v>#N/A</v>
        <stp/>
        <stp>##V3_BDPV12</stp>
        <stp xml:space="preserve"> Equity</stp>
        <stp>ID_ISIN</stp>
        <stp>[Copy of EMN_IMS Bloomberg.xlsm]TradesEquity!R646C5</stp>
        <stp>Fill</stp>
        <stp/>
        <tr r="E646" s="11"/>
      </tp>
      <tp t="e">
        <v>#N/A</v>
        <stp/>
        <stp>##V3_BDPV12</stp>
        <stp xml:space="preserve"> Equity</stp>
        <stp>ID_ISIN</stp>
        <stp>[Copy of EMN_IMS Bloomberg.xlsm]TradesEquity!R647C5</stp>
        <stp>Fill</stp>
        <stp/>
        <tr r="E647" s="11"/>
      </tp>
      <tp t="e">
        <v>#N/A</v>
        <stp/>
        <stp>##V3_BDPV12</stp>
        <stp xml:space="preserve"> Equity</stp>
        <stp>ID_ISIN</stp>
        <stp>[Copy of EMN_IMS Bloomberg.xlsm]TradesEquity!R644C5</stp>
        <stp>Fill</stp>
        <stp/>
        <tr r="E644" s="11"/>
      </tp>
      <tp t="e">
        <v>#N/A</v>
        <stp/>
        <stp>##V3_BDPV12</stp>
        <stp xml:space="preserve"> Equity</stp>
        <stp>ID_ISIN</stp>
        <stp>[Copy of EMN_IMS Bloomberg.xlsm]TradesEquity!R645C5</stp>
        <stp>Fill</stp>
        <stp/>
        <tr r="E645" s="11"/>
      </tp>
      <tp t="e">
        <v>#N/A</v>
        <stp/>
        <stp>##V3_BDPV12</stp>
        <stp xml:space="preserve"> Equity</stp>
        <stp>ID_ISIN</stp>
        <stp>[Copy of EMN_IMS Bloomberg.xlsm]TradesEquity!R648C5</stp>
        <stp>Fill</stp>
        <stp/>
        <tr r="E648" s="11"/>
      </tp>
      <tp t="e">
        <v>#N/A</v>
        <stp/>
        <stp>##V3_BDPV12</stp>
        <stp xml:space="preserve"> Equity</stp>
        <stp>ID_ISIN</stp>
        <stp>[Copy of EMN_IMS Bloomberg.xlsm]TradesEquity!R649C5</stp>
        <stp>Fill</stp>
        <stp/>
        <tr r="E649" s="11"/>
      </tp>
      <tp t="e">
        <v>#N/A</v>
        <stp/>
        <stp>##V3_BDPV12</stp>
        <stp xml:space="preserve"> Equity</stp>
        <stp>ID_ISIN</stp>
        <stp>[Copy of EMN_IMS Bloomberg.xlsm]TradesEquity!R632C5</stp>
        <stp>Fill</stp>
        <stp/>
        <tr r="E632" s="11"/>
      </tp>
      <tp t="e">
        <v>#N/A</v>
        <stp/>
        <stp>##V3_BDPV12</stp>
        <stp xml:space="preserve"> Equity</stp>
        <stp>ID_ISIN</stp>
        <stp>[Copy of EMN_IMS Bloomberg.xlsm]TradesEquity!R633C5</stp>
        <stp>Fill</stp>
        <stp/>
        <tr r="E633" s="11"/>
      </tp>
      <tp t="e">
        <v>#N/A</v>
        <stp/>
        <stp>##V3_BDPV12</stp>
        <stp xml:space="preserve"> Equity</stp>
        <stp>ID_ISIN</stp>
        <stp>[Copy of EMN_IMS Bloomberg.xlsm]TradesEquity!R630C5</stp>
        <stp>Fill</stp>
        <stp/>
        <tr r="E630" s="11"/>
      </tp>
      <tp t="e">
        <v>#N/A</v>
        <stp/>
        <stp>##V3_BDPV12</stp>
        <stp xml:space="preserve"> Equity</stp>
        <stp>ID_ISIN</stp>
        <stp>[Copy of EMN_IMS Bloomberg.xlsm]TradesEquity!R631C5</stp>
        <stp>Fill</stp>
        <stp/>
        <tr r="E631" s="11"/>
      </tp>
      <tp t="e">
        <v>#N/A</v>
        <stp/>
        <stp>##V3_BDPV12</stp>
        <stp xml:space="preserve"> Equity</stp>
        <stp>ID_ISIN</stp>
        <stp>[Copy of EMN_IMS Bloomberg.xlsm]TradesEquity!R636C5</stp>
        <stp>Fill</stp>
        <stp/>
        <tr r="E636" s="11"/>
      </tp>
      <tp t="e">
        <v>#N/A</v>
        <stp/>
        <stp>##V3_BDPV12</stp>
        <stp xml:space="preserve"> Equity</stp>
        <stp>ID_ISIN</stp>
        <stp>[Copy of EMN_IMS Bloomberg.xlsm]TradesEquity!R637C5</stp>
        <stp>Fill</stp>
        <stp/>
        <tr r="E637" s="11"/>
      </tp>
      <tp t="e">
        <v>#N/A</v>
        <stp/>
        <stp>##V3_BDPV12</stp>
        <stp xml:space="preserve"> Equity</stp>
        <stp>ID_ISIN</stp>
        <stp>[Copy of EMN_IMS Bloomberg.xlsm]TradesEquity!R634C5</stp>
        <stp>Fill</stp>
        <stp/>
        <tr r="E634" s="11"/>
      </tp>
      <tp t="e">
        <v>#N/A</v>
        <stp/>
        <stp>##V3_BDPV12</stp>
        <stp xml:space="preserve"> Equity</stp>
        <stp>ID_ISIN</stp>
        <stp>[Copy of EMN_IMS Bloomberg.xlsm]TradesEquity!R635C5</stp>
        <stp>Fill</stp>
        <stp/>
        <tr r="E635" s="11"/>
      </tp>
      <tp t="e">
        <v>#N/A</v>
        <stp/>
        <stp>##V3_BDPV12</stp>
        <stp xml:space="preserve"> Equity</stp>
        <stp>ID_ISIN</stp>
        <stp>[Copy of EMN_IMS Bloomberg.xlsm]TradesEquity!R638C5</stp>
        <stp>Fill</stp>
        <stp/>
        <tr r="E638" s="11"/>
      </tp>
      <tp t="e">
        <v>#N/A</v>
        <stp/>
        <stp>##V3_BDPV12</stp>
        <stp xml:space="preserve"> Equity</stp>
        <stp>ID_ISIN</stp>
        <stp>[Copy of EMN_IMS Bloomberg.xlsm]TradesEquity!R639C5</stp>
        <stp>Fill</stp>
        <stp/>
        <tr r="E639" s="11"/>
      </tp>
      <tp t="e">
        <v>#N/A</v>
        <stp/>
        <stp>##V3_BDPV12</stp>
        <stp xml:space="preserve"> Equity</stp>
        <stp>ID_ISIN</stp>
        <stp>[Copy of EMN_IMS Bloomberg.xlsm]TradesEquity!R622C5</stp>
        <stp>Fill</stp>
        <stp/>
        <tr r="E622" s="11"/>
      </tp>
      <tp t="e">
        <v>#N/A</v>
        <stp/>
        <stp>##V3_BDPV12</stp>
        <stp xml:space="preserve"> Equity</stp>
        <stp>ID_ISIN</stp>
        <stp>[Copy of EMN_IMS Bloomberg.xlsm]TradesEquity!R623C5</stp>
        <stp>Fill</stp>
        <stp/>
        <tr r="E623" s="11"/>
      </tp>
      <tp t="e">
        <v>#N/A</v>
        <stp/>
        <stp>##V3_BDPV12</stp>
        <stp xml:space="preserve"> Equity</stp>
        <stp>ID_ISIN</stp>
        <stp>[Copy of EMN_IMS Bloomberg.xlsm]TradesEquity!R620C5</stp>
        <stp>Fill</stp>
        <stp/>
        <tr r="E620" s="11"/>
      </tp>
      <tp t="e">
        <v>#N/A</v>
        <stp/>
        <stp>##V3_BDPV12</stp>
        <stp xml:space="preserve"> Equity</stp>
        <stp>ID_ISIN</stp>
        <stp>[Copy of EMN_IMS Bloomberg.xlsm]TradesEquity!R621C5</stp>
        <stp>Fill</stp>
        <stp/>
        <tr r="E621" s="11"/>
      </tp>
      <tp t="e">
        <v>#N/A</v>
        <stp/>
        <stp>##V3_BDPV12</stp>
        <stp xml:space="preserve"> Equity</stp>
        <stp>ID_ISIN</stp>
        <stp>[Copy of EMN_IMS Bloomberg.xlsm]TradesEquity!R626C5</stp>
        <stp>Fill</stp>
        <stp/>
        <tr r="E626" s="11"/>
      </tp>
      <tp t="e">
        <v>#N/A</v>
        <stp/>
        <stp>##V3_BDPV12</stp>
        <stp xml:space="preserve"> Equity</stp>
        <stp>ID_ISIN</stp>
        <stp>[Copy of EMN_IMS Bloomberg.xlsm]TradesEquity!R627C5</stp>
        <stp>Fill</stp>
        <stp/>
        <tr r="E627" s="11"/>
      </tp>
      <tp t="e">
        <v>#N/A</v>
        <stp/>
        <stp>##V3_BDPV12</stp>
        <stp xml:space="preserve"> Equity</stp>
        <stp>ID_ISIN</stp>
        <stp>[Copy of EMN_IMS Bloomberg.xlsm]TradesEquity!R624C5</stp>
        <stp>Fill</stp>
        <stp/>
        <tr r="E624" s="11"/>
      </tp>
      <tp t="e">
        <v>#N/A</v>
        <stp/>
        <stp>##V3_BDPV12</stp>
        <stp xml:space="preserve"> Equity</stp>
        <stp>ID_ISIN</stp>
        <stp>[Copy of EMN_IMS Bloomberg.xlsm]TradesEquity!R625C5</stp>
        <stp>Fill</stp>
        <stp/>
        <tr r="E625" s="11"/>
      </tp>
      <tp t="e">
        <v>#N/A</v>
        <stp/>
        <stp>##V3_BDPV12</stp>
        <stp xml:space="preserve"> Equity</stp>
        <stp>ID_ISIN</stp>
        <stp>[Copy of EMN_IMS Bloomberg.xlsm]TradesEquity!R628C5</stp>
        <stp>Fill</stp>
        <stp/>
        <tr r="E628" s="11"/>
      </tp>
      <tp t="e">
        <v>#N/A</v>
        <stp/>
        <stp>##V3_BDPV12</stp>
        <stp xml:space="preserve"> Equity</stp>
        <stp>ID_ISIN</stp>
        <stp>[Copy of EMN_IMS Bloomberg.xlsm]TradesEquity!R629C5</stp>
        <stp>Fill</stp>
        <stp/>
        <tr r="E629" s="11"/>
      </tp>
      <tp t="e">
        <v>#N/A</v>
        <stp/>
        <stp>##V3_BDPV12</stp>
        <stp xml:space="preserve"> Equity</stp>
        <stp>ID_ISIN</stp>
        <stp>[Copy of EMN_IMS Bloomberg.xlsm]TradesEquity!R612C5</stp>
        <stp>Fill</stp>
        <stp/>
        <tr r="E612" s="11"/>
      </tp>
      <tp t="e">
        <v>#N/A</v>
        <stp/>
        <stp>##V3_BDPV12</stp>
        <stp xml:space="preserve"> Equity</stp>
        <stp>ID_ISIN</stp>
        <stp>[Copy of EMN_IMS Bloomberg.xlsm]TradesEquity!R613C5</stp>
        <stp>Fill</stp>
        <stp/>
        <tr r="E613" s="11"/>
      </tp>
      <tp t="e">
        <v>#N/A</v>
        <stp/>
        <stp>##V3_BDPV12</stp>
        <stp xml:space="preserve"> Equity</stp>
        <stp>ID_ISIN</stp>
        <stp>[Copy of EMN_IMS Bloomberg.xlsm]TradesEquity!R610C5</stp>
        <stp>Fill</stp>
        <stp/>
        <tr r="E610" s="11"/>
      </tp>
      <tp t="e">
        <v>#N/A</v>
        <stp/>
        <stp>##V3_BDPV12</stp>
        <stp xml:space="preserve"> Equity</stp>
        <stp>ID_ISIN</stp>
        <stp>[Copy of EMN_IMS Bloomberg.xlsm]TradesEquity!R611C5</stp>
        <stp>Fill</stp>
        <stp/>
        <tr r="E611" s="11"/>
      </tp>
      <tp t="e">
        <v>#N/A</v>
        <stp/>
        <stp>##V3_BDPV12</stp>
        <stp xml:space="preserve"> Equity</stp>
        <stp>ID_ISIN</stp>
        <stp>[Copy of EMN_IMS Bloomberg.xlsm]TradesEquity!R616C5</stp>
        <stp>Fill</stp>
        <stp/>
        <tr r="E616" s="11"/>
      </tp>
      <tp t="e">
        <v>#N/A</v>
        <stp/>
        <stp>##V3_BDPV12</stp>
        <stp xml:space="preserve"> Equity</stp>
        <stp>ID_ISIN</stp>
        <stp>[Copy of EMN_IMS Bloomberg.xlsm]TradesEquity!R617C5</stp>
        <stp>Fill</stp>
        <stp/>
        <tr r="E617" s="11"/>
      </tp>
      <tp t="e">
        <v>#N/A</v>
        <stp/>
        <stp>##V3_BDPV12</stp>
        <stp xml:space="preserve"> Equity</stp>
        <stp>ID_ISIN</stp>
        <stp>[Copy of EMN_IMS Bloomberg.xlsm]TradesEquity!R614C5</stp>
        <stp>Fill</stp>
        <stp/>
        <tr r="E614" s="11"/>
      </tp>
      <tp t="e">
        <v>#N/A</v>
        <stp/>
        <stp>##V3_BDPV12</stp>
        <stp xml:space="preserve"> Equity</stp>
        <stp>ID_ISIN</stp>
        <stp>[Copy of EMN_IMS Bloomberg.xlsm]TradesEquity!R615C5</stp>
        <stp>Fill</stp>
        <stp/>
        <tr r="E615" s="11"/>
      </tp>
      <tp t="e">
        <v>#N/A</v>
        <stp/>
        <stp>##V3_BDPV12</stp>
        <stp xml:space="preserve"> Equity</stp>
        <stp>ID_ISIN</stp>
        <stp>[Copy of EMN_IMS Bloomberg.xlsm]TradesEquity!R618C5</stp>
        <stp>Fill</stp>
        <stp/>
        <tr r="E618" s="11"/>
      </tp>
      <tp t="e">
        <v>#N/A</v>
        <stp/>
        <stp>##V3_BDPV12</stp>
        <stp xml:space="preserve"> Equity</stp>
        <stp>ID_ISIN</stp>
        <stp>[Copy of EMN_IMS Bloomberg.xlsm]TradesEquity!R619C5</stp>
        <stp>Fill</stp>
        <stp/>
        <tr r="E619" s="11"/>
      </tp>
      <tp t="e">
        <v>#N/A</v>
        <stp/>
        <stp>##V3_BDPV12</stp>
        <stp xml:space="preserve"> Equity</stp>
        <stp>ID_ISIN</stp>
        <stp>[Copy of EMN_IMS Bloomberg.xlsm]TradesEquity!R602C5</stp>
        <stp>Fill</stp>
        <stp/>
        <tr r="E602" s="11"/>
      </tp>
      <tp t="e">
        <v>#N/A</v>
        <stp/>
        <stp>##V3_BDPV12</stp>
        <stp xml:space="preserve"> Equity</stp>
        <stp>ID_ISIN</stp>
        <stp>[Copy of EMN_IMS Bloomberg.xlsm]TradesEquity!R603C5</stp>
        <stp>Fill</stp>
        <stp/>
        <tr r="E603" s="11"/>
      </tp>
      <tp t="e">
        <v>#N/A</v>
        <stp/>
        <stp>##V3_BDPV12</stp>
        <stp xml:space="preserve"> Equity</stp>
        <stp>ID_ISIN</stp>
        <stp>[Copy of EMN_IMS Bloomberg.xlsm]TradesEquity!R600C5</stp>
        <stp>Fill</stp>
        <stp/>
        <tr r="E600" s="11"/>
      </tp>
      <tp t="e">
        <v>#N/A</v>
        <stp/>
        <stp>##V3_BDPV12</stp>
        <stp xml:space="preserve"> Equity</stp>
        <stp>ID_ISIN</stp>
        <stp>[Copy of EMN_IMS Bloomberg.xlsm]TradesEquity!R601C5</stp>
        <stp>Fill</stp>
        <stp/>
        <tr r="E601" s="11"/>
      </tp>
      <tp t="e">
        <v>#N/A</v>
        <stp/>
        <stp>##V3_BDPV12</stp>
        <stp xml:space="preserve"> Equity</stp>
        <stp>ID_ISIN</stp>
        <stp>[Copy of EMN_IMS Bloomberg.xlsm]TradesEquity!R606C5</stp>
        <stp>Fill</stp>
        <stp/>
        <tr r="E606" s="11"/>
      </tp>
      <tp t="e">
        <v>#N/A</v>
        <stp/>
        <stp>##V3_BDPV12</stp>
        <stp xml:space="preserve"> Equity</stp>
        <stp>ID_ISIN</stp>
        <stp>[Copy of EMN_IMS Bloomberg.xlsm]TradesEquity!R607C5</stp>
        <stp>Fill</stp>
        <stp/>
        <tr r="E607" s="11"/>
      </tp>
      <tp t="e">
        <v>#N/A</v>
        <stp/>
        <stp>##V3_BDPV12</stp>
        <stp xml:space="preserve"> Equity</stp>
        <stp>ID_ISIN</stp>
        <stp>[Copy of EMN_IMS Bloomberg.xlsm]TradesEquity!R604C5</stp>
        <stp>Fill</stp>
        <stp/>
        <tr r="E604" s="11"/>
      </tp>
      <tp t="e">
        <v>#N/A</v>
        <stp/>
        <stp>##V3_BDPV12</stp>
        <stp xml:space="preserve"> Equity</stp>
        <stp>ID_ISIN</stp>
        <stp>[Copy of EMN_IMS Bloomberg.xlsm]TradesEquity!R605C5</stp>
        <stp>Fill</stp>
        <stp/>
        <tr r="E605" s="11"/>
      </tp>
      <tp t="e">
        <v>#N/A</v>
        <stp/>
        <stp>##V3_BDPV12</stp>
        <stp xml:space="preserve"> Equity</stp>
        <stp>ID_ISIN</stp>
        <stp>[Copy of EMN_IMS Bloomberg.xlsm]TradesEquity!R608C5</stp>
        <stp>Fill</stp>
        <stp/>
        <tr r="E608" s="11"/>
      </tp>
      <tp t="e">
        <v>#N/A</v>
        <stp/>
        <stp>##V3_BDPV12</stp>
        <stp xml:space="preserve"> Equity</stp>
        <stp>ID_ISIN</stp>
        <stp>[Copy of EMN_IMS Bloomberg.xlsm]TradesEquity!R609C5</stp>
        <stp>Fill</stp>
        <stp/>
        <tr r="E609" s="11"/>
      </tp>
      <tp t="e">
        <v>#N/A</v>
        <stp/>
        <stp>##V3_BDPV12</stp>
        <stp xml:space="preserve"> Equity</stp>
        <stp>dvd_sh_last</stp>
        <stp>[EMN_IMS Bloomberg.xlsm  -  version 362.0. 25.11.2021 16.44]Dvd!R64C5</stp>
        <tr r="E64" s="50"/>
      </tp>
      <tp t="e">
        <v>#N/A</v>
        <stp/>
        <stp>##V3_BDPV12</stp>
        <stp xml:space="preserve"> Equity</stp>
        <stp>dvd_sh_last</stp>
        <stp>[EMN_IMS Bloomberg.xlsm  -  version 362.0. 25.11.2021 16.44]Dvd!R74C5</stp>
        <tr r="E74" s="50"/>
      </tp>
      <tp t="e">
        <v>#N/A</v>
        <stp/>
        <stp>##V3_BDPV12</stp>
        <stp xml:space="preserve"> Equity</stp>
        <stp>dvd_sh_last</stp>
        <stp>[EMN_IMS Bloomberg.xlsm  -  version 362.0. 25.11.2021 16.44]Dvd!R84C5</stp>
        <tr r="E84" s="50"/>
      </tp>
      <tp t="e">
        <v>#N/A</v>
        <stp/>
        <stp>##V3_BDPV12</stp>
        <stp xml:space="preserve"> Equity</stp>
        <stp>dvd_sh_last</stp>
        <stp>[EMN_IMS Bloomberg.xlsm  -  version 362.0. 25.11.2021 16.44]Dvd!R94C5</stp>
        <tr r="E94" s="50"/>
      </tp>
      <tp t="e">
        <v>#N/A</v>
        <stp/>
        <stp>##V3_BDPV12</stp>
        <stp xml:space="preserve"> Equity</stp>
        <stp>dvd_sh_last</stp>
        <stp>[EMN_IMS Bloomberg.xlsm  -  version 362.0. 25.11.2021 16.44]Dvd!R65C5</stp>
        <tr r="E65" s="50"/>
      </tp>
      <tp t="e">
        <v>#N/A</v>
        <stp/>
        <stp>##V3_BDPV12</stp>
        <stp xml:space="preserve"> Equity</stp>
        <stp>dvd_sh_last</stp>
        <stp>[EMN_IMS Bloomberg.xlsm  -  version 362.0. 25.11.2021 16.44]Dvd!R75C5</stp>
        <tr r="E75" s="50"/>
      </tp>
      <tp t="e">
        <v>#N/A</v>
        <stp/>
        <stp>##V3_BDPV12</stp>
        <stp xml:space="preserve"> Equity</stp>
        <stp>dvd_sh_last</stp>
        <stp>[EMN_IMS Bloomberg.xlsm  -  version 362.0. 25.11.2021 16.44]Dvd!R85C5</stp>
        <tr r="E85" s="50"/>
      </tp>
      <tp t="e">
        <v>#N/A</v>
        <stp/>
        <stp>##V3_BDPV12</stp>
        <stp xml:space="preserve"> Equity</stp>
        <stp>dvd_sh_last</stp>
        <stp>[EMN_IMS Bloomberg.xlsm  -  version 362.0. 25.11.2021 16.44]Dvd!R95C5</stp>
        <tr r="E95" s="50"/>
      </tp>
      <tp t="e">
        <v>#N/A</v>
        <stp/>
        <stp>##V3_BDPV12</stp>
        <stp xml:space="preserve"> Equity</stp>
        <stp>dvd_sh_last</stp>
        <stp>[EMN_IMS Bloomberg.xlsm  -  version 362.0. 25.11.2021 16.44]Dvd!R66C5</stp>
        <tr r="E66" s="50"/>
      </tp>
      <tp t="e">
        <v>#N/A</v>
        <stp/>
        <stp>##V3_BDPV12</stp>
        <stp xml:space="preserve"> Equity</stp>
        <stp>dvd_sh_last</stp>
        <stp>[EMN_IMS Bloomberg.xlsm  -  version 362.0. 25.11.2021 16.44]Dvd!R76C5</stp>
        <tr r="E76" s="50"/>
      </tp>
      <tp t="e">
        <v>#N/A</v>
        <stp/>
        <stp>##V3_BDPV12</stp>
        <stp xml:space="preserve"> Equity</stp>
        <stp>dvd_sh_last</stp>
        <stp>[EMN_IMS Bloomberg.xlsm  -  version 362.0. 25.11.2021 16.44]Dvd!R86C5</stp>
        <tr r="E86" s="50"/>
      </tp>
      <tp t="e">
        <v>#N/A</v>
        <stp/>
        <stp>##V3_BDPV12</stp>
        <stp xml:space="preserve"> Equity</stp>
        <stp>dvd_sh_last</stp>
        <stp>[EMN_IMS Bloomberg.xlsm  -  version 362.0. 25.11.2021 16.44]Dvd!R96C5</stp>
        <tr r="E96" s="50"/>
      </tp>
      <tp t="e">
        <v>#N/A</v>
        <stp/>
        <stp>##V3_BDPV12</stp>
        <stp xml:space="preserve"> Equity</stp>
        <stp>dvd_sh_last</stp>
        <stp>[EMN_IMS Bloomberg.xlsm  -  version 362.0. 25.11.2021 16.44]Dvd!R67C5</stp>
        <tr r="E67" s="50"/>
      </tp>
      <tp t="e">
        <v>#N/A</v>
        <stp/>
        <stp>##V3_BDPV12</stp>
        <stp xml:space="preserve"> Equity</stp>
        <stp>dvd_sh_last</stp>
        <stp>[EMN_IMS Bloomberg.xlsm  -  version 362.0. 25.11.2021 16.44]Dvd!R77C5</stp>
        <tr r="E77" s="50"/>
      </tp>
      <tp t="e">
        <v>#N/A</v>
        <stp/>
        <stp>##V3_BDPV12</stp>
        <stp xml:space="preserve"> Equity</stp>
        <stp>dvd_sh_last</stp>
        <stp>[EMN_IMS Bloomberg.xlsm  -  version 362.0. 25.11.2021 16.44]Dvd!R87C5</stp>
        <tr r="E87" s="50"/>
      </tp>
      <tp t="e">
        <v>#N/A</v>
        <stp/>
        <stp>##V3_BDPV12</stp>
        <stp xml:space="preserve"> Equity</stp>
        <stp>dvd_sh_last</stp>
        <stp>[EMN_IMS Bloomberg.xlsm  -  version 362.0. 25.11.2021 16.44]Dvd!R97C5</stp>
        <tr r="E97" s="50"/>
      </tp>
      <tp t="e">
        <v>#N/A</v>
        <stp/>
        <stp>##V3_BDPV12</stp>
        <stp xml:space="preserve"> Equity</stp>
        <stp>dvd_sh_last</stp>
        <stp>[EMN_IMS Bloomberg.xlsm  -  version 362.0. 25.11.2021 16.44]Dvd!R70C5</stp>
        <tr r="E70" s="50"/>
      </tp>
      <tp t="e">
        <v>#N/A</v>
        <stp/>
        <stp>##V3_BDPV12</stp>
        <stp xml:space="preserve"> Equity</stp>
        <stp>dvd_sh_last</stp>
        <stp>[EMN_IMS Bloomberg.xlsm  -  version 362.0. 25.11.2021 16.44]Dvd!R80C5</stp>
        <tr r="E80" s="50"/>
      </tp>
      <tp t="e">
        <v>#N/A</v>
        <stp/>
        <stp>##V3_BDPV12</stp>
        <stp xml:space="preserve"> Equity</stp>
        <stp>dvd_sh_last</stp>
        <stp>[EMN_IMS Bloomberg.xlsm  -  version 362.0. 25.11.2021 16.44]Dvd!R90C5</stp>
        <tr r="E90" s="50"/>
      </tp>
      <tp t="e">
        <v>#N/A</v>
        <stp/>
        <stp>##V3_BDPV12</stp>
        <stp xml:space="preserve"> Equity</stp>
        <stp>dvd_sh_last</stp>
        <stp>[EMN_IMS Bloomberg.xlsm  -  version 362.0. 25.11.2021 16.44]Dvd!R71C5</stp>
        <tr r="E71" s="50"/>
      </tp>
      <tp t="e">
        <v>#N/A</v>
        <stp/>
        <stp>##V3_BDPV12</stp>
        <stp xml:space="preserve"> Equity</stp>
        <stp>dvd_sh_last</stp>
        <stp>[EMN_IMS Bloomberg.xlsm  -  version 362.0. 25.11.2021 16.44]Dvd!R81C5</stp>
        <tr r="E81" s="50"/>
      </tp>
      <tp t="e">
        <v>#N/A</v>
        <stp/>
        <stp>##V3_BDPV12</stp>
        <stp xml:space="preserve"> Equity</stp>
        <stp>dvd_sh_last</stp>
        <stp>[EMN_IMS Bloomberg.xlsm  -  version 362.0. 25.11.2021 16.44]Dvd!R91C5</stp>
        <tr r="E91" s="50"/>
      </tp>
      <tp t="e">
        <v>#N/A</v>
        <stp/>
        <stp>##V3_BDPV12</stp>
        <stp xml:space="preserve"> Equity</stp>
        <stp>dvd_sh_last</stp>
        <stp>[EMN_IMS Bloomberg.xlsm  -  version 362.0. 25.11.2021 16.44]Dvd!R72C5</stp>
        <tr r="E72" s="50"/>
      </tp>
      <tp t="e">
        <v>#N/A</v>
        <stp/>
        <stp>##V3_BDPV12</stp>
        <stp xml:space="preserve"> Equity</stp>
        <stp>dvd_sh_last</stp>
        <stp>[EMN_IMS Bloomberg.xlsm  -  version 362.0. 25.11.2021 16.44]Dvd!R82C5</stp>
        <tr r="E82" s="50"/>
      </tp>
      <tp t="e">
        <v>#N/A</v>
        <stp/>
        <stp>##V3_BDPV12</stp>
        <stp xml:space="preserve"> Equity</stp>
        <stp>dvd_sh_last</stp>
        <stp>[EMN_IMS Bloomberg.xlsm  -  version 362.0. 25.11.2021 16.44]Dvd!R92C5</stp>
        <tr r="E92" s="50"/>
      </tp>
      <tp t="e">
        <v>#N/A</v>
        <stp/>
        <stp>##V3_BDPV12</stp>
        <stp xml:space="preserve"> Equity</stp>
        <stp>dvd_sh_last</stp>
        <stp>[EMN_IMS Bloomberg.xlsm  -  version 362.0. 25.11.2021 16.44]Dvd!R63C5</stp>
        <tr r="E63" s="50"/>
      </tp>
      <tp t="e">
        <v>#N/A</v>
        <stp/>
        <stp>##V3_BDPV12</stp>
        <stp xml:space="preserve"> Equity</stp>
        <stp>dvd_sh_last</stp>
        <stp>[EMN_IMS Bloomberg.xlsm  -  version 362.0. 25.11.2021 16.44]Dvd!R73C5</stp>
        <tr r="E73" s="50"/>
      </tp>
      <tp t="e">
        <v>#N/A</v>
        <stp/>
        <stp>##V3_BDPV12</stp>
        <stp xml:space="preserve"> Equity</stp>
        <stp>dvd_sh_last</stp>
        <stp>[EMN_IMS Bloomberg.xlsm  -  version 362.0. 25.11.2021 16.44]Dvd!R83C5</stp>
        <tr r="E83" s="50"/>
      </tp>
      <tp t="e">
        <v>#N/A</v>
        <stp/>
        <stp>##V3_BDPV12</stp>
        <stp xml:space="preserve"> Equity</stp>
        <stp>dvd_sh_last</stp>
        <stp>[EMN_IMS Bloomberg.xlsm  -  version 362.0. 25.11.2021 16.44]Dvd!R93C5</stp>
        <tr r="E93" s="50"/>
      </tp>
      <tp t="e">
        <v>#N/A</v>
        <stp/>
        <stp>##V3_BDPV12</stp>
        <stp xml:space="preserve"> Isin</stp>
        <stp>ID_BB_ULTIMATE_PARENT_CO_NAME</stp>
        <stp>[Copy of EMN_IMS Bloomberg.xlsm]PosAggregate!R132C32</stp>
        <tr r="AF132" s="2"/>
      </tp>
      <tp t="e">
        <v>#N/A</v>
        <stp/>
        <stp>##V3_BDPV12</stp>
        <stp xml:space="preserve"> Isin</stp>
        <stp>ID_BB_ULTIMATE_PARENT_CO_NAME</stp>
        <stp>[Copy of EMN_IMS Bloomberg.xlsm]PosAggregate!R133C32</stp>
        <tr r="AF133" s="2"/>
      </tp>
      <tp t="e">
        <v>#N/A</v>
        <stp/>
        <stp>##V3_BDPV12</stp>
        <stp xml:space="preserve"> Isin</stp>
        <stp>ID_BB_ULTIMATE_PARENT_CO_NAME</stp>
        <stp>[Copy of EMN_IMS Bloomberg.xlsm]PosAggregate!R130C32</stp>
        <tr r="AF130" s="2"/>
      </tp>
      <tp t="e">
        <v>#N/A</v>
        <stp/>
        <stp>##V3_BDPV12</stp>
        <stp xml:space="preserve"> Isin</stp>
        <stp>ID_BB_ULTIMATE_PARENT_CO_NAME</stp>
        <stp>[Copy of EMN_IMS Bloomberg.xlsm]PosAggregate!R131C32</stp>
        <tr r="AF131" s="2"/>
      </tp>
      <tp t="e">
        <v>#N/A</v>
        <stp/>
        <stp>##V3_BDPV12</stp>
        <stp xml:space="preserve"> Isin</stp>
        <stp>ID_BB_ULTIMATE_PARENT_CO_NAME</stp>
        <stp>[Copy of EMN_IMS Bloomberg.xlsm]PosAggregate!R136C32</stp>
        <tr r="AF136" s="2"/>
      </tp>
      <tp t="e">
        <v>#N/A</v>
        <stp/>
        <stp>##V3_BDPV12</stp>
        <stp xml:space="preserve"> Isin</stp>
        <stp>ID_BB_ULTIMATE_PARENT_CO_NAME</stp>
        <stp>[Copy of EMN_IMS Bloomberg.xlsm]PosAggregate!R134C32</stp>
        <tr r="AF134" s="2"/>
      </tp>
      <tp t="e">
        <v>#N/A</v>
        <stp/>
        <stp>##V3_BDPV12</stp>
        <stp xml:space="preserve"> Isin</stp>
        <stp>ID_BB_ULTIMATE_PARENT_CO_NAME</stp>
        <stp>[Copy of EMN_IMS Bloomberg.xlsm]PosAggregate!R135C32</stp>
        <tr r="AF135" s="2"/>
      </tp>
      <tp t="e">
        <v>#N/A</v>
        <stp/>
        <stp>##V3_BDPV12</stp>
        <stp xml:space="preserve"> Isin</stp>
        <stp>ID_BB_ULTIMATE_PARENT_CO_NAME</stp>
        <stp>[Copy of EMN_IMS Bloomberg.xlsm]PosAggregate!R139C32</stp>
        <tr r="AF139" s="2"/>
      </tp>
      <tp t="e">
        <v>#N/A</v>
        <stp/>
        <stp>##V3_BDPV12</stp>
        <stp xml:space="preserve"> Isin</stp>
        <stp>ID_BB_ULTIMATE_PARENT_CO_NAME</stp>
        <stp>[Copy of EMN_IMS Bloomberg.xlsm]PosAggregate!R124C32</stp>
        <tr r="AF124" s="2"/>
      </tp>
      <tp t="e">
        <v>#N/A</v>
        <stp/>
        <stp>##V3_BDPV12</stp>
        <stp xml:space="preserve"> Isin</stp>
        <stp>ID_BB_ULTIMATE_PARENT_CO_NAME</stp>
        <stp>[Copy of EMN_IMS Bloomberg.xlsm]PosAggregate!R125C32</stp>
        <tr r="AF125" s="2"/>
      </tp>
      <tp t="e">
        <v>#N/A</v>
        <stp/>
        <stp>##V3_BDPV12</stp>
        <stp xml:space="preserve"> Isin</stp>
        <stp>ID_BB_ULTIMATE_PARENT_CO_NAME</stp>
        <stp>[Copy of EMN_IMS Bloomberg.xlsm]PosAggregate!R128C32</stp>
        <tr r="AF128" s="2"/>
      </tp>
      <tp t="e">
        <v>#N/A</v>
        <stp/>
        <stp>##V3_BDPV12</stp>
        <stp xml:space="preserve"> Isin</stp>
        <stp>ID_BB_ULTIMATE_PARENT_CO_NAME</stp>
        <stp>[Copy of EMN_IMS Bloomberg.xlsm]PosAggregate!R129C32</stp>
        <tr r="AF129" s="2"/>
      </tp>
      <tp t="e">
        <v>#N/A</v>
        <stp/>
        <stp>##V3_BDPV12</stp>
        <stp xml:space="preserve"> Isin</stp>
        <stp>ID_BB_ULTIMATE_PARENT_CO_NAME</stp>
        <stp>[Copy of EMN_IMS Bloomberg.xlsm]PosAggregate!R142C32</stp>
        <tr r="AF142" s="2"/>
      </tp>
      <tp t="e">
        <v>#N/A</v>
        <stp/>
        <stp>##V3_BDPV12</stp>
        <stp xml:space="preserve"> Isin</stp>
        <stp>ID_BB_ULTIMATE_PARENT_CO_NAME</stp>
        <stp>[Copy of EMN_IMS Bloomberg.xlsm]PosAggregate!R140C32</stp>
        <tr r="AF140" s="2"/>
      </tp>
      <tp t="e">
        <v>#N/A</v>
        <stp/>
        <stp>##V3_BDPV12</stp>
        <stp xml:space="preserve"> Isin</stp>
        <stp>ID_BB_ULTIMATE_PARENT_CO_NAME</stp>
        <stp>[Copy of EMN_IMS Bloomberg.xlsm]PosAggregate!R141C32</stp>
        <tr r="AF141" s="2"/>
      </tp>
      <tp t="e">
        <v>#N/A</v>
        <stp/>
        <stp>##V3_BDPV12</stp>
        <stp xml:space="preserve"> Equity</stp>
        <stp>dvd_ex_dt</stp>
        <stp>[EMN_IMS Bloomberg.xlsm  -  version 362.0. 25.11.2021 16.44]Dvd!R100C6</stp>
        <tr r="F100" s="50"/>
      </tp>
      <tp t="e">
        <v>#N/A</v>
        <stp/>
        <stp>##V3_BDPV12</stp>
        <stp xml:space="preserve"> Equity</stp>
        <stp>dvd_sh_last</stp>
        <stp>[EMN_IMS Bloomberg.xlsm  -  version 362.0. 25.11.2021 16.44]Dvd!R68C5</stp>
        <tr r="E68" s="50"/>
      </tp>
      <tp t="e">
        <v>#N/A</v>
        <stp/>
        <stp>##V3_BDPV12</stp>
        <stp xml:space="preserve"> Equity</stp>
        <stp>dvd_sh_last</stp>
        <stp>[EMN_IMS Bloomberg.xlsm  -  version 362.0. 25.11.2021 16.44]Dvd!R78C5</stp>
        <tr r="E78" s="50"/>
      </tp>
      <tp t="e">
        <v>#N/A</v>
        <stp/>
        <stp>##V3_BDPV12</stp>
        <stp xml:space="preserve"> Equity</stp>
        <stp>dvd_sh_last</stp>
        <stp>[EMN_IMS Bloomberg.xlsm  -  version 362.0. 25.11.2021 16.44]Dvd!R88C5</stp>
        <tr r="E88" s="50"/>
      </tp>
      <tp t="e">
        <v>#N/A</v>
        <stp/>
        <stp>##V3_BDPV12</stp>
        <stp xml:space="preserve"> Equity</stp>
        <stp>dvd_sh_last</stp>
        <stp>[EMN_IMS Bloomberg.xlsm  -  version 362.0. 25.11.2021 16.44]Dvd!R98C5</stp>
        <tr r="E98" s="50"/>
      </tp>
      <tp t="e">
        <v>#N/A</v>
        <stp/>
        <stp>##V3_BDPV12</stp>
        <stp xml:space="preserve"> Equity</stp>
        <stp>dvd_sh_last</stp>
        <stp>[EMN_IMS Bloomberg.xlsm  -  version 362.0. 25.11.2021 16.44]Dvd!R69C5</stp>
        <tr r="E69" s="50"/>
      </tp>
      <tp t="e">
        <v>#N/A</v>
        <stp/>
        <stp>##V3_BDPV12</stp>
        <stp xml:space="preserve"> Equity</stp>
        <stp>dvd_sh_last</stp>
        <stp>[EMN_IMS Bloomberg.xlsm  -  version 362.0. 25.11.2021 16.44]Dvd!R79C5</stp>
        <tr r="E79" s="50"/>
      </tp>
      <tp t="e">
        <v>#N/A</v>
        <stp/>
        <stp>##V3_BDPV12</stp>
        <stp xml:space="preserve"> Equity</stp>
        <stp>dvd_sh_last</stp>
        <stp>[EMN_IMS Bloomberg.xlsm  -  version 362.0. 25.11.2021 16.44]Dvd!R89C5</stp>
        <tr r="E89" s="50"/>
      </tp>
      <tp t="e">
        <v>#N/A</v>
        <stp/>
        <stp>##V3_BDPV12</stp>
        <stp xml:space="preserve"> Equity</stp>
        <stp>dvd_sh_last</stp>
        <stp>[EMN_IMS Bloomberg.xlsm  -  version 362.0. 25.11.2021 16.44]Dvd!R99C5</stp>
        <tr r="E99" s="50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theme" Target="theme/theme1.xml"/><Relationship Id="rId47" Type="http://schemas.openxmlformats.org/officeDocument/2006/relationships/customXml" Target="../customXml/item1.xml"/><Relationship Id="rId50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pivotCacheDefinition" Target="pivotCache/pivotCacheDefinition9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styles" Target="styles.xml"/><Relationship Id="rId48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ctrlProps/ctrlProp352.xml><?xml version="1.0" encoding="utf-8"?>
<formControlPr xmlns="http://schemas.microsoft.com/office/spreadsheetml/2009/9/main" objectType="GBox" noThreeD="1"/>
</file>

<file path=xl/ctrlProps/ctrlProp353.xml><?xml version="1.0" encoding="utf-8"?>
<formControlPr xmlns="http://schemas.microsoft.com/office/spreadsheetml/2009/9/main" objectType="GBox" noThreeD="1"/>
</file>

<file path=xl/ctrlProps/ctrlProp354.xml><?xml version="1.0" encoding="utf-8"?>
<formControlPr xmlns="http://schemas.microsoft.com/office/spreadsheetml/2009/9/main" objectType="GBox" noThreeD="1"/>
</file>

<file path=xl/ctrlProps/ctrlProp355.xml><?xml version="1.0" encoding="utf-8"?>
<formControlPr xmlns="http://schemas.microsoft.com/office/spreadsheetml/2009/9/main" objectType="GBox" noThreeD="1"/>
</file>

<file path=xl/ctrlProps/ctrlProp356.xml><?xml version="1.0" encoding="utf-8"?>
<formControlPr xmlns="http://schemas.microsoft.com/office/spreadsheetml/2009/9/main" objectType="GBox" noThreeD="1"/>
</file>

<file path=xl/ctrlProps/ctrlProp357.xml><?xml version="1.0" encoding="utf-8"?>
<formControlPr xmlns="http://schemas.microsoft.com/office/spreadsheetml/2009/9/main" objectType="GBox" noThreeD="1"/>
</file>

<file path=xl/ctrlProps/ctrlProp358.xml><?xml version="1.0" encoding="utf-8"?>
<formControlPr xmlns="http://schemas.microsoft.com/office/spreadsheetml/2009/9/main" objectType="GBox" noThreeD="1"/>
</file>

<file path=xl/ctrlProps/ctrlProp359.xml><?xml version="1.0" encoding="utf-8"?>
<formControlPr xmlns="http://schemas.microsoft.com/office/spreadsheetml/2009/9/main" objectType="GBox" noThreeD="1"/>
</file>

<file path=xl/ctrlProps/ctrlProp360.xml><?xml version="1.0" encoding="utf-8"?>
<formControlPr xmlns="http://schemas.microsoft.com/office/spreadsheetml/2009/9/main" objectType="GBox" noThreeD="1"/>
</file>

<file path=xl/ctrlProps/ctrlProp361.xml><?xml version="1.0" encoding="utf-8"?>
<formControlPr xmlns="http://schemas.microsoft.com/office/spreadsheetml/2009/9/main" objectType="GBox" noThreeD="1"/>
</file>

<file path=xl/ctrlProps/ctrlProp362.xml><?xml version="1.0" encoding="utf-8"?>
<formControlPr xmlns="http://schemas.microsoft.com/office/spreadsheetml/2009/9/main" objectType="GBox" noThreeD="1"/>
</file>

<file path=xl/ctrlProps/ctrlProp363.xml><?xml version="1.0" encoding="utf-8"?>
<formControlPr xmlns="http://schemas.microsoft.com/office/spreadsheetml/2009/9/main" objectType="GBox" noThreeD="1"/>
</file>

<file path=xl/ctrlProps/ctrlProp364.xml><?xml version="1.0" encoding="utf-8"?>
<formControlPr xmlns="http://schemas.microsoft.com/office/spreadsheetml/2009/9/main" objectType="GBox" noThreeD="1"/>
</file>

<file path=xl/ctrlProps/ctrlProp365.xml><?xml version="1.0" encoding="utf-8"?>
<formControlPr xmlns="http://schemas.microsoft.com/office/spreadsheetml/2009/9/main" objectType="GBox" noThreeD="1"/>
</file>

<file path=xl/ctrlProps/ctrlProp366.xml><?xml version="1.0" encoding="utf-8"?>
<formControlPr xmlns="http://schemas.microsoft.com/office/spreadsheetml/2009/9/main" objectType="GBox" noThreeD="1"/>
</file>

<file path=xl/ctrlProps/ctrlProp367.xml><?xml version="1.0" encoding="utf-8"?>
<formControlPr xmlns="http://schemas.microsoft.com/office/spreadsheetml/2009/9/main" objectType="GBox" noThreeD="1"/>
</file>

<file path=xl/ctrlProps/ctrlProp368.xml><?xml version="1.0" encoding="utf-8"?>
<formControlPr xmlns="http://schemas.microsoft.com/office/spreadsheetml/2009/9/main" objectType="GBox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GBox" noThreeD="1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GBox" noThreeD="1"/>
</file>

<file path=xl/ctrlProps/ctrlProp373.xml><?xml version="1.0" encoding="utf-8"?>
<formControlPr xmlns="http://schemas.microsoft.com/office/spreadsheetml/2009/9/main" objectType="GBox" noThreeD="1"/>
</file>

<file path=xl/ctrlProps/ctrlProp374.xml><?xml version="1.0" encoding="utf-8"?>
<formControlPr xmlns="http://schemas.microsoft.com/office/spreadsheetml/2009/9/main" objectType="GBox" noThreeD="1"/>
</file>

<file path=xl/ctrlProps/ctrlProp375.xml><?xml version="1.0" encoding="utf-8"?>
<formControlPr xmlns="http://schemas.microsoft.com/office/spreadsheetml/2009/9/main" objectType="GBox" noThreeD="1"/>
</file>

<file path=xl/ctrlProps/ctrlProp376.xml><?xml version="1.0" encoding="utf-8"?>
<formControlPr xmlns="http://schemas.microsoft.com/office/spreadsheetml/2009/9/main" objectType="GBox" noThreeD="1"/>
</file>

<file path=xl/ctrlProps/ctrlProp377.xml><?xml version="1.0" encoding="utf-8"?>
<formControlPr xmlns="http://schemas.microsoft.com/office/spreadsheetml/2009/9/main" objectType="GBox" noThreeD="1"/>
</file>

<file path=xl/ctrlProps/ctrlProp378.xml><?xml version="1.0" encoding="utf-8"?>
<formControlPr xmlns="http://schemas.microsoft.com/office/spreadsheetml/2009/9/main" objectType="GBox" noThreeD="1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GBox" noThreeD="1"/>
</file>

<file path=xl/ctrlProps/ctrlProp381.xml><?xml version="1.0" encoding="utf-8"?>
<formControlPr xmlns="http://schemas.microsoft.com/office/spreadsheetml/2009/9/main" objectType="GBox" noThreeD="1"/>
</file>

<file path=xl/ctrlProps/ctrlProp382.xml><?xml version="1.0" encoding="utf-8"?>
<formControlPr xmlns="http://schemas.microsoft.com/office/spreadsheetml/2009/9/main" objectType="GBox" noThreeD="1"/>
</file>

<file path=xl/ctrlProps/ctrlProp383.xml><?xml version="1.0" encoding="utf-8"?>
<formControlPr xmlns="http://schemas.microsoft.com/office/spreadsheetml/2009/9/main" objectType="GBox" noThreeD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GBox" noThreeD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GBox" noThreeD="1"/>
</file>

<file path=xl/ctrlProps/ctrlProp389.xml><?xml version="1.0" encoding="utf-8"?>
<formControlPr xmlns="http://schemas.microsoft.com/office/spreadsheetml/2009/9/main" objectType="GBox" noThreeD="1"/>
</file>

<file path=xl/ctrlProps/ctrlProp390.xml><?xml version="1.0" encoding="utf-8"?>
<formControlPr xmlns="http://schemas.microsoft.com/office/spreadsheetml/2009/9/main" objectType="GBox" noThreeD="1"/>
</file>

<file path=xl/ctrlProps/ctrlProp391.xml><?xml version="1.0" encoding="utf-8"?>
<formControlPr xmlns="http://schemas.microsoft.com/office/spreadsheetml/2009/9/main" objectType="GBox" noThreeD="1"/>
</file>

<file path=xl/ctrlProps/ctrlProp392.xml><?xml version="1.0" encoding="utf-8"?>
<formControlPr xmlns="http://schemas.microsoft.com/office/spreadsheetml/2009/9/main" objectType="GBox" noThreeD="1"/>
</file>

<file path=xl/ctrlProps/ctrlProp393.xml><?xml version="1.0" encoding="utf-8"?>
<formControlPr xmlns="http://schemas.microsoft.com/office/spreadsheetml/2009/9/main" objectType="GBox" noThreeD="1"/>
</file>

<file path=xl/ctrlProps/ctrlProp394.xml><?xml version="1.0" encoding="utf-8"?>
<formControlPr xmlns="http://schemas.microsoft.com/office/spreadsheetml/2009/9/main" objectType="GBox" noThreeD="1"/>
</file>

<file path=xl/ctrlProps/ctrlProp395.xml><?xml version="1.0" encoding="utf-8"?>
<formControlPr xmlns="http://schemas.microsoft.com/office/spreadsheetml/2009/9/main" objectType="GBox" noThreeD="1"/>
</file>

<file path=xl/ctrlProps/ctrlProp39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35754" y="13103064"/>
          <a:ext cx="2609930" cy="334821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53204" y="24997781"/>
          <a:ext cx="1504950" cy="350696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59554" y="35023225"/>
          <a:ext cx="2613105" cy="350696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713052" cy="1120124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683576" cy="10287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66900" y="10045700"/>
          <a:ext cx="1508125" cy="41274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52600" y="19107150"/>
          <a:ext cx="1508125" cy="3492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66850" y="27057350"/>
          <a:ext cx="1390650" cy="3492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180975" y="66675"/>
          <a:ext cx="17989009" cy="107639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pSpPr/>
      </xdr:nvGrpSpPr>
      <xdr:grpSpPr>
        <a:xfrm>
          <a:off x="16213137" y="628650"/>
          <a:ext cx="2360613" cy="33020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pSpPr/>
      </xdr:nvGrpSpPr>
      <xdr:grpSpPr>
        <a:xfrm>
          <a:off x="1117858" y="66675"/>
          <a:ext cx="21445462" cy="1122080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20350919" y="465969"/>
          <a:ext cx="2122941" cy="332619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6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34</xdr:col>
      <xdr:colOff>352425</xdr:colOff>
      <xdr:row>6</xdr:row>
      <xdr:rowOff>119838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pSpPr/>
      </xdr:nvGrpSpPr>
      <xdr:grpSpPr>
        <a:xfrm>
          <a:off x="0" y="0"/>
          <a:ext cx="33036782" cy="1190267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190500</xdr:colOff>
      <xdr:row>12</xdr:row>
      <xdr:rowOff>28575</xdr:rowOff>
    </xdr:from>
    <xdr:to>
      <xdr:col>31</xdr:col>
      <xdr:colOff>1076326</xdr:colOff>
      <xdr:row>13</xdr:row>
      <xdr:rowOff>180975</xdr:rowOff>
    </xdr:to>
    <xdr:sp macro="[0]!CancOrderList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7108150" y="3505200"/>
          <a:ext cx="4371976" cy="333375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21</xdr:col>
      <xdr:colOff>9523</xdr:colOff>
      <xdr:row>11</xdr:row>
      <xdr:rowOff>190499</xdr:rowOff>
    </xdr:from>
    <xdr:to>
      <xdr:col>27</xdr:col>
      <xdr:colOff>590550</xdr:colOff>
      <xdr:row>14</xdr:row>
      <xdr:rowOff>9524</xdr:rowOff>
    </xdr:to>
    <xdr:sp macro="[0]!XLSordercreation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2498048" y="3476624"/>
          <a:ext cx="4362452" cy="37147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List . xls file</a:t>
          </a:r>
          <a:endParaRPr lang="en-GB" sz="1300" b="1"/>
        </a:p>
      </xdr:txBody>
    </xdr:sp>
    <xdr:clientData/>
  </xdr:twoCellAnchor>
  <xdr:twoCellAnchor>
    <xdr:from>
      <xdr:col>21</xdr:col>
      <xdr:colOff>47626</xdr:colOff>
      <xdr:row>1</xdr:row>
      <xdr:rowOff>57150</xdr:rowOff>
    </xdr:from>
    <xdr:to>
      <xdr:col>31</xdr:col>
      <xdr:colOff>1066801</xdr:colOff>
      <xdr:row>10</xdr:row>
      <xdr:rowOff>28576</xdr:rowOff>
    </xdr:to>
    <xdr:sp macro="" textlink="">
      <xdr:nvSpPr>
        <xdr:cNvPr id="7" name="TextBox 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1364576" y="457200"/>
          <a:ext cx="8915400" cy="2447926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r>
            <a:rPr lang="en-GB" sz="1200" b="1"/>
            <a:t>INSTRUCTIONS</a:t>
          </a:r>
          <a:r>
            <a:rPr lang="en-GB" sz="1200" b="1" baseline="0"/>
            <a:t> - </a:t>
          </a:r>
          <a:r>
            <a:rPr lang="en-GB" sz="1100" b="1"/>
            <a:t>How to export</a:t>
          </a:r>
          <a:r>
            <a:rPr lang="en-GB" sz="1100" b="1" baseline="0"/>
            <a:t> the Order List into a new file</a:t>
          </a:r>
        </a:p>
        <a:p>
          <a:endParaRPr lang="en-GB" sz="1100" baseline="0"/>
        </a:p>
        <a:p>
          <a:r>
            <a:rPr lang="en-GB" sz="1100" baseline="0"/>
            <a:t>1) copy OneDrive ID</a:t>
          </a:r>
        </a:p>
        <a:p>
          <a:endParaRPr lang="en-GB" sz="1100" baseline="0"/>
        </a:p>
        <a:p>
          <a:r>
            <a:rPr lang="en-GB" sz="1100" baseline="0"/>
            <a:t>2) click on "Create Order List"</a:t>
          </a:r>
        </a:p>
        <a:p>
          <a:endParaRPr lang="en-GB" sz="1100" baseline="0"/>
        </a:p>
        <a:p>
          <a:r>
            <a:rPr lang="en-GB" sz="1100" baseline="0"/>
            <a:t>3)paste OneDriveID</a:t>
          </a:r>
        </a:p>
        <a:p>
          <a:endParaRPr lang="en-GB" sz="1100" baseline="0"/>
        </a:p>
        <a:p>
          <a:r>
            <a:rPr lang="en-GB" sz="1100" baseline="0"/>
            <a:t>4) a new list will be created in the excel file named "2021"  on:</a:t>
          </a:r>
        </a:p>
        <a:p>
          <a:r>
            <a:rPr lang="en-GB" sz="1100" baseline="0"/>
            <a:t>"C:\Users\NicheGuest\OneDrive - Niche Asset Management(1)\Fund Management\____Electric Mobility Niches Fund\_EMN Orders\2021.xlsx"</a:t>
          </a:r>
          <a:br>
            <a:rPr lang="en-GB" sz="1100" baseline="0"/>
          </a:br>
          <a:endParaRPr lang="en-GB" sz="1100" baseline="0"/>
        </a:p>
        <a:p>
          <a:r>
            <a:rPr lang="en-GB" sz="1100" baseline="0"/>
            <a:t>5) save a copy into the right folder - attach and send it to the broker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142875" y="152400"/>
          <a:ext cx="11793398" cy="1114831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0" y="0"/>
          <a:ext cx="16447911" cy="1034081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B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9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9841749" cy="1036959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21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238125" y="85725"/>
          <a:ext cx="19172979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D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D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323850</xdr:colOff>
      <xdr:row>1</xdr:row>
      <xdr:rowOff>38099</xdr:rowOff>
    </xdr:from>
    <xdr:to>
      <xdr:col>21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pSpPr/>
      </xdr:nvGrpSpPr>
      <xdr:grpSpPr>
        <a:xfrm>
          <a:off x="14801850" y="201385"/>
          <a:ext cx="4456793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D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0D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15</xdr:col>
      <xdr:colOff>361950</xdr:colOff>
      <xdr:row>4</xdr:row>
      <xdr:rowOff>85725</xdr:rowOff>
    </xdr:from>
    <xdr:to>
      <xdr:col>21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pSpPr/>
      </xdr:nvGrpSpPr>
      <xdr:grpSpPr>
        <a:xfrm>
          <a:off x="14839950" y="738868"/>
          <a:ext cx="4418693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0D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0D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3</xdr:col>
      <xdr:colOff>516732</xdr:colOff>
      <xdr:row>76</xdr:row>
      <xdr:rowOff>128591</xdr:rowOff>
    </xdr:from>
    <xdr:to>
      <xdr:col>4</xdr:col>
      <xdr:colOff>277995</xdr:colOff>
      <xdr:row>78</xdr:row>
      <xdr:rowOff>123828</xdr:rowOff>
    </xdr:to>
    <xdr:sp macro="" textlink="">
      <xdr:nvSpPr>
        <xdr:cNvPr id="3" name="Ovale 2" descr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993357" y="10815641"/>
          <a:ext cx="389913" cy="395287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 editAs="oneCell">
    <xdr:from>
      <xdr:col>6</xdr:col>
      <xdr:colOff>681038</xdr:colOff>
      <xdr:row>85</xdr:row>
      <xdr:rowOff>23813</xdr:rowOff>
    </xdr:from>
    <xdr:to>
      <xdr:col>8</xdr:col>
      <xdr:colOff>373899</xdr:colOff>
      <xdr:row>87</xdr:row>
      <xdr:rowOff>27655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7963" y="12463463"/>
          <a:ext cx="1483561" cy="384842"/>
        </a:xfrm>
        <a:prstGeom prst="rect">
          <a:avLst/>
        </a:prstGeom>
      </xdr:spPr>
    </xdr:pic>
    <xdr:clientData/>
  </xdr:twoCellAnchor>
  <xdr:twoCellAnchor>
    <xdr:from>
      <xdr:col>3</xdr:col>
      <xdr:colOff>488157</xdr:colOff>
      <xdr:row>80</xdr:row>
      <xdr:rowOff>142876</xdr:rowOff>
    </xdr:from>
    <xdr:to>
      <xdr:col>4</xdr:col>
      <xdr:colOff>249420</xdr:colOff>
      <xdr:row>82</xdr:row>
      <xdr:rowOff>114301</xdr:rowOff>
    </xdr:to>
    <xdr:sp macro="" textlink="">
      <xdr:nvSpPr>
        <xdr:cNvPr id="5" name="Ovale 4" descr="1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3964782" y="11610976"/>
          <a:ext cx="389913" cy="371475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359568</xdr:colOff>
      <xdr:row>132</xdr:row>
      <xdr:rowOff>0</xdr:rowOff>
    </xdr:from>
    <xdr:to>
      <xdr:col>7</xdr:col>
      <xdr:colOff>735194</xdr:colOff>
      <xdr:row>134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135</xdr:row>
      <xdr:rowOff>114300</xdr:rowOff>
    </xdr:from>
    <xdr:to>
      <xdr:col>8</xdr:col>
      <xdr:colOff>1769</xdr:colOff>
      <xdr:row>137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36</xdr:row>
      <xdr:rowOff>38100</xdr:rowOff>
    </xdr:from>
    <xdr:to>
      <xdr:col>4</xdr:col>
      <xdr:colOff>471487</xdr:colOff>
      <xdr:row>39</xdr:row>
      <xdr:rowOff>26867</xdr:rowOff>
    </xdr:to>
    <xdr:sp macro="" textlink="">
      <xdr:nvSpPr>
        <xdr:cNvPr id="8" name="Pulsante Avanti" descr="Altri dettagli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809625" y="5543550"/>
          <a:ext cx="3767137" cy="5697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92</xdr:row>
      <xdr:rowOff>0</xdr:rowOff>
    </xdr:from>
    <xdr:to>
      <xdr:col>4</xdr:col>
      <xdr:colOff>471487</xdr:colOff>
      <xdr:row>94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23825" y="85725"/>
          <a:ext cx="12141200" cy="10532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</a:t>
            </a:r>
            <a:r>
              <a:rPr lang="it-IT" sz="3000" baseline="0"/>
              <a:t> Currencies</a:t>
            </a:r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pSpPr/>
      </xdr:nvGrpSpPr>
      <xdr:grpSpPr>
        <a:xfrm>
          <a:off x="901701" y="114300"/>
          <a:ext cx="18462625" cy="10287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0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pSpPr/>
      </xdr:nvGrpSpPr>
      <xdr:grpSpPr>
        <a:xfrm>
          <a:off x="161925" y="184150"/>
          <a:ext cx="17529175" cy="103505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GrpSpPr/>
      </xdr:nvGrpSpPr>
      <xdr:grpSpPr>
        <a:xfrm>
          <a:off x="171450" y="28575"/>
          <a:ext cx="17275968" cy="107639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13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13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GrpSpPr/>
      </xdr:nvGrpSpPr>
      <xdr:grpSpPr>
        <a:xfrm>
          <a:off x="14803437" y="590550"/>
          <a:ext cx="2934835" cy="33020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13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13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101600</xdr:rowOff>
        </xdr:from>
        <xdr:to>
          <xdr:col>8</xdr:col>
          <xdr:colOff>571500</xdr:colOff>
          <xdr:row>23</xdr:row>
          <xdr:rowOff>177800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1092200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0</xdr:rowOff>
        </xdr:from>
        <xdr:to>
          <xdr:col>6</xdr:col>
          <xdr:colOff>266700</xdr:colOff>
          <xdr:row>27</xdr:row>
          <xdr:rowOff>19050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25</xdr:row>
          <xdr:rowOff>0</xdr:rowOff>
        </xdr:from>
        <xdr:to>
          <xdr:col>6</xdr:col>
          <xdr:colOff>285750</xdr:colOff>
          <xdr:row>26</xdr:row>
          <xdr:rowOff>171450</xdr:rowOff>
        </xdr:to>
        <xdr:sp macro="" textlink="">
          <xdr:nvSpPr>
            <xdr:cNvPr id="12292" name="Group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1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25</xdr:row>
          <xdr:rowOff>0</xdr:rowOff>
        </xdr:from>
        <xdr:to>
          <xdr:col>6</xdr:col>
          <xdr:colOff>266700</xdr:colOff>
          <xdr:row>27</xdr:row>
          <xdr:rowOff>0</xdr:rowOff>
        </xdr:to>
        <xdr:sp macro="" textlink="">
          <xdr:nvSpPr>
            <xdr:cNvPr id="12293" name="Group Box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1B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19050</xdr:rowOff>
        </xdr:from>
        <xdr:to>
          <xdr:col>9</xdr:col>
          <xdr:colOff>38100</xdr:colOff>
          <xdr:row>7</xdr:row>
          <xdr:rowOff>57150</xdr:rowOff>
        </xdr:to>
        <xdr:sp macro="" textlink="">
          <xdr:nvSpPr>
            <xdr:cNvPr id="12296" name="CommandButton1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1B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33337</xdr:colOff>
      <xdr:row>0</xdr:row>
      <xdr:rowOff>66675</xdr:rowOff>
    </xdr:from>
    <xdr:to>
      <xdr:col>13</xdr:col>
      <xdr:colOff>504825</xdr:colOff>
      <xdr:row>2</xdr:row>
      <xdr:rowOff>4762</xdr:rowOff>
    </xdr:to>
    <xdr:sp macro="" textlink="">
      <xdr:nvSpPr>
        <xdr:cNvPr id="15" name="Rettangolo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SpPr/>
      </xdr:nvSpPr>
      <xdr:spPr>
        <a:xfrm>
          <a:off x="33337" y="66675"/>
          <a:ext cx="112728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Confirmation</a:t>
          </a:r>
          <a:r>
            <a:rPr lang="it-IT" sz="3000" baseline="0"/>
            <a:t> Box</a:t>
          </a:r>
          <a:endParaRPr lang="it-IT" sz="3000"/>
        </a:p>
      </xdr:txBody>
    </xdr:sp>
    <xdr:clientData/>
  </xdr:twoCellAnchor>
  <xdr:twoCellAnchor>
    <xdr:from>
      <xdr:col>0</xdr:col>
      <xdr:colOff>90487</xdr:colOff>
      <xdr:row>0</xdr:row>
      <xdr:rowOff>295275</xdr:rowOff>
    </xdr:from>
    <xdr:to>
      <xdr:col>2</xdr:col>
      <xdr:colOff>1168334</xdr:colOff>
      <xdr:row>1</xdr:row>
      <xdr:rowOff>31737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" y="295275"/>
          <a:ext cx="3278122" cy="4603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0</xdr:rowOff>
        </xdr:from>
        <xdr:to>
          <xdr:col>6</xdr:col>
          <xdr:colOff>266700</xdr:colOff>
          <xdr:row>24</xdr:row>
          <xdr:rowOff>19050</xdr:rowOff>
        </xdr:to>
        <xdr:sp macro="" textlink="">
          <xdr:nvSpPr>
            <xdr:cNvPr id="12297" name="Group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1B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6</xdr:col>
          <xdr:colOff>285750</xdr:colOff>
          <xdr:row>23</xdr:row>
          <xdr:rowOff>171450</xdr:rowOff>
        </xdr:to>
        <xdr:sp macro="" textlink="">
          <xdr:nvSpPr>
            <xdr:cNvPr id="12298" name="Group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1B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0</xdr:rowOff>
        </xdr:from>
        <xdr:to>
          <xdr:col>6</xdr:col>
          <xdr:colOff>266700</xdr:colOff>
          <xdr:row>24</xdr:row>
          <xdr:rowOff>0</xdr:rowOff>
        </xdr:to>
        <xdr:sp macro="" textlink="">
          <xdr:nvSpPr>
            <xdr:cNvPr id="12299" name="Group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1B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23</xdr:row>
          <xdr:rowOff>0</xdr:rowOff>
        </xdr:from>
        <xdr:to>
          <xdr:col>6</xdr:col>
          <xdr:colOff>285750</xdr:colOff>
          <xdr:row>24</xdr:row>
          <xdr:rowOff>171450</xdr:rowOff>
        </xdr:to>
        <xdr:sp macro="" textlink="">
          <xdr:nvSpPr>
            <xdr:cNvPr id="12300" name="Group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1B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23</xdr:row>
          <xdr:rowOff>0</xdr:rowOff>
        </xdr:from>
        <xdr:to>
          <xdr:col>6</xdr:col>
          <xdr:colOff>266700</xdr:colOff>
          <xdr:row>25</xdr:row>
          <xdr:rowOff>0</xdr:rowOff>
        </xdr:to>
        <xdr:sp macro="" textlink="">
          <xdr:nvSpPr>
            <xdr:cNvPr id="12301" name="Group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1B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24</xdr:row>
          <xdr:rowOff>0</xdr:rowOff>
        </xdr:from>
        <xdr:to>
          <xdr:col>6</xdr:col>
          <xdr:colOff>285750</xdr:colOff>
          <xdr:row>25</xdr:row>
          <xdr:rowOff>171450</xdr:rowOff>
        </xdr:to>
        <xdr:sp macro="" textlink="">
          <xdr:nvSpPr>
            <xdr:cNvPr id="12302" name="Group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1B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24</xdr:row>
          <xdr:rowOff>0</xdr:rowOff>
        </xdr:from>
        <xdr:to>
          <xdr:col>6</xdr:col>
          <xdr:colOff>266700</xdr:colOff>
          <xdr:row>26</xdr:row>
          <xdr:rowOff>0</xdr:rowOff>
        </xdr:to>
        <xdr:sp macro="" textlink="">
          <xdr:nvSpPr>
            <xdr:cNvPr id="12303" name="Group Box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1B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26</xdr:row>
          <xdr:rowOff>0</xdr:rowOff>
        </xdr:from>
        <xdr:to>
          <xdr:col>6</xdr:col>
          <xdr:colOff>285750</xdr:colOff>
          <xdr:row>27</xdr:row>
          <xdr:rowOff>171450</xdr:rowOff>
        </xdr:to>
        <xdr:sp macro="" textlink="">
          <xdr:nvSpPr>
            <xdr:cNvPr id="12304" name="Group Box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1B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26</xdr:row>
          <xdr:rowOff>0</xdr:rowOff>
        </xdr:from>
        <xdr:to>
          <xdr:col>6</xdr:col>
          <xdr:colOff>266700</xdr:colOff>
          <xdr:row>28</xdr:row>
          <xdr:rowOff>0</xdr:rowOff>
        </xdr:to>
        <xdr:sp macro="" textlink="">
          <xdr:nvSpPr>
            <xdr:cNvPr id="12305" name="Group Box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1B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25</xdr:row>
          <xdr:rowOff>0</xdr:rowOff>
        </xdr:from>
        <xdr:to>
          <xdr:col>6</xdr:col>
          <xdr:colOff>285750</xdr:colOff>
          <xdr:row>26</xdr:row>
          <xdr:rowOff>171450</xdr:rowOff>
        </xdr:to>
        <xdr:sp macro="" textlink="">
          <xdr:nvSpPr>
            <xdr:cNvPr id="12306" name="Group Box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1B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25</xdr:row>
          <xdr:rowOff>0</xdr:rowOff>
        </xdr:from>
        <xdr:to>
          <xdr:col>6</xdr:col>
          <xdr:colOff>266700</xdr:colOff>
          <xdr:row>27</xdr:row>
          <xdr:rowOff>0</xdr:rowOff>
        </xdr:to>
        <xdr:sp macro="" textlink="">
          <xdr:nvSpPr>
            <xdr:cNvPr id="12307" name="Group Box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1B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0</xdr:rowOff>
        </xdr:from>
        <xdr:to>
          <xdr:col>6</xdr:col>
          <xdr:colOff>266700</xdr:colOff>
          <xdr:row>28</xdr:row>
          <xdr:rowOff>19050</xdr:rowOff>
        </xdr:to>
        <xdr:sp macro="" textlink="">
          <xdr:nvSpPr>
            <xdr:cNvPr id="12308" name="Group Box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1B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26</xdr:row>
          <xdr:rowOff>0</xdr:rowOff>
        </xdr:from>
        <xdr:to>
          <xdr:col>6</xdr:col>
          <xdr:colOff>285750</xdr:colOff>
          <xdr:row>27</xdr:row>
          <xdr:rowOff>171450</xdr:rowOff>
        </xdr:to>
        <xdr:sp macro="" textlink="">
          <xdr:nvSpPr>
            <xdr:cNvPr id="12309" name="Group Box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1B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26</xdr:row>
          <xdr:rowOff>0</xdr:rowOff>
        </xdr:from>
        <xdr:to>
          <xdr:col>6</xdr:col>
          <xdr:colOff>266700</xdr:colOff>
          <xdr:row>28</xdr:row>
          <xdr:rowOff>0</xdr:rowOff>
        </xdr:to>
        <xdr:sp macro="" textlink="">
          <xdr:nvSpPr>
            <xdr:cNvPr id="12310" name="Group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1B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27</xdr:row>
          <xdr:rowOff>0</xdr:rowOff>
        </xdr:from>
        <xdr:to>
          <xdr:col>6</xdr:col>
          <xdr:colOff>285750</xdr:colOff>
          <xdr:row>28</xdr:row>
          <xdr:rowOff>171450</xdr:rowOff>
        </xdr:to>
        <xdr:sp macro="" textlink="">
          <xdr:nvSpPr>
            <xdr:cNvPr id="12311" name="Group Box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1B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0</xdr:rowOff>
        </xdr:from>
        <xdr:to>
          <xdr:col>6</xdr:col>
          <xdr:colOff>266700</xdr:colOff>
          <xdr:row>29</xdr:row>
          <xdr:rowOff>0</xdr:rowOff>
        </xdr:to>
        <xdr:sp macro="" textlink="">
          <xdr:nvSpPr>
            <xdr:cNvPr id="12312" name="Group Box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1B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26</xdr:row>
          <xdr:rowOff>0</xdr:rowOff>
        </xdr:from>
        <xdr:to>
          <xdr:col>6</xdr:col>
          <xdr:colOff>285750</xdr:colOff>
          <xdr:row>27</xdr:row>
          <xdr:rowOff>171450</xdr:rowOff>
        </xdr:to>
        <xdr:sp macro="" textlink="">
          <xdr:nvSpPr>
            <xdr:cNvPr id="12313" name="Group Box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1B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26</xdr:row>
          <xdr:rowOff>0</xdr:rowOff>
        </xdr:from>
        <xdr:to>
          <xdr:col>6</xdr:col>
          <xdr:colOff>266700</xdr:colOff>
          <xdr:row>28</xdr:row>
          <xdr:rowOff>0</xdr:rowOff>
        </xdr:to>
        <xdr:sp macro="" textlink="">
          <xdr:nvSpPr>
            <xdr:cNvPr id="12314" name="Group Box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1B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0</xdr:rowOff>
        </xdr:from>
        <xdr:to>
          <xdr:col>6</xdr:col>
          <xdr:colOff>266700</xdr:colOff>
          <xdr:row>29</xdr:row>
          <xdr:rowOff>19050</xdr:rowOff>
        </xdr:to>
        <xdr:sp macro="" textlink="">
          <xdr:nvSpPr>
            <xdr:cNvPr id="12315" name="Group Box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1B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27</xdr:row>
          <xdr:rowOff>0</xdr:rowOff>
        </xdr:from>
        <xdr:to>
          <xdr:col>6</xdr:col>
          <xdr:colOff>285750</xdr:colOff>
          <xdr:row>28</xdr:row>
          <xdr:rowOff>171450</xdr:rowOff>
        </xdr:to>
        <xdr:sp macro="" textlink="">
          <xdr:nvSpPr>
            <xdr:cNvPr id="12316" name="Group Box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1B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0</xdr:rowOff>
        </xdr:from>
        <xdr:to>
          <xdr:col>6</xdr:col>
          <xdr:colOff>266700</xdr:colOff>
          <xdr:row>29</xdr:row>
          <xdr:rowOff>0</xdr:rowOff>
        </xdr:to>
        <xdr:sp macro="" textlink="">
          <xdr:nvSpPr>
            <xdr:cNvPr id="12317" name="Group Box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1B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0</xdr:rowOff>
        </xdr:from>
        <xdr:to>
          <xdr:col>6</xdr:col>
          <xdr:colOff>285750</xdr:colOff>
          <xdr:row>29</xdr:row>
          <xdr:rowOff>171450</xdr:rowOff>
        </xdr:to>
        <xdr:sp macro="" textlink="">
          <xdr:nvSpPr>
            <xdr:cNvPr id="12318" name="Group Box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1B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0</xdr:rowOff>
        </xdr:from>
        <xdr:to>
          <xdr:col>6</xdr:col>
          <xdr:colOff>266700</xdr:colOff>
          <xdr:row>30</xdr:row>
          <xdr:rowOff>0</xdr:rowOff>
        </xdr:to>
        <xdr:sp macro="" textlink="">
          <xdr:nvSpPr>
            <xdr:cNvPr id="12319" name="Group Box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1B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27</xdr:row>
          <xdr:rowOff>0</xdr:rowOff>
        </xdr:from>
        <xdr:to>
          <xdr:col>6</xdr:col>
          <xdr:colOff>285750</xdr:colOff>
          <xdr:row>28</xdr:row>
          <xdr:rowOff>171450</xdr:rowOff>
        </xdr:to>
        <xdr:sp macro="" textlink="">
          <xdr:nvSpPr>
            <xdr:cNvPr id="12320" name="Group Box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1B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0</xdr:rowOff>
        </xdr:from>
        <xdr:to>
          <xdr:col>6</xdr:col>
          <xdr:colOff>266700</xdr:colOff>
          <xdr:row>29</xdr:row>
          <xdr:rowOff>0</xdr:rowOff>
        </xdr:to>
        <xdr:sp macro="" textlink="">
          <xdr:nvSpPr>
            <xdr:cNvPr id="12321" name="Group Box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1B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0</xdr:rowOff>
        </xdr:from>
        <xdr:to>
          <xdr:col>6</xdr:col>
          <xdr:colOff>285750</xdr:colOff>
          <xdr:row>29</xdr:row>
          <xdr:rowOff>171450</xdr:rowOff>
        </xdr:to>
        <xdr:sp macro="" textlink="">
          <xdr:nvSpPr>
            <xdr:cNvPr id="12322" name="Group Box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1B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0</xdr:rowOff>
        </xdr:from>
        <xdr:to>
          <xdr:col>6</xdr:col>
          <xdr:colOff>266700</xdr:colOff>
          <xdr:row>30</xdr:row>
          <xdr:rowOff>0</xdr:rowOff>
        </xdr:to>
        <xdr:sp macro="" textlink="">
          <xdr:nvSpPr>
            <xdr:cNvPr id="12323" name="Group Box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1B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0</xdr:rowOff>
        </xdr:from>
        <xdr:to>
          <xdr:col>6</xdr:col>
          <xdr:colOff>285750</xdr:colOff>
          <xdr:row>29</xdr:row>
          <xdr:rowOff>171450</xdr:rowOff>
        </xdr:to>
        <xdr:sp macro="" textlink="">
          <xdr:nvSpPr>
            <xdr:cNvPr id="12324" name="Group Box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1B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0</xdr:rowOff>
        </xdr:from>
        <xdr:to>
          <xdr:col>6</xdr:col>
          <xdr:colOff>266700</xdr:colOff>
          <xdr:row>30</xdr:row>
          <xdr:rowOff>0</xdr:rowOff>
        </xdr:to>
        <xdr:sp macro="" textlink="">
          <xdr:nvSpPr>
            <xdr:cNvPr id="12325" name="Group Box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1B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0</xdr:rowOff>
        </xdr:from>
        <xdr:to>
          <xdr:col>6</xdr:col>
          <xdr:colOff>266700</xdr:colOff>
          <xdr:row>30</xdr:row>
          <xdr:rowOff>19050</xdr:rowOff>
        </xdr:to>
        <xdr:sp macro="" textlink="">
          <xdr:nvSpPr>
            <xdr:cNvPr id="12326" name="Group Box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1B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0</xdr:rowOff>
        </xdr:from>
        <xdr:to>
          <xdr:col>6</xdr:col>
          <xdr:colOff>285750</xdr:colOff>
          <xdr:row>29</xdr:row>
          <xdr:rowOff>171450</xdr:rowOff>
        </xdr:to>
        <xdr:sp macro="" textlink="">
          <xdr:nvSpPr>
            <xdr:cNvPr id="12327" name="Group Box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1B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0</xdr:rowOff>
        </xdr:from>
        <xdr:to>
          <xdr:col>6</xdr:col>
          <xdr:colOff>266700</xdr:colOff>
          <xdr:row>30</xdr:row>
          <xdr:rowOff>0</xdr:rowOff>
        </xdr:to>
        <xdr:sp macro="" textlink="">
          <xdr:nvSpPr>
            <xdr:cNvPr id="12328" name="Group Box 40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1B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0</xdr:rowOff>
        </xdr:from>
        <xdr:to>
          <xdr:col>6</xdr:col>
          <xdr:colOff>285750</xdr:colOff>
          <xdr:row>30</xdr:row>
          <xdr:rowOff>171450</xdr:rowOff>
        </xdr:to>
        <xdr:sp macro="" textlink="">
          <xdr:nvSpPr>
            <xdr:cNvPr id="12329" name="Group Box 41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1B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0</xdr:rowOff>
        </xdr:from>
        <xdr:to>
          <xdr:col>6</xdr:col>
          <xdr:colOff>266700</xdr:colOff>
          <xdr:row>31</xdr:row>
          <xdr:rowOff>0</xdr:rowOff>
        </xdr:to>
        <xdr:sp macro="" textlink="">
          <xdr:nvSpPr>
            <xdr:cNvPr id="12330" name="Group Box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1B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28</xdr:row>
          <xdr:rowOff>0</xdr:rowOff>
        </xdr:from>
        <xdr:to>
          <xdr:col>6</xdr:col>
          <xdr:colOff>285750</xdr:colOff>
          <xdr:row>29</xdr:row>
          <xdr:rowOff>171450</xdr:rowOff>
        </xdr:to>
        <xdr:sp macro="" textlink="">
          <xdr:nvSpPr>
            <xdr:cNvPr id="12331" name="Group Box 4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1B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0</xdr:rowOff>
        </xdr:from>
        <xdr:to>
          <xdr:col>6</xdr:col>
          <xdr:colOff>266700</xdr:colOff>
          <xdr:row>30</xdr:row>
          <xdr:rowOff>0</xdr:rowOff>
        </xdr:to>
        <xdr:sp macro="" textlink="">
          <xdr:nvSpPr>
            <xdr:cNvPr id="12332" name="Group Box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1B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0</xdr:rowOff>
        </xdr:from>
        <xdr:to>
          <xdr:col>6</xdr:col>
          <xdr:colOff>285750</xdr:colOff>
          <xdr:row>30</xdr:row>
          <xdr:rowOff>171450</xdr:rowOff>
        </xdr:to>
        <xdr:sp macro="" textlink="">
          <xdr:nvSpPr>
            <xdr:cNvPr id="12333" name="Group Box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1B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0</xdr:rowOff>
        </xdr:from>
        <xdr:to>
          <xdr:col>6</xdr:col>
          <xdr:colOff>266700</xdr:colOff>
          <xdr:row>31</xdr:row>
          <xdr:rowOff>0</xdr:rowOff>
        </xdr:to>
        <xdr:sp macro="" textlink="">
          <xdr:nvSpPr>
            <xdr:cNvPr id="12334" name="Group Box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1B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0</xdr:rowOff>
        </xdr:from>
        <xdr:to>
          <xdr:col>6</xdr:col>
          <xdr:colOff>285750</xdr:colOff>
          <xdr:row>30</xdr:row>
          <xdr:rowOff>171450</xdr:rowOff>
        </xdr:to>
        <xdr:sp macro="" textlink="">
          <xdr:nvSpPr>
            <xdr:cNvPr id="12335" name="Group Box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1B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0</xdr:rowOff>
        </xdr:from>
        <xdr:to>
          <xdr:col>6</xdr:col>
          <xdr:colOff>266700</xdr:colOff>
          <xdr:row>31</xdr:row>
          <xdr:rowOff>0</xdr:rowOff>
        </xdr:to>
        <xdr:sp macro="" textlink="">
          <xdr:nvSpPr>
            <xdr:cNvPr id="12336" name="Group Box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1B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29</xdr:row>
          <xdr:rowOff>0</xdr:rowOff>
        </xdr:from>
        <xdr:to>
          <xdr:col>6</xdr:col>
          <xdr:colOff>266700</xdr:colOff>
          <xdr:row>31</xdr:row>
          <xdr:rowOff>19050</xdr:rowOff>
        </xdr:to>
        <xdr:sp macro="" textlink="">
          <xdr:nvSpPr>
            <xdr:cNvPr id="12337" name="Group Box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1B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0</xdr:rowOff>
        </xdr:from>
        <xdr:to>
          <xdr:col>6</xdr:col>
          <xdr:colOff>285750</xdr:colOff>
          <xdr:row>30</xdr:row>
          <xdr:rowOff>171450</xdr:rowOff>
        </xdr:to>
        <xdr:sp macro="" textlink="">
          <xdr:nvSpPr>
            <xdr:cNvPr id="12338" name="Group Box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1B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0</xdr:rowOff>
        </xdr:from>
        <xdr:to>
          <xdr:col>6</xdr:col>
          <xdr:colOff>266700</xdr:colOff>
          <xdr:row>31</xdr:row>
          <xdr:rowOff>0</xdr:rowOff>
        </xdr:to>
        <xdr:sp macro="" textlink="">
          <xdr:nvSpPr>
            <xdr:cNvPr id="12339" name="Group Box 5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1B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0</xdr:rowOff>
        </xdr:from>
        <xdr:to>
          <xdr:col>6</xdr:col>
          <xdr:colOff>285750</xdr:colOff>
          <xdr:row>31</xdr:row>
          <xdr:rowOff>171450</xdr:rowOff>
        </xdr:to>
        <xdr:sp macro="" textlink="">
          <xdr:nvSpPr>
            <xdr:cNvPr id="12340" name="Group Box 5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1B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0</xdr:rowOff>
        </xdr:from>
        <xdr:to>
          <xdr:col>6</xdr:col>
          <xdr:colOff>266700</xdr:colOff>
          <xdr:row>32</xdr:row>
          <xdr:rowOff>0</xdr:rowOff>
        </xdr:to>
        <xdr:sp macro="" textlink="">
          <xdr:nvSpPr>
            <xdr:cNvPr id="12341" name="Group Box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1B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29</xdr:row>
          <xdr:rowOff>0</xdr:rowOff>
        </xdr:from>
        <xdr:to>
          <xdr:col>6</xdr:col>
          <xdr:colOff>285750</xdr:colOff>
          <xdr:row>30</xdr:row>
          <xdr:rowOff>171450</xdr:rowOff>
        </xdr:to>
        <xdr:sp macro="" textlink="">
          <xdr:nvSpPr>
            <xdr:cNvPr id="12342" name="Group Box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1B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0</xdr:rowOff>
        </xdr:from>
        <xdr:to>
          <xdr:col>6</xdr:col>
          <xdr:colOff>266700</xdr:colOff>
          <xdr:row>31</xdr:row>
          <xdr:rowOff>0</xdr:rowOff>
        </xdr:to>
        <xdr:sp macro="" textlink="">
          <xdr:nvSpPr>
            <xdr:cNvPr id="12343" name="Group Box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1B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0</xdr:rowOff>
        </xdr:from>
        <xdr:to>
          <xdr:col>6</xdr:col>
          <xdr:colOff>285750</xdr:colOff>
          <xdr:row>31</xdr:row>
          <xdr:rowOff>171450</xdr:rowOff>
        </xdr:to>
        <xdr:sp macro="" textlink="">
          <xdr:nvSpPr>
            <xdr:cNvPr id="12344" name="Group Box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1B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0</xdr:rowOff>
        </xdr:from>
        <xdr:to>
          <xdr:col>6</xdr:col>
          <xdr:colOff>266700</xdr:colOff>
          <xdr:row>32</xdr:row>
          <xdr:rowOff>0</xdr:rowOff>
        </xdr:to>
        <xdr:sp macro="" textlink="">
          <xdr:nvSpPr>
            <xdr:cNvPr id="12345" name="Group Box 57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1B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0</xdr:rowOff>
        </xdr:from>
        <xdr:to>
          <xdr:col>6</xdr:col>
          <xdr:colOff>285750</xdr:colOff>
          <xdr:row>31</xdr:row>
          <xdr:rowOff>171450</xdr:rowOff>
        </xdr:to>
        <xdr:sp macro="" textlink="">
          <xdr:nvSpPr>
            <xdr:cNvPr id="12346" name="Group Box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1B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0</xdr:rowOff>
        </xdr:from>
        <xdr:to>
          <xdr:col>6</xdr:col>
          <xdr:colOff>266700</xdr:colOff>
          <xdr:row>32</xdr:row>
          <xdr:rowOff>0</xdr:rowOff>
        </xdr:to>
        <xdr:sp macro="" textlink="">
          <xdr:nvSpPr>
            <xdr:cNvPr id="12347" name="Group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1B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0</xdr:rowOff>
        </xdr:from>
        <xdr:to>
          <xdr:col>6</xdr:col>
          <xdr:colOff>266700</xdr:colOff>
          <xdr:row>32</xdr:row>
          <xdr:rowOff>19050</xdr:rowOff>
        </xdr:to>
        <xdr:sp macro="" textlink="">
          <xdr:nvSpPr>
            <xdr:cNvPr id="12348" name="Group Box 60" hidden="1">
              <a:extLst>
                <a:ext uri="{63B3BB69-23CF-44E3-9099-C40C66FF867C}">
                  <a14:compatExt spid="_x0000_s12348"/>
                </a:ext>
                <a:ext uri="{FF2B5EF4-FFF2-40B4-BE49-F238E27FC236}">
                  <a16:creationId xmlns:a16="http://schemas.microsoft.com/office/drawing/2014/main" id="{00000000-0008-0000-1B00-00003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0</xdr:rowOff>
        </xdr:from>
        <xdr:to>
          <xdr:col>6</xdr:col>
          <xdr:colOff>285750</xdr:colOff>
          <xdr:row>31</xdr:row>
          <xdr:rowOff>171450</xdr:rowOff>
        </xdr:to>
        <xdr:sp macro="" textlink="">
          <xdr:nvSpPr>
            <xdr:cNvPr id="12349" name="Group Box 61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1B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0</xdr:rowOff>
        </xdr:from>
        <xdr:to>
          <xdr:col>6</xdr:col>
          <xdr:colOff>266700</xdr:colOff>
          <xdr:row>32</xdr:row>
          <xdr:rowOff>0</xdr:rowOff>
        </xdr:to>
        <xdr:sp macro="" textlink="">
          <xdr:nvSpPr>
            <xdr:cNvPr id="12350" name="Group Box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1B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31</xdr:row>
          <xdr:rowOff>0</xdr:rowOff>
        </xdr:from>
        <xdr:to>
          <xdr:col>6</xdr:col>
          <xdr:colOff>285750</xdr:colOff>
          <xdr:row>32</xdr:row>
          <xdr:rowOff>171450</xdr:rowOff>
        </xdr:to>
        <xdr:sp macro="" textlink="">
          <xdr:nvSpPr>
            <xdr:cNvPr id="12351" name="Group Box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1B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0</xdr:rowOff>
        </xdr:from>
        <xdr:to>
          <xdr:col>6</xdr:col>
          <xdr:colOff>266700</xdr:colOff>
          <xdr:row>33</xdr:row>
          <xdr:rowOff>0</xdr:rowOff>
        </xdr:to>
        <xdr:sp macro="" textlink="">
          <xdr:nvSpPr>
            <xdr:cNvPr id="12352" name="Group Box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1B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0</xdr:rowOff>
        </xdr:from>
        <xdr:to>
          <xdr:col>6</xdr:col>
          <xdr:colOff>285750</xdr:colOff>
          <xdr:row>31</xdr:row>
          <xdr:rowOff>171450</xdr:rowOff>
        </xdr:to>
        <xdr:sp macro="" textlink="">
          <xdr:nvSpPr>
            <xdr:cNvPr id="12353" name="Group Box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1B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0</xdr:rowOff>
        </xdr:from>
        <xdr:to>
          <xdr:col>6</xdr:col>
          <xdr:colOff>266700</xdr:colOff>
          <xdr:row>32</xdr:row>
          <xdr:rowOff>0</xdr:rowOff>
        </xdr:to>
        <xdr:sp macro="" textlink="">
          <xdr:nvSpPr>
            <xdr:cNvPr id="12354" name="Group Box 66" hidden="1">
              <a:extLst>
                <a:ext uri="{63B3BB69-23CF-44E3-9099-C40C66FF867C}">
                  <a14:compatExt spid="_x0000_s12354"/>
                </a:ext>
                <a:ext uri="{FF2B5EF4-FFF2-40B4-BE49-F238E27FC236}">
                  <a16:creationId xmlns:a16="http://schemas.microsoft.com/office/drawing/2014/main" id="{00000000-0008-0000-1B00-00004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31</xdr:row>
          <xdr:rowOff>0</xdr:rowOff>
        </xdr:from>
        <xdr:to>
          <xdr:col>6</xdr:col>
          <xdr:colOff>285750</xdr:colOff>
          <xdr:row>32</xdr:row>
          <xdr:rowOff>171450</xdr:rowOff>
        </xdr:to>
        <xdr:sp macro="" textlink="">
          <xdr:nvSpPr>
            <xdr:cNvPr id="12355" name="Group Box 67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1B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0</xdr:rowOff>
        </xdr:from>
        <xdr:to>
          <xdr:col>6</xdr:col>
          <xdr:colOff>266700</xdr:colOff>
          <xdr:row>33</xdr:row>
          <xdr:rowOff>0</xdr:rowOff>
        </xdr:to>
        <xdr:sp macro="" textlink="">
          <xdr:nvSpPr>
            <xdr:cNvPr id="12356" name="Group Box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1B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31</xdr:row>
          <xdr:rowOff>0</xdr:rowOff>
        </xdr:from>
        <xdr:to>
          <xdr:col>6</xdr:col>
          <xdr:colOff>285750</xdr:colOff>
          <xdr:row>32</xdr:row>
          <xdr:rowOff>171450</xdr:rowOff>
        </xdr:to>
        <xdr:sp macro="" textlink="">
          <xdr:nvSpPr>
            <xdr:cNvPr id="12357" name="Group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1B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0</xdr:rowOff>
        </xdr:from>
        <xdr:to>
          <xdr:col>6</xdr:col>
          <xdr:colOff>266700</xdr:colOff>
          <xdr:row>33</xdr:row>
          <xdr:rowOff>0</xdr:rowOff>
        </xdr:to>
        <xdr:sp macro="" textlink="">
          <xdr:nvSpPr>
            <xdr:cNvPr id="12358" name="Group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1B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0</xdr:rowOff>
        </xdr:from>
        <xdr:to>
          <xdr:col>6</xdr:col>
          <xdr:colOff>266700</xdr:colOff>
          <xdr:row>33</xdr:row>
          <xdr:rowOff>19050</xdr:rowOff>
        </xdr:to>
        <xdr:sp macro="" textlink="">
          <xdr:nvSpPr>
            <xdr:cNvPr id="12359" name="Group Box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1B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31</xdr:row>
          <xdr:rowOff>0</xdr:rowOff>
        </xdr:from>
        <xdr:to>
          <xdr:col>6</xdr:col>
          <xdr:colOff>285750</xdr:colOff>
          <xdr:row>32</xdr:row>
          <xdr:rowOff>171450</xdr:rowOff>
        </xdr:to>
        <xdr:sp macro="" textlink="">
          <xdr:nvSpPr>
            <xdr:cNvPr id="12360" name="Group Box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1B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0</xdr:rowOff>
        </xdr:from>
        <xdr:to>
          <xdr:col>6</xdr:col>
          <xdr:colOff>266700</xdr:colOff>
          <xdr:row>33</xdr:row>
          <xdr:rowOff>0</xdr:rowOff>
        </xdr:to>
        <xdr:sp macro="" textlink="">
          <xdr:nvSpPr>
            <xdr:cNvPr id="12361" name="Group Box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1B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0</xdr:rowOff>
        </xdr:from>
        <xdr:to>
          <xdr:col>6</xdr:col>
          <xdr:colOff>285750</xdr:colOff>
          <xdr:row>33</xdr:row>
          <xdr:rowOff>171450</xdr:rowOff>
        </xdr:to>
        <xdr:sp macro="" textlink="">
          <xdr:nvSpPr>
            <xdr:cNvPr id="12362" name="Group Box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1B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6</xdr:col>
          <xdr:colOff>266700</xdr:colOff>
          <xdr:row>34</xdr:row>
          <xdr:rowOff>0</xdr:rowOff>
        </xdr:to>
        <xdr:sp macro="" textlink="">
          <xdr:nvSpPr>
            <xdr:cNvPr id="12363" name="Group Box 75" hidden="1">
              <a:extLst>
                <a:ext uri="{63B3BB69-23CF-44E3-9099-C40C66FF867C}">
                  <a14:compatExt spid="_x0000_s12363"/>
                </a:ext>
                <a:ext uri="{FF2B5EF4-FFF2-40B4-BE49-F238E27FC236}">
                  <a16:creationId xmlns:a16="http://schemas.microsoft.com/office/drawing/2014/main" id="{00000000-0008-0000-1B00-00004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31</xdr:row>
          <xdr:rowOff>0</xdr:rowOff>
        </xdr:from>
        <xdr:to>
          <xdr:col>6</xdr:col>
          <xdr:colOff>285750</xdr:colOff>
          <xdr:row>32</xdr:row>
          <xdr:rowOff>171450</xdr:rowOff>
        </xdr:to>
        <xdr:sp macro="" textlink="">
          <xdr:nvSpPr>
            <xdr:cNvPr id="12364" name="Group Box 76" hidden="1">
              <a:extLst>
                <a:ext uri="{63B3BB69-23CF-44E3-9099-C40C66FF867C}">
                  <a14:compatExt spid="_x0000_s12364"/>
                </a:ext>
                <a:ext uri="{FF2B5EF4-FFF2-40B4-BE49-F238E27FC236}">
                  <a16:creationId xmlns:a16="http://schemas.microsoft.com/office/drawing/2014/main" id="{00000000-0008-0000-1B00-00004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0</xdr:rowOff>
        </xdr:from>
        <xdr:to>
          <xdr:col>6</xdr:col>
          <xdr:colOff>266700</xdr:colOff>
          <xdr:row>33</xdr:row>
          <xdr:rowOff>0</xdr:rowOff>
        </xdr:to>
        <xdr:sp macro="" textlink="">
          <xdr:nvSpPr>
            <xdr:cNvPr id="12365" name="Group Box 77" hidden="1">
              <a:extLst>
                <a:ext uri="{63B3BB69-23CF-44E3-9099-C40C66FF867C}">
                  <a14:compatExt spid="_x0000_s12365"/>
                </a:ext>
                <a:ext uri="{FF2B5EF4-FFF2-40B4-BE49-F238E27FC236}">
                  <a16:creationId xmlns:a16="http://schemas.microsoft.com/office/drawing/2014/main" id="{00000000-0008-0000-1B00-00004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0</xdr:rowOff>
        </xdr:from>
        <xdr:to>
          <xdr:col>6</xdr:col>
          <xdr:colOff>285750</xdr:colOff>
          <xdr:row>33</xdr:row>
          <xdr:rowOff>171450</xdr:rowOff>
        </xdr:to>
        <xdr:sp macro="" textlink="">
          <xdr:nvSpPr>
            <xdr:cNvPr id="12366" name="Group Box 78" hidden="1">
              <a:extLst>
                <a:ext uri="{63B3BB69-23CF-44E3-9099-C40C66FF867C}">
                  <a14:compatExt spid="_x0000_s12366"/>
                </a:ext>
                <a:ext uri="{FF2B5EF4-FFF2-40B4-BE49-F238E27FC236}">
                  <a16:creationId xmlns:a16="http://schemas.microsoft.com/office/drawing/2014/main" id="{00000000-0008-0000-1B00-00004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6</xdr:col>
          <xdr:colOff>266700</xdr:colOff>
          <xdr:row>34</xdr:row>
          <xdr:rowOff>0</xdr:rowOff>
        </xdr:to>
        <xdr:sp macro="" textlink="">
          <xdr:nvSpPr>
            <xdr:cNvPr id="12367" name="Group Box 79" hidden="1">
              <a:extLst>
                <a:ext uri="{63B3BB69-23CF-44E3-9099-C40C66FF867C}">
                  <a14:compatExt spid="_x0000_s12367"/>
                </a:ext>
                <a:ext uri="{FF2B5EF4-FFF2-40B4-BE49-F238E27FC236}">
                  <a16:creationId xmlns:a16="http://schemas.microsoft.com/office/drawing/2014/main" id="{00000000-0008-0000-1B00-00004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0</xdr:rowOff>
        </xdr:from>
        <xdr:to>
          <xdr:col>6</xdr:col>
          <xdr:colOff>285750</xdr:colOff>
          <xdr:row>33</xdr:row>
          <xdr:rowOff>171450</xdr:rowOff>
        </xdr:to>
        <xdr:sp macro="" textlink="">
          <xdr:nvSpPr>
            <xdr:cNvPr id="12368" name="Group Box 80" hidden="1">
              <a:extLst>
                <a:ext uri="{63B3BB69-23CF-44E3-9099-C40C66FF867C}">
                  <a14:compatExt spid="_x0000_s12368"/>
                </a:ext>
                <a:ext uri="{FF2B5EF4-FFF2-40B4-BE49-F238E27FC236}">
                  <a16:creationId xmlns:a16="http://schemas.microsoft.com/office/drawing/2014/main" id="{00000000-0008-0000-1B00-00005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6</xdr:col>
          <xdr:colOff>266700</xdr:colOff>
          <xdr:row>34</xdr:row>
          <xdr:rowOff>0</xdr:rowOff>
        </xdr:to>
        <xdr:sp macro="" textlink="">
          <xdr:nvSpPr>
            <xdr:cNvPr id="12369" name="Group Box 81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1B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0</xdr:rowOff>
        </xdr:from>
        <xdr:to>
          <xdr:col>6</xdr:col>
          <xdr:colOff>266700</xdr:colOff>
          <xdr:row>34</xdr:row>
          <xdr:rowOff>19050</xdr:rowOff>
        </xdr:to>
        <xdr:sp macro="" textlink="">
          <xdr:nvSpPr>
            <xdr:cNvPr id="12370" name="Group Box 82" hidden="1">
              <a:extLst>
                <a:ext uri="{63B3BB69-23CF-44E3-9099-C40C66FF867C}">
                  <a14:compatExt spid="_x0000_s12370"/>
                </a:ext>
                <a:ext uri="{FF2B5EF4-FFF2-40B4-BE49-F238E27FC236}">
                  <a16:creationId xmlns:a16="http://schemas.microsoft.com/office/drawing/2014/main" id="{00000000-0008-0000-1B00-00005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0</xdr:rowOff>
        </xdr:from>
        <xdr:to>
          <xdr:col>6</xdr:col>
          <xdr:colOff>285750</xdr:colOff>
          <xdr:row>33</xdr:row>
          <xdr:rowOff>171450</xdr:rowOff>
        </xdr:to>
        <xdr:sp macro="" textlink="">
          <xdr:nvSpPr>
            <xdr:cNvPr id="12371" name="Group Box 83" hidden="1">
              <a:extLst>
                <a:ext uri="{63B3BB69-23CF-44E3-9099-C40C66FF867C}">
                  <a14:compatExt spid="_x0000_s12371"/>
                </a:ext>
                <a:ext uri="{FF2B5EF4-FFF2-40B4-BE49-F238E27FC236}">
                  <a16:creationId xmlns:a16="http://schemas.microsoft.com/office/drawing/2014/main" id="{00000000-0008-0000-1B00-00005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6</xdr:col>
          <xdr:colOff>266700</xdr:colOff>
          <xdr:row>34</xdr:row>
          <xdr:rowOff>0</xdr:rowOff>
        </xdr:to>
        <xdr:sp macro="" textlink="">
          <xdr:nvSpPr>
            <xdr:cNvPr id="12372" name="Group Box 84" hidden="1">
              <a:extLst>
                <a:ext uri="{63B3BB69-23CF-44E3-9099-C40C66FF867C}">
                  <a14:compatExt spid="_x0000_s12372"/>
                </a:ext>
                <a:ext uri="{FF2B5EF4-FFF2-40B4-BE49-F238E27FC236}">
                  <a16:creationId xmlns:a16="http://schemas.microsoft.com/office/drawing/2014/main" id="{00000000-0008-0000-1B00-00005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0</xdr:rowOff>
        </xdr:from>
        <xdr:to>
          <xdr:col>6</xdr:col>
          <xdr:colOff>285750</xdr:colOff>
          <xdr:row>34</xdr:row>
          <xdr:rowOff>171450</xdr:rowOff>
        </xdr:to>
        <xdr:sp macro="" textlink="">
          <xdr:nvSpPr>
            <xdr:cNvPr id="12373" name="Group Box 85" hidden="1">
              <a:extLst>
                <a:ext uri="{63B3BB69-23CF-44E3-9099-C40C66FF867C}">
                  <a14:compatExt spid="_x0000_s12373"/>
                </a:ext>
                <a:ext uri="{FF2B5EF4-FFF2-40B4-BE49-F238E27FC236}">
                  <a16:creationId xmlns:a16="http://schemas.microsoft.com/office/drawing/2014/main" id="{00000000-0008-0000-1B00-00005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6</xdr:col>
          <xdr:colOff>266700</xdr:colOff>
          <xdr:row>35</xdr:row>
          <xdr:rowOff>0</xdr:rowOff>
        </xdr:to>
        <xdr:sp macro="" textlink="">
          <xdr:nvSpPr>
            <xdr:cNvPr id="12374" name="Group Box 86" hidden="1">
              <a:extLst>
                <a:ext uri="{63B3BB69-23CF-44E3-9099-C40C66FF867C}">
                  <a14:compatExt spid="_x0000_s12374"/>
                </a:ext>
                <a:ext uri="{FF2B5EF4-FFF2-40B4-BE49-F238E27FC236}">
                  <a16:creationId xmlns:a16="http://schemas.microsoft.com/office/drawing/2014/main" id="{00000000-0008-0000-1B00-00005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0</xdr:rowOff>
        </xdr:from>
        <xdr:to>
          <xdr:col>6</xdr:col>
          <xdr:colOff>285750</xdr:colOff>
          <xdr:row>33</xdr:row>
          <xdr:rowOff>171450</xdr:rowOff>
        </xdr:to>
        <xdr:sp macro="" textlink="">
          <xdr:nvSpPr>
            <xdr:cNvPr id="12375" name="Group Box 87" hidden="1">
              <a:extLst>
                <a:ext uri="{63B3BB69-23CF-44E3-9099-C40C66FF867C}">
                  <a14:compatExt spid="_x0000_s12375"/>
                </a:ext>
                <a:ext uri="{FF2B5EF4-FFF2-40B4-BE49-F238E27FC236}">
                  <a16:creationId xmlns:a16="http://schemas.microsoft.com/office/drawing/2014/main" id="{00000000-0008-0000-1B00-00005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6</xdr:col>
          <xdr:colOff>266700</xdr:colOff>
          <xdr:row>34</xdr:row>
          <xdr:rowOff>0</xdr:rowOff>
        </xdr:to>
        <xdr:sp macro="" textlink="">
          <xdr:nvSpPr>
            <xdr:cNvPr id="12376" name="Group Box 88" hidden="1">
              <a:extLst>
                <a:ext uri="{63B3BB69-23CF-44E3-9099-C40C66FF867C}">
                  <a14:compatExt spid="_x0000_s12376"/>
                </a:ext>
                <a:ext uri="{FF2B5EF4-FFF2-40B4-BE49-F238E27FC236}">
                  <a16:creationId xmlns:a16="http://schemas.microsoft.com/office/drawing/2014/main" id="{00000000-0008-0000-1B00-00005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0</xdr:rowOff>
        </xdr:from>
        <xdr:to>
          <xdr:col>6</xdr:col>
          <xdr:colOff>285750</xdr:colOff>
          <xdr:row>34</xdr:row>
          <xdr:rowOff>171450</xdr:rowOff>
        </xdr:to>
        <xdr:sp macro="" textlink="">
          <xdr:nvSpPr>
            <xdr:cNvPr id="12377" name="Group Box 89" hidden="1">
              <a:extLst>
                <a:ext uri="{63B3BB69-23CF-44E3-9099-C40C66FF867C}">
                  <a14:compatExt spid="_x0000_s12377"/>
                </a:ext>
                <a:ext uri="{FF2B5EF4-FFF2-40B4-BE49-F238E27FC236}">
                  <a16:creationId xmlns:a16="http://schemas.microsoft.com/office/drawing/2014/main" id="{00000000-0008-0000-1B00-00005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6</xdr:col>
          <xdr:colOff>266700</xdr:colOff>
          <xdr:row>35</xdr:row>
          <xdr:rowOff>0</xdr:rowOff>
        </xdr:to>
        <xdr:sp macro="" textlink="">
          <xdr:nvSpPr>
            <xdr:cNvPr id="12378" name="Group Box 90" hidden="1">
              <a:extLst>
                <a:ext uri="{63B3BB69-23CF-44E3-9099-C40C66FF867C}">
                  <a14:compatExt spid="_x0000_s12378"/>
                </a:ext>
                <a:ext uri="{FF2B5EF4-FFF2-40B4-BE49-F238E27FC236}">
                  <a16:creationId xmlns:a16="http://schemas.microsoft.com/office/drawing/2014/main" id="{00000000-0008-0000-1B00-00005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0</xdr:rowOff>
        </xdr:from>
        <xdr:to>
          <xdr:col>6</xdr:col>
          <xdr:colOff>285750</xdr:colOff>
          <xdr:row>34</xdr:row>
          <xdr:rowOff>171450</xdr:rowOff>
        </xdr:to>
        <xdr:sp macro="" textlink="">
          <xdr:nvSpPr>
            <xdr:cNvPr id="12379" name="Group Box 91" hidden="1">
              <a:extLst>
                <a:ext uri="{63B3BB69-23CF-44E3-9099-C40C66FF867C}">
                  <a14:compatExt spid="_x0000_s12379"/>
                </a:ext>
                <a:ext uri="{FF2B5EF4-FFF2-40B4-BE49-F238E27FC236}">
                  <a16:creationId xmlns:a16="http://schemas.microsoft.com/office/drawing/2014/main" id="{00000000-0008-0000-1B00-00005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6</xdr:col>
          <xdr:colOff>266700</xdr:colOff>
          <xdr:row>35</xdr:row>
          <xdr:rowOff>0</xdr:rowOff>
        </xdr:to>
        <xdr:sp macro="" textlink="">
          <xdr:nvSpPr>
            <xdr:cNvPr id="12380" name="Group Box 92" hidden="1">
              <a:extLst>
                <a:ext uri="{63B3BB69-23CF-44E3-9099-C40C66FF867C}">
                  <a14:compatExt spid="_x0000_s12380"/>
                </a:ext>
                <a:ext uri="{FF2B5EF4-FFF2-40B4-BE49-F238E27FC236}">
                  <a16:creationId xmlns:a16="http://schemas.microsoft.com/office/drawing/2014/main" id="{00000000-0008-0000-1B00-00005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0</xdr:rowOff>
        </xdr:from>
        <xdr:to>
          <xdr:col>6</xdr:col>
          <xdr:colOff>266700</xdr:colOff>
          <xdr:row>35</xdr:row>
          <xdr:rowOff>19050</xdr:rowOff>
        </xdr:to>
        <xdr:sp macro="" textlink="">
          <xdr:nvSpPr>
            <xdr:cNvPr id="12381" name="Group Box 93" hidden="1">
              <a:extLst>
                <a:ext uri="{63B3BB69-23CF-44E3-9099-C40C66FF867C}">
                  <a14:compatExt spid="_x0000_s12381"/>
                </a:ext>
                <a:ext uri="{FF2B5EF4-FFF2-40B4-BE49-F238E27FC236}">
                  <a16:creationId xmlns:a16="http://schemas.microsoft.com/office/drawing/2014/main" id="{00000000-0008-0000-1B00-00005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0</xdr:rowOff>
        </xdr:from>
        <xdr:to>
          <xdr:col>6</xdr:col>
          <xdr:colOff>285750</xdr:colOff>
          <xdr:row>34</xdr:row>
          <xdr:rowOff>171450</xdr:rowOff>
        </xdr:to>
        <xdr:sp macro="" textlink="">
          <xdr:nvSpPr>
            <xdr:cNvPr id="12382" name="Group Box 94" hidden="1">
              <a:extLst>
                <a:ext uri="{63B3BB69-23CF-44E3-9099-C40C66FF867C}">
                  <a14:compatExt spid="_x0000_s12382"/>
                </a:ext>
                <a:ext uri="{FF2B5EF4-FFF2-40B4-BE49-F238E27FC236}">
                  <a16:creationId xmlns:a16="http://schemas.microsoft.com/office/drawing/2014/main" id="{00000000-0008-0000-1B00-00005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6</xdr:col>
          <xdr:colOff>266700</xdr:colOff>
          <xdr:row>35</xdr:row>
          <xdr:rowOff>0</xdr:rowOff>
        </xdr:to>
        <xdr:sp macro="" textlink="">
          <xdr:nvSpPr>
            <xdr:cNvPr id="12383" name="Group Box 95" hidden="1">
              <a:extLst>
                <a:ext uri="{63B3BB69-23CF-44E3-9099-C40C66FF867C}">
                  <a14:compatExt spid="_x0000_s12383"/>
                </a:ext>
                <a:ext uri="{FF2B5EF4-FFF2-40B4-BE49-F238E27FC236}">
                  <a16:creationId xmlns:a16="http://schemas.microsoft.com/office/drawing/2014/main" id="{00000000-0008-0000-1B00-00005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0</xdr:rowOff>
        </xdr:from>
        <xdr:to>
          <xdr:col>6</xdr:col>
          <xdr:colOff>285750</xdr:colOff>
          <xdr:row>35</xdr:row>
          <xdr:rowOff>171450</xdr:rowOff>
        </xdr:to>
        <xdr:sp macro="" textlink="">
          <xdr:nvSpPr>
            <xdr:cNvPr id="12384" name="Group Box 96" hidden="1">
              <a:extLst>
                <a:ext uri="{63B3BB69-23CF-44E3-9099-C40C66FF867C}">
                  <a14:compatExt spid="_x0000_s12384"/>
                </a:ext>
                <a:ext uri="{FF2B5EF4-FFF2-40B4-BE49-F238E27FC236}">
                  <a16:creationId xmlns:a16="http://schemas.microsoft.com/office/drawing/2014/main" id="{00000000-0008-0000-1B00-00006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0</xdr:rowOff>
        </xdr:from>
        <xdr:to>
          <xdr:col>6</xdr:col>
          <xdr:colOff>266700</xdr:colOff>
          <xdr:row>36</xdr:row>
          <xdr:rowOff>0</xdr:rowOff>
        </xdr:to>
        <xdr:sp macro="" textlink="">
          <xdr:nvSpPr>
            <xdr:cNvPr id="12385" name="Group Box 97" hidden="1">
              <a:extLst>
                <a:ext uri="{63B3BB69-23CF-44E3-9099-C40C66FF867C}">
                  <a14:compatExt spid="_x0000_s12385"/>
                </a:ext>
                <a:ext uri="{FF2B5EF4-FFF2-40B4-BE49-F238E27FC236}">
                  <a16:creationId xmlns:a16="http://schemas.microsoft.com/office/drawing/2014/main" id="{00000000-0008-0000-1B00-00006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33</xdr:row>
          <xdr:rowOff>0</xdr:rowOff>
        </xdr:from>
        <xdr:to>
          <xdr:col>6</xdr:col>
          <xdr:colOff>285750</xdr:colOff>
          <xdr:row>34</xdr:row>
          <xdr:rowOff>171450</xdr:rowOff>
        </xdr:to>
        <xdr:sp macro="" textlink="">
          <xdr:nvSpPr>
            <xdr:cNvPr id="12386" name="Group Box 98" hidden="1">
              <a:extLst>
                <a:ext uri="{63B3BB69-23CF-44E3-9099-C40C66FF867C}">
                  <a14:compatExt spid="_x0000_s12386"/>
                </a:ext>
                <a:ext uri="{FF2B5EF4-FFF2-40B4-BE49-F238E27FC236}">
                  <a16:creationId xmlns:a16="http://schemas.microsoft.com/office/drawing/2014/main" id="{00000000-0008-0000-1B00-00006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0</xdr:rowOff>
        </xdr:from>
        <xdr:to>
          <xdr:col>6</xdr:col>
          <xdr:colOff>266700</xdr:colOff>
          <xdr:row>35</xdr:row>
          <xdr:rowOff>0</xdr:rowOff>
        </xdr:to>
        <xdr:sp macro="" textlink="">
          <xdr:nvSpPr>
            <xdr:cNvPr id="12387" name="Group Box 99" hidden="1">
              <a:extLst>
                <a:ext uri="{63B3BB69-23CF-44E3-9099-C40C66FF867C}">
                  <a14:compatExt spid="_x0000_s12387"/>
                </a:ext>
                <a:ext uri="{FF2B5EF4-FFF2-40B4-BE49-F238E27FC236}">
                  <a16:creationId xmlns:a16="http://schemas.microsoft.com/office/drawing/2014/main" id="{00000000-0008-0000-1B00-00006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0</xdr:rowOff>
        </xdr:from>
        <xdr:to>
          <xdr:col>6</xdr:col>
          <xdr:colOff>285750</xdr:colOff>
          <xdr:row>35</xdr:row>
          <xdr:rowOff>171450</xdr:rowOff>
        </xdr:to>
        <xdr:sp macro="" textlink="">
          <xdr:nvSpPr>
            <xdr:cNvPr id="12388" name="Group Box 100" hidden="1">
              <a:extLst>
                <a:ext uri="{63B3BB69-23CF-44E3-9099-C40C66FF867C}">
                  <a14:compatExt spid="_x0000_s12388"/>
                </a:ext>
                <a:ext uri="{FF2B5EF4-FFF2-40B4-BE49-F238E27FC236}">
                  <a16:creationId xmlns:a16="http://schemas.microsoft.com/office/drawing/2014/main" id="{00000000-0008-0000-1B00-00006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0</xdr:rowOff>
        </xdr:from>
        <xdr:to>
          <xdr:col>6</xdr:col>
          <xdr:colOff>266700</xdr:colOff>
          <xdr:row>36</xdr:row>
          <xdr:rowOff>0</xdr:rowOff>
        </xdr:to>
        <xdr:sp macro="" textlink="">
          <xdr:nvSpPr>
            <xdr:cNvPr id="12389" name="Group Box 101" hidden="1">
              <a:extLst>
                <a:ext uri="{63B3BB69-23CF-44E3-9099-C40C66FF867C}">
                  <a14:compatExt spid="_x0000_s12389"/>
                </a:ext>
                <a:ext uri="{FF2B5EF4-FFF2-40B4-BE49-F238E27FC236}">
                  <a16:creationId xmlns:a16="http://schemas.microsoft.com/office/drawing/2014/main" id="{00000000-0008-0000-1B00-00006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0</xdr:rowOff>
        </xdr:from>
        <xdr:to>
          <xdr:col>6</xdr:col>
          <xdr:colOff>285750</xdr:colOff>
          <xdr:row>35</xdr:row>
          <xdr:rowOff>171450</xdr:rowOff>
        </xdr:to>
        <xdr:sp macro="" textlink="">
          <xdr:nvSpPr>
            <xdr:cNvPr id="12390" name="Group Box 102" hidden="1">
              <a:extLst>
                <a:ext uri="{63B3BB69-23CF-44E3-9099-C40C66FF867C}">
                  <a14:compatExt spid="_x0000_s12390"/>
                </a:ext>
                <a:ext uri="{FF2B5EF4-FFF2-40B4-BE49-F238E27FC236}">
                  <a16:creationId xmlns:a16="http://schemas.microsoft.com/office/drawing/2014/main" id="{00000000-0008-0000-1B00-00006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0</xdr:rowOff>
        </xdr:from>
        <xdr:to>
          <xdr:col>6</xdr:col>
          <xdr:colOff>266700</xdr:colOff>
          <xdr:row>36</xdr:row>
          <xdr:rowOff>0</xdr:rowOff>
        </xdr:to>
        <xdr:sp macro="" textlink="">
          <xdr:nvSpPr>
            <xdr:cNvPr id="12391" name="Group Box 103" hidden="1">
              <a:extLst>
                <a:ext uri="{63B3BB69-23CF-44E3-9099-C40C66FF867C}">
                  <a14:compatExt spid="_x0000_s12391"/>
                </a:ext>
                <a:ext uri="{FF2B5EF4-FFF2-40B4-BE49-F238E27FC236}">
                  <a16:creationId xmlns:a16="http://schemas.microsoft.com/office/drawing/2014/main" id="{00000000-0008-0000-1B00-00006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0</xdr:rowOff>
        </xdr:from>
        <xdr:to>
          <xdr:col>6</xdr:col>
          <xdr:colOff>266700</xdr:colOff>
          <xdr:row>36</xdr:row>
          <xdr:rowOff>19050</xdr:rowOff>
        </xdr:to>
        <xdr:sp macro="" textlink="">
          <xdr:nvSpPr>
            <xdr:cNvPr id="12392" name="Group Box 104" hidden="1">
              <a:extLst>
                <a:ext uri="{63B3BB69-23CF-44E3-9099-C40C66FF867C}">
                  <a14:compatExt spid="_x0000_s12392"/>
                </a:ext>
                <a:ext uri="{FF2B5EF4-FFF2-40B4-BE49-F238E27FC236}">
                  <a16:creationId xmlns:a16="http://schemas.microsoft.com/office/drawing/2014/main" id="{00000000-0008-0000-1B00-00006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0</xdr:rowOff>
        </xdr:from>
        <xdr:to>
          <xdr:col>6</xdr:col>
          <xdr:colOff>285750</xdr:colOff>
          <xdr:row>35</xdr:row>
          <xdr:rowOff>171450</xdr:rowOff>
        </xdr:to>
        <xdr:sp macro="" textlink="">
          <xdr:nvSpPr>
            <xdr:cNvPr id="12393" name="Group Box 105" hidden="1">
              <a:extLst>
                <a:ext uri="{63B3BB69-23CF-44E3-9099-C40C66FF867C}">
                  <a14:compatExt spid="_x0000_s12393"/>
                </a:ext>
                <a:ext uri="{FF2B5EF4-FFF2-40B4-BE49-F238E27FC236}">
                  <a16:creationId xmlns:a16="http://schemas.microsoft.com/office/drawing/2014/main" id="{00000000-0008-0000-1B00-00006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0</xdr:rowOff>
        </xdr:from>
        <xdr:to>
          <xdr:col>6</xdr:col>
          <xdr:colOff>266700</xdr:colOff>
          <xdr:row>36</xdr:row>
          <xdr:rowOff>0</xdr:rowOff>
        </xdr:to>
        <xdr:sp macro="" textlink="">
          <xdr:nvSpPr>
            <xdr:cNvPr id="12394" name="Group Box 106" hidden="1">
              <a:extLst>
                <a:ext uri="{63B3BB69-23CF-44E3-9099-C40C66FF867C}">
                  <a14:compatExt spid="_x0000_s12394"/>
                </a:ext>
                <a:ext uri="{FF2B5EF4-FFF2-40B4-BE49-F238E27FC236}">
                  <a16:creationId xmlns:a16="http://schemas.microsoft.com/office/drawing/2014/main" id="{00000000-0008-0000-1B00-00006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35</xdr:row>
          <xdr:rowOff>0</xdr:rowOff>
        </xdr:from>
        <xdr:to>
          <xdr:col>6</xdr:col>
          <xdr:colOff>285750</xdr:colOff>
          <xdr:row>36</xdr:row>
          <xdr:rowOff>171450</xdr:rowOff>
        </xdr:to>
        <xdr:sp macro="" textlink="">
          <xdr:nvSpPr>
            <xdr:cNvPr id="12395" name="Group Box 107" hidden="1">
              <a:extLst>
                <a:ext uri="{63B3BB69-23CF-44E3-9099-C40C66FF867C}">
                  <a14:compatExt spid="_x0000_s12395"/>
                </a:ext>
                <a:ext uri="{FF2B5EF4-FFF2-40B4-BE49-F238E27FC236}">
                  <a16:creationId xmlns:a16="http://schemas.microsoft.com/office/drawing/2014/main" id="{00000000-0008-0000-1B00-00006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0</xdr:rowOff>
        </xdr:from>
        <xdr:to>
          <xdr:col>6</xdr:col>
          <xdr:colOff>266700</xdr:colOff>
          <xdr:row>37</xdr:row>
          <xdr:rowOff>0</xdr:rowOff>
        </xdr:to>
        <xdr:sp macro="" textlink="">
          <xdr:nvSpPr>
            <xdr:cNvPr id="12396" name="Group Box 108" hidden="1">
              <a:extLst>
                <a:ext uri="{63B3BB69-23CF-44E3-9099-C40C66FF867C}">
                  <a14:compatExt spid="_x0000_s12396"/>
                </a:ext>
                <a:ext uri="{FF2B5EF4-FFF2-40B4-BE49-F238E27FC236}">
                  <a16:creationId xmlns:a16="http://schemas.microsoft.com/office/drawing/2014/main" id="{00000000-0008-0000-1B00-00006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34</xdr:row>
          <xdr:rowOff>0</xdr:rowOff>
        </xdr:from>
        <xdr:to>
          <xdr:col>6</xdr:col>
          <xdr:colOff>285750</xdr:colOff>
          <xdr:row>35</xdr:row>
          <xdr:rowOff>171450</xdr:rowOff>
        </xdr:to>
        <xdr:sp macro="" textlink="">
          <xdr:nvSpPr>
            <xdr:cNvPr id="12397" name="Group Box 109" hidden="1">
              <a:extLst>
                <a:ext uri="{63B3BB69-23CF-44E3-9099-C40C66FF867C}">
                  <a14:compatExt spid="_x0000_s12397"/>
                </a:ext>
                <a:ext uri="{FF2B5EF4-FFF2-40B4-BE49-F238E27FC236}">
                  <a16:creationId xmlns:a16="http://schemas.microsoft.com/office/drawing/2014/main" id="{00000000-0008-0000-1B00-00006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0</xdr:rowOff>
        </xdr:from>
        <xdr:to>
          <xdr:col>6</xdr:col>
          <xdr:colOff>266700</xdr:colOff>
          <xdr:row>36</xdr:row>
          <xdr:rowOff>0</xdr:rowOff>
        </xdr:to>
        <xdr:sp macro="" textlink="">
          <xdr:nvSpPr>
            <xdr:cNvPr id="12398" name="Group Box 110" hidden="1">
              <a:extLst>
                <a:ext uri="{63B3BB69-23CF-44E3-9099-C40C66FF867C}">
                  <a14:compatExt spid="_x0000_s12398"/>
                </a:ext>
                <a:ext uri="{FF2B5EF4-FFF2-40B4-BE49-F238E27FC236}">
                  <a16:creationId xmlns:a16="http://schemas.microsoft.com/office/drawing/2014/main" id="{00000000-0008-0000-1B00-00006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35</xdr:row>
          <xdr:rowOff>0</xdr:rowOff>
        </xdr:from>
        <xdr:to>
          <xdr:col>6</xdr:col>
          <xdr:colOff>285750</xdr:colOff>
          <xdr:row>36</xdr:row>
          <xdr:rowOff>171450</xdr:rowOff>
        </xdr:to>
        <xdr:sp macro="" textlink="">
          <xdr:nvSpPr>
            <xdr:cNvPr id="12399" name="Group Box 111" hidden="1">
              <a:extLst>
                <a:ext uri="{63B3BB69-23CF-44E3-9099-C40C66FF867C}">
                  <a14:compatExt spid="_x0000_s12399"/>
                </a:ext>
                <a:ext uri="{FF2B5EF4-FFF2-40B4-BE49-F238E27FC236}">
                  <a16:creationId xmlns:a16="http://schemas.microsoft.com/office/drawing/2014/main" id="{00000000-0008-0000-1B00-00006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0</xdr:rowOff>
        </xdr:from>
        <xdr:to>
          <xdr:col>6</xdr:col>
          <xdr:colOff>266700</xdr:colOff>
          <xdr:row>37</xdr:row>
          <xdr:rowOff>0</xdr:rowOff>
        </xdr:to>
        <xdr:sp macro="" textlink="">
          <xdr:nvSpPr>
            <xdr:cNvPr id="12400" name="Group Box 112" hidden="1">
              <a:extLst>
                <a:ext uri="{63B3BB69-23CF-44E3-9099-C40C66FF867C}">
                  <a14:compatExt spid="_x0000_s12400"/>
                </a:ext>
                <a:ext uri="{FF2B5EF4-FFF2-40B4-BE49-F238E27FC236}">
                  <a16:creationId xmlns:a16="http://schemas.microsoft.com/office/drawing/2014/main" id="{00000000-0008-0000-1B00-00007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35</xdr:row>
          <xdr:rowOff>0</xdr:rowOff>
        </xdr:from>
        <xdr:to>
          <xdr:col>6</xdr:col>
          <xdr:colOff>285750</xdr:colOff>
          <xdr:row>36</xdr:row>
          <xdr:rowOff>171450</xdr:rowOff>
        </xdr:to>
        <xdr:sp macro="" textlink="">
          <xdr:nvSpPr>
            <xdr:cNvPr id="12401" name="Group Box 113" hidden="1">
              <a:extLst>
                <a:ext uri="{63B3BB69-23CF-44E3-9099-C40C66FF867C}">
                  <a14:compatExt spid="_x0000_s12401"/>
                </a:ext>
                <a:ext uri="{FF2B5EF4-FFF2-40B4-BE49-F238E27FC236}">
                  <a16:creationId xmlns:a16="http://schemas.microsoft.com/office/drawing/2014/main" id="{00000000-0008-0000-1B00-00007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0</xdr:rowOff>
        </xdr:from>
        <xdr:to>
          <xdr:col>6</xdr:col>
          <xdr:colOff>266700</xdr:colOff>
          <xdr:row>37</xdr:row>
          <xdr:rowOff>0</xdr:rowOff>
        </xdr:to>
        <xdr:sp macro="" textlink="">
          <xdr:nvSpPr>
            <xdr:cNvPr id="12402" name="Group Box 114" hidden="1">
              <a:extLst>
                <a:ext uri="{63B3BB69-23CF-44E3-9099-C40C66FF867C}">
                  <a14:compatExt spid="_x0000_s12402"/>
                </a:ext>
                <a:ext uri="{FF2B5EF4-FFF2-40B4-BE49-F238E27FC236}">
                  <a16:creationId xmlns:a16="http://schemas.microsoft.com/office/drawing/2014/main" id="{00000000-0008-0000-1B00-00007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0</xdr:rowOff>
        </xdr:from>
        <xdr:to>
          <xdr:col>6</xdr:col>
          <xdr:colOff>266700</xdr:colOff>
          <xdr:row>37</xdr:row>
          <xdr:rowOff>19050</xdr:rowOff>
        </xdr:to>
        <xdr:sp macro="" textlink="">
          <xdr:nvSpPr>
            <xdr:cNvPr id="12403" name="Group Box 115" hidden="1">
              <a:extLst>
                <a:ext uri="{63B3BB69-23CF-44E3-9099-C40C66FF867C}">
                  <a14:compatExt spid="_x0000_s12403"/>
                </a:ext>
                <a:ext uri="{FF2B5EF4-FFF2-40B4-BE49-F238E27FC236}">
                  <a16:creationId xmlns:a16="http://schemas.microsoft.com/office/drawing/2014/main" id="{00000000-0008-0000-1B00-00007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35</xdr:row>
          <xdr:rowOff>0</xdr:rowOff>
        </xdr:from>
        <xdr:to>
          <xdr:col>6</xdr:col>
          <xdr:colOff>285750</xdr:colOff>
          <xdr:row>36</xdr:row>
          <xdr:rowOff>171450</xdr:rowOff>
        </xdr:to>
        <xdr:sp macro="" textlink="">
          <xdr:nvSpPr>
            <xdr:cNvPr id="12404" name="Group Box 116" hidden="1">
              <a:extLst>
                <a:ext uri="{63B3BB69-23CF-44E3-9099-C40C66FF867C}">
                  <a14:compatExt spid="_x0000_s12404"/>
                </a:ext>
                <a:ext uri="{FF2B5EF4-FFF2-40B4-BE49-F238E27FC236}">
                  <a16:creationId xmlns:a16="http://schemas.microsoft.com/office/drawing/2014/main" id="{00000000-0008-0000-1B00-00007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0</xdr:rowOff>
        </xdr:from>
        <xdr:to>
          <xdr:col>6</xdr:col>
          <xdr:colOff>266700</xdr:colOff>
          <xdr:row>37</xdr:row>
          <xdr:rowOff>0</xdr:rowOff>
        </xdr:to>
        <xdr:sp macro="" textlink="">
          <xdr:nvSpPr>
            <xdr:cNvPr id="12405" name="Group Box 117" hidden="1">
              <a:extLst>
                <a:ext uri="{63B3BB69-23CF-44E3-9099-C40C66FF867C}">
                  <a14:compatExt spid="_x0000_s12405"/>
                </a:ext>
                <a:ext uri="{FF2B5EF4-FFF2-40B4-BE49-F238E27FC236}">
                  <a16:creationId xmlns:a16="http://schemas.microsoft.com/office/drawing/2014/main" id="{00000000-0008-0000-1B00-00007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36</xdr:row>
          <xdr:rowOff>0</xdr:rowOff>
        </xdr:from>
        <xdr:to>
          <xdr:col>6</xdr:col>
          <xdr:colOff>285750</xdr:colOff>
          <xdr:row>37</xdr:row>
          <xdr:rowOff>171450</xdr:rowOff>
        </xdr:to>
        <xdr:sp macro="" textlink="">
          <xdr:nvSpPr>
            <xdr:cNvPr id="12406" name="Group Box 118" hidden="1">
              <a:extLst>
                <a:ext uri="{63B3BB69-23CF-44E3-9099-C40C66FF867C}">
                  <a14:compatExt spid="_x0000_s12406"/>
                </a:ext>
                <a:ext uri="{FF2B5EF4-FFF2-40B4-BE49-F238E27FC236}">
                  <a16:creationId xmlns:a16="http://schemas.microsoft.com/office/drawing/2014/main" id="{00000000-0008-0000-1B00-00007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0</xdr:rowOff>
        </xdr:from>
        <xdr:to>
          <xdr:col>6</xdr:col>
          <xdr:colOff>266700</xdr:colOff>
          <xdr:row>38</xdr:row>
          <xdr:rowOff>0</xdr:rowOff>
        </xdr:to>
        <xdr:sp macro="" textlink="">
          <xdr:nvSpPr>
            <xdr:cNvPr id="12407" name="Group Box 119" hidden="1">
              <a:extLst>
                <a:ext uri="{63B3BB69-23CF-44E3-9099-C40C66FF867C}">
                  <a14:compatExt spid="_x0000_s12407"/>
                </a:ext>
                <a:ext uri="{FF2B5EF4-FFF2-40B4-BE49-F238E27FC236}">
                  <a16:creationId xmlns:a16="http://schemas.microsoft.com/office/drawing/2014/main" id="{00000000-0008-0000-1B00-00007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35</xdr:row>
          <xdr:rowOff>0</xdr:rowOff>
        </xdr:from>
        <xdr:to>
          <xdr:col>6</xdr:col>
          <xdr:colOff>285750</xdr:colOff>
          <xdr:row>36</xdr:row>
          <xdr:rowOff>171450</xdr:rowOff>
        </xdr:to>
        <xdr:sp macro="" textlink="">
          <xdr:nvSpPr>
            <xdr:cNvPr id="12408" name="Group Box 120" hidden="1">
              <a:extLst>
                <a:ext uri="{63B3BB69-23CF-44E3-9099-C40C66FF867C}">
                  <a14:compatExt spid="_x0000_s12408"/>
                </a:ext>
                <a:ext uri="{FF2B5EF4-FFF2-40B4-BE49-F238E27FC236}">
                  <a16:creationId xmlns:a16="http://schemas.microsoft.com/office/drawing/2014/main" id="{00000000-0008-0000-1B00-00007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0</xdr:rowOff>
        </xdr:from>
        <xdr:to>
          <xdr:col>6</xdr:col>
          <xdr:colOff>266700</xdr:colOff>
          <xdr:row>37</xdr:row>
          <xdr:rowOff>0</xdr:rowOff>
        </xdr:to>
        <xdr:sp macro="" textlink="">
          <xdr:nvSpPr>
            <xdr:cNvPr id="12409" name="Group Box 121" hidden="1">
              <a:extLst>
                <a:ext uri="{63B3BB69-23CF-44E3-9099-C40C66FF867C}">
                  <a14:compatExt spid="_x0000_s12409"/>
                </a:ext>
                <a:ext uri="{FF2B5EF4-FFF2-40B4-BE49-F238E27FC236}">
                  <a16:creationId xmlns:a16="http://schemas.microsoft.com/office/drawing/2014/main" id="{00000000-0008-0000-1B00-00007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36</xdr:row>
          <xdr:rowOff>0</xdr:rowOff>
        </xdr:from>
        <xdr:to>
          <xdr:col>6</xdr:col>
          <xdr:colOff>285750</xdr:colOff>
          <xdr:row>37</xdr:row>
          <xdr:rowOff>171450</xdr:rowOff>
        </xdr:to>
        <xdr:sp macro="" textlink="">
          <xdr:nvSpPr>
            <xdr:cNvPr id="12410" name="Group Box 122" hidden="1">
              <a:extLst>
                <a:ext uri="{63B3BB69-23CF-44E3-9099-C40C66FF867C}">
                  <a14:compatExt spid="_x0000_s12410"/>
                </a:ext>
                <a:ext uri="{FF2B5EF4-FFF2-40B4-BE49-F238E27FC236}">
                  <a16:creationId xmlns:a16="http://schemas.microsoft.com/office/drawing/2014/main" id="{00000000-0008-0000-1B00-00007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0</xdr:rowOff>
        </xdr:from>
        <xdr:to>
          <xdr:col>6</xdr:col>
          <xdr:colOff>266700</xdr:colOff>
          <xdr:row>38</xdr:row>
          <xdr:rowOff>0</xdr:rowOff>
        </xdr:to>
        <xdr:sp macro="" textlink="">
          <xdr:nvSpPr>
            <xdr:cNvPr id="12411" name="Group Box 123" hidden="1">
              <a:extLst>
                <a:ext uri="{63B3BB69-23CF-44E3-9099-C40C66FF867C}">
                  <a14:compatExt spid="_x0000_s12411"/>
                </a:ext>
                <a:ext uri="{FF2B5EF4-FFF2-40B4-BE49-F238E27FC236}">
                  <a16:creationId xmlns:a16="http://schemas.microsoft.com/office/drawing/2014/main" id="{00000000-0008-0000-1B00-00007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36</xdr:row>
          <xdr:rowOff>0</xdr:rowOff>
        </xdr:from>
        <xdr:to>
          <xdr:col>6</xdr:col>
          <xdr:colOff>285750</xdr:colOff>
          <xdr:row>37</xdr:row>
          <xdr:rowOff>171450</xdr:rowOff>
        </xdr:to>
        <xdr:sp macro="" textlink="">
          <xdr:nvSpPr>
            <xdr:cNvPr id="12412" name="Group Box 124" hidden="1">
              <a:extLst>
                <a:ext uri="{63B3BB69-23CF-44E3-9099-C40C66FF867C}">
                  <a14:compatExt spid="_x0000_s12412"/>
                </a:ext>
                <a:ext uri="{FF2B5EF4-FFF2-40B4-BE49-F238E27FC236}">
                  <a16:creationId xmlns:a16="http://schemas.microsoft.com/office/drawing/2014/main" id="{00000000-0008-0000-1B00-00007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0</xdr:rowOff>
        </xdr:from>
        <xdr:to>
          <xdr:col>6</xdr:col>
          <xdr:colOff>266700</xdr:colOff>
          <xdr:row>38</xdr:row>
          <xdr:rowOff>0</xdr:rowOff>
        </xdr:to>
        <xdr:sp macro="" textlink="">
          <xdr:nvSpPr>
            <xdr:cNvPr id="12413" name="Group Box 125" hidden="1">
              <a:extLst>
                <a:ext uri="{63B3BB69-23CF-44E3-9099-C40C66FF867C}">
                  <a14:compatExt spid="_x0000_s12413"/>
                </a:ext>
                <a:ext uri="{FF2B5EF4-FFF2-40B4-BE49-F238E27FC236}">
                  <a16:creationId xmlns:a16="http://schemas.microsoft.com/office/drawing/2014/main" id="{00000000-0008-0000-1B00-00007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36</xdr:row>
          <xdr:rowOff>0</xdr:rowOff>
        </xdr:from>
        <xdr:to>
          <xdr:col>6</xdr:col>
          <xdr:colOff>266700</xdr:colOff>
          <xdr:row>38</xdr:row>
          <xdr:rowOff>19050</xdr:rowOff>
        </xdr:to>
        <xdr:sp macro="" textlink="">
          <xdr:nvSpPr>
            <xdr:cNvPr id="12414" name="Group Box 126" hidden="1">
              <a:extLst>
                <a:ext uri="{63B3BB69-23CF-44E3-9099-C40C66FF867C}">
                  <a14:compatExt spid="_x0000_s12414"/>
                </a:ext>
                <a:ext uri="{FF2B5EF4-FFF2-40B4-BE49-F238E27FC236}">
                  <a16:creationId xmlns:a16="http://schemas.microsoft.com/office/drawing/2014/main" id="{00000000-0008-0000-1B00-00007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36</xdr:row>
          <xdr:rowOff>0</xdr:rowOff>
        </xdr:from>
        <xdr:to>
          <xdr:col>6</xdr:col>
          <xdr:colOff>285750</xdr:colOff>
          <xdr:row>37</xdr:row>
          <xdr:rowOff>171450</xdr:rowOff>
        </xdr:to>
        <xdr:sp macro="" textlink="">
          <xdr:nvSpPr>
            <xdr:cNvPr id="12415" name="Group Box 127" hidden="1">
              <a:extLst>
                <a:ext uri="{63B3BB69-23CF-44E3-9099-C40C66FF867C}">
                  <a14:compatExt spid="_x0000_s12415"/>
                </a:ext>
                <a:ext uri="{FF2B5EF4-FFF2-40B4-BE49-F238E27FC236}">
                  <a16:creationId xmlns:a16="http://schemas.microsoft.com/office/drawing/2014/main" id="{00000000-0008-0000-1B00-00007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0</xdr:rowOff>
        </xdr:from>
        <xdr:to>
          <xdr:col>6</xdr:col>
          <xdr:colOff>266700</xdr:colOff>
          <xdr:row>38</xdr:row>
          <xdr:rowOff>0</xdr:rowOff>
        </xdr:to>
        <xdr:sp macro="" textlink="">
          <xdr:nvSpPr>
            <xdr:cNvPr id="12416" name="Group Box 128" hidden="1">
              <a:extLst>
                <a:ext uri="{63B3BB69-23CF-44E3-9099-C40C66FF867C}">
                  <a14:compatExt spid="_x0000_s12416"/>
                </a:ext>
                <a:ext uri="{FF2B5EF4-FFF2-40B4-BE49-F238E27FC236}">
                  <a16:creationId xmlns:a16="http://schemas.microsoft.com/office/drawing/2014/main" id="{00000000-0008-0000-1B00-00008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0</xdr:rowOff>
        </xdr:from>
        <xdr:to>
          <xdr:col>6</xdr:col>
          <xdr:colOff>285750</xdr:colOff>
          <xdr:row>38</xdr:row>
          <xdr:rowOff>171450</xdr:rowOff>
        </xdr:to>
        <xdr:sp macro="" textlink="">
          <xdr:nvSpPr>
            <xdr:cNvPr id="12417" name="Group Box 129" hidden="1">
              <a:extLst>
                <a:ext uri="{63B3BB69-23CF-44E3-9099-C40C66FF867C}">
                  <a14:compatExt spid="_x0000_s12417"/>
                </a:ext>
                <a:ext uri="{FF2B5EF4-FFF2-40B4-BE49-F238E27FC236}">
                  <a16:creationId xmlns:a16="http://schemas.microsoft.com/office/drawing/2014/main" id="{00000000-0008-0000-1B00-00008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37</xdr:row>
          <xdr:rowOff>0</xdr:rowOff>
        </xdr:from>
        <xdr:to>
          <xdr:col>6</xdr:col>
          <xdr:colOff>266700</xdr:colOff>
          <xdr:row>39</xdr:row>
          <xdr:rowOff>0</xdr:rowOff>
        </xdr:to>
        <xdr:sp macro="" textlink="">
          <xdr:nvSpPr>
            <xdr:cNvPr id="12418" name="Group Box 130" hidden="1">
              <a:extLst>
                <a:ext uri="{63B3BB69-23CF-44E3-9099-C40C66FF867C}">
                  <a14:compatExt spid="_x0000_s12418"/>
                </a:ext>
                <a:ext uri="{FF2B5EF4-FFF2-40B4-BE49-F238E27FC236}">
                  <a16:creationId xmlns:a16="http://schemas.microsoft.com/office/drawing/2014/main" id="{00000000-0008-0000-1B00-00008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36</xdr:row>
          <xdr:rowOff>0</xdr:rowOff>
        </xdr:from>
        <xdr:to>
          <xdr:col>6</xdr:col>
          <xdr:colOff>285750</xdr:colOff>
          <xdr:row>37</xdr:row>
          <xdr:rowOff>171450</xdr:rowOff>
        </xdr:to>
        <xdr:sp macro="" textlink="">
          <xdr:nvSpPr>
            <xdr:cNvPr id="12419" name="Group Box 131" hidden="1">
              <a:extLst>
                <a:ext uri="{63B3BB69-23CF-44E3-9099-C40C66FF867C}">
                  <a14:compatExt spid="_x0000_s12419"/>
                </a:ext>
                <a:ext uri="{FF2B5EF4-FFF2-40B4-BE49-F238E27FC236}">
                  <a16:creationId xmlns:a16="http://schemas.microsoft.com/office/drawing/2014/main" id="{00000000-0008-0000-1B00-00008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0</xdr:rowOff>
        </xdr:from>
        <xdr:to>
          <xdr:col>6</xdr:col>
          <xdr:colOff>266700</xdr:colOff>
          <xdr:row>38</xdr:row>
          <xdr:rowOff>0</xdr:rowOff>
        </xdr:to>
        <xdr:sp macro="" textlink="">
          <xdr:nvSpPr>
            <xdr:cNvPr id="12420" name="Group Box 132" hidden="1">
              <a:extLst>
                <a:ext uri="{63B3BB69-23CF-44E3-9099-C40C66FF867C}">
                  <a14:compatExt spid="_x0000_s12420"/>
                </a:ext>
                <a:ext uri="{FF2B5EF4-FFF2-40B4-BE49-F238E27FC236}">
                  <a16:creationId xmlns:a16="http://schemas.microsoft.com/office/drawing/2014/main" id="{00000000-0008-0000-1B00-00008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0</xdr:rowOff>
        </xdr:from>
        <xdr:to>
          <xdr:col>6</xdr:col>
          <xdr:colOff>285750</xdr:colOff>
          <xdr:row>38</xdr:row>
          <xdr:rowOff>171450</xdr:rowOff>
        </xdr:to>
        <xdr:sp macro="" textlink="">
          <xdr:nvSpPr>
            <xdr:cNvPr id="12421" name="Group Box 133" hidden="1">
              <a:extLst>
                <a:ext uri="{63B3BB69-23CF-44E3-9099-C40C66FF867C}">
                  <a14:compatExt spid="_x0000_s12421"/>
                </a:ext>
                <a:ext uri="{FF2B5EF4-FFF2-40B4-BE49-F238E27FC236}">
                  <a16:creationId xmlns:a16="http://schemas.microsoft.com/office/drawing/2014/main" id="{00000000-0008-0000-1B00-00008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37</xdr:row>
          <xdr:rowOff>0</xdr:rowOff>
        </xdr:from>
        <xdr:to>
          <xdr:col>6</xdr:col>
          <xdr:colOff>266700</xdr:colOff>
          <xdr:row>39</xdr:row>
          <xdr:rowOff>0</xdr:rowOff>
        </xdr:to>
        <xdr:sp macro="" textlink="">
          <xdr:nvSpPr>
            <xdr:cNvPr id="12422" name="Group Box 134" hidden="1">
              <a:extLst>
                <a:ext uri="{63B3BB69-23CF-44E3-9099-C40C66FF867C}">
                  <a14:compatExt spid="_x0000_s12422"/>
                </a:ext>
                <a:ext uri="{FF2B5EF4-FFF2-40B4-BE49-F238E27FC236}">
                  <a16:creationId xmlns:a16="http://schemas.microsoft.com/office/drawing/2014/main" id="{00000000-0008-0000-1B00-00008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0</xdr:rowOff>
        </xdr:from>
        <xdr:to>
          <xdr:col>6</xdr:col>
          <xdr:colOff>285750</xdr:colOff>
          <xdr:row>38</xdr:row>
          <xdr:rowOff>171450</xdr:rowOff>
        </xdr:to>
        <xdr:sp macro="" textlink="">
          <xdr:nvSpPr>
            <xdr:cNvPr id="12423" name="Group Box 135" hidden="1">
              <a:extLst>
                <a:ext uri="{63B3BB69-23CF-44E3-9099-C40C66FF867C}">
                  <a14:compatExt spid="_x0000_s12423"/>
                </a:ext>
                <a:ext uri="{FF2B5EF4-FFF2-40B4-BE49-F238E27FC236}">
                  <a16:creationId xmlns:a16="http://schemas.microsoft.com/office/drawing/2014/main" id="{00000000-0008-0000-1B00-00008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37</xdr:row>
          <xdr:rowOff>0</xdr:rowOff>
        </xdr:from>
        <xdr:to>
          <xdr:col>6</xdr:col>
          <xdr:colOff>266700</xdr:colOff>
          <xdr:row>39</xdr:row>
          <xdr:rowOff>0</xdr:rowOff>
        </xdr:to>
        <xdr:sp macro="" textlink="">
          <xdr:nvSpPr>
            <xdr:cNvPr id="12424" name="Group Box 136" hidden="1">
              <a:extLst>
                <a:ext uri="{63B3BB69-23CF-44E3-9099-C40C66FF867C}">
                  <a14:compatExt spid="_x0000_s12424"/>
                </a:ext>
                <a:ext uri="{FF2B5EF4-FFF2-40B4-BE49-F238E27FC236}">
                  <a16:creationId xmlns:a16="http://schemas.microsoft.com/office/drawing/2014/main" id="{00000000-0008-0000-1B00-00008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0</xdr:rowOff>
        </xdr:from>
        <xdr:to>
          <xdr:col>6</xdr:col>
          <xdr:colOff>266700</xdr:colOff>
          <xdr:row>39</xdr:row>
          <xdr:rowOff>19050</xdr:rowOff>
        </xdr:to>
        <xdr:sp macro="" textlink="">
          <xdr:nvSpPr>
            <xdr:cNvPr id="12425" name="Group Box 137" hidden="1">
              <a:extLst>
                <a:ext uri="{63B3BB69-23CF-44E3-9099-C40C66FF867C}">
                  <a14:compatExt spid="_x0000_s12425"/>
                </a:ext>
                <a:ext uri="{FF2B5EF4-FFF2-40B4-BE49-F238E27FC236}">
                  <a16:creationId xmlns:a16="http://schemas.microsoft.com/office/drawing/2014/main" id="{00000000-0008-0000-1B00-00008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0</xdr:rowOff>
        </xdr:from>
        <xdr:to>
          <xdr:col>6</xdr:col>
          <xdr:colOff>285750</xdr:colOff>
          <xdr:row>38</xdr:row>
          <xdr:rowOff>171450</xdr:rowOff>
        </xdr:to>
        <xdr:sp macro="" textlink="">
          <xdr:nvSpPr>
            <xdr:cNvPr id="12426" name="Group Box 138" hidden="1">
              <a:extLst>
                <a:ext uri="{63B3BB69-23CF-44E3-9099-C40C66FF867C}">
                  <a14:compatExt spid="_x0000_s12426"/>
                </a:ext>
                <a:ext uri="{FF2B5EF4-FFF2-40B4-BE49-F238E27FC236}">
                  <a16:creationId xmlns:a16="http://schemas.microsoft.com/office/drawing/2014/main" id="{00000000-0008-0000-1B00-00008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37</xdr:row>
          <xdr:rowOff>0</xdr:rowOff>
        </xdr:from>
        <xdr:to>
          <xdr:col>6</xdr:col>
          <xdr:colOff>266700</xdr:colOff>
          <xdr:row>39</xdr:row>
          <xdr:rowOff>0</xdr:rowOff>
        </xdr:to>
        <xdr:sp macro="" textlink="">
          <xdr:nvSpPr>
            <xdr:cNvPr id="12427" name="Group Box 139" hidden="1">
              <a:extLst>
                <a:ext uri="{63B3BB69-23CF-44E3-9099-C40C66FF867C}">
                  <a14:compatExt spid="_x0000_s12427"/>
                </a:ext>
                <a:ext uri="{FF2B5EF4-FFF2-40B4-BE49-F238E27FC236}">
                  <a16:creationId xmlns:a16="http://schemas.microsoft.com/office/drawing/2014/main" id="{00000000-0008-0000-1B00-00008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0</xdr:rowOff>
        </xdr:from>
        <xdr:to>
          <xdr:col>6</xdr:col>
          <xdr:colOff>285750</xdr:colOff>
          <xdr:row>39</xdr:row>
          <xdr:rowOff>171450</xdr:rowOff>
        </xdr:to>
        <xdr:sp macro="" textlink="">
          <xdr:nvSpPr>
            <xdr:cNvPr id="12428" name="Group Box 140" hidden="1">
              <a:extLst>
                <a:ext uri="{63B3BB69-23CF-44E3-9099-C40C66FF867C}">
                  <a14:compatExt spid="_x0000_s12428"/>
                </a:ext>
                <a:ext uri="{FF2B5EF4-FFF2-40B4-BE49-F238E27FC236}">
                  <a16:creationId xmlns:a16="http://schemas.microsoft.com/office/drawing/2014/main" id="{00000000-0008-0000-1B00-00008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</xdr:row>
          <xdr:rowOff>0</xdr:rowOff>
        </xdr:from>
        <xdr:to>
          <xdr:col>6</xdr:col>
          <xdr:colOff>266700</xdr:colOff>
          <xdr:row>40</xdr:row>
          <xdr:rowOff>0</xdr:rowOff>
        </xdr:to>
        <xdr:sp macro="" textlink="">
          <xdr:nvSpPr>
            <xdr:cNvPr id="12429" name="Group Box 141" hidden="1">
              <a:extLst>
                <a:ext uri="{63B3BB69-23CF-44E3-9099-C40C66FF867C}">
                  <a14:compatExt spid="_x0000_s12429"/>
                </a:ext>
                <a:ext uri="{FF2B5EF4-FFF2-40B4-BE49-F238E27FC236}">
                  <a16:creationId xmlns:a16="http://schemas.microsoft.com/office/drawing/2014/main" id="{00000000-0008-0000-1B00-00008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37</xdr:row>
          <xdr:rowOff>0</xdr:rowOff>
        </xdr:from>
        <xdr:to>
          <xdr:col>6</xdr:col>
          <xdr:colOff>285750</xdr:colOff>
          <xdr:row>38</xdr:row>
          <xdr:rowOff>171450</xdr:rowOff>
        </xdr:to>
        <xdr:sp macro="" textlink="">
          <xdr:nvSpPr>
            <xdr:cNvPr id="12430" name="Group Box 142" hidden="1">
              <a:extLst>
                <a:ext uri="{63B3BB69-23CF-44E3-9099-C40C66FF867C}">
                  <a14:compatExt spid="_x0000_s12430"/>
                </a:ext>
                <a:ext uri="{FF2B5EF4-FFF2-40B4-BE49-F238E27FC236}">
                  <a16:creationId xmlns:a16="http://schemas.microsoft.com/office/drawing/2014/main" id="{00000000-0008-0000-1B00-00008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37</xdr:row>
          <xdr:rowOff>0</xdr:rowOff>
        </xdr:from>
        <xdr:to>
          <xdr:col>6</xdr:col>
          <xdr:colOff>266700</xdr:colOff>
          <xdr:row>39</xdr:row>
          <xdr:rowOff>0</xdr:rowOff>
        </xdr:to>
        <xdr:sp macro="" textlink="">
          <xdr:nvSpPr>
            <xdr:cNvPr id="12431" name="Group Box 143" hidden="1">
              <a:extLst>
                <a:ext uri="{63B3BB69-23CF-44E3-9099-C40C66FF867C}">
                  <a14:compatExt spid="_x0000_s12431"/>
                </a:ext>
                <a:ext uri="{FF2B5EF4-FFF2-40B4-BE49-F238E27FC236}">
                  <a16:creationId xmlns:a16="http://schemas.microsoft.com/office/drawing/2014/main" id="{00000000-0008-0000-1B00-00008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0</xdr:rowOff>
        </xdr:from>
        <xdr:to>
          <xdr:col>6</xdr:col>
          <xdr:colOff>285750</xdr:colOff>
          <xdr:row>39</xdr:row>
          <xdr:rowOff>171450</xdr:rowOff>
        </xdr:to>
        <xdr:sp macro="" textlink="">
          <xdr:nvSpPr>
            <xdr:cNvPr id="12432" name="Group Box 144" hidden="1">
              <a:extLst>
                <a:ext uri="{63B3BB69-23CF-44E3-9099-C40C66FF867C}">
                  <a14:compatExt spid="_x0000_s12432"/>
                </a:ext>
                <a:ext uri="{FF2B5EF4-FFF2-40B4-BE49-F238E27FC236}">
                  <a16:creationId xmlns:a16="http://schemas.microsoft.com/office/drawing/2014/main" id="{00000000-0008-0000-1B00-00009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</xdr:row>
          <xdr:rowOff>0</xdr:rowOff>
        </xdr:from>
        <xdr:to>
          <xdr:col>6</xdr:col>
          <xdr:colOff>266700</xdr:colOff>
          <xdr:row>40</xdr:row>
          <xdr:rowOff>0</xdr:rowOff>
        </xdr:to>
        <xdr:sp macro="" textlink="">
          <xdr:nvSpPr>
            <xdr:cNvPr id="12433" name="Group Box 145" hidden="1">
              <a:extLst>
                <a:ext uri="{63B3BB69-23CF-44E3-9099-C40C66FF867C}">
                  <a14:compatExt spid="_x0000_s12433"/>
                </a:ext>
                <a:ext uri="{FF2B5EF4-FFF2-40B4-BE49-F238E27FC236}">
                  <a16:creationId xmlns:a16="http://schemas.microsoft.com/office/drawing/2014/main" id="{00000000-0008-0000-1B00-00009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0</xdr:rowOff>
        </xdr:from>
        <xdr:to>
          <xdr:col>6</xdr:col>
          <xdr:colOff>285750</xdr:colOff>
          <xdr:row>39</xdr:row>
          <xdr:rowOff>171450</xdr:rowOff>
        </xdr:to>
        <xdr:sp macro="" textlink="">
          <xdr:nvSpPr>
            <xdr:cNvPr id="12434" name="Group Box 146" hidden="1">
              <a:extLst>
                <a:ext uri="{63B3BB69-23CF-44E3-9099-C40C66FF867C}">
                  <a14:compatExt spid="_x0000_s12434"/>
                </a:ext>
                <a:ext uri="{FF2B5EF4-FFF2-40B4-BE49-F238E27FC236}">
                  <a16:creationId xmlns:a16="http://schemas.microsoft.com/office/drawing/2014/main" id="{00000000-0008-0000-1B00-00009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</xdr:row>
          <xdr:rowOff>0</xdr:rowOff>
        </xdr:from>
        <xdr:to>
          <xdr:col>6</xdr:col>
          <xdr:colOff>266700</xdr:colOff>
          <xdr:row>40</xdr:row>
          <xdr:rowOff>0</xdr:rowOff>
        </xdr:to>
        <xdr:sp macro="" textlink="">
          <xdr:nvSpPr>
            <xdr:cNvPr id="12435" name="Group Box 147" hidden="1">
              <a:extLst>
                <a:ext uri="{63B3BB69-23CF-44E3-9099-C40C66FF867C}">
                  <a14:compatExt spid="_x0000_s12435"/>
                </a:ext>
                <a:ext uri="{FF2B5EF4-FFF2-40B4-BE49-F238E27FC236}">
                  <a16:creationId xmlns:a16="http://schemas.microsoft.com/office/drawing/2014/main" id="{00000000-0008-0000-1B00-00009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38</xdr:row>
          <xdr:rowOff>0</xdr:rowOff>
        </xdr:from>
        <xdr:to>
          <xdr:col>6</xdr:col>
          <xdr:colOff>266700</xdr:colOff>
          <xdr:row>40</xdr:row>
          <xdr:rowOff>19050</xdr:rowOff>
        </xdr:to>
        <xdr:sp macro="" textlink="">
          <xdr:nvSpPr>
            <xdr:cNvPr id="12436" name="Group Box 148" hidden="1">
              <a:extLst>
                <a:ext uri="{63B3BB69-23CF-44E3-9099-C40C66FF867C}">
                  <a14:compatExt spid="_x0000_s12436"/>
                </a:ext>
                <a:ext uri="{FF2B5EF4-FFF2-40B4-BE49-F238E27FC236}">
                  <a16:creationId xmlns:a16="http://schemas.microsoft.com/office/drawing/2014/main" id="{00000000-0008-0000-1B00-00009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0</xdr:rowOff>
        </xdr:from>
        <xdr:to>
          <xdr:col>6</xdr:col>
          <xdr:colOff>285750</xdr:colOff>
          <xdr:row>39</xdr:row>
          <xdr:rowOff>171450</xdr:rowOff>
        </xdr:to>
        <xdr:sp macro="" textlink="">
          <xdr:nvSpPr>
            <xdr:cNvPr id="12437" name="Group Box 149" hidden="1">
              <a:extLst>
                <a:ext uri="{63B3BB69-23CF-44E3-9099-C40C66FF867C}">
                  <a14:compatExt spid="_x0000_s12437"/>
                </a:ext>
                <a:ext uri="{FF2B5EF4-FFF2-40B4-BE49-F238E27FC236}">
                  <a16:creationId xmlns:a16="http://schemas.microsoft.com/office/drawing/2014/main" id="{00000000-0008-0000-1B00-00009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</xdr:row>
          <xdr:rowOff>0</xdr:rowOff>
        </xdr:from>
        <xdr:to>
          <xdr:col>6</xdr:col>
          <xdr:colOff>266700</xdr:colOff>
          <xdr:row>40</xdr:row>
          <xdr:rowOff>0</xdr:rowOff>
        </xdr:to>
        <xdr:sp macro="" textlink="">
          <xdr:nvSpPr>
            <xdr:cNvPr id="12438" name="Group Box 150" hidden="1">
              <a:extLst>
                <a:ext uri="{63B3BB69-23CF-44E3-9099-C40C66FF867C}">
                  <a14:compatExt spid="_x0000_s12438"/>
                </a:ext>
                <a:ext uri="{FF2B5EF4-FFF2-40B4-BE49-F238E27FC236}">
                  <a16:creationId xmlns:a16="http://schemas.microsoft.com/office/drawing/2014/main" id="{00000000-0008-0000-1B00-00009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39</xdr:row>
          <xdr:rowOff>0</xdr:rowOff>
        </xdr:from>
        <xdr:to>
          <xdr:col>6</xdr:col>
          <xdr:colOff>285750</xdr:colOff>
          <xdr:row>40</xdr:row>
          <xdr:rowOff>171450</xdr:rowOff>
        </xdr:to>
        <xdr:sp macro="" textlink="">
          <xdr:nvSpPr>
            <xdr:cNvPr id="12439" name="Group Box 151" hidden="1">
              <a:extLst>
                <a:ext uri="{63B3BB69-23CF-44E3-9099-C40C66FF867C}">
                  <a14:compatExt spid="_x0000_s12439"/>
                </a:ext>
                <a:ext uri="{FF2B5EF4-FFF2-40B4-BE49-F238E27FC236}">
                  <a16:creationId xmlns:a16="http://schemas.microsoft.com/office/drawing/2014/main" id="{00000000-0008-0000-1B00-00009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39</xdr:row>
          <xdr:rowOff>0</xdr:rowOff>
        </xdr:from>
        <xdr:to>
          <xdr:col>6</xdr:col>
          <xdr:colOff>266700</xdr:colOff>
          <xdr:row>41</xdr:row>
          <xdr:rowOff>0</xdr:rowOff>
        </xdr:to>
        <xdr:sp macro="" textlink="">
          <xdr:nvSpPr>
            <xdr:cNvPr id="12440" name="Group Box 152" hidden="1">
              <a:extLst>
                <a:ext uri="{63B3BB69-23CF-44E3-9099-C40C66FF867C}">
                  <a14:compatExt spid="_x0000_s12440"/>
                </a:ext>
                <a:ext uri="{FF2B5EF4-FFF2-40B4-BE49-F238E27FC236}">
                  <a16:creationId xmlns:a16="http://schemas.microsoft.com/office/drawing/2014/main" id="{00000000-0008-0000-1B00-00009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38</xdr:row>
          <xdr:rowOff>0</xdr:rowOff>
        </xdr:from>
        <xdr:to>
          <xdr:col>6</xdr:col>
          <xdr:colOff>285750</xdr:colOff>
          <xdr:row>39</xdr:row>
          <xdr:rowOff>171450</xdr:rowOff>
        </xdr:to>
        <xdr:sp macro="" textlink="">
          <xdr:nvSpPr>
            <xdr:cNvPr id="12441" name="Group Box 153" hidden="1">
              <a:extLst>
                <a:ext uri="{63B3BB69-23CF-44E3-9099-C40C66FF867C}">
                  <a14:compatExt spid="_x0000_s12441"/>
                </a:ext>
                <a:ext uri="{FF2B5EF4-FFF2-40B4-BE49-F238E27FC236}">
                  <a16:creationId xmlns:a16="http://schemas.microsoft.com/office/drawing/2014/main" id="{00000000-0008-0000-1B00-00009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38</xdr:row>
          <xdr:rowOff>0</xdr:rowOff>
        </xdr:from>
        <xdr:to>
          <xdr:col>6</xdr:col>
          <xdr:colOff>266700</xdr:colOff>
          <xdr:row>40</xdr:row>
          <xdr:rowOff>0</xdr:rowOff>
        </xdr:to>
        <xdr:sp macro="" textlink="">
          <xdr:nvSpPr>
            <xdr:cNvPr id="12442" name="Group Box 154" hidden="1">
              <a:extLst>
                <a:ext uri="{63B3BB69-23CF-44E3-9099-C40C66FF867C}">
                  <a14:compatExt spid="_x0000_s12442"/>
                </a:ext>
                <a:ext uri="{FF2B5EF4-FFF2-40B4-BE49-F238E27FC236}">
                  <a16:creationId xmlns:a16="http://schemas.microsoft.com/office/drawing/2014/main" id="{00000000-0008-0000-1B00-00009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39</xdr:row>
          <xdr:rowOff>0</xdr:rowOff>
        </xdr:from>
        <xdr:to>
          <xdr:col>6</xdr:col>
          <xdr:colOff>285750</xdr:colOff>
          <xdr:row>40</xdr:row>
          <xdr:rowOff>171450</xdr:rowOff>
        </xdr:to>
        <xdr:sp macro="" textlink="">
          <xdr:nvSpPr>
            <xdr:cNvPr id="12443" name="Group Box 155" hidden="1">
              <a:extLst>
                <a:ext uri="{63B3BB69-23CF-44E3-9099-C40C66FF867C}">
                  <a14:compatExt spid="_x0000_s12443"/>
                </a:ext>
                <a:ext uri="{FF2B5EF4-FFF2-40B4-BE49-F238E27FC236}">
                  <a16:creationId xmlns:a16="http://schemas.microsoft.com/office/drawing/2014/main" id="{00000000-0008-0000-1B00-00009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39</xdr:row>
          <xdr:rowOff>0</xdr:rowOff>
        </xdr:from>
        <xdr:to>
          <xdr:col>6</xdr:col>
          <xdr:colOff>266700</xdr:colOff>
          <xdr:row>41</xdr:row>
          <xdr:rowOff>0</xdr:rowOff>
        </xdr:to>
        <xdr:sp macro="" textlink="">
          <xdr:nvSpPr>
            <xdr:cNvPr id="12444" name="Group Box 156" hidden="1">
              <a:extLst>
                <a:ext uri="{63B3BB69-23CF-44E3-9099-C40C66FF867C}">
                  <a14:compatExt spid="_x0000_s12444"/>
                </a:ext>
                <a:ext uri="{FF2B5EF4-FFF2-40B4-BE49-F238E27FC236}">
                  <a16:creationId xmlns:a16="http://schemas.microsoft.com/office/drawing/2014/main" id="{00000000-0008-0000-1B00-00009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39</xdr:row>
          <xdr:rowOff>0</xdr:rowOff>
        </xdr:from>
        <xdr:to>
          <xdr:col>6</xdr:col>
          <xdr:colOff>285750</xdr:colOff>
          <xdr:row>40</xdr:row>
          <xdr:rowOff>171450</xdr:rowOff>
        </xdr:to>
        <xdr:sp macro="" textlink="">
          <xdr:nvSpPr>
            <xdr:cNvPr id="12445" name="Group Box 157" hidden="1">
              <a:extLst>
                <a:ext uri="{63B3BB69-23CF-44E3-9099-C40C66FF867C}">
                  <a14:compatExt spid="_x0000_s12445"/>
                </a:ext>
                <a:ext uri="{FF2B5EF4-FFF2-40B4-BE49-F238E27FC236}">
                  <a16:creationId xmlns:a16="http://schemas.microsoft.com/office/drawing/2014/main" id="{00000000-0008-0000-1B00-00009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39</xdr:row>
          <xdr:rowOff>0</xdr:rowOff>
        </xdr:from>
        <xdr:to>
          <xdr:col>6</xdr:col>
          <xdr:colOff>266700</xdr:colOff>
          <xdr:row>41</xdr:row>
          <xdr:rowOff>0</xdr:rowOff>
        </xdr:to>
        <xdr:sp macro="" textlink="">
          <xdr:nvSpPr>
            <xdr:cNvPr id="12446" name="Group Box 158" hidden="1">
              <a:extLst>
                <a:ext uri="{63B3BB69-23CF-44E3-9099-C40C66FF867C}">
                  <a14:compatExt spid="_x0000_s12446"/>
                </a:ext>
                <a:ext uri="{FF2B5EF4-FFF2-40B4-BE49-F238E27FC236}">
                  <a16:creationId xmlns:a16="http://schemas.microsoft.com/office/drawing/2014/main" id="{00000000-0008-0000-1B00-00009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0</xdr:rowOff>
        </xdr:from>
        <xdr:to>
          <xdr:col>6</xdr:col>
          <xdr:colOff>266700</xdr:colOff>
          <xdr:row>41</xdr:row>
          <xdr:rowOff>19050</xdr:rowOff>
        </xdr:to>
        <xdr:sp macro="" textlink="">
          <xdr:nvSpPr>
            <xdr:cNvPr id="12447" name="Group Box 159" hidden="1">
              <a:extLst>
                <a:ext uri="{63B3BB69-23CF-44E3-9099-C40C66FF867C}">
                  <a14:compatExt spid="_x0000_s12447"/>
                </a:ext>
                <a:ext uri="{FF2B5EF4-FFF2-40B4-BE49-F238E27FC236}">
                  <a16:creationId xmlns:a16="http://schemas.microsoft.com/office/drawing/2014/main" id="{00000000-0008-0000-1B00-00009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39</xdr:row>
          <xdr:rowOff>0</xdr:rowOff>
        </xdr:from>
        <xdr:to>
          <xdr:col>6</xdr:col>
          <xdr:colOff>285750</xdr:colOff>
          <xdr:row>40</xdr:row>
          <xdr:rowOff>171450</xdr:rowOff>
        </xdr:to>
        <xdr:sp macro="" textlink="">
          <xdr:nvSpPr>
            <xdr:cNvPr id="12448" name="Group Box 160" hidden="1">
              <a:extLst>
                <a:ext uri="{63B3BB69-23CF-44E3-9099-C40C66FF867C}">
                  <a14:compatExt spid="_x0000_s12448"/>
                </a:ext>
                <a:ext uri="{FF2B5EF4-FFF2-40B4-BE49-F238E27FC236}">
                  <a16:creationId xmlns:a16="http://schemas.microsoft.com/office/drawing/2014/main" id="{00000000-0008-0000-1B00-0000A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39</xdr:row>
          <xdr:rowOff>0</xdr:rowOff>
        </xdr:from>
        <xdr:to>
          <xdr:col>6</xdr:col>
          <xdr:colOff>266700</xdr:colOff>
          <xdr:row>41</xdr:row>
          <xdr:rowOff>0</xdr:rowOff>
        </xdr:to>
        <xdr:sp macro="" textlink="">
          <xdr:nvSpPr>
            <xdr:cNvPr id="12449" name="Group Box 161" hidden="1">
              <a:extLst>
                <a:ext uri="{63B3BB69-23CF-44E3-9099-C40C66FF867C}">
                  <a14:compatExt spid="_x0000_s12449"/>
                </a:ext>
                <a:ext uri="{FF2B5EF4-FFF2-40B4-BE49-F238E27FC236}">
                  <a16:creationId xmlns:a16="http://schemas.microsoft.com/office/drawing/2014/main" id="{00000000-0008-0000-1B00-0000A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40</xdr:row>
          <xdr:rowOff>0</xdr:rowOff>
        </xdr:from>
        <xdr:to>
          <xdr:col>6</xdr:col>
          <xdr:colOff>285750</xdr:colOff>
          <xdr:row>41</xdr:row>
          <xdr:rowOff>171450</xdr:rowOff>
        </xdr:to>
        <xdr:sp macro="" textlink="">
          <xdr:nvSpPr>
            <xdr:cNvPr id="12450" name="Group Box 162" hidden="1">
              <a:extLst>
                <a:ext uri="{63B3BB69-23CF-44E3-9099-C40C66FF867C}">
                  <a14:compatExt spid="_x0000_s12450"/>
                </a:ext>
                <a:ext uri="{FF2B5EF4-FFF2-40B4-BE49-F238E27FC236}">
                  <a16:creationId xmlns:a16="http://schemas.microsoft.com/office/drawing/2014/main" id="{00000000-0008-0000-1B00-0000A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0</xdr:rowOff>
        </xdr:from>
        <xdr:to>
          <xdr:col>6</xdr:col>
          <xdr:colOff>266700</xdr:colOff>
          <xdr:row>42</xdr:row>
          <xdr:rowOff>0</xdr:rowOff>
        </xdr:to>
        <xdr:sp macro="" textlink="">
          <xdr:nvSpPr>
            <xdr:cNvPr id="12451" name="Group Box 163" hidden="1">
              <a:extLst>
                <a:ext uri="{63B3BB69-23CF-44E3-9099-C40C66FF867C}">
                  <a14:compatExt spid="_x0000_s12451"/>
                </a:ext>
                <a:ext uri="{FF2B5EF4-FFF2-40B4-BE49-F238E27FC236}">
                  <a16:creationId xmlns:a16="http://schemas.microsoft.com/office/drawing/2014/main" id="{00000000-0008-0000-1B00-0000A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39</xdr:row>
          <xdr:rowOff>0</xdr:rowOff>
        </xdr:from>
        <xdr:to>
          <xdr:col>6</xdr:col>
          <xdr:colOff>285750</xdr:colOff>
          <xdr:row>40</xdr:row>
          <xdr:rowOff>171450</xdr:rowOff>
        </xdr:to>
        <xdr:sp macro="" textlink="">
          <xdr:nvSpPr>
            <xdr:cNvPr id="12452" name="Group Box 164" hidden="1">
              <a:extLst>
                <a:ext uri="{63B3BB69-23CF-44E3-9099-C40C66FF867C}">
                  <a14:compatExt spid="_x0000_s12452"/>
                </a:ext>
                <a:ext uri="{FF2B5EF4-FFF2-40B4-BE49-F238E27FC236}">
                  <a16:creationId xmlns:a16="http://schemas.microsoft.com/office/drawing/2014/main" id="{00000000-0008-0000-1B00-0000A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39</xdr:row>
          <xdr:rowOff>0</xdr:rowOff>
        </xdr:from>
        <xdr:to>
          <xdr:col>6</xdr:col>
          <xdr:colOff>266700</xdr:colOff>
          <xdr:row>41</xdr:row>
          <xdr:rowOff>0</xdr:rowOff>
        </xdr:to>
        <xdr:sp macro="" textlink="">
          <xdr:nvSpPr>
            <xdr:cNvPr id="12453" name="Group Box 165" hidden="1">
              <a:extLst>
                <a:ext uri="{63B3BB69-23CF-44E3-9099-C40C66FF867C}">
                  <a14:compatExt spid="_x0000_s12453"/>
                </a:ext>
                <a:ext uri="{FF2B5EF4-FFF2-40B4-BE49-F238E27FC236}">
                  <a16:creationId xmlns:a16="http://schemas.microsoft.com/office/drawing/2014/main" id="{00000000-0008-0000-1B00-0000A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40</xdr:row>
          <xdr:rowOff>0</xdr:rowOff>
        </xdr:from>
        <xdr:to>
          <xdr:col>6</xdr:col>
          <xdr:colOff>285750</xdr:colOff>
          <xdr:row>41</xdr:row>
          <xdr:rowOff>171450</xdr:rowOff>
        </xdr:to>
        <xdr:sp macro="" textlink="">
          <xdr:nvSpPr>
            <xdr:cNvPr id="12454" name="Group Box 166" hidden="1">
              <a:extLst>
                <a:ext uri="{63B3BB69-23CF-44E3-9099-C40C66FF867C}">
                  <a14:compatExt spid="_x0000_s12454"/>
                </a:ext>
                <a:ext uri="{FF2B5EF4-FFF2-40B4-BE49-F238E27FC236}">
                  <a16:creationId xmlns:a16="http://schemas.microsoft.com/office/drawing/2014/main" id="{00000000-0008-0000-1B00-0000A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0</xdr:rowOff>
        </xdr:from>
        <xdr:to>
          <xdr:col>6</xdr:col>
          <xdr:colOff>266700</xdr:colOff>
          <xdr:row>42</xdr:row>
          <xdr:rowOff>0</xdr:rowOff>
        </xdr:to>
        <xdr:sp macro="" textlink="">
          <xdr:nvSpPr>
            <xdr:cNvPr id="12455" name="Group Box 167" hidden="1">
              <a:extLst>
                <a:ext uri="{63B3BB69-23CF-44E3-9099-C40C66FF867C}">
                  <a14:compatExt spid="_x0000_s12455"/>
                </a:ext>
                <a:ext uri="{FF2B5EF4-FFF2-40B4-BE49-F238E27FC236}">
                  <a16:creationId xmlns:a16="http://schemas.microsoft.com/office/drawing/2014/main" id="{00000000-0008-0000-1B00-0000A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40</xdr:row>
          <xdr:rowOff>0</xdr:rowOff>
        </xdr:from>
        <xdr:to>
          <xdr:col>6</xdr:col>
          <xdr:colOff>285750</xdr:colOff>
          <xdr:row>41</xdr:row>
          <xdr:rowOff>171450</xdr:rowOff>
        </xdr:to>
        <xdr:sp macro="" textlink="">
          <xdr:nvSpPr>
            <xdr:cNvPr id="12456" name="Group Box 168" hidden="1">
              <a:extLst>
                <a:ext uri="{63B3BB69-23CF-44E3-9099-C40C66FF867C}">
                  <a14:compatExt spid="_x0000_s12456"/>
                </a:ext>
                <a:ext uri="{FF2B5EF4-FFF2-40B4-BE49-F238E27FC236}">
                  <a16:creationId xmlns:a16="http://schemas.microsoft.com/office/drawing/2014/main" id="{00000000-0008-0000-1B00-0000A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0</xdr:rowOff>
        </xdr:from>
        <xdr:to>
          <xdr:col>6</xdr:col>
          <xdr:colOff>266700</xdr:colOff>
          <xdr:row>42</xdr:row>
          <xdr:rowOff>0</xdr:rowOff>
        </xdr:to>
        <xdr:sp macro="" textlink="">
          <xdr:nvSpPr>
            <xdr:cNvPr id="12457" name="Group Box 169" hidden="1">
              <a:extLst>
                <a:ext uri="{63B3BB69-23CF-44E3-9099-C40C66FF867C}">
                  <a14:compatExt spid="_x0000_s12457"/>
                </a:ext>
                <a:ext uri="{FF2B5EF4-FFF2-40B4-BE49-F238E27FC236}">
                  <a16:creationId xmlns:a16="http://schemas.microsoft.com/office/drawing/2014/main" id="{00000000-0008-0000-1B00-0000A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0</xdr:rowOff>
        </xdr:from>
        <xdr:to>
          <xdr:col>6</xdr:col>
          <xdr:colOff>266700</xdr:colOff>
          <xdr:row>42</xdr:row>
          <xdr:rowOff>19050</xdr:rowOff>
        </xdr:to>
        <xdr:sp macro="" textlink="">
          <xdr:nvSpPr>
            <xdr:cNvPr id="12458" name="Group Box 170" hidden="1">
              <a:extLst>
                <a:ext uri="{63B3BB69-23CF-44E3-9099-C40C66FF867C}">
                  <a14:compatExt spid="_x0000_s12458"/>
                </a:ext>
                <a:ext uri="{FF2B5EF4-FFF2-40B4-BE49-F238E27FC236}">
                  <a16:creationId xmlns:a16="http://schemas.microsoft.com/office/drawing/2014/main" id="{00000000-0008-0000-1B00-0000A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40</xdr:row>
          <xdr:rowOff>0</xdr:rowOff>
        </xdr:from>
        <xdr:to>
          <xdr:col>6</xdr:col>
          <xdr:colOff>285750</xdr:colOff>
          <xdr:row>41</xdr:row>
          <xdr:rowOff>171450</xdr:rowOff>
        </xdr:to>
        <xdr:sp macro="" textlink="">
          <xdr:nvSpPr>
            <xdr:cNvPr id="12459" name="Group Box 171" hidden="1">
              <a:extLst>
                <a:ext uri="{63B3BB69-23CF-44E3-9099-C40C66FF867C}">
                  <a14:compatExt spid="_x0000_s12459"/>
                </a:ext>
                <a:ext uri="{FF2B5EF4-FFF2-40B4-BE49-F238E27FC236}">
                  <a16:creationId xmlns:a16="http://schemas.microsoft.com/office/drawing/2014/main" id="{00000000-0008-0000-1B00-0000A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0</xdr:rowOff>
        </xdr:from>
        <xdr:to>
          <xdr:col>6</xdr:col>
          <xdr:colOff>266700</xdr:colOff>
          <xdr:row>42</xdr:row>
          <xdr:rowOff>0</xdr:rowOff>
        </xdr:to>
        <xdr:sp macro="" textlink="">
          <xdr:nvSpPr>
            <xdr:cNvPr id="12460" name="Group Box 172" hidden="1">
              <a:extLst>
                <a:ext uri="{63B3BB69-23CF-44E3-9099-C40C66FF867C}">
                  <a14:compatExt spid="_x0000_s12460"/>
                </a:ext>
                <a:ext uri="{FF2B5EF4-FFF2-40B4-BE49-F238E27FC236}">
                  <a16:creationId xmlns:a16="http://schemas.microsoft.com/office/drawing/2014/main" id="{00000000-0008-0000-1B00-0000A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41</xdr:row>
          <xdr:rowOff>0</xdr:rowOff>
        </xdr:from>
        <xdr:to>
          <xdr:col>6</xdr:col>
          <xdr:colOff>285750</xdr:colOff>
          <xdr:row>42</xdr:row>
          <xdr:rowOff>171450</xdr:rowOff>
        </xdr:to>
        <xdr:sp macro="" textlink="">
          <xdr:nvSpPr>
            <xdr:cNvPr id="12461" name="Group Box 173" hidden="1">
              <a:extLst>
                <a:ext uri="{63B3BB69-23CF-44E3-9099-C40C66FF867C}">
                  <a14:compatExt spid="_x0000_s12461"/>
                </a:ext>
                <a:ext uri="{FF2B5EF4-FFF2-40B4-BE49-F238E27FC236}">
                  <a16:creationId xmlns:a16="http://schemas.microsoft.com/office/drawing/2014/main" id="{00000000-0008-0000-1B00-0000A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0</xdr:rowOff>
        </xdr:from>
        <xdr:to>
          <xdr:col>6</xdr:col>
          <xdr:colOff>266700</xdr:colOff>
          <xdr:row>43</xdr:row>
          <xdr:rowOff>0</xdr:rowOff>
        </xdr:to>
        <xdr:sp macro="" textlink="">
          <xdr:nvSpPr>
            <xdr:cNvPr id="12462" name="Group Box 174" hidden="1">
              <a:extLst>
                <a:ext uri="{63B3BB69-23CF-44E3-9099-C40C66FF867C}">
                  <a14:compatExt spid="_x0000_s12462"/>
                </a:ext>
                <a:ext uri="{FF2B5EF4-FFF2-40B4-BE49-F238E27FC236}">
                  <a16:creationId xmlns:a16="http://schemas.microsoft.com/office/drawing/2014/main" id="{00000000-0008-0000-1B00-0000A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40</xdr:row>
          <xdr:rowOff>0</xdr:rowOff>
        </xdr:from>
        <xdr:to>
          <xdr:col>6</xdr:col>
          <xdr:colOff>285750</xdr:colOff>
          <xdr:row>41</xdr:row>
          <xdr:rowOff>171450</xdr:rowOff>
        </xdr:to>
        <xdr:sp macro="" textlink="">
          <xdr:nvSpPr>
            <xdr:cNvPr id="12463" name="Group Box 175" hidden="1">
              <a:extLst>
                <a:ext uri="{63B3BB69-23CF-44E3-9099-C40C66FF867C}">
                  <a14:compatExt spid="_x0000_s12463"/>
                </a:ext>
                <a:ext uri="{FF2B5EF4-FFF2-40B4-BE49-F238E27FC236}">
                  <a16:creationId xmlns:a16="http://schemas.microsoft.com/office/drawing/2014/main" id="{00000000-0008-0000-1B00-0000A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0</xdr:rowOff>
        </xdr:from>
        <xdr:to>
          <xdr:col>6</xdr:col>
          <xdr:colOff>266700</xdr:colOff>
          <xdr:row>42</xdr:row>
          <xdr:rowOff>0</xdr:rowOff>
        </xdr:to>
        <xdr:sp macro="" textlink="">
          <xdr:nvSpPr>
            <xdr:cNvPr id="12464" name="Group Box 176" hidden="1">
              <a:extLst>
                <a:ext uri="{63B3BB69-23CF-44E3-9099-C40C66FF867C}">
                  <a14:compatExt spid="_x0000_s12464"/>
                </a:ext>
                <a:ext uri="{FF2B5EF4-FFF2-40B4-BE49-F238E27FC236}">
                  <a16:creationId xmlns:a16="http://schemas.microsoft.com/office/drawing/2014/main" id="{00000000-0008-0000-1B00-0000B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41</xdr:row>
          <xdr:rowOff>0</xdr:rowOff>
        </xdr:from>
        <xdr:to>
          <xdr:col>6</xdr:col>
          <xdr:colOff>285750</xdr:colOff>
          <xdr:row>42</xdr:row>
          <xdr:rowOff>171450</xdr:rowOff>
        </xdr:to>
        <xdr:sp macro="" textlink="">
          <xdr:nvSpPr>
            <xdr:cNvPr id="12465" name="Group Box 177" hidden="1">
              <a:extLst>
                <a:ext uri="{63B3BB69-23CF-44E3-9099-C40C66FF867C}">
                  <a14:compatExt spid="_x0000_s12465"/>
                </a:ext>
                <a:ext uri="{FF2B5EF4-FFF2-40B4-BE49-F238E27FC236}">
                  <a16:creationId xmlns:a16="http://schemas.microsoft.com/office/drawing/2014/main" id="{00000000-0008-0000-1B00-0000B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0</xdr:rowOff>
        </xdr:from>
        <xdr:to>
          <xdr:col>6</xdr:col>
          <xdr:colOff>266700</xdr:colOff>
          <xdr:row>43</xdr:row>
          <xdr:rowOff>0</xdr:rowOff>
        </xdr:to>
        <xdr:sp macro="" textlink="">
          <xdr:nvSpPr>
            <xdr:cNvPr id="12466" name="Group Box 178" hidden="1">
              <a:extLst>
                <a:ext uri="{63B3BB69-23CF-44E3-9099-C40C66FF867C}">
                  <a14:compatExt spid="_x0000_s12466"/>
                </a:ext>
                <a:ext uri="{FF2B5EF4-FFF2-40B4-BE49-F238E27FC236}">
                  <a16:creationId xmlns:a16="http://schemas.microsoft.com/office/drawing/2014/main" id="{00000000-0008-0000-1B00-0000B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41</xdr:row>
          <xdr:rowOff>0</xdr:rowOff>
        </xdr:from>
        <xdr:to>
          <xdr:col>6</xdr:col>
          <xdr:colOff>285750</xdr:colOff>
          <xdr:row>42</xdr:row>
          <xdr:rowOff>171450</xdr:rowOff>
        </xdr:to>
        <xdr:sp macro="" textlink="">
          <xdr:nvSpPr>
            <xdr:cNvPr id="12467" name="Group Box 179" hidden="1">
              <a:extLst>
                <a:ext uri="{63B3BB69-23CF-44E3-9099-C40C66FF867C}">
                  <a14:compatExt spid="_x0000_s12467"/>
                </a:ext>
                <a:ext uri="{FF2B5EF4-FFF2-40B4-BE49-F238E27FC236}">
                  <a16:creationId xmlns:a16="http://schemas.microsoft.com/office/drawing/2014/main" id="{00000000-0008-0000-1B00-0000B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0</xdr:rowOff>
        </xdr:from>
        <xdr:to>
          <xdr:col>6</xdr:col>
          <xdr:colOff>266700</xdr:colOff>
          <xdr:row>43</xdr:row>
          <xdr:rowOff>0</xdr:rowOff>
        </xdr:to>
        <xdr:sp macro="" textlink="">
          <xdr:nvSpPr>
            <xdr:cNvPr id="12468" name="Group Box 180" hidden="1">
              <a:extLst>
                <a:ext uri="{63B3BB69-23CF-44E3-9099-C40C66FF867C}">
                  <a14:compatExt spid="_x0000_s12468"/>
                </a:ext>
                <a:ext uri="{FF2B5EF4-FFF2-40B4-BE49-F238E27FC236}">
                  <a16:creationId xmlns:a16="http://schemas.microsoft.com/office/drawing/2014/main" id="{00000000-0008-0000-1B00-0000B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41</xdr:row>
          <xdr:rowOff>0</xdr:rowOff>
        </xdr:from>
        <xdr:to>
          <xdr:col>6</xdr:col>
          <xdr:colOff>266700</xdr:colOff>
          <xdr:row>43</xdr:row>
          <xdr:rowOff>19050</xdr:rowOff>
        </xdr:to>
        <xdr:sp macro="" textlink="">
          <xdr:nvSpPr>
            <xdr:cNvPr id="12469" name="Group Box 181" hidden="1">
              <a:extLst>
                <a:ext uri="{63B3BB69-23CF-44E3-9099-C40C66FF867C}">
                  <a14:compatExt spid="_x0000_s12469"/>
                </a:ext>
                <a:ext uri="{FF2B5EF4-FFF2-40B4-BE49-F238E27FC236}">
                  <a16:creationId xmlns:a16="http://schemas.microsoft.com/office/drawing/2014/main" id="{00000000-0008-0000-1B00-0000B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41</xdr:row>
          <xdr:rowOff>0</xdr:rowOff>
        </xdr:from>
        <xdr:to>
          <xdr:col>6</xdr:col>
          <xdr:colOff>285750</xdr:colOff>
          <xdr:row>42</xdr:row>
          <xdr:rowOff>171450</xdr:rowOff>
        </xdr:to>
        <xdr:sp macro="" textlink="">
          <xdr:nvSpPr>
            <xdr:cNvPr id="12470" name="Group Box 182" hidden="1">
              <a:extLst>
                <a:ext uri="{63B3BB69-23CF-44E3-9099-C40C66FF867C}">
                  <a14:compatExt spid="_x0000_s12470"/>
                </a:ext>
                <a:ext uri="{FF2B5EF4-FFF2-40B4-BE49-F238E27FC236}">
                  <a16:creationId xmlns:a16="http://schemas.microsoft.com/office/drawing/2014/main" id="{00000000-0008-0000-1B00-0000B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0</xdr:rowOff>
        </xdr:from>
        <xdr:to>
          <xdr:col>6</xdr:col>
          <xdr:colOff>266700</xdr:colOff>
          <xdr:row>43</xdr:row>
          <xdr:rowOff>0</xdr:rowOff>
        </xdr:to>
        <xdr:sp macro="" textlink="">
          <xdr:nvSpPr>
            <xdr:cNvPr id="12471" name="Group Box 183" hidden="1">
              <a:extLst>
                <a:ext uri="{63B3BB69-23CF-44E3-9099-C40C66FF867C}">
                  <a14:compatExt spid="_x0000_s12471"/>
                </a:ext>
                <a:ext uri="{FF2B5EF4-FFF2-40B4-BE49-F238E27FC236}">
                  <a16:creationId xmlns:a16="http://schemas.microsoft.com/office/drawing/2014/main" id="{00000000-0008-0000-1B00-0000B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42</xdr:row>
          <xdr:rowOff>0</xdr:rowOff>
        </xdr:from>
        <xdr:to>
          <xdr:col>6</xdr:col>
          <xdr:colOff>285750</xdr:colOff>
          <xdr:row>43</xdr:row>
          <xdr:rowOff>171450</xdr:rowOff>
        </xdr:to>
        <xdr:sp macro="" textlink="">
          <xdr:nvSpPr>
            <xdr:cNvPr id="12472" name="Group Box 184" hidden="1">
              <a:extLst>
                <a:ext uri="{63B3BB69-23CF-44E3-9099-C40C66FF867C}">
                  <a14:compatExt spid="_x0000_s12472"/>
                </a:ext>
                <a:ext uri="{FF2B5EF4-FFF2-40B4-BE49-F238E27FC236}">
                  <a16:creationId xmlns:a16="http://schemas.microsoft.com/office/drawing/2014/main" id="{00000000-0008-0000-1B00-0000B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0</xdr:rowOff>
        </xdr:from>
        <xdr:to>
          <xdr:col>6</xdr:col>
          <xdr:colOff>266700</xdr:colOff>
          <xdr:row>44</xdr:row>
          <xdr:rowOff>0</xdr:rowOff>
        </xdr:to>
        <xdr:sp macro="" textlink="">
          <xdr:nvSpPr>
            <xdr:cNvPr id="12473" name="Group Box 185" hidden="1">
              <a:extLst>
                <a:ext uri="{63B3BB69-23CF-44E3-9099-C40C66FF867C}">
                  <a14:compatExt spid="_x0000_s12473"/>
                </a:ext>
                <a:ext uri="{FF2B5EF4-FFF2-40B4-BE49-F238E27FC236}">
                  <a16:creationId xmlns:a16="http://schemas.microsoft.com/office/drawing/2014/main" id="{00000000-0008-0000-1B00-0000B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41</xdr:row>
          <xdr:rowOff>0</xdr:rowOff>
        </xdr:from>
        <xdr:to>
          <xdr:col>6</xdr:col>
          <xdr:colOff>285750</xdr:colOff>
          <xdr:row>42</xdr:row>
          <xdr:rowOff>171450</xdr:rowOff>
        </xdr:to>
        <xdr:sp macro="" textlink="">
          <xdr:nvSpPr>
            <xdr:cNvPr id="12474" name="Group Box 186" hidden="1">
              <a:extLst>
                <a:ext uri="{63B3BB69-23CF-44E3-9099-C40C66FF867C}">
                  <a14:compatExt spid="_x0000_s12474"/>
                </a:ext>
                <a:ext uri="{FF2B5EF4-FFF2-40B4-BE49-F238E27FC236}">
                  <a16:creationId xmlns:a16="http://schemas.microsoft.com/office/drawing/2014/main" id="{00000000-0008-0000-1B00-0000B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0</xdr:rowOff>
        </xdr:from>
        <xdr:to>
          <xdr:col>6</xdr:col>
          <xdr:colOff>266700</xdr:colOff>
          <xdr:row>43</xdr:row>
          <xdr:rowOff>0</xdr:rowOff>
        </xdr:to>
        <xdr:sp macro="" textlink="">
          <xdr:nvSpPr>
            <xdr:cNvPr id="12475" name="Group Box 187" hidden="1">
              <a:extLst>
                <a:ext uri="{63B3BB69-23CF-44E3-9099-C40C66FF867C}">
                  <a14:compatExt spid="_x0000_s12475"/>
                </a:ext>
                <a:ext uri="{FF2B5EF4-FFF2-40B4-BE49-F238E27FC236}">
                  <a16:creationId xmlns:a16="http://schemas.microsoft.com/office/drawing/2014/main" id="{00000000-0008-0000-1B00-0000B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42</xdr:row>
          <xdr:rowOff>0</xdr:rowOff>
        </xdr:from>
        <xdr:to>
          <xdr:col>6</xdr:col>
          <xdr:colOff>285750</xdr:colOff>
          <xdr:row>43</xdr:row>
          <xdr:rowOff>171450</xdr:rowOff>
        </xdr:to>
        <xdr:sp macro="" textlink="">
          <xdr:nvSpPr>
            <xdr:cNvPr id="12476" name="Group Box 188" hidden="1">
              <a:extLst>
                <a:ext uri="{63B3BB69-23CF-44E3-9099-C40C66FF867C}">
                  <a14:compatExt spid="_x0000_s12476"/>
                </a:ext>
                <a:ext uri="{FF2B5EF4-FFF2-40B4-BE49-F238E27FC236}">
                  <a16:creationId xmlns:a16="http://schemas.microsoft.com/office/drawing/2014/main" id="{00000000-0008-0000-1B00-0000B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0</xdr:rowOff>
        </xdr:from>
        <xdr:to>
          <xdr:col>6</xdr:col>
          <xdr:colOff>266700</xdr:colOff>
          <xdr:row>44</xdr:row>
          <xdr:rowOff>0</xdr:rowOff>
        </xdr:to>
        <xdr:sp macro="" textlink="">
          <xdr:nvSpPr>
            <xdr:cNvPr id="12477" name="Group Box 189" hidden="1">
              <a:extLst>
                <a:ext uri="{63B3BB69-23CF-44E3-9099-C40C66FF867C}">
                  <a14:compatExt spid="_x0000_s12477"/>
                </a:ext>
                <a:ext uri="{FF2B5EF4-FFF2-40B4-BE49-F238E27FC236}">
                  <a16:creationId xmlns:a16="http://schemas.microsoft.com/office/drawing/2014/main" id="{00000000-0008-0000-1B00-0000B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42</xdr:row>
          <xdr:rowOff>0</xdr:rowOff>
        </xdr:from>
        <xdr:to>
          <xdr:col>6</xdr:col>
          <xdr:colOff>285750</xdr:colOff>
          <xdr:row>43</xdr:row>
          <xdr:rowOff>171450</xdr:rowOff>
        </xdr:to>
        <xdr:sp macro="" textlink="">
          <xdr:nvSpPr>
            <xdr:cNvPr id="12478" name="Group Box 190" hidden="1">
              <a:extLst>
                <a:ext uri="{63B3BB69-23CF-44E3-9099-C40C66FF867C}">
                  <a14:compatExt spid="_x0000_s12478"/>
                </a:ext>
                <a:ext uri="{FF2B5EF4-FFF2-40B4-BE49-F238E27FC236}">
                  <a16:creationId xmlns:a16="http://schemas.microsoft.com/office/drawing/2014/main" id="{00000000-0008-0000-1B00-0000B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0</xdr:rowOff>
        </xdr:from>
        <xdr:to>
          <xdr:col>6</xdr:col>
          <xdr:colOff>266700</xdr:colOff>
          <xdr:row>44</xdr:row>
          <xdr:rowOff>0</xdr:rowOff>
        </xdr:to>
        <xdr:sp macro="" textlink="">
          <xdr:nvSpPr>
            <xdr:cNvPr id="12479" name="Group Box 191" hidden="1">
              <a:extLst>
                <a:ext uri="{63B3BB69-23CF-44E3-9099-C40C66FF867C}">
                  <a14:compatExt spid="_x0000_s12479"/>
                </a:ext>
                <a:ext uri="{FF2B5EF4-FFF2-40B4-BE49-F238E27FC236}">
                  <a16:creationId xmlns:a16="http://schemas.microsoft.com/office/drawing/2014/main" id="{00000000-0008-0000-1B00-0000B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0</xdr:rowOff>
        </xdr:from>
        <xdr:to>
          <xdr:col>6</xdr:col>
          <xdr:colOff>266700</xdr:colOff>
          <xdr:row>44</xdr:row>
          <xdr:rowOff>19050</xdr:rowOff>
        </xdr:to>
        <xdr:sp macro="" textlink="">
          <xdr:nvSpPr>
            <xdr:cNvPr id="12480" name="Group Box 192" hidden="1">
              <a:extLst>
                <a:ext uri="{63B3BB69-23CF-44E3-9099-C40C66FF867C}">
                  <a14:compatExt spid="_x0000_s12480"/>
                </a:ext>
                <a:ext uri="{FF2B5EF4-FFF2-40B4-BE49-F238E27FC236}">
                  <a16:creationId xmlns:a16="http://schemas.microsoft.com/office/drawing/2014/main" id="{00000000-0008-0000-1B00-0000C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42</xdr:row>
          <xdr:rowOff>0</xdr:rowOff>
        </xdr:from>
        <xdr:to>
          <xdr:col>6</xdr:col>
          <xdr:colOff>285750</xdr:colOff>
          <xdr:row>43</xdr:row>
          <xdr:rowOff>171450</xdr:rowOff>
        </xdr:to>
        <xdr:sp macro="" textlink="">
          <xdr:nvSpPr>
            <xdr:cNvPr id="12481" name="Group Box 193" hidden="1">
              <a:extLst>
                <a:ext uri="{63B3BB69-23CF-44E3-9099-C40C66FF867C}">
                  <a14:compatExt spid="_x0000_s12481"/>
                </a:ext>
                <a:ext uri="{FF2B5EF4-FFF2-40B4-BE49-F238E27FC236}">
                  <a16:creationId xmlns:a16="http://schemas.microsoft.com/office/drawing/2014/main" id="{00000000-0008-0000-1B00-0000C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0</xdr:rowOff>
        </xdr:from>
        <xdr:to>
          <xdr:col>6</xdr:col>
          <xdr:colOff>266700</xdr:colOff>
          <xdr:row>44</xdr:row>
          <xdr:rowOff>0</xdr:rowOff>
        </xdr:to>
        <xdr:sp macro="" textlink="">
          <xdr:nvSpPr>
            <xdr:cNvPr id="12482" name="Group Box 194" hidden="1">
              <a:extLst>
                <a:ext uri="{63B3BB69-23CF-44E3-9099-C40C66FF867C}">
                  <a14:compatExt spid="_x0000_s12482"/>
                </a:ext>
                <a:ext uri="{FF2B5EF4-FFF2-40B4-BE49-F238E27FC236}">
                  <a16:creationId xmlns:a16="http://schemas.microsoft.com/office/drawing/2014/main" id="{00000000-0008-0000-1B00-0000C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83" name="Group Box 195" hidden="1">
              <a:extLst>
                <a:ext uri="{63B3BB69-23CF-44E3-9099-C40C66FF867C}">
                  <a14:compatExt spid="_x0000_s12483"/>
                </a:ext>
                <a:ext uri="{FF2B5EF4-FFF2-40B4-BE49-F238E27FC236}">
                  <a16:creationId xmlns:a16="http://schemas.microsoft.com/office/drawing/2014/main" id="{00000000-0008-0000-1B00-0000C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84" name="Group Box 196" hidden="1">
              <a:extLst>
                <a:ext uri="{63B3BB69-23CF-44E3-9099-C40C66FF867C}">
                  <a14:compatExt spid="_x0000_s12484"/>
                </a:ext>
                <a:ext uri="{FF2B5EF4-FFF2-40B4-BE49-F238E27FC236}">
                  <a16:creationId xmlns:a16="http://schemas.microsoft.com/office/drawing/2014/main" id="{00000000-0008-0000-1B00-0000C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42</xdr:row>
          <xdr:rowOff>0</xdr:rowOff>
        </xdr:from>
        <xdr:to>
          <xdr:col>6</xdr:col>
          <xdr:colOff>285750</xdr:colOff>
          <xdr:row>43</xdr:row>
          <xdr:rowOff>171450</xdr:rowOff>
        </xdr:to>
        <xdr:sp macro="" textlink="">
          <xdr:nvSpPr>
            <xdr:cNvPr id="12485" name="Group Box 197" hidden="1">
              <a:extLst>
                <a:ext uri="{63B3BB69-23CF-44E3-9099-C40C66FF867C}">
                  <a14:compatExt spid="_x0000_s12485"/>
                </a:ext>
                <a:ext uri="{FF2B5EF4-FFF2-40B4-BE49-F238E27FC236}">
                  <a16:creationId xmlns:a16="http://schemas.microsoft.com/office/drawing/2014/main" id="{00000000-0008-0000-1B00-0000C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0</xdr:rowOff>
        </xdr:from>
        <xdr:to>
          <xdr:col>6</xdr:col>
          <xdr:colOff>266700</xdr:colOff>
          <xdr:row>44</xdr:row>
          <xdr:rowOff>0</xdr:rowOff>
        </xdr:to>
        <xdr:sp macro="" textlink="">
          <xdr:nvSpPr>
            <xdr:cNvPr id="12486" name="Group Box 198" hidden="1">
              <a:extLst>
                <a:ext uri="{63B3BB69-23CF-44E3-9099-C40C66FF867C}">
                  <a14:compatExt spid="_x0000_s12486"/>
                </a:ext>
                <a:ext uri="{FF2B5EF4-FFF2-40B4-BE49-F238E27FC236}">
                  <a16:creationId xmlns:a16="http://schemas.microsoft.com/office/drawing/2014/main" id="{00000000-0008-0000-1B00-0000C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87" name="Group Box 199" hidden="1">
              <a:extLst>
                <a:ext uri="{63B3BB69-23CF-44E3-9099-C40C66FF867C}">
                  <a14:compatExt spid="_x0000_s12487"/>
                </a:ext>
                <a:ext uri="{FF2B5EF4-FFF2-40B4-BE49-F238E27FC236}">
                  <a16:creationId xmlns:a16="http://schemas.microsoft.com/office/drawing/2014/main" id="{00000000-0008-0000-1B00-0000C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88" name="Group Box 200" hidden="1">
              <a:extLst>
                <a:ext uri="{63B3BB69-23CF-44E3-9099-C40C66FF867C}">
                  <a14:compatExt spid="_x0000_s12488"/>
                </a:ext>
                <a:ext uri="{FF2B5EF4-FFF2-40B4-BE49-F238E27FC236}">
                  <a16:creationId xmlns:a16="http://schemas.microsoft.com/office/drawing/2014/main" id="{00000000-0008-0000-1B00-0000C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89" name="Group Box 201" hidden="1">
              <a:extLst>
                <a:ext uri="{63B3BB69-23CF-44E3-9099-C40C66FF867C}">
                  <a14:compatExt spid="_x0000_s12489"/>
                </a:ext>
                <a:ext uri="{FF2B5EF4-FFF2-40B4-BE49-F238E27FC236}">
                  <a16:creationId xmlns:a16="http://schemas.microsoft.com/office/drawing/2014/main" id="{00000000-0008-0000-1B00-0000C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90" name="Group Box 202" hidden="1">
              <a:extLst>
                <a:ext uri="{63B3BB69-23CF-44E3-9099-C40C66FF867C}">
                  <a14:compatExt spid="_x0000_s12490"/>
                </a:ext>
                <a:ext uri="{FF2B5EF4-FFF2-40B4-BE49-F238E27FC236}">
                  <a16:creationId xmlns:a16="http://schemas.microsoft.com/office/drawing/2014/main" id="{00000000-0008-0000-1B00-0000C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91" name="Group Box 203" hidden="1">
              <a:extLst>
                <a:ext uri="{63B3BB69-23CF-44E3-9099-C40C66FF867C}">
                  <a14:compatExt spid="_x0000_s12491"/>
                </a:ext>
                <a:ext uri="{FF2B5EF4-FFF2-40B4-BE49-F238E27FC236}">
                  <a16:creationId xmlns:a16="http://schemas.microsoft.com/office/drawing/2014/main" id="{00000000-0008-0000-1B00-0000C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92" name="Group Box 204" hidden="1">
              <a:extLst>
                <a:ext uri="{63B3BB69-23CF-44E3-9099-C40C66FF867C}">
                  <a14:compatExt spid="_x0000_s12492"/>
                </a:ext>
                <a:ext uri="{FF2B5EF4-FFF2-40B4-BE49-F238E27FC236}">
                  <a16:creationId xmlns:a16="http://schemas.microsoft.com/office/drawing/2014/main" id="{00000000-0008-0000-1B00-0000C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93" name="Group Box 205" hidden="1">
              <a:extLst>
                <a:ext uri="{63B3BB69-23CF-44E3-9099-C40C66FF867C}">
                  <a14:compatExt spid="_x0000_s12493"/>
                </a:ext>
                <a:ext uri="{FF2B5EF4-FFF2-40B4-BE49-F238E27FC236}">
                  <a16:creationId xmlns:a16="http://schemas.microsoft.com/office/drawing/2014/main" id="{00000000-0008-0000-1B00-0000C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94" name="Group Box 206" hidden="1">
              <a:extLst>
                <a:ext uri="{63B3BB69-23CF-44E3-9099-C40C66FF867C}">
                  <a14:compatExt spid="_x0000_s12494"/>
                </a:ext>
                <a:ext uri="{FF2B5EF4-FFF2-40B4-BE49-F238E27FC236}">
                  <a16:creationId xmlns:a16="http://schemas.microsoft.com/office/drawing/2014/main" id="{00000000-0008-0000-1B00-0000C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95" name="Group Box 207" hidden="1">
              <a:extLst>
                <a:ext uri="{63B3BB69-23CF-44E3-9099-C40C66FF867C}">
                  <a14:compatExt spid="_x0000_s12495"/>
                </a:ext>
                <a:ext uri="{FF2B5EF4-FFF2-40B4-BE49-F238E27FC236}">
                  <a16:creationId xmlns:a16="http://schemas.microsoft.com/office/drawing/2014/main" id="{00000000-0008-0000-1B00-0000C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96" name="Group Box 208" hidden="1">
              <a:extLst>
                <a:ext uri="{63B3BB69-23CF-44E3-9099-C40C66FF867C}">
                  <a14:compatExt spid="_x0000_s12496"/>
                </a:ext>
                <a:ext uri="{FF2B5EF4-FFF2-40B4-BE49-F238E27FC236}">
                  <a16:creationId xmlns:a16="http://schemas.microsoft.com/office/drawing/2014/main" id="{00000000-0008-0000-1B00-0000D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43</xdr:row>
          <xdr:rowOff>0</xdr:rowOff>
        </xdr:from>
        <xdr:to>
          <xdr:col>6</xdr:col>
          <xdr:colOff>266700</xdr:colOff>
          <xdr:row>45</xdr:row>
          <xdr:rowOff>19050</xdr:rowOff>
        </xdr:to>
        <xdr:sp macro="" textlink="">
          <xdr:nvSpPr>
            <xdr:cNvPr id="12497" name="Group Box 209" hidden="1">
              <a:extLst>
                <a:ext uri="{63B3BB69-23CF-44E3-9099-C40C66FF867C}">
                  <a14:compatExt spid="_x0000_s12497"/>
                </a:ext>
                <a:ext uri="{FF2B5EF4-FFF2-40B4-BE49-F238E27FC236}">
                  <a16:creationId xmlns:a16="http://schemas.microsoft.com/office/drawing/2014/main" id="{00000000-0008-0000-1B00-0000D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498" name="Group Box 210" hidden="1">
              <a:extLst>
                <a:ext uri="{63B3BB69-23CF-44E3-9099-C40C66FF867C}">
                  <a14:compatExt spid="_x0000_s12498"/>
                </a:ext>
                <a:ext uri="{FF2B5EF4-FFF2-40B4-BE49-F238E27FC236}">
                  <a16:creationId xmlns:a16="http://schemas.microsoft.com/office/drawing/2014/main" id="{00000000-0008-0000-1B00-0000D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499" name="Group Box 211" hidden="1">
              <a:extLst>
                <a:ext uri="{63B3BB69-23CF-44E3-9099-C40C66FF867C}">
                  <a14:compatExt spid="_x0000_s12499"/>
                </a:ext>
                <a:ext uri="{FF2B5EF4-FFF2-40B4-BE49-F238E27FC236}">
                  <a16:creationId xmlns:a16="http://schemas.microsoft.com/office/drawing/2014/main" id="{00000000-0008-0000-1B00-0000D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44</xdr:row>
          <xdr:rowOff>0</xdr:rowOff>
        </xdr:from>
        <xdr:to>
          <xdr:col>6</xdr:col>
          <xdr:colOff>285750</xdr:colOff>
          <xdr:row>45</xdr:row>
          <xdr:rowOff>171450</xdr:rowOff>
        </xdr:to>
        <xdr:sp macro="" textlink="">
          <xdr:nvSpPr>
            <xdr:cNvPr id="12500" name="Group Box 212" hidden="1">
              <a:extLst>
                <a:ext uri="{63B3BB69-23CF-44E3-9099-C40C66FF867C}">
                  <a14:compatExt spid="_x0000_s12500"/>
                </a:ext>
                <a:ext uri="{FF2B5EF4-FFF2-40B4-BE49-F238E27FC236}">
                  <a16:creationId xmlns:a16="http://schemas.microsoft.com/office/drawing/2014/main" id="{00000000-0008-0000-1B00-0000D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44</xdr:row>
          <xdr:rowOff>0</xdr:rowOff>
        </xdr:from>
        <xdr:to>
          <xdr:col>6</xdr:col>
          <xdr:colOff>266700</xdr:colOff>
          <xdr:row>46</xdr:row>
          <xdr:rowOff>0</xdr:rowOff>
        </xdr:to>
        <xdr:sp macro="" textlink="">
          <xdr:nvSpPr>
            <xdr:cNvPr id="12501" name="Group Box 213" hidden="1">
              <a:extLst>
                <a:ext uri="{63B3BB69-23CF-44E3-9099-C40C66FF867C}">
                  <a14:compatExt spid="_x0000_s12501"/>
                </a:ext>
                <a:ext uri="{FF2B5EF4-FFF2-40B4-BE49-F238E27FC236}">
                  <a16:creationId xmlns:a16="http://schemas.microsoft.com/office/drawing/2014/main" id="{00000000-0008-0000-1B00-0000D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43</xdr:row>
          <xdr:rowOff>0</xdr:rowOff>
        </xdr:from>
        <xdr:to>
          <xdr:col>6</xdr:col>
          <xdr:colOff>285750</xdr:colOff>
          <xdr:row>44</xdr:row>
          <xdr:rowOff>171450</xdr:rowOff>
        </xdr:to>
        <xdr:sp macro="" textlink="">
          <xdr:nvSpPr>
            <xdr:cNvPr id="12502" name="Group Box 214" hidden="1">
              <a:extLst>
                <a:ext uri="{63B3BB69-23CF-44E3-9099-C40C66FF867C}">
                  <a14:compatExt spid="_x0000_s12502"/>
                </a:ext>
                <a:ext uri="{FF2B5EF4-FFF2-40B4-BE49-F238E27FC236}">
                  <a16:creationId xmlns:a16="http://schemas.microsoft.com/office/drawing/2014/main" id="{00000000-0008-0000-1B00-0000D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0</xdr:rowOff>
        </xdr:from>
        <xdr:to>
          <xdr:col>6</xdr:col>
          <xdr:colOff>266700</xdr:colOff>
          <xdr:row>45</xdr:row>
          <xdr:rowOff>0</xdr:rowOff>
        </xdr:to>
        <xdr:sp macro="" textlink="">
          <xdr:nvSpPr>
            <xdr:cNvPr id="12503" name="Group Box 215" hidden="1">
              <a:extLst>
                <a:ext uri="{63B3BB69-23CF-44E3-9099-C40C66FF867C}">
                  <a14:compatExt spid="_x0000_s12503"/>
                </a:ext>
                <a:ext uri="{FF2B5EF4-FFF2-40B4-BE49-F238E27FC236}">
                  <a16:creationId xmlns:a16="http://schemas.microsoft.com/office/drawing/2014/main" id="{00000000-0008-0000-1B00-0000D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44</xdr:row>
          <xdr:rowOff>0</xdr:rowOff>
        </xdr:from>
        <xdr:to>
          <xdr:col>6</xdr:col>
          <xdr:colOff>285750</xdr:colOff>
          <xdr:row>45</xdr:row>
          <xdr:rowOff>171450</xdr:rowOff>
        </xdr:to>
        <xdr:sp macro="" textlink="">
          <xdr:nvSpPr>
            <xdr:cNvPr id="12504" name="Group Box 216" hidden="1">
              <a:extLst>
                <a:ext uri="{63B3BB69-23CF-44E3-9099-C40C66FF867C}">
                  <a14:compatExt spid="_x0000_s12504"/>
                </a:ext>
                <a:ext uri="{FF2B5EF4-FFF2-40B4-BE49-F238E27FC236}">
                  <a16:creationId xmlns:a16="http://schemas.microsoft.com/office/drawing/2014/main" id="{00000000-0008-0000-1B00-0000D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44</xdr:row>
          <xdr:rowOff>0</xdr:rowOff>
        </xdr:from>
        <xdr:to>
          <xdr:col>6</xdr:col>
          <xdr:colOff>266700</xdr:colOff>
          <xdr:row>46</xdr:row>
          <xdr:rowOff>0</xdr:rowOff>
        </xdr:to>
        <xdr:sp macro="" textlink="">
          <xdr:nvSpPr>
            <xdr:cNvPr id="12505" name="Group Box 217" hidden="1">
              <a:extLst>
                <a:ext uri="{63B3BB69-23CF-44E3-9099-C40C66FF867C}">
                  <a14:compatExt spid="_x0000_s12505"/>
                </a:ext>
                <a:ext uri="{FF2B5EF4-FFF2-40B4-BE49-F238E27FC236}">
                  <a16:creationId xmlns:a16="http://schemas.microsoft.com/office/drawing/2014/main" id="{00000000-0008-0000-1B00-0000D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44</xdr:row>
          <xdr:rowOff>0</xdr:rowOff>
        </xdr:from>
        <xdr:to>
          <xdr:col>6</xdr:col>
          <xdr:colOff>285750</xdr:colOff>
          <xdr:row>45</xdr:row>
          <xdr:rowOff>171450</xdr:rowOff>
        </xdr:to>
        <xdr:sp macro="" textlink="">
          <xdr:nvSpPr>
            <xdr:cNvPr id="12506" name="Group Box 218" hidden="1">
              <a:extLst>
                <a:ext uri="{63B3BB69-23CF-44E3-9099-C40C66FF867C}">
                  <a14:compatExt spid="_x0000_s12506"/>
                </a:ext>
                <a:ext uri="{FF2B5EF4-FFF2-40B4-BE49-F238E27FC236}">
                  <a16:creationId xmlns:a16="http://schemas.microsoft.com/office/drawing/2014/main" id="{00000000-0008-0000-1B00-0000D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44</xdr:row>
          <xdr:rowOff>0</xdr:rowOff>
        </xdr:from>
        <xdr:to>
          <xdr:col>6</xdr:col>
          <xdr:colOff>266700</xdr:colOff>
          <xdr:row>46</xdr:row>
          <xdr:rowOff>0</xdr:rowOff>
        </xdr:to>
        <xdr:sp macro="" textlink="">
          <xdr:nvSpPr>
            <xdr:cNvPr id="12507" name="Group Box 219" hidden="1">
              <a:extLst>
                <a:ext uri="{63B3BB69-23CF-44E3-9099-C40C66FF867C}">
                  <a14:compatExt spid="_x0000_s12507"/>
                </a:ext>
                <a:ext uri="{FF2B5EF4-FFF2-40B4-BE49-F238E27FC236}">
                  <a16:creationId xmlns:a16="http://schemas.microsoft.com/office/drawing/2014/main" id="{00000000-0008-0000-1B00-0000D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45</xdr:row>
          <xdr:rowOff>0</xdr:rowOff>
        </xdr:from>
        <xdr:to>
          <xdr:col>6</xdr:col>
          <xdr:colOff>285750</xdr:colOff>
          <xdr:row>46</xdr:row>
          <xdr:rowOff>171450</xdr:rowOff>
        </xdr:to>
        <xdr:sp macro="" textlink="">
          <xdr:nvSpPr>
            <xdr:cNvPr id="12508" name="Group Box 220" hidden="1">
              <a:extLst>
                <a:ext uri="{63B3BB69-23CF-44E3-9099-C40C66FF867C}">
                  <a14:compatExt spid="_x0000_s12508"/>
                </a:ext>
                <a:ext uri="{FF2B5EF4-FFF2-40B4-BE49-F238E27FC236}">
                  <a16:creationId xmlns:a16="http://schemas.microsoft.com/office/drawing/2014/main" id="{00000000-0008-0000-1B00-0000D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45</xdr:row>
          <xdr:rowOff>0</xdr:rowOff>
        </xdr:from>
        <xdr:to>
          <xdr:col>6</xdr:col>
          <xdr:colOff>266700</xdr:colOff>
          <xdr:row>47</xdr:row>
          <xdr:rowOff>0</xdr:rowOff>
        </xdr:to>
        <xdr:sp macro="" textlink="">
          <xdr:nvSpPr>
            <xdr:cNvPr id="12509" name="Group Box 221" hidden="1">
              <a:extLst>
                <a:ext uri="{63B3BB69-23CF-44E3-9099-C40C66FF867C}">
                  <a14:compatExt spid="_x0000_s12509"/>
                </a:ext>
                <a:ext uri="{FF2B5EF4-FFF2-40B4-BE49-F238E27FC236}">
                  <a16:creationId xmlns:a16="http://schemas.microsoft.com/office/drawing/2014/main" id="{00000000-0008-0000-1B00-0000D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45</xdr:row>
          <xdr:rowOff>0</xdr:rowOff>
        </xdr:from>
        <xdr:to>
          <xdr:col>6</xdr:col>
          <xdr:colOff>285750</xdr:colOff>
          <xdr:row>46</xdr:row>
          <xdr:rowOff>171450</xdr:rowOff>
        </xdr:to>
        <xdr:sp macro="" textlink="">
          <xdr:nvSpPr>
            <xdr:cNvPr id="12510" name="Group Box 222" hidden="1">
              <a:extLst>
                <a:ext uri="{63B3BB69-23CF-44E3-9099-C40C66FF867C}">
                  <a14:compatExt spid="_x0000_s12510"/>
                </a:ext>
                <a:ext uri="{FF2B5EF4-FFF2-40B4-BE49-F238E27FC236}">
                  <a16:creationId xmlns:a16="http://schemas.microsoft.com/office/drawing/2014/main" id="{00000000-0008-0000-1B00-0000D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45</xdr:row>
          <xdr:rowOff>0</xdr:rowOff>
        </xdr:from>
        <xdr:to>
          <xdr:col>6</xdr:col>
          <xdr:colOff>266700</xdr:colOff>
          <xdr:row>47</xdr:row>
          <xdr:rowOff>0</xdr:rowOff>
        </xdr:to>
        <xdr:sp macro="" textlink="">
          <xdr:nvSpPr>
            <xdr:cNvPr id="12511" name="Group Box 223" hidden="1">
              <a:extLst>
                <a:ext uri="{63B3BB69-23CF-44E3-9099-C40C66FF867C}">
                  <a14:compatExt spid="_x0000_s12511"/>
                </a:ext>
                <a:ext uri="{FF2B5EF4-FFF2-40B4-BE49-F238E27FC236}">
                  <a16:creationId xmlns:a16="http://schemas.microsoft.com/office/drawing/2014/main" id="{00000000-0008-0000-1B00-0000D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45</xdr:row>
          <xdr:rowOff>0</xdr:rowOff>
        </xdr:from>
        <xdr:to>
          <xdr:col>6</xdr:col>
          <xdr:colOff>285750</xdr:colOff>
          <xdr:row>46</xdr:row>
          <xdr:rowOff>171450</xdr:rowOff>
        </xdr:to>
        <xdr:sp macro="" textlink="">
          <xdr:nvSpPr>
            <xdr:cNvPr id="12512" name="Group Box 224" hidden="1">
              <a:extLst>
                <a:ext uri="{63B3BB69-23CF-44E3-9099-C40C66FF867C}">
                  <a14:compatExt spid="_x0000_s12512"/>
                </a:ext>
                <a:ext uri="{FF2B5EF4-FFF2-40B4-BE49-F238E27FC236}">
                  <a16:creationId xmlns:a16="http://schemas.microsoft.com/office/drawing/2014/main" id="{00000000-0008-0000-1B00-0000E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45</xdr:row>
          <xdr:rowOff>0</xdr:rowOff>
        </xdr:from>
        <xdr:to>
          <xdr:col>6</xdr:col>
          <xdr:colOff>266700</xdr:colOff>
          <xdr:row>47</xdr:row>
          <xdr:rowOff>0</xdr:rowOff>
        </xdr:to>
        <xdr:sp macro="" textlink="">
          <xdr:nvSpPr>
            <xdr:cNvPr id="12513" name="Group Box 225" hidden="1">
              <a:extLst>
                <a:ext uri="{63B3BB69-23CF-44E3-9099-C40C66FF867C}">
                  <a14:compatExt spid="_x0000_s12513"/>
                </a:ext>
                <a:ext uri="{FF2B5EF4-FFF2-40B4-BE49-F238E27FC236}">
                  <a16:creationId xmlns:a16="http://schemas.microsoft.com/office/drawing/2014/main" id="{00000000-0008-0000-1B00-0000E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46</xdr:row>
          <xdr:rowOff>0</xdr:rowOff>
        </xdr:from>
        <xdr:to>
          <xdr:col>6</xdr:col>
          <xdr:colOff>285750</xdr:colOff>
          <xdr:row>47</xdr:row>
          <xdr:rowOff>171450</xdr:rowOff>
        </xdr:to>
        <xdr:sp macro="" textlink="">
          <xdr:nvSpPr>
            <xdr:cNvPr id="12514" name="Group Box 226" hidden="1">
              <a:extLst>
                <a:ext uri="{63B3BB69-23CF-44E3-9099-C40C66FF867C}">
                  <a14:compatExt spid="_x0000_s12514"/>
                </a:ext>
                <a:ext uri="{FF2B5EF4-FFF2-40B4-BE49-F238E27FC236}">
                  <a16:creationId xmlns:a16="http://schemas.microsoft.com/office/drawing/2014/main" id="{00000000-0008-0000-1B00-0000E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46</xdr:row>
          <xdr:rowOff>0</xdr:rowOff>
        </xdr:from>
        <xdr:to>
          <xdr:col>6</xdr:col>
          <xdr:colOff>266700</xdr:colOff>
          <xdr:row>48</xdr:row>
          <xdr:rowOff>0</xdr:rowOff>
        </xdr:to>
        <xdr:sp macro="" textlink="">
          <xdr:nvSpPr>
            <xdr:cNvPr id="12515" name="Group Box 227" hidden="1">
              <a:extLst>
                <a:ext uri="{63B3BB69-23CF-44E3-9099-C40C66FF867C}">
                  <a14:compatExt spid="_x0000_s12515"/>
                </a:ext>
                <a:ext uri="{FF2B5EF4-FFF2-40B4-BE49-F238E27FC236}">
                  <a16:creationId xmlns:a16="http://schemas.microsoft.com/office/drawing/2014/main" id="{00000000-0008-0000-1B00-0000E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46</xdr:row>
          <xdr:rowOff>0</xdr:rowOff>
        </xdr:from>
        <xdr:to>
          <xdr:col>6</xdr:col>
          <xdr:colOff>285750</xdr:colOff>
          <xdr:row>47</xdr:row>
          <xdr:rowOff>171450</xdr:rowOff>
        </xdr:to>
        <xdr:sp macro="" textlink="">
          <xdr:nvSpPr>
            <xdr:cNvPr id="12516" name="Group Box 228" hidden="1">
              <a:extLst>
                <a:ext uri="{63B3BB69-23CF-44E3-9099-C40C66FF867C}">
                  <a14:compatExt spid="_x0000_s12516"/>
                </a:ext>
                <a:ext uri="{FF2B5EF4-FFF2-40B4-BE49-F238E27FC236}">
                  <a16:creationId xmlns:a16="http://schemas.microsoft.com/office/drawing/2014/main" id="{00000000-0008-0000-1B00-0000E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46</xdr:row>
          <xdr:rowOff>0</xdr:rowOff>
        </xdr:from>
        <xdr:to>
          <xdr:col>6</xdr:col>
          <xdr:colOff>266700</xdr:colOff>
          <xdr:row>48</xdr:row>
          <xdr:rowOff>0</xdr:rowOff>
        </xdr:to>
        <xdr:sp macro="" textlink="">
          <xdr:nvSpPr>
            <xdr:cNvPr id="12517" name="Group Box 229" hidden="1">
              <a:extLst>
                <a:ext uri="{63B3BB69-23CF-44E3-9099-C40C66FF867C}">
                  <a14:compatExt spid="_x0000_s12517"/>
                </a:ext>
                <a:ext uri="{FF2B5EF4-FFF2-40B4-BE49-F238E27FC236}">
                  <a16:creationId xmlns:a16="http://schemas.microsoft.com/office/drawing/2014/main" id="{00000000-0008-0000-1B00-0000E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46</xdr:row>
          <xdr:rowOff>0</xdr:rowOff>
        </xdr:from>
        <xdr:to>
          <xdr:col>6</xdr:col>
          <xdr:colOff>285750</xdr:colOff>
          <xdr:row>47</xdr:row>
          <xdr:rowOff>171450</xdr:rowOff>
        </xdr:to>
        <xdr:sp macro="" textlink="">
          <xdr:nvSpPr>
            <xdr:cNvPr id="12518" name="Group Box 230" hidden="1">
              <a:extLst>
                <a:ext uri="{63B3BB69-23CF-44E3-9099-C40C66FF867C}">
                  <a14:compatExt spid="_x0000_s12518"/>
                </a:ext>
                <a:ext uri="{FF2B5EF4-FFF2-40B4-BE49-F238E27FC236}">
                  <a16:creationId xmlns:a16="http://schemas.microsoft.com/office/drawing/2014/main" id="{00000000-0008-0000-1B00-0000E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46</xdr:row>
          <xdr:rowOff>0</xdr:rowOff>
        </xdr:from>
        <xdr:to>
          <xdr:col>6</xdr:col>
          <xdr:colOff>266700</xdr:colOff>
          <xdr:row>48</xdr:row>
          <xdr:rowOff>0</xdr:rowOff>
        </xdr:to>
        <xdr:sp macro="" textlink="">
          <xdr:nvSpPr>
            <xdr:cNvPr id="12519" name="Group Box 231" hidden="1">
              <a:extLst>
                <a:ext uri="{63B3BB69-23CF-44E3-9099-C40C66FF867C}">
                  <a14:compatExt spid="_x0000_s12519"/>
                </a:ext>
                <a:ext uri="{FF2B5EF4-FFF2-40B4-BE49-F238E27FC236}">
                  <a16:creationId xmlns:a16="http://schemas.microsoft.com/office/drawing/2014/main" id="{00000000-0008-0000-1B00-0000E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47</xdr:row>
          <xdr:rowOff>0</xdr:rowOff>
        </xdr:from>
        <xdr:to>
          <xdr:col>6</xdr:col>
          <xdr:colOff>285750</xdr:colOff>
          <xdr:row>48</xdr:row>
          <xdr:rowOff>171450</xdr:rowOff>
        </xdr:to>
        <xdr:sp macro="" textlink="">
          <xdr:nvSpPr>
            <xdr:cNvPr id="12520" name="Group Box 232" hidden="1">
              <a:extLst>
                <a:ext uri="{63B3BB69-23CF-44E3-9099-C40C66FF867C}">
                  <a14:compatExt spid="_x0000_s12520"/>
                </a:ext>
                <a:ext uri="{FF2B5EF4-FFF2-40B4-BE49-F238E27FC236}">
                  <a16:creationId xmlns:a16="http://schemas.microsoft.com/office/drawing/2014/main" id="{00000000-0008-0000-1B00-0000E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47</xdr:row>
          <xdr:rowOff>0</xdr:rowOff>
        </xdr:from>
        <xdr:to>
          <xdr:col>6</xdr:col>
          <xdr:colOff>266700</xdr:colOff>
          <xdr:row>49</xdr:row>
          <xdr:rowOff>0</xdr:rowOff>
        </xdr:to>
        <xdr:sp macro="" textlink="">
          <xdr:nvSpPr>
            <xdr:cNvPr id="12521" name="Group Box 233" hidden="1">
              <a:extLst>
                <a:ext uri="{63B3BB69-23CF-44E3-9099-C40C66FF867C}">
                  <a14:compatExt spid="_x0000_s12521"/>
                </a:ext>
                <a:ext uri="{FF2B5EF4-FFF2-40B4-BE49-F238E27FC236}">
                  <a16:creationId xmlns:a16="http://schemas.microsoft.com/office/drawing/2014/main" id="{00000000-0008-0000-1B00-0000E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47</xdr:row>
          <xdr:rowOff>0</xdr:rowOff>
        </xdr:from>
        <xdr:to>
          <xdr:col>6</xdr:col>
          <xdr:colOff>285750</xdr:colOff>
          <xdr:row>48</xdr:row>
          <xdr:rowOff>171450</xdr:rowOff>
        </xdr:to>
        <xdr:sp macro="" textlink="">
          <xdr:nvSpPr>
            <xdr:cNvPr id="12522" name="Group Box 234" hidden="1">
              <a:extLst>
                <a:ext uri="{63B3BB69-23CF-44E3-9099-C40C66FF867C}">
                  <a14:compatExt spid="_x0000_s12522"/>
                </a:ext>
                <a:ext uri="{FF2B5EF4-FFF2-40B4-BE49-F238E27FC236}">
                  <a16:creationId xmlns:a16="http://schemas.microsoft.com/office/drawing/2014/main" id="{00000000-0008-0000-1B00-0000E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47</xdr:row>
          <xdr:rowOff>0</xdr:rowOff>
        </xdr:from>
        <xdr:to>
          <xdr:col>6</xdr:col>
          <xdr:colOff>266700</xdr:colOff>
          <xdr:row>49</xdr:row>
          <xdr:rowOff>0</xdr:rowOff>
        </xdr:to>
        <xdr:sp macro="" textlink="">
          <xdr:nvSpPr>
            <xdr:cNvPr id="12523" name="Group Box 235" hidden="1">
              <a:extLst>
                <a:ext uri="{63B3BB69-23CF-44E3-9099-C40C66FF867C}">
                  <a14:compatExt spid="_x0000_s12523"/>
                </a:ext>
                <a:ext uri="{FF2B5EF4-FFF2-40B4-BE49-F238E27FC236}">
                  <a16:creationId xmlns:a16="http://schemas.microsoft.com/office/drawing/2014/main" id="{00000000-0008-0000-1B00-0000E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47</xdr:row>
          <xdr:rowOff>0</xdr:rowOff>
        </xdr:from>
        <xdr:to>
          <xdr:col>6</xdr:col>
          <xdr:colOff>285750</xdr:colOff>
          <xdr:row>48</xdr:row>
          <xdr:rowOff>171450</xdr:rowOff>
        </xdr:to>
        <xdr:sp macro="" textlink="">
          <xdr:nvSpPr>
            <xdr:cNvPr id="12524" name="Group Box 236" hidden="1">
              <a:extLst>
                <a:ext uri="{63B3BB69-23CF-44E3-9099-C40C66FF867C}">
                  <a14:compatExt spid="_x0000_s12524"/>
                </a:ext>
                <a:ext uri="{FF2B5EF4-FFF2-40B4-BE49-F238E27FC236}">
                  <a16:creationId xmlns:a16="http://schemas.microsoft.com/office/drawing/2014/main" id="{00000000-0008-0000-1B00-0000E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47</xdr:row>
          <xdr:rowOff>0</xdr:rowOff>
        </xdr:from>
        <xdr:to>
          <xdr:col>6</xdr:col>
          <xdr:colOff>266700</xdr:colOff>
          <xdr:row>49</xdr:row>
          <xdr:rowOff>0</xdr:rowOff>
        </xdr:to>
        <xdr:sp macro="" textlink="">
          <xdr:nvSpPr>
            <xdr:cNvPr id="12525" name="Group Box 237" hidden="1">
              <a:extLst>
                <a:ext uri="{63B3BB69-23CF-44E3-9099-C40C66FF867C}">
                  <a14:compatExt spid="_x0000_s12525"/>
                </a:ext>
                <a:ext uri="{FF2B5EF4-FFF2-40B4-BE49-F238E27FC236}">
                  <a16:creationId xmlns:a16="http://schemas.microsoft.com/office/drawing/2014/main" id="{00000000-0008-0000-1B00-0000E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48</xdr:row>
          <xdr:rowOff>0</xdr:rowOff>
        </xdr:from>
        <xdr:to>
          <xdr:col>6</xdr:col>
          <xdr:colOff>285750</xdr:colOff>
          <xdr:row>49</xdr:row>
          <xdr:rowOff>171450</xdr:rowOff>
        </xdr:to>
        <xdr:sp macro="" textlink="">
          <xdr:nvSpPr>
            <xdr:cNvPr id="12526" name="Group Box 238" hidden="1">
              <a:extLst>
                <a:ext uri="{63B3BB69-23CF-44E3-9099-C40C66FF867C}">
                  <a14:compatExt spid="_x0000_s12526"/>
                </a:ext>
                <a:ext uri="{FF2B5EF4-FFF2-40B4-BE49-F238E27FC236}">
                  <a16:creationId xmlns:a16="http://schemas.microsoft.com/office/drawing/2014/main" id="{00000000-0008-0000-1B00-0000E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48</xdr:row>
          <xdr:rowOff>0</xdr:rowOff>
        </xdr:from>
        <xdr:to>
          <xdr:col>6</xdr:col>
          <xdr:colOff>266700</xdr:colOff>
          <xdr:row>50</xdr:row>
          <xdr:rowOff>0</xdr:rowOff>
        </xdr:to>
        <xdr:sp macro="" textlink="">
          <xdr:nvSpPr>
            <xdr:cNvPr id="12527" name="Group Box 239" hidden="1">
              <a:extLst>
                <a:ext uri="{63B3BB69-23CF-44E3-9099-C40C66FF867C}">
                  <a14:compatExt spid="_x0000_s12527"/>
                </a:ext>
                <a:ext uri="{FF2B5EF4-FFF2-40B4-BE49-F238E27FC236}">
                  <a16:creationId xmlns:a16="http://schemas.microsoft.com/office/drawing/2014/main" id="{00000000-0008-0000-1B00-0000E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48</xdr:row>
          <xdr:rowOff>0</xdr:rowOff>
        </xdr:from>
        <xdr:to>
          <xdr:col>6</xdr:col>
          <xdr:colOff>285750</xdr:colOff>
          <xdr:row>49</xdr:row>
          <xdr:rowOff>171450</xdr:rowOff>
        </xdr:to>
        <xdr:sp macro="" textlink="">
          <xdr:nvSpPr>
            <xdr:cNvPr id="12528" name="Group Box 240" hidden="1">
              <a:extLst>
                <a:ext uri="{63B3BB69-23CF-44E3-9099-C40C66FF867C}">
                  <a14:compatExt spid="_x0000_s12528"/>
                </a:ext>
                <a:ext uri="{FF2B5EF4-FFF2-40B4-BE49-F238E27FC236}">
                  <a16:creationId xmlns:a16="http://schemas.microsoft.com/office/drawing/2014/main" id="{00000000-0008-0000-1B00-0000F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48</xdr:row>
          <xdr:rowOff>0</xdr:rowOff>
        </xdr:from>
        <xdr:to>
          <xdr:col>6</xdr:col>
          <xdr:colOff>266700</xdr:colOff>
          <xdr:row>50</xdr:row>
          <xdr:rowOff>0</xdr:rowOff>
        </xdr:to>
        <xdr:sp macro="" textlink="">
          <xdr:nvSpPr>
            <xdr:cNvPr id="12529" name="Group Box 241" hidden="1">
              <a:extLst>
                <a:ext uri="{63B3BB69-23CF-44E3-9099-C40C66FF867C}">
                  <a14:compatExt spid="_x0000_s12529"/>
                </a:ext>
                <a:ext uri="{FF2B5EF4-FFF2-40B4-BE49-F238E27FC236}">
                  <a16:creationId xmlns:a16="http://schemas.microsoft.com/office/drawing/2014/main" id="{00000000-0008-0000-1B00-0000F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48</xdr:row>
          <xdr:rowOff>0</xdr:rowOff>
        </xdr:from>
        <xdr:to>
          <xdr:col>6</xdr:col>
          <xdr:colOff>285750</xdr:colOff>
          <xdr:row>49</xdr:row>
          <xdr:rowOff>171450</xdr:rowOff>
        </xdr:to>
        <xdr:sp macro="" textlink="">
          <xdr:nvSpPr>
            <xdr:cNvPr id="12530" name="Group Box 242" hidden="1">
              <a:extLst>
                <a:ext uri="{63B3BB69-23CF-44E3-9099-C40C66FF867C}">
                  <a14:compatExt spid="_x0000_s12530"/>
                </a:ext>
                <a:ext uri="{FF2B5EF4-FFF2-40B4-BE49-F238E27FC236}">
                  <a16:creationId xmlns:a16="http://schemas.microsoft.com/office/drawing/2014/main" id="{00000000-0008-0000-1B00-0000F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48</xdr:row>
          <xdr:rowOff>0</xdr:rowOff>
        </xdr:from>
        <xdr:to>
          <xdr:col>6</xdr:col>
          <xdr:colOff>266700</xdr:colOff>
          <xdr:row>50</xdr:row>
          <xdr:rowOff>0</xdr:rowOff>
        </xdr:to>
        <xdr:sp macro="" textlink="">
          <xdr:nvSpPr>
            <xdr:cNvPr id="12531" name="Group Box 243" hidden="1">
              <a:extLst>
                <a:ext uri="{63B3BB69-23CF-44E3-9099-C40C66FF867C}">
                  <a14:compatExt spid="_x0000_s12531"/>
                </a:ext>
                <a:ext uri="{FF2B5EF4-FFF2-40B4-BE49-F238E27FC236}">
                  <a16:creationId xmlns:a16="http://schemas.microsoft.com/office/drawing/2014/main" id="{00000000-0008-0000-1B00-0000F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32" name="Group Box 244" hidden="1">
              <a:extLst>
                <a:ext uri="{63B3BB69-23CF-44E3-9099-C40C66FF867C}">
                  <a14:compatExt spid="_x0000_s12532"/>
                </a:ext>
                <a:ext uri="{FF2B5EF4-FFF2-40B4-BE49-F238E27FC236}">
                  <a16:creationId xmlns:a16="http://schemas.microsoft.com/office/drawing/2014/main" id="{00000000-0008-0000-1B00-0000F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33" name="Group Box 245" hidden="1">
              <a:extLst>
                <a:ext uri="{63B3BB69-23CF-44E3-9099-C40C66FF867C}">
                  <a14:compatExt spid="_x0000_s12533"/>
                </a:ext>
                <a:ext uri="{FF2B5EF4-FFF2-40B4-BE49-F238E27FC236}">
                  <a16:creationId xmlns:a16="http://schemas.microsoft.com/office/drawing/2014/main" id="{00000000-0008-0000-1B00-0000F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34" name="Group Box 246" hidden="1">
              <a:extLst>
                <a:ext uri="{63B3BB69-23CF-44E3-9099-C40C66FF867C}">
                  <a14:compatExt spid="_x0000_s12534"/>
                </a:ext>
                <a:ext uri="{FF2B5EF4-FFF2-40B4-BE49-F238E27FC236}">
                  <a16:creationId xmlns:a16="http://schemas.microsoft.com/office/drawing/2014/main" id="{00000000-0008-0000-1B00-0000F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35" name="Group Box 247" hidden="1">
              <a:extLst>
                <a:ext uri="{63B3BB69-23CF-44E3-9099-C40C66FF867C}">
                  <a14:compatExt spid="_x0000_s12535"/>
                </a:ext>
                <a:ext uri="{FF2B5EF4-FFF2-40B4-BE49-F238E27FC236}">
                  <a16:creationId xmlns:a16="http://schemas.microsoft.com/office/drawing/2014/main" id="{00000000-0008-0000-1B00-0000F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36" name="Group Box 248" hidden="1">
              <a:extLst>
                <a:ext uri="{63B3BB69-23CF-44E3-9099-C40C66FF867C}">
                  <a14:compatExt spid="_x0000_s12536"/>
                </a:ext>
                <a:ext uri="{FF2B5EF4-FFF2-40B4-BE49-F238E27FC236}">
                  <a16:creationId xmlns:a16="http://schemas.microsoft.com/office/drawing/2014/main" id="{00000000-0008-0000-1B00-0000F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37" name="Group Box 249" hidden="1">
              <a:extLst>
                <a:ext uri="{63B3BB69-23CF-44E3-9099-C40C66FF867C}">
                  <a14:compatExt spid="_x0000_s12537"/>
                </a:ext>
                <a:ext uri="{FF2B5EF4-FFF2-40B4-BE49-F238E27FC236}">
                  <a16:creationId xmlns:a16="http://schemas.microsoft.com/office/drawing/2014/main" id="{00000000-0008-0000-1B00-0000F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38" name="Group Box 250" hidden="1">
              <a:extLst>
                <a:ext uri="{63B3BB69-23CF-44E3-9099-C40C66FF867C}">
                  <a14:compatExt spid="_x0000_s12538"/>
                </a:ext>
                <a:ext uri="{FF2B5EF4-FFF2-40B4-BE49-F238E27FC236}">
                  <a16:creationId xmlns:a16="http://schemas.microsoft.com/office/drawing/2014/main" id="{00000000-0008-0000-1B00-0000F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39" name="Group Box 251" hidden="1">
              <a:extLst>
                <a:ext uri="{63B3BB69-23CF-44E3-9099-C40C66FF867C}">
                  <a14:compatExt spid="_x0000_s12539"/>
                </a:ext>
                <a:ext uri="{FF2B5EF4-FFF2-40B4-BE49-F238E27FC236}">
                  <a16:creationId xmlns:a16="http://schemas.microsoft.com/office/drawing/2014/main" id="{00000000-0008-0000-1B00-0000F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40" name="Group Box 252" hidden="1">
              <a:extLst>
                <a:ext uri="{63B3BB69-23CF-44E3-9099-C40C66FF867C}">
                  <a14:compatExt spid="_x0000_s12540"/>
                </a:ext>
                <a:ext uri="{FF2B5EF4-FFF2-40B4-BE49-F238E27FC236}">
                  <a16:creationId xmlns:a16="http://schemas.microsoft.com/office/drawing/2014/main" id="{00000000-0008-0000-1B00-0000F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41" name="Group Box 253" hidden="1">
              <a:extLst>
                <a:ext uri="{63B3BB69-23CF-44E3-9099-C40C66FF867C}">
                  <a14:compatExt spid="_x0000_s12541"/>
                </a:ext>
                <a:ext uri="{FF2B5EF4-FFF2-40B4-BE49-F238E27FC236}">
                  <a16:creationId xmlns:a16="http://schemas.microsoft.com/office/drawing/2014/main" id="{00000000-0008-0000-1B00-0000F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49</xdr:row>
          <xdr:rowOff>0</xdr:rowOff>
        </xdr:from>
        <xdr:to>
          <xdr:col>6</xdr:col>
          <xdr:colOff>285750</xdr:colOff>
          <xdr:row>50</xdr:row>
          <xdr:rowOff>171450</xdr:rowOff>
        </xdr:to>
        <xdr:sp macro="" textlink="">
          <xdr:nvSpPr>
            <xdr:cNvPr id="12542" name="Group Box 254" hidden="1">
              <a:extLst>
                <a:ext uri="{63B3BB69-23CF-44E3-9099-C40C66FF867C}">
                  <a14:compatExt spid="_x0000_s12542"/>
                </a:ext>
                <a:ext uri="{FF2B5EF4-FFF2-40B4-BE49-F238E27FC236}">
                  <a16:creationId xmlns:a16="http://schemas.microsoft.com/office/drawing/2014/main" id="{00000000-0008-0000-1B00-0000F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0</xdr:rowOff>
        </xdr:from>
        <xdr:to>
          <xdr:col>6</xdr:col>
          <xdr:colOff>266700</xdr:colOff>
          <xdr:row>51</xdr:row>
          <xdr:rowOff>0</xdr:rowOff>
        </xdr:to>
        <xdr:sp macro="" textlink="">
          <xdr:nvSpPr>
            <xdr:cNvPr id="12543" name="Group Box 255" hidden="1">
              <a:extLst>
                <a:ext uri="{63B3BB69-23CF-44E3-9099-C40C66FF867C}">
                  <a14:compatExt spid="_x0000_s12543"/>
                </a:ext>
                <a:ext uri="{FF2B5EF4-FFF2-40B4-BE49-F238E27FC236}">
                  <a16:creationId xmlns:a16="http://schemas.microsoft.com/office/drawing/2014/main" id="{00000000-0008-0000-1B00-0000F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44" name="Group Box 256" hidden="1">
              <a:extLst>
                <a:ext uri="{63B3BB69-23CF-44E3-9099-C40C66FF867C}">
                  <a14:compatExt spid="_x0000_s12544"/>
                </a:ext>
                <a:ext uri="{FF2B5EF4-FFF2-40B4-BE49-F238E27FC236}">
                  <a16:creationId xmlns:a16="http://schemas.microsoft.com/office/drawing/2014/main" id="{00000000-0008-0000-1B00-00000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45" name="Group Box 257" hidden="1">
              <a:extLst>
                <a:ext uri="{63B3BB69-23CF-44E3-9099-C40C66FF867C}">
                  <a14:compatExt spid="_x0000_s12545"/>
                </a:ext>
                <a:ext uri="{FF2B5EF4-FFF2-40B4-BE49-F238E27FC236}">
                  <a16:creationId xmlns:a16="http://schemas.microsoft.com/office/drawing/2014/main" id="{00000000-0008-0000-1B00-00000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46" name="Group Box 258" hidden="1">
              <a:extLst>
                <a:ext uri="{63B3BB69-23CF-44E3-9099-C40C66FF867C}">
                  <a14:compatExt spid="_x0000_s12546"/>
                </a:ext>
                <a:ext uri="{FF2B5EF4-FFF2-40B4-BE49-F238E27FC236}">
                  <a16:creationId xmlns:a16="http://schemas.microsoft.com/office/drawing/2014/main" id="{00000000-0008-0000-1B00-00000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47" name="Group Box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1B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48" name="Group Box 260" hidden="1">
              <a:extLst>
                <a:ext uri="{63B3BB69-23CF-44E3-9099-C40C66FF867C}">
                  <a14:compatExt spid="_x0000_s12548"/>
                </a:ext>
                <a:ext uri="{FF2B5EF4-FFF2-40B4-BE49-F238E27FC236}">
                  <a16:creationId xmlns:a16="http://schemas.microsoft.com/office/drawing/2014/main" id="{00000000-0008-0000-1B00-00000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49" name="Group Box 261" hidden="1">
              <a:extLst>
                <a:ext uri="{63B3BB69-23CF-44E3-9099-C40C66FF867C}">
                  <a14:compatExt spid="_x0000_s12549"/>
                </a:ext>
                <a:ext uri="{FF2B5EF4-FFF2-40B4-BE49-F238E27FC236}">
                  <a16:creationId xmlns:a16="http://schemas.microsoft.com/office/drawing/2014/main" id="{00000000-0008-0000-1B00-00000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50" name="Group Box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1B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51" name="Group Box 263" hidden="1">
              <a:extLst>
                <a:ext uri="{63B3BB69-23CF-44E3-9099-C40C66FF867C}">
                  <a14:compatExt spid="_x0000_s12551"/>
                </a:ext>
                <a:ext uri="{FF2B5EF4-FFF2-40B4-BE49-F238E27FC236}">
                  <a16:creationId xmlns:a16="http://schemas.microsoft.com/office/drawing/2014/main" id="{00000000-0008-0000-1B00-00000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52" name="Group Box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1B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53" name="Group Box 265" hidden="1">
              <a:extLst>
                <a:ext uri="{63B3BB69-23CF-44E3-9099-C40C66FF867C}">
                  <a14:compatExt spid="_x0000_s12553"/>
                </a:ext>
                <a:ext uri="{FF2B5EF4-FFF2-40B4-BE49-F238E27FC236}">
                  <a16:creationId xmlns:a16="http://schemas.microsoft.com/office/drawing/2014/main" id="{00000000-0008-0000-1B00-00000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50</xdr:row>
          <xdr:rowOff>0</xdr:rowOff>
        </xdr:from>
        <xdr:to>
          <xdr:col>6</xdr:col>
          <xdr:colOff>285750</xdr:colOff>
          <xdr:row>51</xdr:row>
          <xdr:rowOff>171450</xdr:rowOff>
        </xdr:to>
        <xdr:sp macro="" textlink="">
          <xdr:nvSpPr>
            <xdr:cNvPr id="12554" name="Group Box 266" hidden="1">
              <a:extLst>
                <a:ext uri="{63B3BB69-23CF-44E3-9099-C40C66FF867C}">
                  <a14:compatExt spid="_x0000_s12554"/>
                </a:ext>
                <a:ext uri="{FF2B5EF4-FFF2-40B4-BE49-F238E27FC236}">
                  <a16:creationId xmlns:a16="http://schemas.microsoft.com/office/drawing/2014/main" id="{00000000-0008-0000-1B00-00000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50</xdr:row>
          <xdr:rowOff>0</xdr:rowOff>
        </xdr:from>
        <xdr:to>
          <xdr:col>6</xdr:col>
          <xdr:colOff>266700</xdr:colOff>
          <xdr:row>52</xdr:row>
          <xdr:rowOff>0</xdr:rowOff>
        </xdr:to>
        <xdr:sp macro="" textlink="">
          <xdr:nvSpPr>
            <xdr:cNvPr id="12555" name="Group Box 267" hidden="1">
              <a:extLst>
                <a:ext uri="{63B3BB69-23CF-44E3-9099-C40C66FF867C}">
                  <a14:compatExt spid="_x0000_s12555"/>
                </a:ext>
                <a:ext uri="{FF2B5EF4-FFF2-40B4-BE49-F238E27FC236}">
                  <a16:creationId xmlns:a16="http://schemas.microsoft.com/office/drawing/2014/main" id="{00000000-0008-0000-1B00-00000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56" name="Group Box 268" hidden="1">
              <a:extLst>
                <a:ext uri="{63B3BB69-23CF-44E3-9099-C40C66FF867C}">
                  <a14:compatExt spid="_x0000_s12556"/>
                </a:ext>
                <a:ext uri="{FF2B5EF4-FFF2-40B4-BE49-F238E27FC236}">
                  <a16:creationId xmlns:a16="http://schemas.microsoft.com/office/drawing/2014/main" id="{00000000-0008-0000-1B00-00000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57" name="Group Box 269" hidden="1">
              <a:extLst>
                <a:ext uri="{63B3BB69-23CF-44E3-9099-C40C66FF867C}">
                  <a14:compatExt spid="_x0000_s12557"/>
                </a:ext>
                <a:ext uri="{FF2B5EF4-FFF2-40B4-BE49-F238E27FC236}">
                  <a16:creationId xmlns:a16="http://schemas.microsoft.com/office/drawing/2014/main" id="{00000000-0008-0000-1B00-00000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58" name="Group Box 270" hidden="1">
              <a:extLst>
                <a:ext uri="{63B3BB69-23CF-44E3-9099-C40C66FF867C}">
                  <a14:compatExt spid="_x0000_s12558"/>
                </a:ext>
                <a:ext uri="{FF2B5EF4-FFF2-40B4-BE49-F238E27FC236}">
                  <a16:creationId xmlns:a16="http://schemas.microsoft.com/office/drawing/2014/main" id="{00000000-0008-0000-1B00-00000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59" name="Group Box 271" hidden="1">
              <a:extLst>
                <a:ext uri="{63B3BB69-23CF-44E3-9099-C40C66FF867C}">
                  <a14:compatExt spid="_x0000_s12559"/>
                </a:ext>
                <a:ext uri="{FF2B5EF4-FFF2-40B4-BE49-F238E27FC236}">
                  <a16:creationId xmlns:a16="http://schemas.microsoft.com/office/drawing/2014/main" id="{00000000-0008-0000-1B00-00000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60" name="Group Box 272" hidden="1">
              <a:extLst>
                <a:ext uri="{63B3BB69-23CF-44E3-9099-C40C66FF867C}">
                  <a14:compatExt spid="_x0000_s12560"/>
                </a:ext>
                <a:ext uri="{FF2B5EF4-FFF2-40B4-BE49-F238E27FC236}">
                  <a16:creationId xmlns:a16="http://schemas.microsoft.com/office/drawing/2014/main" id="{00000000-0008-0000-1B00-00001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61" name="Group Box 273" hidden="1">
              <a:extLst>
                <a:ext uri="{63B3BB69-23CF-44E3-9099-C40C66FF867C}">
                  <a14:compatExt spid="_x0000_s12561"/>
                </a:ext>
                <a:ext uri="{FF2B5EF4-FFF2-40B4-BE49-F238E27FC236}">
                  <a16:creationId xmlns:a16="http://schemas.microsoft.com/office/drawing/2014/main" id="{00000000-0008-0000-1B00-00001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62" name="Group Box 274" hidden="1">
              <a:extLst>
                <a:ext uri="{63B3BB69-23CF-44E3-9099-C40C66FF867C}">
                  <a14:compatExt spid="_x0000_s12562"/>
                </a:ext>
                <a:ext uri="{FF2B5EF4-FFF2-40B4-BE49-F238E27FC236}">
                  <a16:creationId xmlns:a16="http://schemas.microsoft.com/office/drawing/2014/main" id="{00000000-0008-0000-1B00-00001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63" name="Group Box 275" hidden="1">
              <a:extLst>
                <a:ext uri="{63B3BB69-23CF-44E3-9099-C40C66FF867C}">
                  <a14:compatExt spid="_x0000_s12563"/>
                </a:ext>
                <a:ext uri="{FF2B5EF4-FFF2-40B4-BE49-F238E27FC236}">
                  <a16:creationId xmlns:a16="http://schemas.microsoft.com/office/drawing/2014/main" id="{00000000-0008-0000-1B00-00001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64" name="Group Box 276" hidden="1">
              <a:extLst>
                <a:ext uri="{63B3BB69-23CF-44E3-9099-C40C66FF867C}">
                  <a14:compatExt spid="_x0000_s12564"/>
                </a:ext>
                <a:ext uri="{FF2B5EF4-FFF2-40B4-BE49-F238E27FC236}">
                  <a16:creationId xmlns:a16="http://schemas.microsoft.com/office/drawing/2014/main" id="{00000000-0008-0000-1B00-00001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65" name="Group Box 277" hidden="1">
              <a:extLst>
                <a:ext uri="{63B3BB69-23CF-44E3-9099-C40C66FF867C}">
                  <a14:compatExt spid="_x0000_s12565"/>
                </a:ext>
                <a:ext uri="{FF2B5EF4-FFF2-40B4-BE49-F238E27FC236}">
                  <a16:creationId xmlns:a16="http://schemas.microsoft.com/office/drawing/2014/main" id="{00000000-0008-0000-1B00-00001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66" name="Group Box 278" hidden="1">
              <a:extLst>
                <a:ext uri="{63B3BB69-23CF-44E3-9099-C40C66FF867C}">
                  <a14:compatExt spid="_x0000_s12566"/>
                </a:ext>
                <a:ext uri="{FF2B5EF4-FFF2-40B4-BE49-F238E27FC236}">
                  <a16:creationId xmlns:a16="http://schemas.microsoft.com/office/drawing/2014/main" id="{00000000-0008-0000-1B00-00001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67" name="Group Box 279" hidden="1">
              <a:extLst>
                <a:ext uri="{63B3BB69-23CF-44E3-9099-C40C66FF867C}">
                  <a14:compatExt spid="_x0000_s12567"/>
                </a:ext>
                <a:ext uri="{FF2B5EF4-FFF2-40B4-BE49-F238E27FC236}">
                  <a16:creationId xmlns:a16="http://schemas.microsoft.com/office/drawing/2014/main" id="{00000000-0008-0000-1B00-00001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68" name="Group Box 280" hidden="1">
              <a:extLst>
                <a:ext uri="{63B3BB69-23CF-44E3-9099-C40C66FF867C}">
                  <a14:compatExt spid="_x0000_s12568"/>
                </a:ext>
                <a:ext uri="{FF2B5EF4-FFF2-40B4-BE49-F238E27FC236}">
                  <a16:creationId xmlns:a16="http://schemas.microsoft.com/office/drawing/2014/main" id="{00000000-0008-0000-1B00-00001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69" name="Group Box 281" hidden="1">
              <a:extLst>
                <a:ext uri="{63B3BB69-23CF-44E3-9099-C40C66FF867C}">
                  <a14:compatExt spid="_x0000_s12569"/>
                </a:ext>
                <a:ext uri="{FF2B5EF4-FFF2-40B4-BE49-F238E27FC236}">
                  <a16:creationId xmlns:a16="http://schemas.microsoft.com/office/drawing/2014/main" id="{00000000-0008-0000-1B00-00001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70" name="Group Box 282" hidden="1">
              <a:extLst>
                <a:ext uri="{63B3BB69-23CF-44E3-9099-C40C66FF867C}">
                  <a14:compatExt spid="_x0000_s12570"/>
                </a:ext>
                <a:ext uri="{FF2B5EF4-FFF2-40B4-BE49-F238E27FC236}">
                  <a16:creationId xmlns:a16="http://schemas.microsoft.com/office/drawing/2014/main" id="{00000000-0008-0000-1B00-00001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71" name="Group Box 283" hidden="1">
              <a:extLst>
                <a:ext uri="{63B3BB69-23CF-44E3-9099-C40C66FF867C}">
                  <a14:compatExt spid="_x0000_s12571"/>
                </a:ext>
                <a:ext uri="{FF2B5EF4-FFF2-40B4-BE49-F238E27FC236}">
                  <a16:creationId xmlns:a16="http://schemas.microsoft.com/office/drawing/2014/main" id="{00000000-0008-0000-1B00-00001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51</xdr:row>
          <xdr:rowOff>0</xdr:rowOff>
        </xdr:from>
        <xdr:to>
          <xdr:col>6</xdr:col>
          <xdr:colOff>285750</xdr:colOff>
          <xdr:row>52</xdr:row>
          <xdr:rowOff>171450</xdr:rowOff>
        </xdr:to>
        <xdr:sp macro="" textlink="">
          <xdr:nvSpPr>
            <xdr:cNvPr id="12572" name="Group Box 284" hidden="1">
              <a:extLst>
                <a:ext uri="{63B3BB69-23CF-44E3-9099-C40C66FF867C}">
                  <a14:compatExt spid="_x0000_s12572"/>
                </a:ext>
                <a:ext uri="{FF2B5EF4-FFF2-40B4-BE49-F238E27FC236}">
                  <a16:creationId xmlns:a16="http://schemas.microsoft.com/office/drawing/2014/main" id="{00000000-0008-0000-1B00-00001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51</xdr:row>
          <xdr:rowOff>0</xdr:rowOff>
        </xdr:from>
        <xdr:to>
          <xdr:col>6</xdr:col>
          <xdr:colOff>266700</xdr:colOff>
          <xdr:row>53</xdr:row>
          <xdr:rowOff>0</xdr:rowOff>
        </xdr:to>
        <xdr:sp macro="" textlink="">
          <xdr:nvSpPr>
            <xdr:cNvPr id="12573" name="Group Box 285" hidden="1">
              <a:extLst>
                <a:ext uri="{63B3BB69-23CF-44E3-9099-C40C66FF867C}">
                  <a14:compatExt spid="_x0000_s12573"/>
                </a:ext>
                <a:ext uri="{FF2B5EF4-FFF2-40B4-BE49-F238E27FC236}">
                  <a16:creationId xmlns:a16="http://schemas.microsoft.com/office/drawing/2014/main" id="{00000000-0008-0000-1B00-00001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74" name="Group Box 286" hidden="1">
              <a:extLst>
                <a:ext uri="{63B3BB69-23CF-44E3-9099-C40C66FF867C}">
                  <a14:compatExt spid="_x0000_s12574"/>
                </a:ext>
                <a:ext uri="{FF2B5EF4-FFF2-40B4-BE49-F238E27FC236}">
                  <a16:creationId xmlns:a16="http://schemas.microsoft.com/office/drawing/2014/main" id="{00000000-0008-0000-1B00-00001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75" name="Group Box 287" hidden="1">
              <a:extLst>
                <a:ext uri="{63B3BB69-23CF-44E3-9099-C40C66FF867C}">
                  <a14:compatExt spid="_x0000_s12575"/>
                </a:ext>
                <a:ext uri="{FF2B5EF4-FFF2-40B4-BE49-F238E27FC236}">
                  <a16:creationId xmlns:a16="http://schemas.microsoft.com/office/drawing/2014/main" id="{00000000-0008-0000-1B00-00001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76" name="Group Box 288" hidden="1">
              <a:extLst>
                <a:ext uri="{63B3BB69-23CF-44E3-9099-C40C66FF867C}">
                  <a14:compatExt spid="_x0000_s12576"/>
                </a:ext>
                <a:ext uri="{FF2B5EF4-FFF2-40B4-BE49-F238E27FC236}">
                  <a16:creationId xmlns:a16="http://schemas.microsoft.com/office/drawing/2014/main" id="{00000000-0008-0000-1B00-00002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77" name="Group Box 289" hidden="1">
              <a:extLst>
                <a:ext uri="{63B3BB69-23CF-44E3-9099-C40C66FF867C}">
                  <a14:compatExt spid="_x0000_s12577"/>
                </a:ext>
                <a:ext uri="{FF2B5EF4-FFF2-40B4-BE49-F238E27FC236}">
                  <a16:creationId xmlns:a16="http://schemas.microsoft.com/office/drawing/2014/main" id="{00000000-0008-0000-1B00-00002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78" name="Group Box 290" hidden="1">
              <a:extLst>
                <a:ext uri="{63B3BB69-23CF-44E3-9099-C40C66FF867C}">
                  <a14:compatExt spid="_x0000_s12578"/>
                </a:ext>
                <a:ext uri="{FF2B5EF4-FFF2-40B4-BE49-F238E27FC236}">
                  <a16:creationId xmlns:a16="http://schemas.microsoft.com/office/drawing/2014/main" id="{00000000-0008-0000-1B00-00002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79" name="Group Box 291" hidden="1">
              <a:extLst>
                <a:ext uri="{63B3BB69-23CF-44E3-9099-C40C66FF867C}">
                  <a14:compatExt spid="_x0000_s12579"/>
                </a:ext>
                <a:ext uri="{FF2B5EF4-FFF2-40B4-BE49-F238E27FC236}">
                  <a16:creationId xmlns:a16="http://schemas.microsoft.com/office/drawing/2014/main" id="{00000000-0008-0000-1B00-00002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80" name="Group Box 292" hidden="1">
              <a:extLst>
                <a:ext uri="{63B3BB69-23CF-44E3-9099-C40C66FF867C}">
                  <a14:compatExt spid="_x0000_s12580"/>
                </a:ext>
                <a:ext uri="{FF2B5EF4-FFF2-40B4-BE49-F238E27FC236}">
                  <a16:creationId xmlns:a16="http://schemas.microsoft.com/office/drawing/2014/main" id="{00000000-0008-0000-1B00-00002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81" name="Group Box 293" hidden="1">
              <a:extLst>
                <a:ext uri="{63B3BB69-23CF-44E3-9099-C40C66FF867C}">
                  <a14:compatExt spid="_x0000_s12581"/>
                </a:ext>
                <a:ext uri="{FF2B5EF4-FFF2-40B4-BE49-F238E27FC236}">
                  <a16:creationId xmlns:a16="http://schemas.microsoft.com/office/drawing/2014/main" id="{00000000-0008-0000-1B00-00002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82" name="Group Box 294" hidden="1">
              <a:extLst>
                <a:ext uri="{63B3BB69-23CF-44E3-9099-C40C66FF867C}">
                  <a14:compatExt spid="_x0000_s12582"/>
                </a:ext>
                <a:ext uri="{FF2B5EF4-FFF2-40B4-BE49-F238E27FC236}">
                  <a16:creationId xmlns:a16="http://schemas.microsoft.com/office/drawing/2014/main" id="{00000000-0008-0000-1B00-00002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83" name="Group Box 295" hidden="1">
              <a:extLst>
                <a:ext uri="{63B3BB69-23CF-44E3-9099-C40C66FF867C}">
                  <a14:compatExt spid="_x0000_s12583"/>
                </a:ext>
                <a:ext uri="{FF2B5EF4-FFF2-40B4-BE49-F238E27FC236}">
                  <a16:creationId xmlns:a16="http://schemas.microsoft.com/office/drawing/2014/main" id="{00000000-0008-0000-1B00-00002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84" name="Group Box 296" hidden="1">
              <a:extLst>
                <a:ext uri="{63B3BB69-23CF-44E3-9099-C40C66FF867C}">
                  <a14:compatExt spid="_x0000_s12584"/>
                </a:ext>
                <a:ext uri="{FF2B5EF4-FFF2-40B4-BE49-F238E27FC236}">
                  <a16:creationId xmlns:a16="http://schemas.microsoft.com/office/drawing/2014/main" id="{00000000-0008-0000-1B00-00002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85" name="Group Box 297" hidden="1">
              <a:extLst>
                <a:ext uri="{63B3BB69-23CF-44E3-9099-C40C66FF867C}">
                  <a14:compatExt spid="_x0000_s12585"/>
                </a:ext>
                <a:ext uri="{FF2B5EF4-FFF2-40B4-BE49-F238E27FC236}">
                  <a16:creationId xmlns:a16="http://schemas.microsoft.com/office/drawing/2014/main" id="{00000000-0008-0000-1B00-00002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86" name="Group Box 298" hidden="1">
              <a:extLst>
                <a:ext uri="{63B3BB69-23CF-44E3-9099-C40C66FF867C}">
                  <a14:compatExt spid="_x0000_s12586"/>
                </a:ext>
                <a:ext uri="{FF2B5EF4-FFF2-40B4-BE49-F238E27FC236}">
                  <a16:creationId xmlns:a16="http://schemas.microsoft.com/office/drawing/2014/main" id="{00000000-0008-0000-1B00-00002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87" name="Group Box 299" hidden="1">
              <a:extLst>
                <a:ext uri="{63B3BB69-23CF-44E3-9099-C40C66FF867C}">
                  <a14:compatExt spid="_x0000_s12587"/>
                </a:ext>
                <a:ext uri="{FF2B5EF4-FFF2-40B4-BE49-F238E27FC236}">
                  <a16:creationId xmlns:a16="http://schemas.microsoft.com/office/drawing/2014/main" id="{00000000-0008-0000-1B00-00002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88" name="Group Box 300" hidden="1">
              <a:extLst>
                <a:ext uri="{63B3BB69-23CF-44E3-9099-C40C66FF867C}">
                  <a14:compatExt spid="_x0000_s12588"/>
                </a:ext>
                <a:ext uri="{FF2B5EF4-FFF2-40B4-BE49-F238E27FC236}">
                  <a16:creationId xmlns:a16="http://schemas.microsoft.com/office/drawing/2014/main" id="{00000000-0008-0000-1B00-00002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89" name="Group Box 301" hidden="1">
              <a:extLst>
                <a:ext uri="{63B3BB69-23CF-44E3-9099-C40C66FF867C}">
                  <a14:compatExt spid="_x0000_s12589"/>
                </a:ext>
                <a:ext uri="{FF2B5EF4-FFF2-40B4-BE49-F238E27FC236}">
                  <a16:creationId xmlns:a16="http://schemas.microsoft.com/office/drawing/2014/main" id="{00000000-0008-0000-1B00-00002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90" name="Group Box 302" hidden="1">
              <a:extLst>
                <a:ext uri="{63B3BB69-23CF-44E3-9099-C40C66FF867C}">
                  <a14:compatExt spid="_x0000_s12590"/>
                </a:ext>
                <a:ext uri="{FF2B5EF4-FFF2-40B4-BE49-F238E27FC236}">
                  <a16:creationId xmlns:a16="http://schemas.microsoft.com/office/drawing/2014/main" id="{00000000-0008-0000-1B00-00002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91" name="Group Box 303" hidden="1">
              <a:extLst>
                <a:ext uri="{63B3BB69-23CF-44E3-9099-C40C66FF867C}">
                  <a14:compatExt spid="_x0000_s12591"/>
                </a:ext>
                <a:ext uri="{FF2B5EF4-FFF2-40B4-BE49-F238E27FC236}">
                  <a16:creationId xmlns:a16="http://schemas.microsoft.com/office/drawing/2014/main" id="{00000000-0008-0000-1B00-00002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92" name="Group Box 304" hidden="1">
              <a:extLst>
                <a:ext uri="{63B3BB69-23CF-44E3-9099-C40C66FF867C}">
                  <a14:compatExt spid="_x0000_s12592"/>
                </a:ext>
                <a:ext uri="{FF2B5EF4-FFF2-40B4-BE49-F238E27FC236}">
                  <a16:creationId xmlns:a16="http://schemas.microsoft.com/office/drawing/2014/main" id="{00000000-0008-0000-1B00-00003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93" name="Group Box 305" hidden="1">
              <a:extLst>
                <a:ext uri="{63B3BB69-23CF-44E3-9099-C40C66FF867C}">
                  <a14:compatExt spid="_x0000_s12593"/>
                </a:ext>
                <a:ext uri="{FF2B5EF4-FFF2-40B4-BE49-F238E27FC236}">
                  <a16:creationId xmlns:a16="http://schemas.microsoft.com/office/drawing/2014/main" id="{00000000-0008-0000-1B00-00003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94" name="Group Box 306" hidden="1">
              <a:extLst>
                <a:ext uri="{63B3BB69-23CF-44E3-9099-C40C66FF867C}">
                  <a14:compatExt spid="_x0000_s12594"/>
                </a:ext>
                <a:ext uri="{FF2B5EF4-FFF2-40B4-BE49-F238E27FC236}">
                  <a16:creationId xmlns:a16="http://schemas.microsoft.com/office/drawing/2014/main" id="{00000000-0008-0000-1B00-00003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95" name="Group Box 307" hidden="1">
              <a:extLst>
                <a:ext uri="{63B3BB69-23CF-44E3-9099-C40C66FF867C}">
                  <a14:compatExt spid="_x0000_s12595"/>
                </a:ext>
                <a:ext uri="{FF2B5EF4-FFF2-40B4-BE49-F238E27FC236}">
                  <a16:creationId xmlns:a16="http://schemas.microsoft.com/office/drawing/2014/main" id="{00000000-0008-0000-1B00-00003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52</xdr:row>
          <xdr:rowOff>0</xdr:rowOff>
        </xdr:from>
        <xdr:to>
          <xdr:col>6</xdr:col>
          <xdr:colOff>285750</xdr:colOff>
          <xdr:row>53</xdr:row>
          <xdr:rowOff>171450</xdr:rowOff>
        </xdr:to>
        <xdr:sp macro="" textlink="">
          <xdr:nvSpPr>
            <xdr:cNvPr id="12596" name="Group Box 308" hidden="1">
              <a:extLst>
                <a:ext uri="{63B3BB69-23CF-44E3-9099-C40C66FF867C}">
                  <a14:compatExt spid="_x0000_s12596"/>
                </a:ext>
                <a:ext uri="{FF2B5EF4-FFF2-40B4-BE49-F238E27FC236}">
                  <a16:creationId xmlns:a16="http://schemas.microsoft.com/office/drawing/2014/main" id="{00000000-0008-0000-1B00-00003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52</xdr:row>
          <xdr:rowOff>0</xdr:rowOff>
        </xdr:from>
        <xdr:to>
          <xdr:col>6</xdr:col>
          <xdr:colOff>266700</xdr:colOff>
          <xdr:row>54</xdr:row>
          <xdr:rowOff>0</xdr:rowOff>
        </xdr:to>
        <xdr:sp macro="" textlink="">
          <xdr:nvSpPr>
            <xdr:cNvPr id="12597" name="Group Box 309" hidden="1">
              <a:extLst>
                <a:ext uri="{63B3BB69-23CF-44E3-9099-C40C66FF867C}">
                  <a14:compatExt spid="_x0000_s12597"/>
                </a:ext>
                <a:ext uri="{FF2B5EF4-FFF2-40B4-BE49-F238E27FC236}">
                  <a16:creationId xmlns:a16="http://schemas.microsoft.com/office/drawing/2014/main" id="{00000000-0008-0000-1B00-00003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598" name="Group Box 310" hidden="1">
              <a:extLst>
                <a:ext uri="{63B3BB69-23CF-44E3-9099-C40C66FF867C}">
                  <a14:compatExt spid="_x0000_s12598"/>
                </a:ext>
                <a:ext uri="{FF2B5EF4-FFF2-40B4-BE49-F238E27FC236}">
                  <a16:creationId xmlns:a16="http://schemas.microsoft.com/office/drawing/2014/main" id="{00000000-0008-0000-1B00-00003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599" name="Group Box 311" hidden="1">
              <a:extLst>
                <a:ext uri="{63B3BB69-23CF-44E3-9099-C40C66FF867C}">
                  <a14:compatExt spid="_x0000_s12599"/>
                </a:ext>
                <a:ext uri="{FF2B5EF4-FFF2-40B4-BE49-F238E27FC236}">
                  <a16:creationId xmlns:a16="http://schemas.microsoft.com/office/drawing/2014/main" id="{00000000-0008-0000-1B00-00003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00" name="Group Box 312" hidden="1">
              <a:extLst>
                <a:ext uri="{63B3BB69-23CF-44E3-9099-C40C66FF867C}">
                  <a14:compatExt spid="_x0000_s12600"/>
                </a:ext>
                <a:ext uri="{FF2B5EF4-FFF2-40B4-BE49-F238E27FC236}">
                  <a16:creationId xmlns:a16="http://schemas.microsoft.com/office/drawing/2014/main" id="{00000000-0008-0000-1B00-00003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01" name="Group Box 313" hidden="1">
              <a:extLst>
                <a:ext uri="{63B3BB69-23CF-44E3-9099-C40C66FF867C}">
                  <a14:compatExt spid="_x0000_s12601"/>
                </a:ext>
                <a:ext uri="{FF2B5EF4-FFF2-40B4-BE49-F238E27FC236}">
                  <a16:creationId xmlns:a16="http://schemas.microsoft.com/office/drawing/2014/main" id="{00000000-0008-0000-1B00-00003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02" name="Group Box 314" hidden="1">
              <a:extLst>
                <a:ext uri="{63B3BB69-23CF-44E3-9099-C40C66FF867C}">
                  <a14:compatExt spid="_x0000_s12602"/>
                </a:ext>
                <a:ext uri="{FF2B5EF4-FFF2-40B4-BE49-F238E27FC236}">
                  <a16:creationId xmlns:a16="http://schemas.microsoft.com/office/drawing/2014/main" id="{00000000-0008-0000-1B00-00003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03" name="Group Box 315" hidden="1">
              <a:extLst>
                <a:ext uri="{63B3BB69-23CF-44E3-9099-C40C66FF867C}">
                  <a14:compatExt spid="_x0000_s12603"/>
                </a:ext>
                <a:ext uri="{FF2B5EF4-FFF2-40B4-BE49-F238E27FC236}">
                  <a16:creationId xmlns:a16="http://schemas.microsoft.com/office/drawing/2014/main" id="{00000000-0008-0000-1B00-00003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04" name="Group Box 316" hidden="1">
              <a:extLst>
                <a:ext uri="{63B3BB69-23CF-44E3-9099-C40C66FF867C}">
                  <a14:compatExt spid="_x0000_s12604"/>
                </a:ext>
                <a:ext uri="{FF2B5EF4-FFF2-40B4-BE49-F238E27FC236}">
                  <a16:creationId xmlns:a16="http://schemas.microsoft.com/office/drawing/2014/main" id="{00000000-0008-0000-1B00-00003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05" name="Group Box 317" hidden="1">
              <a:extLst>
                <a:ext uri="{63B3BB69-23CF-44E3-9099-C40C66FF867C}">
                  <a14:compatExt spid="_x0000_s12605"/>
                </a:ext>
                <a:ext uri="{FF2B5EF4-FFF2-40B4-BE49-F238E27FC236}">
                  <a16:creationId xmlns:a16="http://schemas.microsoft.com/office/drawing/2014/main" id="{00000000-0008-0000-1B00-00003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06" name="Group Box 318" hidden="1">
              <a:extLst>
                <a:ext uri="{63B3BB69-23CF-44E3-9099-C40C66FF867C}">
                  <a14:compatExt spid="_x0000_s12606"/>
                </a:ext>
                <a:ext uri="{FF2B5EF4-FFF2-40B4-BE49-F238E27FC236}">
                  <a16:creationId xmlns:a16="http://schemas.microsoft.com/office/drawing/2014/main" id="{00000000-0008-0000-1B00-00003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07" name="Group Box 319" hidden="1">
              <a:extLst>
                <a:ext uri="{63B3BB69-23CF-44E3-9099-C40C66FF867C}">
                  <a14:compatExt spid="_x0000_s12607"/>
                </a:ext>
                <a:ext uri="{FF2B5EF4-FFF2-40B4-BE49-F238E27FC236}">
                  <a16:creationId xmlns:a16="http://schemas.microsoft.com/office/drawing/2014/main" id="{00000000-0008-0000-1B00-00003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08" name="Group Box 320" hidden="1">
              <a:extLst>
                <a:ext uri="{63B3BB69-23CF-44E3-9099-C40C66FF867C}">
                  <a14:compatExt spid="_x0000_s12608"/>
                </a:ext>
                <a:ext uri="{FF2B5EF4-FFF2-40B4-BE49-F238E27FC236}">
                  <a16:creationId xmlns:a16="http://schemas.microsoft.com/office/drawing/2014/main" id="{00000000-0008-0000-1B00-00004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09" name="Group Box 321" hidden="1">
              <a:extLst>
                <a:ext uri="{63B3BB69-23CF-44E3-9099-C40C66FF867C}">
                  <a14:compatExt spid="_x0000_s12609"/>
                </a:ext>
                <a:ext uri="{FF2B5EF4-FFF2-40B4-BE49-F238E27FC236}">
                  <a16:creationId xmlns:a16="http://schemas.microsoft.com/office/drawing/2014/main" id="{00000000-0008-0000-1B00-00004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10" name="Group Box 322" hidden="1">
              <a:extLst>
                <a:ext uri="{63B3BB69-23CF-44E3-9099-C40C66FF867C}">
                  <a14:compatExt spid="_x0000_s12610"/>
                </a:ext>
                <a:ext uri="{FF2B5EF4-FFF2-40B4-BE49-F238E27FC236}">
                  <a16:creationId xmlns:a16="http://schemas.microsoft.com/office/drawing/2014/main" id="{00000000-0008-0000-1B00-00004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11" name="Group Box 323" hidden="1">
              <a:extLst>
                <a:ext uri="{63B3BB69-23CF-44E3-9099-C40C66FF867C}">
                  <a14:compatExt spid="_x0000_s12611"/>
                </a:ext>
                <a:ext uri="{FF2B5EF4-FFF2-40B4-BE49-F238E27FC236}">
                  <a16:creationId xmlns:a16="http://schemas.microsoft.com/office/drawing/2014/main" id="{00000000-0008-0000-1B00-00004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12" name="Group Box 324" hidden="1">
              <a:extLst>
                <a:ext uri="{63B3BB69-23CF-44E3-9099-C40C66FF867C}">
                  <a14:compatExt spid="_x0000_s12612"/>
                </a:ext>
                <a:ext uri="{FF2B5EF4-FFF2-40B4-BE49-F238E27FC236}">
                  <a16:creationId xmlns:a16="http://schemas.microsoft.com/office/drawing/2014/main" id="{00000000-0008-0000-1B00-00004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13" name="Group Box 325" hidden="1">
              <a:extLst>
                <a:ext uri="{63B3BB69-23CF-44E3-9099-C40C66FF867C}">
                  <a14:compatExt spid="_x0000_s12613"/>
                </a:ext>
                <a:ext uri="{FF2B5EF4-FFF2-40B4-BE49-F238E27FC236}">
                  <a16:creationId xmlns:a16="http://schemas.microsoft.com/office/drawing/2014/main" id="{00000000-0008-0000-1B00-00004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14" name="Group Box 326" hidden="1">
              <a:extLst>
                <a:ext uri="{63B3BB69-23CF-44E3-9099-C40C66FF867C}">
                  <a14:compatExt spid="_x0000_s12614"/>
                </a:ext>
                <a:ext uri="{FF2B5EF4-FFF2-40B4-BE49-F238E27FC236}">
                  <a16:creationId xmlns:a16="http://schemas.microsoft.com/office/drawing/2014/main" id="{00000000-0008-0000-1B00-00004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15" name="Group Box 327" hidden="1">
              <a:extLst>
                <a:ext uri="{63B3BB69-23CF-44E3-9099-C40C66FF867C}">
                  <a14:compatExt spid="_x0000_s12615"/>
                </a:ext>
                <a:ext uri="{FF2B5EF4-FFF2-40B4-BE49-F238E27FC236}">
                  <a16:creationId xmlns:a16="http://schemas.microsoft.com/office/drawing/2014/main" id="{00000000-0008-0000-1B00-00004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16" name="Group Box 328" hidden="1">
              <a:extLst>
                <a:ext uri="{63B3BB69-23CF-44E3-9099-C40C66FF867C}">
                  <a14:compatExt spid="_x0000_s12616"/>
                </a:ext>
                <a:ext uri="{FF2B5EF4-FFF2-40B4-BE49-F238E27FC236}">
                  <a16:creationId xmlns:a16="http://schemas.microsoft.com/office/drawing/2014/main" id="{00000000-0008-0000-1B00-00004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17" name="Group Box 329" hidden="1">
              <a:extLst>
                <a:ext uri="{63B3BB69-23CF-44E3-9099-C40C66FF867C}">
                  <a14:compatExt spid="_x0000_s12617"/>
                </a:ext>
                <a:ext uri="{FF2B5EF4-FFF2-40B4-BE49-F238E27FC236}">
                  <a16:creationId xmlns:a16="http://schemas.microsoft.com/office/drawing/2014/main" id="{00000000-0008-0000-1B00-00004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18" name="Group Box 330" hidden="1">
              <a:extLst>
                <a:ext uri="{63B3BB69-23CF-44E3-9099-C40C66FF867C}">
                  <a14:compatExt spid="_x0000_s12618"/>
                </a:ext>
                <a:ext uri="{FF2B5EF4-FFF2-40B4-BE49-F238E27FC236}">
                  <a16:creationId xmlns:a16="http://schemas.microsoft.com/office/drawing/2014/main" id="{00000000-0008-0000-1B00-00004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19" name="Group Box 331" hidden="1">
              <a:extLst>
                <a:ext uri="{63B3BB69-23CF-44E3-9099-C40C66FF867C}">
                  <a14:compatExt spid="_x0000_s12619"/>
                </a:ext>
                <a:ext uri="{FF2B5EF4-FFF2-40B4-BE49-F238E27FC236}">
                  <a16:creationId xmlns:a16="http://schemas.microsoft.com/office/drawing/2014/main" id="{00000000-0008-0000-1B00-00004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20" name="Group Box 332" hidden="1">
              <a:extLst>
                <a:ext uri="{63B3BB69-23CF-44E3-9099-C40C66FF867C}">
                  <a14:compatExt spid="_x0000_s12620"/>
                </a:ext>
                <a:ext uri="{FF2B5EF4-FFF2-40B4-BE49-F238E27FC236}">
                  <a16:creationId xmlns:a16="http://schemas.microsoft.com/office/drawing/2014/main" id="{00000000-0008-0000-1B00-00004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21" name="Group Box 333" hidden="1">
              <a:extLst>
                <a:ext uri="{63B3BB69-23CF-44E3-9099-C40C66FF867C}">
                  <a14:compatExt spid="_x0000_s12621"/>
                </a:ext>
                <a:ext uri="{FF2B5EF4-FFF2-40B4-BE49-F238E27FC236}">
                  <a16:creationId xmlns:a16="http://schemas.microsoft.com/office/drawing/2014/main" id="{00000000-0008-0000-1B00-00004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22" name="Group Box 334" hidden="1">
              <a:extLst>
                <a:ext uri="{63B3BB69-23CF-44E3-9099-C40C66FF867C}">
                  <a14:compatExt spid="_x0000_s12622"/>
                </a:ext>
                <a:ext uri="{FF2B5EF4-FFF2-40B4-BE49-F238E27FC236}">
                  <a16:creationId xmlns:a16="http://schemas.microsoft.com/office/drawing/2014/main" id="{00000000-0008-0000-1B00-00004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23" name="Group Box 335" hidden="1">
              <a:extLst>
                <a:ext uri="{63B3BB69-23CF-44E3-9099-C40C66FF867C}">
                  <a14:compatExt spid="_x0000_s12623"/>
                </a:ext>
                <a:ext uri="{FF2B5EF4-FFF2-40B4-BE49-F238E27FC236}">
                  <a16:creationId xmlns:a16="http://schemas.microsoft.com/office/drawing/2014/main" id="{00000000-0008-0000-1B00-00004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24" name="Group Box 336" hidden="1">
              <a:extLst>
                <a:ext uri="{63B3BB69-23CF-44E3-9099-C40C66FF867C}">
                  <a14:compatExt spid="_x0000_s12624"/>
                </a:ext>
                <a:ext uri="{FF2B5EF4-FFF2-40B4-BE49-F238E27FC236}">
                  <a16:creationId xmlns:a16="http://schemas.microsoft.com/office/drawing/2014/main" id="{00000000-0008-0000-1B00-00005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25" name="Group Box 337" hidden="1">
              <a:extLst>
                <a:ext uri="{63B3BB69-23CF-44E3-9099-C40C66FF867C}">
                  <a14:compatExt spid="_x0000_s12625"/>
                </a:ext>
                <a:ext uri="{FF2B5EF4-FFF2-40B4-BE49-F238E27FC236}">
                  <a16:creationId xmlns:a16="http://schemas.microsoft.com/office/drawing/2014/main" id="{00000000-0008-0000-1B00-00005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53</xdr:row>
          <xdr:rowOff>0</xdr:rowOff>
        </xdr:from>
        <xdr:to>
          <xdr:col>6</xdr:col>
          <xdr:colOff>285750</xdr:colOff>
          <xdr:row>54</xdr:row>
          <xdr:rowOff>171450</xdr:rowOff>
        </xdr:to>
        <xdr:sp macro="" textlink="">
          <xdr:nvSpPr>
            <xdr:cNvPr id="12626" name="Group Box 338" hidden="1">
              <a:extLst>
                <a:ext uri="{63B3BB69-23CF-44E3-9099-C40C66FF867C}">
                  <a14:compatExt spid="_x0000_s12626"/>
                </a:ext>
                <a:ext uri="{FF2B5EF4-FFF2-40B4-BE49-F238E27FC236}">
                  <a16:creationId xmlns:a16="http://schemas.microsoft.com/office/drawing/2014/main" id="{00000000-0008-0000-1B00-00005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0</xdr:rowOff>
        </xdr:from>
        <xdr:to>
          <xdr:col>6</xdr:col>
          <xdr:colOff>266700</xdr:colOff>
          <xdr:row>55</xdr:row>
          <xdr:rowOff>0</xdr:rowOff>
        </xdr:to>
        <xdr:sp macro="" textlink="">
          <xdr:nvSpPr>
            <xdr:cNvPr id="12627" name="Group Box 339" hidden="1">
              <a:extLst>
                <a:ext uri="{63B3BB69-23CF-44E3-9099-C40C66FF867C}">
                  <a14:compatExt spid="_x0000_s12627"/>
                </a:ext>
                <a:ext uri="{FF2B5EF4-FFF2-40B4-BE49-F238E27FC236}">
                  <a16:creationId xmlns:a16="http://schemas.microsoft.com/office/drawing/2014/main" id="{00000000-0008-0000-1B00-00005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28" name="Group Box 340" hidden="1">
              <a:extLst>
                <a:ext uri="{63B3BB69-23CF-44E3-9099-C40C66FF867C}">
                  <a14:compatExt spid="_x0000_s12628"/>
                </a:ext>
                <a:ext uri="{FF2B5EF4-FFF2-40B4-BE49-F238E27FC236}">
                  <a16:creationId xmlns:a16="http://schemas.microsoft.com/office/drawing/2014/main" id="{00000000-0008-0000-1B00-00005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29" name="Group Box 341" hidden="1">
              <a:extLst>
                <a:ext uri="{63B3BB69-23CF-44E3-9099-C40C66FF867C}">
                  <a14:compatExt spid="_x0000_s12629"/>
                </a:ext>
                <a:ext uri="{FF2B5EF4-FFF2-40B4-BE49-F238E27FC236}">
                  <a16:creationId xmlns:a16="http://schemas.microsoft.com/office/drawing/2014/main" id="{00000000-0008-0000-1B00-00005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30" name="Group Box 342" hidden="1">
              <a:extLst>
                <a:ext uri="{63B3BB69-23CF-44E3-9099-C40C66FF867C}">
                  <a14:compatExt spid="_x0000_s12630"/>
                </a:ext>
                <a:ext uri="{FF2B5EF4-FFF2-40B4-BE49-F238E27FC236}">
                  <a16:creationId xmlns:a16="http://schemas.microsoft.com/office/drawing/2014/main" id="{00000000-0008-0000-1B00-00005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31" name="Group Box 343" hidden="1">
              <a:extLst>
                <a:ext uri="{63B3BB69-23CF-44E3-9099-C40C66FF867C}">
                  <a14:compatExt spid="_x0000_s12631"/>
                </a:ext>
                <a:ext uri="{FF2B5EF4-FFF2-40B4-BE49-F238E27FC236}">
                  <a16:creationId xmlns:a16="http://schemas.microsoft.com/office/drawing/2014/main" id="{00000000-0008-0000-1B00-00005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32" name="Group Box 344" hidden="1">
              <a:extLst>
                <a:ext uri="{63B3BB69-23CF-44E3-9099-C40C66FF867C}">
                  <a14:compatExt spid="_x0000_s12632"/>
                </a:ext>
                <a:ext uri="{FF2B5EF4-FFF2-40B4-BE49-F238E27FC236}">
                  <a16:creationId xmlns:a16="http://schemas.microsoft.com/office/drawing/2014/main" id="{00000000-0008-0000-1B00-00005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33" name="Group Box 345" hidden="1">
              <a:extLst>
                <a:ext uri="{63B3BB69-23CF-44E3-9099-C40C66FF867C}">
                  <a14:compatExt spid="_x0000_s12633"/>
                </a:ext>
                <a:ext uri="{FF2B5EF4-FFF2-40B4-BE49-F238E27FC236}">
                  <a16:creationId xmlns:a16="http://schemas.microsoft.com/office/drawing/2014/main" id="{00000000-0008-0000-1B00-00005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34" name="Group Box 346" hidden="1">
              <a:extLst>
                <a:ext uri="{63B3BB69-23CF-44E3-9099-C40C66FF867C}">
                  <a14:compatExt spid="_x0000_s12634"/>
                </a:ext>
                <a:ext uri="{FF2B5EF4-FFF2-40B4-BE49-F238E27FC236}">
                  <a16:creationId xmlns:a16="http://schemas.microsoft.com/office/drawing/2014/main" id="{00000000-0008-0000-1B00-00005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35" name="Group Box 347" hidden="1">
              <a:extLst>
                <a:ext uri="{63B3BB69-23CF-44E3-9099-C40C66FF867C}">
                  <a14:compatExt spid="_x0000_s12635"/>
                </a:ext>
                <a:ext uri="{FF2B5EF4-FFF2-40B4-BE49-F238E27FC236}">
                  <a16:creationId xmlns:a16="http://schemas.microsoft.com/office/drawing/2014/main" id="{00000000-0008-0000-1B00-00005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36" name="Group Box 348" hidden="1">
              <a:extLst>
                <a:ext uri="{63B3BB69-23CF-44E3-9099-C40C66FF867C}">
                  <a14:compatExt spid="_x0000_s12636"/>
                </a:ext>
                <a:ext uri="{FF2B5EF4-FFF2-40B4-BE49-F238E27FC236}">
                  <a16:creationId xmlns:a16="http://schemas.microsoft.com/office/drawing/2014/main" id="{00000000-0008-0000-1B00-00005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37" name="Group Box 349" hidden="1">
              <a:extLst>
                <a:ext uri="{63B3BB69-23CF-44E3-9099-C40C66FF867C}">
                  <a14:compatExt spid="_x0000_s12637"/>
                </a:ext>
                <a:ext uri="{FF2B5EF4-FFF2-40B4-BE49-F238E27FC236}">
                  <a16:creationId xmlns:a16="http://schemas.microsoft.com/office/drawing/2014/main" id="{00000000-0008-0000-1B00-00005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38" name="Group Box 350" hidden="1">
              <a:extLst>
                <a:ext uri="{63B3BB69-23CF-44E3-9099-C40C66FF867C}">
                  <a14:compatExt spid="_x0000_s12638"/>
                </a:ext>
                <a:ext uri="{FF2B5EF4-FFF2-40B4-BE49-F238E27FC236}">
                  <a16:creationId xmlns:a16="http://schemas.microsoft.com/office/drawing/2014/main" id="{00000000-0008-0000-1B00-00005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39" name="Group Box 351" hidden="1">
              <a:extLst>
                <a:ext uri="{63B3BB69-23CF-44E3-9099-C40C66FF867C}">
                  <a14:compatExt spid="_x0000_s12639"/>
                </a:ext>
                <a:ext uri="{FF2B5EF4-FFF2-40B4-BE49-F238E27FC236}">
                  <a16:creationId xmlns:a16="http://schemas.microsoft.com/office/drawing/2014/main" id="{00000000-0008-0000-1B00-00005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40" name="Group Box 352" hidden="1">
              <a:extLst>
                <a:ext uri="{63B3BB69-23CF-44E3-9099-C40C66FF867C}">
                  <a14:compatExt spid="_x0000_s12640"/>
                </a:ext>
                <a:ext uri="{FF2B5EF4-FFF2-40B4-BE49-F238E27FC236}">
                  <a16:creationId xmlns:a16="http://schemas.microsoft.com/office/drawing/2014/main" id="{00000000-0008-0000-1B00-00006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41" name="Group Box 353" hidden="1">
              <a:extLst>
                <a:ext uri="{63B3BB69-23CF-44E3-9099-C40C66FF867C}">
                  <a14:compatExt spid="_x0000_s12641"/>
                </a:ext>
                <a:ext uri="{FF2B5EF4-FFF2-40B4-BE49-F238E27FC236}">
                  <a16:creationId xmlns:a16="http://schemas.microsoft.com/office/drawing/2014/main" id="{00000000-0008-0000-1B00-00006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42" name="Group Box 354" hidden="1">
              <a:extLst>
                <a:ext uri="{63B3BB69-23CF-44E3-9099-C40C66FF867C}">
                  <a14:compatExt spid="_x0000_s12642"/>
                </a:ext>
                <a:ext uri="{FF2B5EF4-FFF2-40B4-BE49-F238E27FC236}">
                  <a16:creationId xmlns:a16="http://schemas.microsoft.com/office/drawing/2014/main" id="{00000000-0008-0000-1B00-00006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43" name="Group Box 355" hidden="1">
              <a:extLst>
                <a:ext uri="{63B3BB69-23CF-44E3-9099-C40C66FF867C}">
                  <a14:compatExt spid="_x0000_s12643"/>
                </a:ext>
                <a:ext uri="{FF2B5EF4-FFF2-40B4-BE49-F238E27FC236}">
                  <a16:creationId xmlns:a16="http://schemas.microsoft.com/office/drawing/2014/main" id="{00000000-0008-0000-1B00-00006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44" name="Group Box 356" hidden="1">
              <a:extLst>
                <a:ext uri="{63B3BB69-23CF-44E3-9099-C40C66FF867C}">
                  <a14:compatExt spid="_x0000_s12644"/>
                </a:ext>
                <a:ext uri="{FF2B5EF4-FFF2-40B4-BE49-F238E27FC236}">
                  <a16:creationId xmlns:a16="http://schemas.microsoft.com/office/drawing/2014/main" id="{00000000-0008-0000-1B00-00006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45" name="Group Box 357" hidden="1">
              <a:extLst>
                <a:ext uri="{63B3BB69-23CF-44E3-9099-C40C66FF867C}">
                  <a14:compatExt spid="_x0000_s12645"/>
                </a:ext>
                <a:ext uri="{FF2B5EF4-FFF2-40B4-BE49-F238E27FC236}">
                  <a16:creationId xmlns:a16="http://schemas.microsoft.com/office/drawing/2014/main" id="{00000000-0008-0000-1B00-00006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46" name="Group Box 358" hidden="1">
              <a:extLst>
                <a:ext uri="{63B3BB69-23CF-44E3-9099-C40C66FF867C}">
                  <a14:compatExt spid="_x0000_s12646"/>
                </a:ext>
                <a:ext uri="{FF2B5EF4-FFF2-40B4-BE49-F238E27FC236}">
                  <a16:creationId xmlns:a16="http://schemas.microsoft.com/office/drawing/2014/main" id="{00000000-0008-0000-1B00-00006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47" name="Group Box 359" hidden="1">
              <a:extLst>
                <a:ext uri="{63B3BB69-23CF-44E3-9099-C40C66FF867C}">
                  <a14:compatExt spid="_x0000_s12647"/>
                </a:ext>
                <a:ext uri="{FF2B5EF4-FFF2-40B4-BE49-F238E27FC236}">
                  <a16:creationId xmlns:a16="http://schemas.microsoft.com/office/drawing/2014/main" id="{00000000-0008-0000-1B00-00006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48" name="Group Box 360" hidden="1">
              <a:extLst>
                <a:ext uri="{63B3BB69-23CF-44E3-9099-C40C66FF867C}">
                  <a14:compatExt spid="_x0000_s12648"/>
                </a:ext>
                <a:ext uri="{FF2B5EF4-FFF2-40B4-BE49-F238E27FC236}">
                  <a16:creationId xmlns:a16="http://schemas.microsoft.com/office/drawing/2014/main" id="{00000000-0008-0000-1B00-00006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49" name="Group Box 361" hidden="1">
              <a:extLst>
                <a:ext uri="{63B3BB69-23CF-44E3-9099-C40C66FF867C}">
                  <a14:compatExt spid="_x0000_s12649"/>
                </a:ext>
                <a:ext uri="{FF2B5EF4-FFF2-40B4-BE49-F238E27FC236}">
                  <a16:creationId xmlns:a16="http://schemas.microsoft.com/office/drawing/2014/main" id="{00000000-0008-0000-1B00-00006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50" name="Group Box 362" hidden="1">
              <a:extLst>
                <a:ext uri="{63B3BB69-23CF-44E3-9099-C40C66FF867C}">
                  <a14:compatExt spid="_x0000_s12650"/>
                </a:ext>
                <a:ext uri="{FF2B5EF4-FFF2-40B4-BE49-F238E27FC236}">
                  <a16:creationId xmlns:a16="http://schemas.microsoft.com/office/drawing/2014/main" id="{00000000-0008-0000-1B00-00006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51" name="Group Box 363" hidden="1">
              <a:extLst>
                <a:ext uri="{63B3BB69-23CF-44E3-9099-C40C66FF867C}">
                  <a14:compatExt spid="_x0000_s12651"/>
                </a:ext>
                <a:ext uri="{FF2B5EF4-FFF2-40B4-BE49-F238E27FC236}">
                  <a16:creationId xmlns:a16="http://schemas.microsoft.com/office/drawing/2014/main" id="{00000000-0008-0000-1B00-00006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52" name="Group Box 364" hidden="1">
              <a:extLst>
                <a:ext uri="{63B3BB69-23CF-44E3-9099-C40C66FF867C}">
                  <a14:compatExt spid="_x0000_s12652"/>
                </a:ext>
                <a:ext uri="{FF2B5EF4-FFF2-40B4-BE49-F238E27FC236}">
                  <a16:creationId xmlns:a16="http://schemas.microsoft.com/office/drawing/2014/main" id="{00000000-0008-0000-1B00-00006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53" name="Group Box 365" hidden="1">
              <a:extLst>
                <a:ext uri="{63B3BB69-23CF-44E3-9099-C40C66FF867C}">
                  <a14:compatExt spid="_x0000_s12653"/>
                </a:ext>
                <a:ext uri="{FF2B5EF4-FFF2-40B4-BE49-F238E27FC236}">
                  <a16:creationId xmlns:a16="http://schemas.microsoft.com/office/drawing/2014/main" id="{00000000-0008-0000-1B00-00006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54" name="Group Box 366" hidden="1">
              <a:extLst>
                <a:ext uri="{63B3BB69-23CF-44E3-9099-C40C66FF867C}">
                  <a14:compatExt spid="_x0000_s12654"/>
                </a:ext>
                <a:ext uri="{FF2B5EF4-FFF2-40B4-BE49-F238E27FC236}">
                  <a16:creationId xmlns:a16="http://schemas.microsoft.com/office/drawing/2014/main" id="{00000000-0008-0000-1B00-00006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55" name="Group Box 367" hidden="1">
              <a:extLst>
                <a:ext uri="{63B3BB69-23CF-44E3-9099-C40C66FF867C}">
                  <a14:compatExt spid="_x0000_s12655"/>
                </a:ext>
                <a:ext uri="{FF2B5EF4-FFF2-40B4-BE49-F238E27FC236}">
                  <a16:creationId xmlns:a16="http://schemas.microsoft.com/office/drawing/2014/main" id="{00000000-0008-0000-1B00-00006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54</xdr:row>
          <xdr:rowOff>0</xdr:rowOff>
        </xdr:from>
        <xdr:to>
          <xdr:col>6</xdr:col>
          <xdr:colOff>285750</xdr:colOff>
          <xdr:row>55</xdr:row>
          <xdr:rowOff>171450</xdr:rowOff>
        </xdr:to>
        <xdr:sp macro="" textlink="">
          <xdr:nvSpPr>
            <xdr:cNvPr id="12656" name="Group Box 368" hidden="1">
              <a:extLst>
                <a:ext uri="{63B3BB69-23CF-44E3-9099-C40C66FF867C}">
                  <a14:compatExt spid="_x0000_s12656"/>
                </a:ext>
                <a:ext uri="{FF2B5EF4-FFF2-40B4-BE49-F238E27FC236}">
                  <a16:creationId xmlns:a16="http://schemas.microsoft.com/office/drawing/2014/main" id="{00000000-0008-0000-1B00-00007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0</xdr:rowOff>
        </xdr:from>
        <xdr:to>
          <xdr:col>6</xdr:col>
          <xdr:colOff>266700</xdr:colOff>
          <xdr:row>56</xdr:row>
          <xdr:rowOff>0</xdr:rowOff>
        </xdr:to>
        <xdr:sp macro="" textlink="">
          <xdr:nvSpPr>
            <xdr:cNvPr id="12657" name="Group Box 369" hidden="1">
              <a:extLst>
                <a:ext uri="{63B3BB69-23CF-44E3-9099-C40C66FF867C}">
                  <a14:compatExt spid="_x0000_s12657"/>
                </a:ext>
                <a:ext uri="{FF2B5EF4-FFF2-40B4-BE49-F238E27FC236}">
                  <a16:creationId xmlns:a16="http://schemas.microsoft.com/office/drawing/2014/main" id="{00000000-0008-0000-1B00-00007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58" name="Group Box 370" hidden="1">
              <a:extLst>
                <a:ext uri="{63B3BB69-23CF-44E3-9099-C40C66FF867C}">
                  <a14:compatExt spid="_x0000_s12658"/>
                </a:ext>
                <a:ext uri="{FF2B5EF4-FFF2-40B4-BE49-F238E27FC236}">
                  <a16:creationId xmlns:a16="http://schemas.microsoft.com/office/drawing/2014/main" id="{00000000-0008-0000-1B00-00007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59" name="Group Box 371" hidden="1">
              <a:extLst>
                <a:ext uri="{63B3BB69-23CF-44E3-9099-C40C66FF867C}">
                  <a14:compatExt spid="_x0000_s12659"/>
                </a:ext>
                <a:ext uri="{FF2B5EF4-FFF2-40B4-BE49-F238E27FC236}">
                  <a16:creationId xmlns:a16="http://schemas.microsoft.com/office/drawing/2014/main" id="{00000000-0008-0000-1B00-00007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60" name="Group Box 372" hidden="1">
              <a:extLst>
                <a:ext uri="{63B3BB69-23CF-44E3-9099-C40C66FF867C}">
                  <a14:compatExt spid="_x0000_s12660"/>
                </a:ext>
                <a:ext uri="{FF2B5EF4-FFF2-40B4-BE49-F238E27FC236}">
                  <a16:creationId xmlns:a16="http://schemas.microsoft.com/office/drawing/2014/main" id="{00000000-0008-0000-1B00-00007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61" name="Group Box 373" hidden="1">
              <a:extLst>
                <a:ext uri="{63B3BB69-23CF-44E3-9099-C40C66FF867C}">
                  <a14:compatExt spid="_x0000_s12661"/>
                </a:ext>
                <a:ext uri="{FF2B5EF4-FFF2-40B4-BE49-F238E27FC236}">
                  <a16:creationId xmlns:a16="http://schemas.microsoft.com/office/drawing/2014/main" id="{00000000-0008-0000-1B00-00007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62" name="Group Box 374" hidden="1">
              <a:extLst>
                <a:ext uri="{63B3BB69-23CF-44E3-9099-C40C66FF867C}">
                  <a14:compatExt spid="_x0000_s12662"/>
                </a:ext>
                <a:ext uri="{FF2B5EF4-FFF2-40B4-BE49-F238E27FC236}">
                  <a16:creationId xmlns:a16="http://schemas.microsoft.com/office/drawing/2014/main" id="{00000000-0008-0000-1B00-00007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63" name="Group Box 375" hidden="1">
              <a:extLst>
                <a:ext uri="{63B3BB69-23CF-44E3-9099-C40C66FF867C}">
                  <a14:compatExt spid="_x0000_s12663"/>
                </a:ext>
                <a:ext uri="{FF2B5EF4-FFF2-40B4-BE49-F238E27FC236}">
                  <a16:creationId xmlns:a16="http://schemas.microsoft.com/office/drawing/2014/main" id="{00000000-0008-0000-1B00-00007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64" name="Group Box 376" hidden="1">
              <a:extLst>
                <a:ext uri="{63B3BB69-23CF-44E3-9099-C40C66FF867C}">
                  <a14:compatExt spid="_x0000_s12664"/>
                </a:ext>
                <a:ext uri="{FF2B5EF4-FFF2-40B4-BE49-F238E27FC236}">
                  <a16:creationId xmlns:a16="http://schemas.microsoft.com/office/drawing/2014/main" id="{00000000-0008-0000-1B00-00007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65" name="Group Box 377" hidden="1">
              <a:extLst>
                <a:ext uri="{63B3BB69-23CF-44E3-9099-C40C66FF867C}">
                  <a14:compatExt spid="_x0000_s12665"/>
                </a:ext>
                <a:ext uri="{FF2B5EF4-FFF2-40B4-BE49-F238E27FC236}">
                  <a16:creationId xmlns:a16="http://schemas.microsoft.com/office/drawing/2014/main" id="{00000000-0008-0000-1B00-00007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66" name="Group Box 378" hidden="1">
              <a:extLst>
                <a:ext uri="{63B3BB69-23CF-44E3-9099-C40C66FF867C}">
                  <a14:compatExt spid="_x0000_s12666"/>
                </a:ext>
                <a:ext uri="{FF2B5EF4-FFF2-40B4-BE49-F238E27FC236}">
                  <a16:creationId xmlns:a16="http://schemas.microsoft.com/office/drawing/2014/main" id="{00000000-0008-0000-1B00-00007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67" name="Group Box 379" hidden="1">
              <a:extLst>
                <a:ext uri="{63B3BB69-23CF-44E3-9099-C40C66FF867C}">
                  <a14:compatExt spid="_x0000_s12667"/>
                </a:ext>
                <a:ext uri="{FF2B5EF4-FFF2-40B4-BE49-F238E27FC236}">
                  <a16:creationId xmlns:a16="http://schemas.microsoft.com/office/drawing/2014/main" id="{00000000-0008-0000-1B00-00007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68" name="Group Box 380" hidden="1">
              <a:extLst>
                <a:ext uri="{63B3BB69-23CF-44E3-9099-C40C66FF867C}">
                  <a14:compatExt spid="_x0000_s12668"/>
                </a:ext>
                <a:ext uri="{FF2B5EF4-FFF2-40B4-BE49-F238E27FC236}">
                  <a16:creationId xmlns:a16="http://schemas.microsoft.com/office/drawing/2014/main" id="{00000000-0008-0000-1B00-00007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69" name="Group Box 381" hidden="1">
              <a:extLst>
                <a:ext uri="{63B3BB69-23CF-44E3-9099-C40C66FF867C}">
                  <a14:compatExt spid="_x0000_s12669"/>
                </a:ext>
                <a:ext uri="{FF2B5EF4-FFF2-40B4-BE49-F238E27FC236}">
                  <a16:creationId xmlns:a16="http://schemas.microsoft.com/office/drawing/2014/main" id="{00000000-0008-0000-1B00-00007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70" name="Group Box 382" hidden="1">
              <a:extLst>
                <a:ext uri="{63B3BB69-23CF-44E3-9099-C40C66FF867C}">
                  <a14:compatExt spid="_x0000_s12670"/>
                </a:ext>
                <a:ext uri="{FF2B5EF4-FFF2-40B4-BE49-F238E27FC236}">
                  <a16:creationId xmlns:a16="http://schemas.microsoft.com/office/drawing/2014/main" id="{00000000-0008-0000-1B00-00007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71" name="Group Box 383" hidden="1">
              <a:extLst>
                <a:ext uri="{63B3BB69-23CF-44E3-9099-C40C66FF867C}">
                  <a14:compatExt spid="_x0000_s12671"/>
                </a:ext>
                <a:ext uri="{FF2B5EF4-FFF2-40B4-BE49-F238E27FC236}">
                  <a16:creationId xmlns:a16="http://schemas.microsoft.com/office/drawing/2014/main" id="{00000000-0008-0000-1B00-00007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72" name="Group Box 384" hidden="1">
              <a:extLst>
                <a:ext uri="{63B3BB69-23CF-44E3-9099-C40C66FF867C}">
                  <a14:compatExt spid="_x0000_s12672"/>
                </a:ext>
                <a:ext uri="{FF2B5EF4-FFF2-40B4-BE49-F238E27FC236}">
                  <a16:creationId xmlns:a16="http://schemas.microsoft.com/office/drawing/2014/main" id="{00000000-0008-0000-1B00-000080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73" name="Group Box 385" hidden="1">
              <a:extLst>
                <a:ext uri="{63B3BB69-23CF-44E3-9099-C40C66FF867C}">
                  <a14:compatExt spid="_x0000_s12673"/>
                </a:ext>
                <a:ext uri="{FF2B5EF4-FFF2-40B4-BE49-F238E27FC236}">
                  <a16:creationId xmlns:a16="http://schemas.microsoft.com/office/drawing/2014/main" id="{00000000-0008-0000-1B00-000081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74" name="Group Box 386" hidden="1">
              <a:extLst>
                <a:ext uri="{63B3BB69-23CF-44E3-9099-C40C66FF867C}">
                  <a14:compatExt spid="_x0000_s12674"/>
                </a:ext>
                <a:ext uri="{FF2B5EF4-FFF2-40B4-BE49-F238E27FC236}">
                  <a16:creationId xmlns:a16="http://schemas.microsoft.com/office/drawing/2014/main" id="{00000000-0008-0000-1B00-000082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75" name="Group Box 387" hidden="1">
              <a:extLst>
                <a:ext uri="{63B3BB69-23CF-44E3-9099-C40C66FF867C}">
                  <a14:compatExt spid="_x0000_s12675"/>
                </a:ext>
                <a:ext uri="{FF2B5EF4-FFF2-40B4-BE49-F238E27FC236}">
                  <a16:creationId xmlns:a16="http://schemas.microsoft.com/office/drawing/2014/main" id="{00000000-0008-0000-1B00-00008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76" name="Group Box 388" hidden="1">
              <a:extLst>
                <a:ext uri="{63B3BB69-23CF-44E3-9099-C40C66FF867C}">
                  <a14:compatExt spid="_x0000_s12676"/>
                </a:ext>
                <a:ext uri="{FF2B5EF4-FFF2-40B4-BE49-F238E27FC236}">
                  <a16:creationId xmlns:a16="http://schemas.microsoft.com/office/drawing/2014/main" id="{00000000-0008-0000-1B00-000084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77" name="Group Box 389" hidden="1">
              <a:extLst>
                <a:ext uri="{63B3BB69-23CF-44E3-9099-C40C66FF867C}">
                  <a14:compatExt spid="_x0000_s12677"/>
                </a:ext>
                <a:ext uri="{FF2B5EF4-FFF2-40B4-BE49-F238E27FC236}">
                  <a16:creationId xmlns:a16="http://schemas.microsoft.com/office/drawing/2014/main" id="{00000000-0008-0000-1B00-000085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78" name="Group Box 390" hidden="1">
              <a:extLst>
                <a:ext uri="{63B3BB69-23CF-44E3-9099-C40C66FF867C}">
                  <a14:compatExt spid="_x0000_s12678"/>
                </a:ext>
                <a:ext uri="{FF2B5EF4-FFF2-40B4-BE49-F238E27FC236}">
                  <a16:creationId xmlns:a16="http://schemas.microsoft.com/office/drawing/2014/main" id="{00000000-0008-0000-1B00-00008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79" name="Group Box 391" hidden="1">
              <a:extLst>
                <a:ext uri="{63B3BB69-23CF-44E3-9099-C40C66FF867C}">
                  <a14:compatExt spid="_x0000_s12679"/>
                </a:ext>
                <a:ext uri="{FF2B5EF4-FFF2-40B4-BE49-F238E27FC236}">
                  <a16:creationId xmlns:a16="http://schemas.microsoft.com/office/drawing/2014/main" id="{00000000-0008-0000-1B00-000087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80" name="Group Box 392" hidden="1">
              <a:extLst>
                <a:ext uri="{63B3BB69-23CF-44E3-9099-C40C66FF867C}">
                  <a14:compatExt spid="_x0000_s12680"/>
                </a:ext>
                <a:ext uri="{FF2B5EF4-FFF2-40B4-BE49-F238E27FC236}">
                  <a16:creationId xmlns:a16="http://schemas.microsoft.com/office/drawing/2014/main" id="{00000000-0008-0000-1B00-00008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81" name="Group Box 393" hidden="1">
              <a:extLst>
                <a:ext uri="{63B3BB69-23CF-44E3-9099-C40C66FF867C}">
                  <a14:compatExt spid="_x0000_s12681"/>
                </a:ext>
                <a:ext uri="{FF2B5EF4-FFF2-40B4-BE49-F238E27FC236}">
                  <a16:creationId xmlns:a16="http://schemas.microsoft.com/office/drawing/2014/main" id="{00000000-0008-0000-1B00-000089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82" name="Group Box 394" hidden="1">
              <a:extLst>
                <a:ext uri="{63B3BB69-23CF-44E3-9099-C40C66FF867C}">
                  <a14:compatExt spid="_x0000_s12682"/>
                </a:ext>
                <a:ext uri="{FF2B5EF4-FFF2-40B4-BE49-F238E27FC236}">
                  <a16:creationId xmlns:a16="http://schemas.microsoft.com/office/drawing/2014/main" id="{00000000-0008-0000-1B00-00008A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83" name="Group Box 395" hidden="1">
              <a:extLst>
                <a:ext uri="{63B3BB69-23CF-44E3-9099-C40C66FF867C}">
                  <a14:compatExt spid="_x0000_s12683"/>
                </a:ext>
                <a:ext uri="{FF2B5EF4-FFF2-40B4-BE49-F238E27FC236}">
                  <a16:creationId xmlns:a16="http://schemas.microsoft.com/office/drawing/2014/main" id="{00000000-0008-0000-1B00-00008B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84" name="Group Box 396" hidden="1">
              <a:extLst>
                <a:ext uri="{63B3BB69-23CF-44E3-9099-C40C66FF867C}">
                  <a14:compatExt spid="_x0000_s12684"/>
                </a:ext>
                <a:ext uri="{FF2B5EF4-FFF2-40B4-BE49-F238E27FC236}">
                  <a16:creationId xmlns:a16="http://schemas.microsoft.com/office/drawing/2014/main" id="{00000000-0008-0000-1B00-00008C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85" name="Group Box 397" hidden="1">
              <a:extLst>
                <a:ext uri="{63B3BB69-23CF-44E3-9099-C40C66FF867C}">
                  <a14:compatExt spid="_x0000_s12685"/>
                </a:ext>
                <a:ext uri="{FF2B5EF4-FFF2-40B4-BE49-F238E27FC236}">
                  <a16:creationId xmlns:a16="http://schemas.microsoft.com/office/drawing/2014/main" id="{00000000-0008-0000-1B00-00008D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55</xdr:row>
          <xdr:rowOff>0</xdr:rowOff>
        </xdr:from>
        <xdr:to>
          <xdr:col>6</xdr:col>
          <xdr:colOff>285750</xdr:colOff>
          <xdr:row>56</xdr:row>
          <xdr:rowOff>171450</xdr:rowOff>
        </xdr:to>
        <xdr:sp macro="" textlink="">
          <xdr:nvSpPr>
            <xdr:cNvPr id="12686" name="Group Box 398" hidden="1">
              <a:extLst>
                <a:ext uri="{63B3BB69-23CF-44E3-9099-C40C66FF867C}">
                  <a14:compatExt spid="_x0000_s12686"/>
                </a:ext>
                <a:ext uri="{FF2B5EF4-FFF2-40B4-BE49-F238E27FC236}">
                  <a16:creationId xmlns:a16="http://schemas.microsoft.com/office/drawing/2014/main" id="{00000000-0008-0000-1B00-00008E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0</xdr:rowOff>
        </xdr:from>
        <xdr:to>
          <xdr:col>6</xdr:col>
          <xdr:colOff>266700</xdr:colOff>
          <xdr:row>57</xdr:row>
          <xdr:rowOff>0</xdr:rowOff>
        </xdr:to>
        <xdr:sp macro="" textlink="">
          <xdr:nvSpPr>
            <xdr:cNvPr id="12687" name="Group Box 399" hidden="1">
              <a:extLst>
                <a:ext uri="{63B3BB69-23CF-44E3-9099-C40C66FF867C}">
                  <a14:compatExt spid="_x0000_s12687"/>
                </a:ext>
                <a:ext uri="{FF2B5EF4-FFF2-40B4-BE49-F238E27FC236}">
                  <a16:creationId xmlns:a16="http://schemas.microsoft.com/office/drawing/2014/main" id="{00000000-0008-0000-1B00-00008F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Casella di gruppo 5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nicheam-my.sharepoint.com/personal/andrea_andreis_nicheam_com/Documents/Fund%20Management/_EMN%20Investment%20Management%20System/Old/EMN_IMS%20Bloomberg.xlsm#BgEIDA4ADAMGBAcBBAQECw=362.0" TargetMode="External"/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Andreis" refreshedDate="43628.447820023146" createdVersion="6" refreshedVersion="6" minRefreshableVersion="3" recordCount="373" xr:uid="{740ACD3B-AA6F-4F79-A94E-D42E37BEA63D}">
  <cacheSource type="worksheet">
    <worksheetSource ref="A10:U382" sheet="TradesEquity" r:id="rId2"/>
  </cacheSource>
  <cacheFields count="23">
    <cacheField name="Imput date" numFmtId="14">
      <sharedItems containsSemiMixedTypes="0" containsNonDate="0" containsDate="1" containsString="0" minDate="2019-02-15T00:00:00" maxDate="2019-06-11T00:00:00"/>
    </cacheField>
    <cacheField name="Type of trade" numFmtId="0">
      <sharedItems/>
    </cacheField>
    <cacheField name="check in?" numFmtId="2">
      <sharedItems containsBlank="1"/>
    </cacheField>
    <cacheField name="isin" numFmtId="2">
      <sharedItems/>
    </cacheField>
    <cacheField name="Already in?" numFmtId="176">
      <sharedItems/>
    </cacheField>
    <cacheField name="Ticker" numFmtId="0">
      <sharedItems/>
    </cacheField>
    <cacheField name="x" numFmtId="176">
      <sharedItems containsNonDate="0" containsString="0" containsBlank="1"/>
    </cacheField>
    <cacheField name="Stock" numFmtId="176">
      <sharedItems/>
    </cacheField>
    <cacheField name="CRNCY" numFmtId="176">
      <sharedItems count="11">
        <s v="JPY"/>
        <s v="AUD"/>
        <s v="HKD"/>
        <s v="KRW"/>
        <s v="IDR"/>
        <s v="EUR"/>
        <s v="GBp"/>
        <s v="SEK"/>
        <s v="USD"/>
        <s v="CAD"/>
        <s v="NOK"/>
      </sharedItems>
    </cacheField>
    <cacheField name="Price Local" numFmtId="2">
      <sharedItems containsSemiMixedTypes="0" containsString="0" containsNumber="1" minValue="3.27E-2" maxValue="274000"/>
    </cacheField>
    <cacheField name="Gbp" numFmtId="2">
      <sharedItems containsString="0" containsBlank="1" containsNumber="1" minValue="3.2699999999999998E-4" maxValue="274000"/>
    </cacheField>
    <cacheField name="Q" numFmtId="0">
      <sharedItems containsString="0" containsBlank="1" containsNumber="1" containsInteger="1" minValue="-4200" maxValue="1700000"/>
    </cacheField>
    <cacheField name="Cash-out pre comm." numFmtId="172">
      <sharedItems containsSemiMixedTypes="0" containsString="0" containsNumber="1" minValue="-483584040.00000006" maxValue="7480000"/>
    </cacheField>
    <cacheField name="Commission" numFmtId="0">
      <sharedItems containsString="0" containsBlank="1" containsNumber="1" minValue="-725376" maxValue="2099"/>
    </cacheField>
    <cacheField name="Other Fees" numFmtId="177">
      <sharedItems containsString="0" containsBlank="1" containsNumber="1" minValue="-215279" maxValue="0"/>
    </cacheField>
    <cacheField name="Stamp Duty / Tobin tax" numFmtId="177">
      <sharedItems containsString="0" containsBlank="1" containsNumber="1" minValue="-48358" maxValue="0"/>
    </cacheField>
    <cacheField name="Total Cash-out Local" numFmtId="172">
      <sharedItems containsString="0" containsBlank="1" containsNumber="1" minValue="-484565715.00000006" maxValue="7480000"/>
    </cacheField>
    <cacheField name="FX trade" numFmtId="0">
      <sharedItems containsString="0" containsBlank="1" containsNumber="1" minValue="0.84913929784824116" maxValue="15986.074413435652"/>
    </cacheField>
    <cacheField name="Total Cash-out Euro" numFmtId="0">
      <sharedItems containsString="0" containsBlank="1" containsNumber="1" minValue="-40032.247454273209" maxValue="61478.082065467999"/>
    </cacheField>
    <cacheField name="Settlement date" numFmtId="180">
      <sharedItems containsNonDate="0" containsDate="1" containsString="0" containsBlank="1" minDate="1899-12-30T00:00:00" maxDate="2019-06-14T00:00:00" count="56">
        <d v="2019-02-21T00:00:00"/>
        <d v="2019-02-20T00:00:00"/>
        <d v="2019-02-25T00:00:00"/>
        <d v="2019-02-22T00:00:00"/>
        <d v="2019-02-23T00:00:00"/>
        <d v="2019-02-26T00:00:00"/>
        <d v="2019-02-27T00:00:00"/>
        <d v="2019-02-28T00:00:00"/>
        <d v="2019-03-01T00:00:00"/>
        <d v="2019-03-02T00:00:00"/>
        <d v="2019-03-04T00:00:00"/>
        <d v="2019-03-06T00:00:00"/>
        <d v="2019-03-07T00:00:00"/>
        <d v="2019-03-08T00:00:00"/>
        <d v="2019-03-09T00:00:00"/>
        <d v="2019-03-12T00:00:00"/>
        <d v="2019-03-14T00:00:00"/>
        <d v="2019-03-13T00:00:00"/>
        <d v="2019-03-18T00:00:00"/>
        <d v="2019-03-19T00:00:00"/>
        <d v="2019-03-20T00:00:00"/>
        <d v="2019-03-21T00:00:00"/>
        <d v="2019-03-23T00:00:00"/>
        <d v="2019-03-22T00:00:00"/>
        <d v="2019-03-25T00:00:00"/>
        <d v="2019-03-27T00:00:00"/>
        <d v="2019-03-26T00:00:00"/>
        <d v="2019-03-28T00:00:00"/>
        <d v="2019-03-29T00:00:00"/>
        <d v="2019-04-02T00:00:00"/>
        <d v="2019-04-01T00:00:00"/>
        <d v="2019-04-03T00:00:00"/>
        <d v="2019-04-05T00:00:00"/>
        <d v="2019-04-04T00:00:00"/>
        <d v="2019-04-12T00:00:00"/>
        <d v="2019-04-16T00:00:00"/>
        <d v="2019-04-18T00:00:00"/>
        <d v="2019-04-17T00:00:00"/>
        <d v="2019-04-22T00:00:00"/>
        <d v="2019-04-23T00:00:00"/>
        <d v="2019-04-24T00:00:00"/>
        <d v="2019-05-09T00:00:00"/>
        <d v="2019-05-15T00:00:00"/>
        <d v="2019-05-17T00:00:00"/>
        <d v="2019-05-16T00:00:00"/>
        <m/>
        <d v="2019-05-18T00:00:00"/>
        <d v="2019-05-23T00:00:00"/>
        <d v="2019-05-24T00:00:00"/>
        <d v="2019-05-28T00:00:00"/>
        <d v="1899-12-30T00:00:00"/>
        <d v="2019-05-29T00:00:00"/>
        <d v="2019-06-03T00:00:00"/>
        <d v="1900-01-11T00:00:00"/>
        <d v="2019-06-11T00:00:00"/>
        <d v="2019-06-13T00:00:00"/>
      </sharedItems>
      <fieldGroup par="22" base="19">
        <rangePr groupBy="months" startDate="1899-12-30T00:00:00" endDate="2019-06-14T00:00:00"/>
        <groupItems count="14">
          <s v="(vuoto)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14/06/2019"/>
        </groupItems>
      </fieldGroup>
    </cacheField>
    <cacheField name="Broker" numFmtId="176">
      <sharedItems containsBlank="1"/>
    </cacheField>
    <cacheField name="Trimestri" numFmtId="0" databaseField="0">
      <fieldGroup base="19">
        <rangePr groupBy="quarters" startDate="1899-12-30T00:00:00" endDate="2019-06-14T00:00:00"/>
        <groupItems count="6">
          <s v="&lt;00/01/1900"/>
          <s v="Trim1"/>
          <s v="Trim2"/>
          <s v="Trim3"/>
          <s v="Trim4"/>
          <s v="&gt;14/06/2019"/>
        </groupItems>
      </fieldGroup>
    </cacheField>
    <cacheField name="Anni" numFmtId="0" databaseField="0">
      <fieldGroup base="19">
        <rangePr groupBy="years" startDate="1899-12-30T00:00:00" endDate="2019-06-14T00:00:00"/>
        <groupItems count="122">
          <s v="&lt;00/01/1900"/>
          <s v="1900"/>
          <s v="1901"/>
          <s v="1902"/>
          <s v="1903"/>
          <s v="1904"/>
          <s v="1905"/>
          <s v="1906"/>
          <s v="1907"/>
          <s v="1908"/>
          <s v="1909"/>
          <s v="1910"/>
          <s v="1911"/>
          <s v="1912"/>
          <s v="1913"/>
          <s v="1914"/>
          <s v="1915"/>
          <s v="1916"/>
          <s v="1917"/>
          <s v="1918"/>
          <s v="1919"/>
          <s v="1920"/>
          <s v="1921"/>
          <s v="1922"/>
          <s v="1923"/>
          <s v="1924"/>
          <s v="1925"/>
          <s v="1926"/>
          <s v="1927"/>
          <s v="1928"/>
          <s v="1929"/>
          <s v="1930"/>
          <s v="1931"/>
          <s v="1932"/>
          <s v="1933"/>
          <s v="1934"/>
          <s v="1935"/>
          <s v="1936"/>
          <s v="1937"/>
          <s v="1938"/>
          <s v="1939"/>
          <s v="1940"/>
          <s v="1941"/>
          <s v="1942"/>
          <s v="1943"/>
          <s v="1944"/>
          <s v="1945"/>
          <s v="1946"/>
          <s v="1947"/>
          <s v="1948"/>
          <s v="1949"/>
          <s v="1950"/>
          <s v="1951"/>
          <s v="1952"/>
          <s v="1953"/>
          <s v="1954"/>
          <s v="1955"/>
          <s v="1956"/>
          <s v="1957"/>
          <s v="1958"/>
          <s v="1959"/>
          <s v="1960"/>
          <s v="1961"/>
          <s v="1962"/>
          <s v="1963"/>
          <s v="1964"/>
          <s v="1965"/>
          <s v="1966"/>
          <s v="1967"/>
          <s v="1968"/>
          <s v="1969"/>
          <s v="1970"/>
          <s v="1971"/>
          <s v="1972"/>
          <s v="1973"/>
          <s v="1974"/>
          <s v="1975"/>
          <s v="1976"/>
          <s v="1977"/>
          <s v="1978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14/06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Andreis" refreshedDate="43655.706105671299" createdVersion="6" refreshedVersion="6" minRefreshableVersion="3" recordCount="592" xr:uid="{64DCC612-8187-437F-92F1-7CA540D5C2DB}">
  <cacheSource type="worksheet">
    <worksheetSource ref="A10:V602" sheet="TradesEquity" r:id="rId2"/>
  </cacheSource>
  <cacheFields count="22">
    <cacheField name="Imput date" numFmtId="0">
      <sharedItems containsNonDate="0" containsDate="1" containsString="0" containsBlank="1" minDate="2019-02-15T00:00:00" maxDate="2019-07-04T00:00:00"/>
    </cacheField>
    <cacheField name="Type of trade" numFmtId="0">
      <sharedItems containsBlank="1"/>
    </cacheField>
    <cacheField name="check in?" numFmtId="0">
      <sharedItems containsBlank="1"/>
    </cacheField>
    <cacheField name="isin" numFmtId="0">
      <sharedItems containsBlank="1"/>
    </cacheField>
    <cacheField name="Already in?" numFmtId="0">
      <sharedItems containsBlank="1"/>
    </cacheField>
    <cacheField name="Ticker" numFmtId="0">
      <sharedItems containsBlank="1"/>
    </cacheField>
    <cacheField name="x" numFmtId="0">
      <sharedItems containsNonDate="0" containsString="0" containsBlank="1"/>
    </cacheField>
    <cacheField name="Stock" numFmtId="0">
      <sharedItems containsBlank="1"/>
    </cacheField>
    <cacheField name="CRNCY" numFmtId="0">
      <sharedItems containsBlank="1"/>
    </cacheField>
    <cacheField name="Price Local" numFmtId="0">
      <sharedItems containsString="0" containsBlank="1" containsNumber="1" minValue="3.27E-2" maxValue="274000"/>
    </cacheField>
    <cacheField name="Gbp" numFmtId="0">
      <sharedItems containsString="0" containsBlank="1" containsNumber="1" minValue="3.2699999999999998E-4" maxValue="274000"/>
    </cacheField>
    <cacheField name="Q" numFmtId="0">
      <sharedItems containsString="0" containsBlank="1" containsNumber="1" containsInteger="1" minValue="-14520" maxValue="1700000"/>
    </cacheField>
    <cacheField name="Cash-out pre comm." numFmtId="0">
      <sharedItems containsString="0" containsBlank="1" containsNumber="1" minValue="-565507504" maxValue="52531850.030000001"/>
    </cacheField>
    <cacheField name="Commission" numFmtId="0">
      <sharedItems containsString="0" containsBlank="1" containsNumber="1" minValue="-725376" maxValue="2099"/>
    </cacheField>
    <cacheField name="Other Fees" numFmtId="0">
      <sharedItems containsString="0" containsBlank="1" containsNumber="1" minValue="-243168" maxValue="0"/>
    </cacheField>
    <cacheField name="Stamp Duty / Tobin tax" numFmtId="0">
      <sharedItems containsString="0" containsBlank="1" containsNumber="1" minValue="-48358" maxValue="0"/>
    </cacheField>
    <cacheField name="Total Cash-out Local" numFmtId="0">
      <sharedItems containsString="0" containsBlank="1" containsNumber="1" minValue="-565750672" maxValue="52453052.030000001"/>
    </cacheField>
    <cacheField name="FX trade" numFmtId="0">
      <sharedItems containsString="0" containsBlank="1" containsNumber="1" minValue="0.84913929784824116" maxValue="16108.49646454309"/>
    </cacheField>
    <cacheField name="Total Cash-out Euro" numFmtId="0">
      <sharedItems containsString="0" containsBlank="1" containsNumber="1" minValue="-1422837.8112538173" maxValue="69893.512931034405"/>
    </cacheField>
    <cacheField name="Settlement date" numFmtId="0">
      <sharedItems containsNonDate="0" containsDate="1" containsString="0" containsBlank="1" minDate="1899-12-30T00:00:00" maxDate="2019-07-10T00:00:00"/>
    </cacheField>
    <cacheField name="Broker" numFmtId="0">
      <sharedItems containsBlank="1"/>
    </cacheField>
    <cacheField name="Trading hour" numFmtId="0">
      <sharedItems containsNonDate="0" containsDate="1" containsString="0" containsBlank="1" minDate="1899-12-30T08:06:13" maxDate="2019-07-03T18:47: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Andreis" refreshedDate="43655.706131712963" createdVersion="6" refreshedVersion="6" minRefreshableVersion="3" recordCount="372" xr:uid="{CD02B597-584F-4DE9-A34D-CEF5D33D1CC2}">
  <cacheSource type="worksheet">
    <worksheetSource ref="A10:T382" sheet="TradesEquity" r:id="rId2"/>
  </cacheSource>
  <cacheFields count="20">
    <cacheField name="Imput date" numFmtId="14">
      <sharedItems containsSemiMixedTypes="0" containsNonDate="0" containsDate="1" containsString="0" minDate="2019-02-15T00:00:00" maxDate="2019-06-12T00:00:00"/>
    </cacheField>
    <cacheField name="Type of trade" numFmtId="0">
      <sharedItems/>
    </cacheField>
    <cacheField name="check in?" numFmtId="2">
      <sharedItems/>
    </cacheField>
    <cacheField name="isin" numFmtId="2">
      <sharedItems/>
    </cacheField>
    <cacheField name="Already in?" numFmtId="0">
      <sharedItems containsBlank="1"/>
    </cacheField>
    <cacheField name="Ticker" numFmtId="0">
      <sharedItems/>
    </cacheField>
    <cacheField name="x" numFmtId="0">
      <sharedItems containsNonDate="0" containsString="0" containsBlank="1"/>
    </cacheField>
    <cacheField name="Stock" numFmtId="176">
      <sharedItems/>
    </cacheField>
    <cacheField name="CRNCY" numFmtId="176">
      <sharedItems/>
    </cacheField>
    <cacheField name="Price Local" numFmtId="2">
      <sharedItems containsSemiMixedTypes="0" containsString="0" containsNumber="1" minValue="3.27E-2" maxValue="274000"/>
    </cacheField>
    <cacheField name="Gbp" numFmtId="0">
      <sharedItems containsString="0" containsBlank="1" containsNumber="1" minValue="3.2699999999999998E-4" maxValue="274000"/>
    </cacheField>
    <cacheField name="Q" numFmtId="0">
      <sharedItems containsString="0" containsBlank="1" containsNumber="1" containsInteger="1" minValue="-4200" maxValue="1700000"/>
    </cacheField>
    <cacheField name="Cash-out pre comm." numFmtId="172">
      <sharedItems containsSemiMixedTypes="0" containsString="0" containsNumber="1" minValue="-483584040.00000006" maxValue="7562500"/>
    </cacheField>
    <cacheField name="Commission" numFmtId="0">
      <sharedItems containsString="0" containsBlank="1" containsNumber="1" minValue="-725376" maxValue="2099"/>
    </cacheField>
    <cacheField name="Other Fees" numFmtId="0">
      <sharedItems containsString="0" containsBlank="1" containsNumber="1" minValue="-215279" maxValue="0"/>
    </cacheField>
    <cacheField name="Stamp Duty / Tobin tax" numFmtId="0">
      <sharedItems containsString="0" containsBlank="1" containsNumber="1" minValue="-48358" maxValue="0"/>
    </cacheField>
    <cacheField name="Total Cash-out Local" numFmtId="172">
      <sharedItems containsSemiMixedTypes="0" containsString="0" containsNumber="1" minValue="-484565715.00000006" maxValue="7556450"/>
    </cacheField>
    <cacheField name="FX trade" numFmtId="0">
      <sharedItems containsString="0" containsBlank="1" containsNumber="1" minValue="0.84913929784824116" maxValue="15986.074413435652"/>
    </cacheField>
    <cacheField name="Total Cash-out Euro" numFmtId="0">
      <sharedItems containsString="0" containsBlank="1" containsNumber="1" minValue="-1422837.8112538173" maxValue="61478.082065467999"/>
    </cacheField>
    <cacheField name="Settlement date" numFmtId="180">
      <sharedItems containsSemiMixedTypes="0" containsNonDate="0" containsDate="1" containsString="0" minDate="1899-12-30T00:00:00" maxDate="2019-06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Andreis" refreshedDate="43655.706155208332" createdVersion="6" refreshedVersion="6" minRefreshableVersion="3" recordCount="140" xr:uid="{0014B7B3-A5EE-453B-BD23-E1D1F1DB2E04}">
  <cacheSource type="worksheet">
    <worksheetSource ref="A10:T150" sheet="TradesBond" r:id="rId2"/>
  </cacheSource>
  <cacheFields count="20">
    <cacheField name="Date" numFmtId="0">
      <sharedItems containsNonDate="0" containsDate="1" containsString="0" containsBlank="1" minDate="2019-02-18T00:00:00" maxDate="2019-04-30T00:00:00"/>
    </cacheField>
    <cacheField name="Type of trade" numFmtId="0">
      <sharedItems containsBlank="1"/>
    </cacheField>
    <cacheField name="Check:in?" numFmtId="0">
      <sharedItems containsBlank="1"/>
    </cacheField>
    <cacheField name="Isin" numFmtId="0">
      <sharedItems containsBlank="1"/>
    </cacheField>
    <cacheField name="Already in?" numFmtId="0">
      <sharedItems containsBlank="1"/>
    </cacheField>
    <cacheField name="Bond" numFmtId="0">
      <sharedItems containsBlank="1"/>
    </cacheField>
    <cacheField name="CRNCY" numFmtId="0">
      <sharedItems containsBlank="1"/>
    </cacheField>
    <cacheField name="Price" numFmtId="0">
      <sharedItems containsString="0" containsBlank="1" containsNumber="1" minValue="85.5" maxValue="108.5"/>
    </cacheField>
    <cacheField name="Value" numFmtId="0">
      <sharedItems containsString="0" containsBlank="1" containsNumber="1" containsInteger="1" minValue="-100000" maxValue="2900000000"/>
    </cacheField>
    <cacheField name="Cash-out pre comm." numFmtId="0">
      <sharedItems containsString="0" containsBlank="1" containsNumber="1" minValue="-2681078999.9999995" maxValue="101950"/>
    </cacheField>
    <cacheField name="Commission local" numFmtId="0">
      <sharedItems containsNonDate="0" containsString="0" containsBlank="1"/>
    </cacheField>
    <cacheField name="Other Fees" numFmtId="0">
      <sharedItems containsNonDate="0" containsString="0" containsBlank="1"/>
    </cacheField>
    <cacheField name="Stamp Duty" numFmtId="0">
      <sharedItems containsNonDate="0" containsString="0" containsBlank="1"/>
    </cacheField>
    <cacheField name="Accrued" numFmtId="0">
      <sharedItems containsString="0" containsBlank="1" containsNumber="1" minValue="-14284.93" maxValue="7300.68"/>
    </cacheField>
    <cacheField name="Total Cash-out Local" numFmtId="0">
      <sharedItems containsString="0" containsBlank="1" containsNumber="1" minValue="-245750" maxValue="106300.68"/>
    </cacheField>
    <cacheField name="FX" numFmtId="0">
      <sharedItems containsString="0" containsBlank="1" containsNumber="1" containsInteger="1" minValue="1" maxValue="14120"/>
    </cacheField>
    <cacheField name="Total Cash-out Euro" numFmtId="0">
      <sharedItems containsBlank="1" containsMixedTypes="1" containsNumber="1" minValue="-245750" maxValue="106300.68"/>
    </cacheField>
    <cacheField name="Settlement date" numFmtId="0">
      <sharedItems containsNonDate="0" containsDate="1" containsString="0" containsBlank="1" minDate="2019-02-20T00:00:00" maxDate="2019-05-03T00:00:00"/>
    </cacheField>
    <cacheField name="Broker" numFmtId="0">
      <sharedItems containsBlank="1"/>
    </cacheField>
    <cacheField name="Trading hour" numFmtId="0">
      <sharedItems containsNonDate="0" containsDate="1" containsString="0" containsBlank="1" minDate="1899-12-30T09:03:54" maxDate="1899-12-30T18:01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a Andreis" refreshedDate="43655.706229745374" createdVersion="6" refreshedVersion="6" minRefreshableVersion="3" recordCount="90" xr:uid="{B81B547A-A70B-499E-BB20-B53206E303CC}">
  <cacheSource type="worksheet">
    <worksheetSource ref="A10:S100" sheet="TradesFundETF" r:id="rId2"/>
  </cacheSource>
  <cacheFields count="19">
    <cacheField name="Date" numFmtId="0">
      <sharedItems containsNonDate="0" containsDate="1" containsString="0" containsBlank="1" minDate="2019-02-26T00:00:00" maxDate="2019-06-11T00:00:00"/>
    </cacheField>
    <cacheField name="Type of trade" numFmtId="0">
      <sharedItems containsBlank="1"/>
    </cacheField>
    <cacheField name="Colonna1" numFmtId="0">
      <sharedItems containsDate="1" containsBlank="1" containsMixedTypes="1" minDate="1899-12-30T00:00:00" maxDate="1899-12-31T00:00:00"/>
    </cacheField>
    <cacheField name="Isin" numFmtId="0">
      <sharedItems containsBlank="1"/>
    </cacheField>
    <cacheField name="Already In" numFmtId="0">
      <sharedItems containsBlank="1"/>
    </cacheField>
    <cacheField name="Fund/ETF" numFmtId="0">
      <sharedItems containsBlank="1"/>
    </cacheField>
    <cacheField name="CRNCY" numFmtId="0">
      <sharedItems containsBlank="1"/>
    </cacheField>
    <cacheField name="Price" numFmtId="0">
      <sharedItems containsString="0" containsBlank="1" containsNumber="1" minValue="45.35" maxValue="100"/>
    </cacheField>
    <cacheField name="Q" numFmtId="0">
      <sharedItems containsString="0" containsBlank="1" containsNumber="1" containsInteger="1" minValue="1000" maxValue="5000"/>
    </cacheField>
    <cacheField name="Cash-out pre comm." numFmtId="0">
      <sharedItems containsString="0" containsBlank="1" containsNumber="1" containsInteger="1" minValue="-500000" maxValue="0"/>
    </cacheField>
    <cacheField name="Commission" numFmtId="0">
      <sharedItems containsString="0" containsBlank="1" containsNumber="1" minValue="-56.52" maxValue="-41.58"/>
    </cacheField>
    <cacheField name="Other Fees" numFmtId="0">
      <sharedItems containsNonDate="0" containsString="0" containsBlank="1"/>
    </cacheField>
    <cacheField name="Vat fees" numFmtId="0">
      <sharedItems containsString="0" containsBlank="1" containsNumber="1" minValue="-11.3" maxValue="-8.31"/>
    </cacheField>
    <cacheField name="Total Cash-out Local" numFmtId="0">
      <sharedItems containsString="0" containsBlank="1" containsNumber="1" minValue="-500000" maxValue="0"/>
    </cacheField>
    <cacheField name="FX" numFmtId="0">
      <sharedItems containsString="0" containsBlank="1" containsNumber="1" minValue="0.85924745261000746" maxValue="1"/>
    </cacheField>
    <cacheField name="Total Cash-out Euro" numFmtId="0">
      <sharedItems containsBlank="1" containsMixedTypes="1" containsNumber="1" minValue="-135660.80000000002" maxValue="100"/>
    </cacheField>
    <cacheField name="Settlement date" numFmtId="0">
      <sharedItems containsNonDate="0" containsDate="1" containsString="0" containsBlank="1" minDate="1900-01-01T00:00:00" maxDate="2019-06-14T00:00:00"/>
    </cacheField>
    <cacheField name="Broker" numFmtId="0">
      <sharedItems containsBlank="1"/>
    </cacheField>
    <cacheField name="Trading hour" numFmtId="0">
      <sharedItems containsNonDate="0" containsDate="1" containsString="0" containsBlank="1" minDate="1899-12-30T10:11:03" maxDate="2019-02-27T10:06: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525.694353125" createdVersion="7" refreshedVersion="7" minRefreshableVersion="3" recordCount="96" xr:uid="{732F491D-BEE4-4FFC-8105-7A39553679F7}">
  <cacheSource type="worksheet">
    <worksheetSource ref="AA12:AC108" sheet="Dvd" r:id="rId2"/>
  </cacheSource>
  <cacheFields count="3">
    <cacheField name="Name" numFmtId="176">
      <sharedItems containsBlank="1"/>
    </cacheField>
    <cacheField name="ex-date" numFmtId="0">
      <sharedItems containsDate="1" containsBlank="1" containsMixedTypes="1" minDate="1899-12-30T00:00:00" maxDate="1899-12-31T00:00:00" count="22">
        <s v="30/03/2022"/>
        <s v="27/03/2014"/>
        <s v="29/12/2021"/>
        <s v="29/12/2020"/>
        <s v="27/12/2019"/>
        <s v="13/05/2021"/>
        <s v="28/05/2021"/>
        <s v="19/02/2021"/>
        <s v="30/04/2021"/>
        <m/>
        <s v="29/11/2021"/>
        <s v="22/06/2021"/>
        <s v="13/01/2022"/>
        <s v="12/03/2021"/>
        <s v="23/07/2021"/>
        <s v="02/09/2021"/>
        <s v="29/06/2021"/>
        <s v="29/09/2021"/>
        <s v="06/09/2021"/>
        <s v="#N/A Field Not Applicable" u="1"/>
        <e v="#N/A" u="1"/>
        <d v="1899-12-30T00:00:00" u="1"/>
      </sharedItems>
    </cacheField>
    <cacheField name="amount to be paid EURO" numFmtId="2">
      <sharedItems containsBlank="1" containsMixedTypes="1" containsNumber="1" minValue="0" maxValue="29713.543423982726"/>
    </cacheField>
  </cacheFields>
  <extLst>
    <ext xmlns:x14="http://schemas.microsoft.com/office/spreadsheetml/2009/9/main" uri="{725AE2AE-9491-48be-B2B4-4EB974FC3084}">
      <x14:pivotCacheDefinition pivotCacheId="1880490438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573.466972106478" createdVersion="7" refreshedVersion="7" minRefreshableVersion="3" recordCount="708" xr:uid="{F86929FC-5F99-4050-A00A-7A6508BC1D6C}">
  <cacheSource type="worksheet">
    <worksheetSource ref="B10:U857" sheet="TradesEquity"/>
  </cacheSource>
  <cacheFields count="20">
    <cacheField name="Date" numFmtId="0">
      <sharedItems containsNonDate="0" containsDate="1" containsString="0" containsBlank="1" minDate="2019-06-07T00:00:00" maxDate="2021-12-31T00:00:00"/>
    </cacheField>
    <cacheField name="Type of trade" numFmtId="0">
      <sharedItems containsBlank="1"/>
    </cacheField>
    <cacheField name="check in?" numFmtId="0">
      <sharedItems containsBlank="1"/>
    </cacheField>
    <cacheField name="isin" numFmtId="0">
      <sharedItems containsBlank="1"/>
    </cacheField>
    <cacheField name="Already in?" numFmtId="176">
      <sharedItems containsBlank="1"/>
    </cacheField>
    <cacheField name="Ticker" numFmtId="0">
      <sharedItems containsBlank="1"/>
    </cacheField>
    <cacheField name="x" numFmtId="176">
      <sharedItems containsNonDate="0" containsString="0" containsBlank="1"/>
    </cacheField>
    <cacheField name="Stock" numFmtId="176">
      <sharedItems containsBlank="1"/>
    </cacheField>
    <cacheField name="CRNCY" numFmtId="176">
      <sharedItems containsBlank="1"/>
    </cacheField>
    <cacheField name="Price Local" numFmtId="0">
      <sharedItems containsString="0" containsBlank="1" containsNumber="1" minValue="0.126" maxValue="605356.66666700004"/>
    </cacheField>
    <cacheField name="Gbp" numFmtId="2">
      <sharedItems containsString="0" containsBlank="1" containsNumber="1" containsInteger="1" minValue="4200" maxValue="4200"/>
    </cacheField>
    <cacheField name="Q" numFmtId="0">
      <sharedItems containsString="0" containsBlank="1" containsNumber="1" containsInteger="1" minValue="-270000" maxValue="570000"/>
    </cacheField>
    <cacheField name="Cash-out pre comm." numFmtId="0">
      <sharedItems containsString="0" containsBlank="1" containsNumber="1" minValue="-345141000" maxValue="368748300"/>
    </cacheField>
    <cacheField name="Commission" numFmtId="0">
      <sharedItems containsString="0" containsBlank="1" containsNumber="1" minValue="-4548877" maxValue="8208"/>
    </cacheField>
    <cacheField name="Other Fees" numFmtId="0">
      <sharedItems containsString="0" containsBlank="1" containsNumber="1" minValue="-921769" maxValue="-0.93"/>
    </cacheField>
    <cacheField name="Stamp Duty / Tobin tax" numFmtId="0">
      <sharedItems containsNonDate="0" containsString="0" containsBlank="1"/>
    </cacheField>
    <cacheField name="Total Cash-out Local" numFmtId="0">
      <sharedItems containsString="0" containsBlank="1" containsNumber="1" minValue="-345658712" maxValue="367273409"/>
    </cacheField>
    <cacheField name="FX trade" numFmtId="0">
      <sharedItems containsString="0" containsBlank="1" containsNumber="1" minValue="0.84232048717410402" maxValue="1407.9720576782354"/>
    </cacheField>
    <cacheField name="Total Cash-out Euro" numFmtId="0">
      <sharedItems containsBlank="1" containsMixedTypes="1" containsNumber="1" minValue="-13711992.5002" maxValue="764300.41726298491"/>
    </cacheField>
    <cacheField name="Settlement date" numFmtId="0">
      <sharedItems containsNonDate="0" containsDate="1" containsString="0" containsBlank="1" minDate="2019-06-13T00:00:00" maxDate="2022-01-06T00:00:00" count="220">
        <d v="2019-06-13T00:00:00"/>
        <d v="2019-06-14T00:00:00"/>
        <d v="2019-06-15T00:00:00"/>
        <d v="2019-06-17T00:00:00"/>
        <d v="2019-06-18T00:00:00"/>
        <d v="2019-06-24T00:00:00"/>
        <d v="2019-06-25T00:00:00"/>
        <d v="2019-06-26T00:00:00"/>
        <d v="2019-07-02T00:00:00"/>
        <d v="2019-07-18T00:00:00"/>
        <d v="2019-07-19T00:00:00"/>
        <d v="2019-07-23T00:00:00"/>
        <d v="2019-07-26T00:00:00"/>
        <d v="2019-07-29T00:00:00"/>
        <m/>
        <d v="2019-07-31T00:00:00"/>
        <d v="2019-08-05T00:00:00"/>
        <d v="2019-08-07T00:00:00"/>
        <d v="2019-08-08T00:00:00"/>
        <d v="2019-08-13T00:00:00"/>
        <d v="2019-08-14T00:00:00"/>
        <d v="2019-08-15T00:00:00"/>
        <d v="2019-08-20T00:00:00"/>
        <d v="2019-08-21T00:00:00"/>
        <d v="2019-08-22T00:00:00"/>
        <d v="2019-08-23T00:00:00"/>
        <d v="2019-08-26T00:00:00"/>
        <d v="2019-08-27T00:00:00"/>
        <d v="2019-08-28T00:00:00"/>
        <d v="2019-08-29T00:00:00"/>
        <d v="2019-08-30T00:00:00"/>
        <d v="2019-09-02T00:00:00"/>
        <d v="2019-09-03T00:00:00"/>
        <d v="2019-09-13T00:00:00"/>
        <d v="2019-09-17T00:00:00"/>
        <d v="2019-10-21T00:00:00"/>
        <d v="2019-10-22T00:00:00"/>
        <d v="2019-10-23T00:00:00"/>
        <d v="2019-10-24T00:00:00"/>
        <d v="2019-10-29T00:00:00"/>
        <d v="2019-10-28T00:00:00"/>
        <d v="2019-10-30T00:00:00"/>
        <d v="2019-11-05T00:00:00"/>
        <d v="2019-11-07T00:00:00"/>
        <d v="2019-11-08T00:00:00"/>
        <d v="2019-11-29T00:00:00"/>
        <d v="2019-12-02T00:00:00"/>
        <d v="2019-12-17T00:00:00"/>
        <d v="2020-01-07T00:00:00"/>
        <d v="2020-01-09T00:00:00"/>
        <d v="2020-01-10T00:00:00"/>
        <d v="2020-01-14T00:00:00"/>
        <d v="2020-01-16T00:00:00"/>
        <d v="2020-01-23T00:00:00"/>
        <d v="2020-01-24T00:00:00"/>
        <d v="2020-01-28T00:00:00"/>
        <d v="2020-01-29T00:00:00"/>
        <d v="2020-01-30T00:00:00"/>
        <d v="2020-02-03T00:00:00"/>
        <d v="2020-02-11T00:00:00"/>
        <d v="2020-02-12T00:00:00"/>
        <d v="2020-02-13T00:00:00"/>
        <d v="2020-02-14T00:00:00"/>
        <d v="2020-02-17T00:00:00"/>
        <d v="2020-02-18T00:00:00"/>
        <d v="2020-02-24T00:00:00"/>
        <d v="2020-02-26T00:00:00"/>
        <d v="2020-02-27T00:00:00"/>
        <d v="2020-03-02T00:00:00"/>
        <d v="2020-03-03T00:00:00"/>
        <d v="2020-03-06T00:00:00"/>
        <d v="2020-03-12T00:00:00"/>
        <d v="2020-03-28T00:00:00"/>
        <d v="2020-04-14T00:00:00"/>
        <d v="2020-05-01T00:00:00"/>
        <d v="2020-05-22T00:00:00"/>
        <d v="2020-05-26T00:00:00"/>
        <d v="2020-06-02T00:00:00"/>
        <d v="2020-06-08T00:00:00"/>
        <d v="2020-06-09T00:00:00"/>
        <d v="2020-06-10T00:00:00"/>
        <d v="2020-06-16T00:00:00"/>
        <d v="2020-06-22T00:00:00"/>
        <d v="2020-06-23T00:00:00"/>
        <d v="2020-06-30T00:00:00"/>
        <d v="2020-08-10T00:00:00"/>
        <d v="2020-08-07T00:00:00"/>
        <d v="2020-08-11T00:00:00"/>
        <d v="2020-08-06T00:00:00"/>
        <d v="2020-08-12T00:00:00"/>
        <d v="2020-08-18T00:00:00"/>
        <d v="2020-08-17T00:00:00"/>
        <d v="2020-08-14T00:00:00"/>
        <d v="2020-08-19T00:00:00"/>
        <d v="2020-08-20T00:00:00"/>
        <d v="2020-08-24T00:00:00"/>
        <d v="2020-08-26T00:00:00"/>
        <d v="2020-08-27T00:00:00"/>
        <d v="2020-08-28T00:00:00"/>
        <d v="2020-09-10T00:00:00"/>
        <d v="2020-09-18T00:00:00"/>
        <d v="2020-09-28T00:00:00"/>
        <d v="2020-09-29T00:00:00"/>
        <d v="2020-09-30T00:00:00"/>
        <d v="2020-10-05T00:00:00"/>
        <d v="2020-10-02T00:00:00"/>
        <d v="2020-10-06T00:00:00"/>
        <d v="2020-10-08T00:00:00"/>
        <d v="2020-11-05T00:00:00"/>
        <d v="2020-11-04T00:00:00"/>
        <d v="2020-11-03T00:00:00"/>
        <d v="2020-11-09T00:00:00"/>
        <d v="2020-11-12T00:00:00"/>
        <d v="2020-11-16T00:00:00"/>
        <d v="2020-11-18T00:00:00"/>
        <d v="2020-11-19T00:00:00"/>
        <d v="2020-11-20T00:00:00"/>
        <d v="2020-11-25T00:00:00"/>
        <d v="2020-11-26T00:00:00"/>
        <d v="2020-11-27T00:00:00"/>
        <d v="2020-12-01T00:00:00"/>
        <d v="2020-12-03T00:00:00"/>
        <d v="2020-12-02T00:00:00"/>
        <d v="2020-12-04T00:00:00"/>
        <d v="2020-12-07T00:00:00"/>
        <d v="2020-12-08T00:00:00"/>
        <d v="2020-12-09T00:00:00"/>
        <d v="2020-12-10T00:00:00"/>
        <d v="2020-12-14T00:00:00"/>
        <d v="2020-12-17T00:00:00"/>
        <d v="2020-12-22T00:00:00"/>
        <d v="2020-12-31T00:00:00"/>
        <d v="2021-01-06T00:00:00"/>
        <d v="2021-01-08T00:00:00"/>
        <d v="2021-01-13T00:00:00"/>
        <d v="2021-01-14T00:00:00"/>
        <d v="2021-01-15T00:00:00"/>
        <d v="2021-01-18T00:00:00"/>
        <d v="2021-01-20T00:00:00"/>
        <d v="2021-01-21T00:00:00"/>
        <d v="2021-01-25T00:00:00"/>
        <d v="2021-01-26T00:00:00"/>
        <d v="2021-01-27T00:00:00"/>
        <d v="2021-01-28T00:00:00"/>
        <d v="2021-01-29T00:00:00"/>
        <d v="2021-02-02T00:00:00"/>
        <d v="2021-02-03T00:00:00"/>
        <d v="2021-02-05T00:00:00"/>
        <d v="2021-02-08T00:00:00"/>
        <d v="2021-02-09T00:00:00"/>
        <d v="2021-02-10T00:00:00"/>
        <d v="2021-02-12T00:00:00"/>
        <d v="2021-02-17T00:00:00"/>
        <d v="2021-02-26T00:00:00"/>
        <d v="2021-03-03T00:00:00"/>
        <d v="2021-03-09T00:00:00"/>
        <d v="2021-03-11T00:00:00"/>
        <d v="2021-03-12T00:00:00"/>
        <d v="2021-03-15T00:00:00"/>
        <d v="2021-03-19T00:00:00"/>
        <d v="2021-03-24T00:00:00"/>
        <d v="2021-03-25T00:00:00"/>
        <d v="2021-03-26T00:00:00"/>
        <d v="2021-03-29T00:00:00"/>
        <d v="2021-04-09T00:00:00"/>
        <d v="2021-04-12T00:00:00"/>
        <d v="2021-04-15T00:00:00"/>
        <d v="2021-04-19T00:00:00"/>
        <d v="2021-04-23T00:00:00"/>
        <d v="2021-04-26T00:00:00"/>
        <d v="2021-04-27T00:00:00"/>
        <d v="2021-04-28T00:00:00"/>
        <d v="2021-04-29T00:00:00"/>
        <d v="2021-04-30T00:00:00"/>
        <d v="2021-05-07T00:00:00"/>
        <d v="2021-05-10T00:00:00"/>
        <d v="2021-05-13T00:00:00"/>
        <d v="2021-05-19T00:00:00"/>
        <d v="2021-05-21T00:00:00"/>
        <d v="2021-05-28T00:00:00"/>
        <d v="2021-05-31T00:00:00"/>
        <d v="2021-06-02T00:00:00"/>
        <d v="2021-06-08T00:00:00"/>
        <d v="2021-06-21T00:00:00"/>
        <d v="2021-06-22T00:00:00"/>
        <d v="2021-06-29T00:00:00"/>
        <d v="2021-07-07T00:00:00"/>
        <d v="2021-07-14T00:00:00"/>
        <d v="2021-07-16T00:00:00"/>
        <d v="2021-07-19T00:00:00"/>
        <d v="2021-07-21T00:00:00"/>
        <d v="2021-08-04T00:00:00"/>
        <d v="2021-08-10T00:00:00"/>
        <d v="2021-08-12T00:00:00"/>
        <d v="2021-08-23T00:00:00"/>
        <d v="2021-08-24T00:00:00"/>
        <d v="2021-09-10T00:00:00"/>
        <d v="2021-09-16T00:00:00"/>
        <d v="2021-09-21T00:00:00"/>
        <d v="2021-10-01T00:00:00"/>
        <d v="2021-10-04T00:00:00"/>
        <d v="2021-10-06T00:00:00"/>
        <d v="2021-10-08T00:00:00"/>
        <d v="2021-10-28T00:00:00"/>
        <d v="2021-11-10T00:00:00"/>
        <d v="2021-11-11T00:00:00"/>
        <d v="2021-11-12T00:00:00"/>
        <d v="2021-11-15T00:00:00"/>
        <d v="2021-11-22T00:00:00"/>
        <d v="2021-11-25T00:00:00"/>
        <d v="2021-11-24T00:00:00"/>
        <d v="2021-11-29T00:00:00"/>
        <d v="2021-11-30T00:00:00"/>
        <d v="2021-12-01T00:00:00"/>
        <d v="2021-12-06T00:00:00"/>
        <d v="2021-12-07T00:00:00"/>
        <d v="2022-01-04T00:00:00"/>
        <d v="2022-01-05T00:00:00"/>
        <d v="2021-01-05T00:00:00" u="1"/>
        <d v="2021-01-04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573.467012152774" createdVersion="7" refreshedVersion="7" minRefreshableVersion="3" recordCount="56" xr:uid="{1AC26496-0C39-4490-AACD-D9BE5996DF6A}">
  <cacheSource type="worksheet">
    <worksheetSource ref="A10:R161" sheet="TradesBond"/>
  </cacheSource>
  <cacheFields count="20">
    <cacheField name="Date" numFmtId="0">
      <sharedItems containsNonDate="0" containsDate="1" containsString="0" containsBlank="1" minDate="2021-01-12T00:00:00" maxDate="2021-10-23T00:00:00" count="4">
        <d v="2021-01-12T00:00:00"/>
        <d v="2021-10-04T00:00:00"/>
        <d v="2021-10-22T00:00:00"/>
        <m/>
      </sharedItems>
      <fieldGroup par="19" base="0">
        <rangePr groupBy="months" startDate="2021-01-12T00:00:00" endDate="2021-10-23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3/10/2021"/>
        </groupItems>
      </fieldGroup>
    </cacheField>
    <cacheField name="Type of trade" numFmtId="0">
      <sharedItems containsBlank="1"/>
    </cacheField>
    <cacheField name="Check:in?" numFmtId="176">
      <sharedItems containsBlank="1"/>
    </cacheField>
    <cacheField name="Isin" numFmtId="176">
      <sharedItems containsBlank="1"/>
    </cacheField>
    <cacheField name="Already in?" numFmtId="176">
      <sharedItems containsBlank="1"/>
    </cacheField>
    <cacheField name="Bond" numFmtId="176">
      <sharedItems containsBlank="1"/>
    </cacheField>
    <cacheField name="CRNCY" numFmtId="176">
      <sharedItems containsBlank="1"/>
    </cacheField>
    <cacheField name="Price" numFmtId="0">
      <sharedItems containsString="0" containsBlank="1" containsNumber="1" minValue="97" maxValue="122"/>
    </cacheField>
    <cacheField name="Value" numFmtId="0">
      <sharedItems containsString="0" containsBlank="1" containsNumber="1" containsInteger="1" minValue="-300000" maxValue="300000"/>
    </cacheField>
    <cacheField name="Cash-out pre comm." numFmtId="0">
      <sharedItems containsString="0" containsBlank="1" containsNumber="1" containsInteger="1" minValue="-366000" maxValue="360960"/>
    </cacheField>
    <cacheField name="Commission local" numFmtId="0">
      <sharedItems containsNonDate="0" containsString="0" containsBlank="1"/>
    </cacheField>
    <cacheField name="Other Fees" numFmtId="176">
      <sharedItems containsNonDate="0" containsString="0" containsBlank="1"/>
    </cacheField>
    <cacheField name="Stamp Duty" numFmtId="176">
      <sharedItems containsNonDate="0" containsString="0" containsBlank="1"/>
    </cacheField>
    <cacheField name="Accrued" numFmtId="0">
      <sharedItems containsString="0" containsBlank="1" containsNumber="1" containsInteger="1" minValue="4680" maxValue="12300"/>
    </cacheField>
    <cacheField name="Total Cash-out Local" numFmtId="0">
      <sharedItems containsString="0" containsBlank="1" containsNumber="1" containsInteger="1" minValue="-366000" maxValue="373260"/>
    </cacheField>
    <cacheField name="FX" numFmtId="0">
      <sharedItems containsString="0" containsBlank="1" containsNumber="1" minValue="1" maxValue="1.21"/>
    </cacheField>
    <cacheField name="Total Cash-out Euro" numFmtId="0">
      <sharedItems containsBlank="1" containsMixedTypes="1" containsNumber="1" minValue="-302479.33884297521" maxValue="322053.49439171702"/>
    </cacheField>
    <cacheField name="Settlement date" numFmtId="0">
      <sharedItems containsNonDate="0" containsDate="1" containsString="0" containsBlank="1" minDate="2021-01-14T00:00:00" maxDate="2021-10-27T00:00:00" count="4">
        <d v="2021-01-14T00:00:00"/>
        <d v="2021-10-06T00:00:00"/>
        <d v="2021-10-26T00:00:00"/>
        <m/>
      </sharedItems>
    </cacheField>
    <cacheField name="Quarters" numFmtId="0" databaseField="0">
      <fieldGroup base="0">
        <rangePr groupBy="quarters" startDate="2021-01-12T00:00:00" endDate="2021-10-23T00:00:00"/>
        <groupItems count="6">
          <s v="&lt;12/01/2021"/>
          <s v="Qtr1"/>
          <s v="Qtr2"/>
          <s v="Qtr3"/>
          <s v="Qtr4"/>
          <s v="&gt;23/10/2021"/>
        </groupItems>
      </fieldGroup>
    </cacheField>
    <cacheField name="Years" numFmtId="0" databaseField="0">
      <fieldGroup base="0">
        <rangePr groupBy="years" startDate="2021-01-12T00:00:00" endDate="2021-10-23T00:00:00"/>
        <groupItems count="3">
          <s v="&lt;12/01/2021"/>
          <s v="2021"/>
          <s v="&gt;23/10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573.745492476854" createdVersion="7" refreshedVersion="7" minRefreshableVersion="3" recordCount="283" xr:uid="{F4C2473A-AB54-41E8-87A8-27FE33F6C076}">
  <cacheSource type="worksheet">
    <worksheetSource ref="AF12:AH295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3">
        <s v="Panasonic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s v="SK Innovation Co Ltd"/>
        <s v="Soulbrain Holdings Co Ltd"/>
        <s v="Parjointco NV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Sumitomo Corp"/>
        <s v="Beijing Automotive Group Co Lt"/>
        <s v="Nihon Kagaku Sangyo Co Ltd"/>
        <s v="MMC Norilsk Nickel PJSC"/>
        <s v="Stella Chemifa Corp"/>
        <s v="Western Areas Ltd"/>
        <s v="Volkswagen AG"/>
        <s v="Glencore PLC"/>
        <s v="SNT Motiv Co Ltd"/>
        <s v="POSCO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umitomo Osaka Cement Co Ltd"/>
        <s v="Sandfire Resources Ltd"/>
        <s v="Taiheiyo Cement Corp"/>
        <s v="TDK Corp"/>
        <s v="Vitesco Technologies Group AG"/>
        <s v="IHI Corp"/>
        <s v="Asahi Kasei Corp"/>
        <m/>
        <s v="Ford Motor Co"/>
        <d v="1899-12-30T00:00:00"/>
        <s v="Ecopro Co Ltd" u="1"/>
      </sharedItems>
    </cacheField>
    <cacheField name="% Wgt (P)" numFmtId="0">
      <sharedItems containsString="0" containsBlank="1" containsNumber="1" minValue="0" maxValue="7.9470850780639563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573.747868287035" createdVersion="7" refreshedVersion="7" minRefreshableVersion="3" recordCount="316" xr:uid="{6E6B189F-9ABD-4320-BF75-C818B3080154}">
  <cacheSource type="worksheet">
    <worksheetSource ref="A12:D662" sheet="Sub-Red"/>
  </cacheSource>
  <cacheFields count="4">
    <cacheField name="ISIN" numFmtId="176">
      <sharedItems containsBlank="1"/>
    </cacheField>
    <cacheField name="NAV DATE" numFmtId="176">
      <sharedItems containsNonDate="0" containsDate="1" containsString="0" containsBlank="1" minDate="1931-09-13T00:00:00" maxDate="2022-01-13T00:00:00"/>
    </cacheField>
    <cacheField name="AMOUNT" numFmtId="0">
      <sharedItems containsString="0" containsBlank="1" containsNumber="1" minValue="-485377" maxValue="1159453.8400000001"/>
    </cacheField>
    <cacheField name="SETTLEMENT DATE" numFmtId="176">
      <sharedItems containsNonDate="0" containsDate="1" containsString="0" containsBlank="1" minDate="2020-04-08T00:00:00" maxDate="2022-01-18T00:00:00" count="254">
        <d v="2020-04-08T00:00:00"/>
        <d v="2020-04-17T00:00:00"/>
        <d v="2020-04-21T00:00:00"/>
        <d v="2020-04-30T00:00:00"/>
        <d v="2020-05-08T00:00:00"/>
        <d v="2020-05-11T00:00:00"/>
        <d v="2020-05-19T00:00:00"/>
        <d v="2020-05-20T00:00:00"/>
        <d v="2020-05-26T00:00:00"/>
        <d v="2020-05-29T00:00:00"/>
        <d v="2020-06-02T00:00:00"/>
        <d v="2020-06-03T00:00:00"/>
        <d v="2020-06-04T00:00:00"/>
        <d v="2020-06-05T00:00:00"/>
        <d v="2020-06-09T00:00:00"/>
        <d v="2020-06-16T00:00:00"/>
        <d v="2020-06-18T00:00:00"/>
        <d v="2020-06-22T00:00:00"/>
        <d v="2020-06-30T00:00:00"/>
        <d v="2020-07-03T00:00:00"/>
        <d v="2020-07-10T00:00:00"/>
        <d v="2020-07-13T00:00:00"/>
        <d v="2020-07-17T00:00:00"/>
        <d v="2020-07-20T00:00:00"/>
        <d v="2020-07-23T00:00:00"/>
        <d v="2020-07-29T00:00:00"/>
        <d v="2020-07-30T00:00:00"/>
        <d v="2020-08-06T00:00:00"/>
        <d v="2020-08-11T00:00:00"/>
        <d v="2020-08-12T00:00:00"/>
        <d v="2020-08-13T00:00:00"/>
        <d v="2020-08-18T00:00:00"/>
        <d v="2020-08-19T00:00:00"/>
        <d v="2020-08-20T00:00:00"/>
        <d v="2020-08-21T00:00:00"/>
        <d v="2020-08-24T00:00:00"/>
        <d v="2020-08-25T00:00:00"/>
        <d v="2020-08-28T00:00:00"/>
        <d v="2020-08-31T00:00:00"/>
        <d v="2020-09-10T00:00:00"/>
        <d v="2020-09-18T00:00:00"/>
        <d v="2020-09-23T00:00:00"/>
        <d v="2020-09-30T00:00:00"/>
        <d v="2020-10-06T00:00:00"/>
        <d v="2020-10-14T00:00:00"/>
        <d v="2020-10-19T00:00:00"/>
        <d v="2020-10-20T00:00:00"/>
        <d v="2020-10-27T00:00:00"/>
        <d v="2020-10-28T00:00:00"/>
        <d v="2020-11-02T00:00:00"/>
        <d v="2020-11-04T00:00:00"/>
        <d v="2020-11-11T00:00:00"/>
        <d v="2020-11-16T00:00:00"/>
        <d v="2020-11-19T00:00:00"/>
        <d v="2020-11-20T00:00:00"/>
        <d v="2020-11-23T00:00:00"/>
        <d v="2020-11-24T00:00:00"/>
        <d v="2020-11-25T00:00:00"/>
        <d v="2020-11-26T00:00:00"/>
        <d v="2020-12-01T00:00:00"/>
        <d v="2020-12-02T00:00:00"/>
        <d v="2020-12-03T00:00:00"/>
        <d v="2020-12-07T00:00:00"/>
        <d v="2020-12-08T00:00:00"/>
        <d v="2020-12-09T00:00:00"/>
        <d v="2020-12-10T00:00:00"/>
        <d v="2020-12-15T00:00:00"/>
        <d v="2020-12-17T00:00:00"/>
        <d v="2020-12-18T00:00:00"/>
        <d v="2020-12-23T00:00:00"/>
        <d v="2020-12-21T00:00:00"/>
        <d v="2020-12-24T00:00:00"/>
        <d v="2020-12-28T00:00:00"/>
        <d v="2020-12-29T00:00:00"/>
        <d v="2020-12-31T00:00:00"/>
        <d v="2021-01-05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2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5T00:00:00"/>
        <d v="2021-02-04T00:00:00"/>
        <d v="2021-02-08T00:00:00"/>
        <d v="2021-02-09T00:00:00"/>
        <d v="2021-02-10T00:00:00"/>
        <d v="2021-02-12T00:00:00"/>
        <d v="2021-02-15T00:00:00"/>
        <d v="2021-02-16T00:00:00"/>
        <d v="2021-02-17T00:00:00"/>
        <d v="2021-02-18T00:00:00"/>
        <d v="2021-02-22T00:00:00"/>
        <d v="2021-02-24T00:00:00"/>
        <d v="2021-02-25T00:00:00"/>
        <d v="2021-03-03T00:00:00"/>
        <d v="2021-03-05T00:00:00"/>
        <d v="2021-03-08T00:00:00"/>
        <d v="2021-03-11T00:00:00"/>
        <d v="2021-03-12T00:00:00"/>
        <d v="2021-03-15T00:00:00"/>
        <d v="2021-03-16T00:00:00"/>
        <d v="2021-03-17T00:00:00"/>
        <d v="2021-03-18T00:00:00"/>
        <d v="2021-03-19T00:00:00"/>
        <d v="2021-03-22T00:00:00"/>
        <d v="2021-03-23T00:00:00"/>
        <d v="2021-03-24T00:00:00"/>
        <d v="2021-03-25T00:00:00"/>
        <d v="2021-03-26T00:00:00"/>
        <d v="2021-03-29T00:00:00"/>
        <d v="2021-03-30T00:00:00"/>
        <d v="2021-03-31T00:00:00"/>
        <d v="2021-04-06T00:00:00"/>
        <d v="2021-04-07T00:00:00"/>
        <d v="2021-04-08T00:00:00"/>
        <d v="2021-04-09T00:00:00"/>
        <d v="2021-04-12T00:00:00"/>
        <d v="2021-04-13T00:00:00"/>
        <d v="2021-04-14T00:00:00"/>
        <d v="2021-04-16T00:00:00"/>
        <d v="2021-04-19T00:00:00"/>
        <d v="2021-04-20T00:00:00"/>
        <d v="2021-04-21T00:00:00"/>
        <d v="2021-04-22T00:00:00"/>
        <d v="2021-04-23T00:00:00"/>
        <d v="2021-04-26T00:00:00"/>
        <d v="2021-04-27T00:00:00"/>
        <d v="2021-04-29T00:00:00"/>
        <d v="2021-04-30T00:00:00"/>
        <d v="2021-05-03T00:00:00"/>
        <d v="2021-05-04T00:00:00"/>
        <d v="2021-05-05T00:00:00"/>
        <d v="2021-05-06T00:00:00"/>
        <d v="2021-05-07T00:00:00"/>
        <d v="2021-05-10T00:00:00"/>
        <d v="2021-05-11T00:00:00"/>
        <d v="2021-05-12T00:00:00"/>
        <d v="2021-05-14T00:00:00"/>
        <d v="2021-05-17T00:00:00"/>
        <d v="2021-05-18T00:00:00"/>
        <d v="2021-05-19T00:00:00"/>
        <d v="2021-05-20T00:00:00"/>
        <d v="2021-05-21T00:00:00"/>
        <d v="2021-05-26T00:00:00"/>
        <d v="2021-05-27T00:00:00"/>
        <d v="2021-05-28T00:00:00"/>
        <d v="2021-05-31T00:00:00"/>
        <d v="2021-06-01T00:00:00"/>
        <d v="2021-06-02T00:00:00"/>
        <d v="2021-06-03T00:00:00"/>
        <d v="2021-06-09T00:00:00"/>
        <d v="2021-06-11T00:00:00"/>
        <d v="2021-06-16T00:00:00"/>
        <d v="2021-06-17T00:00:00"/>
        <d v="2021-06-18T00:00:00"/>
        <d v="2021-06-21T00:00:00"/>
        <d v="2021-06-24T00:00:00"/>
        <d v="2021-06-28T00:00:00"/>
        <d v="2021-06-29T00:00:00"/>
        <d v="2021-06-30T00:00:00"/>
        <d v="2021-07-01T00:00:00"/>
        <d v="2021-07-13T00:00:00"/>
        <d v="2021-07-14T00:00:00"/>
        <d v="2021-07-16T00:00:00"/>
        <d v="2021-07-20T00:00:00"/>
        <d v="2021-07-23T00:00:00"/>
        <d v="2021-07-27T00:00:00"/>
        <d v="2021-07-29T00:00:00"/>
        <d v="2021-07-30T00:00:00"/>
        <d v="2021-08-02T00:00:00"/>
        <d v="2021-08-09T00:00:00"/>
        <d v="2021-08-10T00:00:00"/>
        <d v="2021-08-11T00:00:00"/>
        <d v="2021-08-13T00:00:00"/>
        <d v="2021-08-19T00:00:00"/>
        <d v="2021-08-20T00:00:00"/>
        <d v="2021-08-25T00:00:00"/>
        <d v="2021-08-30T00:00:00"/>
        <d v="2021-08-31T00:00:00"/>
        <d v="2021-09-01T00:00:00"/>
        <d v="2021-09-03T00:00:00"/>
        <d v="2021-09-06T00:00:00"/>
        <d v="2021-09-07T00:00:00"/>
        <d v="2021-09-08T00:00:00"/>
        <d v="2021-09-10T00:00:00"/>
        <d v="2021-09-14T00:00:00"/>
        <d v="2021-09-15T00:00:00"/>
        <d v="2021-09-16T00:00:00"/>
        <d v="2021-09-20T00:00:00"/>
        <d v="2021-09-21T00:00:00"/>
        <d v="2021-09-22T00:00:00"/>
        <d v="2021-09-24T00:00:00"/>
        <d v="2021-09-28T00:00:00"/>
        <d v="2021-09-30T00:00:00"/>
        <d v="2021-10-07T00:00:00"/>
        <d v="2021-10-12T00:00:00"/>
        <d v="2021-10-13T00:00:00"/>
        <d v="2021-10-14T00:00:00"/>
        <d v="2021-10-15T00:00:00"/>
        <d v="2021-10-18T00:00:00"/>
        <d v="2021-10-20T00:00:00"/>
        <d v="2021-10-21T00:00:00"/>
        <d v="2021-10-25T00:00:00"/>
        <d v="2021-10-26T00:00:00"/>
        <d v="2021-10-27T00:00:00"/>
        <d v="2021-10-28T00:00:00"/>
        <d v="2021-10-29T00:00:00"/>
        <d v="2021-11-04T00:00:00"/>
        <d v="2021-11-05T00:00:00"/>
        <d v="2021-11-08T00:00:00"/>
        <d v="2021-11-09T00:00:00"/>
        <d v="2021-11-11T00:00:00"/>
        <d v="2021-11-12T00:00:00"/>
        <d v="2021-11-15T00:00:00"/>
        <d v="2021-11-16T00:00:00"/>
        <d v="2021-11-17T00:00:00"/>
        <d v="2021-11-18T00:00:00"/>
        <d v="2021-11-19T00:00:00"/>
        <d v="2021-11-22T00:00:00"/>
        <d v="2021-11-23T00:00:00"/>
        <d v="2021-11-26T00:00:00"/>
        <d v="2021-11-30T00:00:00"/>
        <d v="2021-12-01T00:00:00"/>
        <d v="2021-12-02T00:00:00"/>
        <d v="2021-12-03T00:00:00"/>
        <d v="2021-12-06T00:00:00"/>
        <d v="2021-12-07T00:00:00"/>
        <d v="2021-12-08T00:00:00"/>
        <d v="2021-12-10T00:00:00"/>
        <d v="2021-12-16T00:00:00"/>
        <d v="2021-12-17T00:00:00"/>
        <d v="2021-12-20T00:00:00"/>
        <d v="2021-12-21T00:00:00"/>
        <d v="2021-12-22T00:00:00"/>
        <d v="2021-12-23T00:00:00"/>
        <d v="2021-12-24T00:00:00"/>
        <d v="2021-12-27T00:00:00"/>
        <d v="2021-12-29T00:00:00"/>
        <d v="2022-01-03T00:00:00"/>
        <d v="2022-01-07T00:00:00"/>
        <d v="2022-01-10T00:00:00"/>
        <d v="2022-01-11T00:00:00"/>
        <d v="2022-01-17T00:00:0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">
  <r>
    <d v="2019-02-15T00:00:00"/>
    <s v="BUY"/>
    <s v="6752.t"/>
    <s v="JP3866800000"/>
    <s v="YES"/>
    <s v="6752.t"/>
    <m/>
    <s v="Panasonic Corp"/>
    <x v="0"/>
    <n v="1041.5"/>
    <n v="1041.5"/>
    <n v="12200"/>
    <n v="-12706300"/>
    <n v="-5294"/>
    <n v="-1059"/>
    <n v="0"/>
    <n v="-12712653"/>
    <n v="124.82062754934861"/>
    <m/>
    <x v="0"/>
    <s v="Kepler"/>
  </r>
  <r>
    <d v="2019-02-15T00:00:00"/>
    <s v="BUY"/>
    <s v="SYR.AX"/>
    <s v="AU000000SYR9"/>
    <s v="YES"/>
    <s v="SYR.AX"/>
    <m/>
    <s v="Syrah Resources Ltd"/>
    <x v="1"/>
    <n v="1.3412999999999999"/>
    <n v="1.3412999999999999"/>
    <n v="35700"/>
    <n v="-47884.409999999996"/>
    <n v="-19.95"/>
    <n v="-3.99"/>
    <n v="0"/>
    <n v="-47908.349999999991"/>
    <n v="1.5902963741342107"/>
    <m/>
    <x v="1"/>
    <s v="Kepler"/>
  </r>
  <r>
    <d v="2019-02-15T00:00:00"/>
    <s v="BUY"/>
    <s v="1958.HK"/>
    <s v="CNE100001TJ4"/>
    <s v="YES"/>
    <s v="1958.HK"/>
    <m/>
    <s v="BAIC Motor Corp Ltd"/>
    <x v="2"/>
    <n v="5.2645"/>
    <n v="5.2645"/>
    <n v="51546"/>
    <n v="-271363.91700000002"/>
    <n v="-407.04"/>
    <n v="-292.89999999999998"/>
    <n v="0"/>
    <n v="-272063.85700000002"/>
    <n v="8.8624505928853718"/>
    <m/>
    <x v="1"/>
    <s v="Samsung"/>
  </r>
  <r>
    <d v="2019-02-15T00:00:00"/>
    <s v="BUY"/>
    <s v="006400.KS"/>
    <s v="KR7006400006"/>
    <s v="YES"/>
    <s v="006400.KS"/>
    <m/>
    <s v="Samsung SDI Co Ltd"/>
    <x v="3"/>
    <n v="238000"/>
    <n v="238000"/>
    <n v="320"/>
    <n v="-76160000"/>
    <n v="-114240"/>
    <n v="0"/>
    <n v="0"/>
    <n v="-76274240"/>
    <n v="1270.9655561829475"/>
    <m/>
    <x v="1"/>
    <s v="DBS"/>
  </r>
  <r>
    <d v="2019-02-15T00:00:00"/>
    <s v="BUY"/>
    <s v="BBKP.JK"/>
    <s v="ID1000103609"/>
    <s v="YES"/>
    <s v="BBKP.JK"/>
    <m/>
    <s v="Bank Bukopin Tbk PT"/>
    <x v="4"/>
    <n v="378.51679999999999"/>
    <n v="378.51679999999999"/>
    <n v="1073100"/>
    <n v="-406186378.07999998"/>
    <n v="-609280"/>
    <n v="-215279"/>
    <n v="0"/>
    <n v="-407010937.07999998"/>
    <n v="15968.379446640194"/>
    <m/>
    <x v="1"/>
    <s v="DBS"/>
  </r>
  <r>
    <d v="2019-02-18T00:00:00"/>
    <s v="BUY"/>
    <s v="DTEGn.DE"/>
    <s v="DE0005557508"/>
    <s v="YES"/>
    <s v="DTEGn.DE"/>
    <m/>
    <s v="Deutsche Telekom AG"/>
    <x v="5"/>
    <n v="14.319000000000001"/>
    <n v="14.319000000000001"/>
    <n v="2100"/>
    <n v="-30069.9"/>
    <n v="-24.06"/>
    <n v="0"/>
    <n v="0"/>
    <n v="-30093.960000000003"/>
    <n v="1"/>
    <m/>
    <x v="1"/>
    <s v="Equita"/>
  </r>
  <r>
    <d v="2019-02-18T00:00:00"/>
    <s v="BUY"/>
    <s v="ORAN.PA"/>
    <s v="FR0000133308"/>
    <s v="YES"/>
    <s v="ORAN.PA"/>
    <m/>
    <s v="Orange SA"/>
    <x v="5"/>
    <n v="13.4634"/>
    <n v="13.4634"/>
    <n v="2200"/>
    <n v="-29619.48"/>
    <n v="-23.7"/>
    <n v="0"/>
    <n v="-88.86"/>
    <n v="-29732.04"/>
    <n v="1"/>
    <m/>
    <x v="1"/>
    <s v="Equita"/>
  </r>
  <r>
    <d v="2019-02-18T00:00:00"/>
    <s v="BUY"/>
    <s v="TLITn.MI"/>
    <s v="IT0003497176"/>
    <s v="YES"/>
    <s v="TLITn.MI"/>
    <m/>
    <s v="Telecom Italia SpA"/>
    <x v="5"/>
    <n v="0.44950000000000001"/>
    <n v="0.44950000000000001"/>
    <n v="67700"/>
    <n v="-30431.15"/>
    <n v="-24.34"/>
    <n v="0"/>
    <n v="0"/>
    <n v="-30455.49"/>
    <n v="1"/>
    <m/>
    <x v="1"/>
    <s v="Equita"/>
  </r>
  <r>
    <d v="2019-02-18T00:00:00"/>
    <s v="BUY"/>
    <s v="TEF.MC"/>
    <s v="ES0178430E18"/>
    <s v="YES"/>
    <s v="TEF.MC"/>
    <m/>
    <s v="Telefonica SA"/>
    <x v="5"/>
    <n v="7.5347"/>
    <n v="7.5347"/>
    <n v="4000"/>
    <n v="-30138.799999999999"/>
    <n v="-24.11"/>
    <n v="0"/>
    <n v="0"/>
    <n v="-30162.91"/>
    <n v="1"/>
    <m/>
    <x v="1"/>
    <s v="Equita"/>
  </r>
  <r>
    <d v="2019-02-18T00:00:00"/>
    <s v="BUY"/>
    <s v="BT.L"/>
    <s v="GB0030913577"/>
    <s v="YES"/>
    <s v="BT.L"/>
    <m/>
    <s v="BT Group PLC"/>
    <x v="6"/>
    <n v="2.3279999999999998"/>
    <n v="2.3279999999999999E-2"/>
    <n v="120"/>
    <n v="-279.35999999999996"/>
    <n v="-0.22"/>
    <n v="0"/>
    <n v="-1.4"/>
    <n v="-280.97999999999996"/>
    <n v="0.8761829474872953"/>
    <m/>
    <x v="1"/>
    <s v="Equita"/>
  </r>
  <r>
    <d v="2019-02-18T00:00:00"/>
    <s v="BUY"/>
    <s v="ERICb.ST"/>
    <s v="SE0000108656"/>
    <s v="YES"/>
    <s v="ERICb.ST"/>
    <m/>
    <s v="Telefonaktiebolaget LM Ericsson"/>
    <x v="7"/>
    <n v="86.6327"/>
    <n v="86.6327"/>
    <n v="3700"/>
    <n v="-320540.99"/>
    <n v="-256.43"/>
    <n v="0"/>
    <n v="0"/>
    <n v="-320797.42"/>
    <n v="10.469452286843586"/>
    <m/>
    <x v="1"/>
    <s v="Equita"/>
  </r>
  <r>
    <d v="2019-02-18T00:00:00"/>
    <s v="BUY"/>
    <s v="NOKIA.HE"/>
    <s v="FI0009000681"/>
    <s v="YES"/>
    <s v="NOKIA.HE"/>
    <m/>
    <s v="Nokia Oyj"/>
    <x v="5"/>
    <n v="5.5555000000000003"/>
    <n v="5.5555000000000003"/>
    <n v="7200"/>
    <n v="-39999.600000000006"/>
    <n v="-32"/>
    <n v="0"/>
    <n v="0"/>
    <n v="-40031.600000000006"/>
    <n v="1"/>
    <m/>
    <x v="1"/>
    <s v="Equita"/>
  </r>
  <r>
    <d v="2019-02-18T00:00:00"/>
    <s v="BUY"/>
    <s v="CTT.LS"/>
    <s v="PTCTT0AM0001"/>
    <s v="YES"/>
    <s v="CTT.LS"/>
    <m/>
    <s v="CTT Correios de Portugal SA"/>
    <x v="5"/>
    <n v="3.0947"/>
    <n v="3.0947"/>
    <n v="6500"/>
    <n v="-20115.55"/>
    <n v="-16.09"/>
    <n v="0"/>
    <n v="0"/>
    <n v="-20131.64"/>
    <n v="1"/>
    <m/>
    <x v="1"/>
    <s v="Equita"/>
  </r>
  <r>
    <d v="2019-02-18T00:00:00"/>
    <s v="BUY"/>
    <s v="ptnl.as"/>
    <s v="NL0009739416"/>
    <s v="YES"/>
    <s v="ptnl.as"/>
    <m/>
    <s v="PostNL NV"/>
    <x v="5"/>
    <n v="2.2705000000000002"/>
    <n v="2.2705000000000002"/>
    <n v="22200"/>
    <n v="-50405.100000000006"/>
    <n v="-40.32"/>
    <n v="0"/>
    <n v="0"/>
    <n v="-50445.420000000006"/>
    <n v="1"/>
    <m/>
    <x v="1"/>
    <s v="Equita"/>
  </r>
  <r>
    <d v="2019-02-18T00:00:00"/>
    <s v="BUY"/>
    <s v="SOGN.PA"/>
    <s v="FR0000130809"/>
    <s v="YES"/>
    <s v="SOGN.PA"/>
    <m/>
    <s v="Societe Generale SA"/>
    <x v="5"/>
    <n v="25.175000000000001"/>
    <n v="25.175000000000001"/>
    <n v="2000"/>
    <n v="-50350"/>
    <n v="-40.28"/>
    <n v="0"/>
    <n v="-151.05000000000001"/>
    <n v="-50541.33"/>
    <n v="1"/>
    <m/>
    <x v="1"/>
    <s v="Equita"/>
  </r>
  <r>
    <d v="2019-02-18T00:00:00"/>
    <s v="BUY"/>
    <s v="TUIGn.DE"/>
    <s v="DE000TUAG000"/>
    <s v="YES"/>
    <s v="TUIGn.DE"/>
    <m/>
    <s v="Tui AG"/>
    <x v="5"/>
    <n v="9.4779999999999998"/>
    <n v="9.4779999999999998"/>
    <n v="4200"/>
    <n v="-39807.599999999999"/>
    <n v="-31.85"/>
    <n v="0"/>
    <n v="0"/>
    <n v="-39839.449999999997"/>
    <n v="1"/>
    <m/>
    <x v="1"/>
    <s v="Equita"/>
  </r>
  <r>
    <d v="2019-02-18T00:00:00"/>
    <s v="BUY"/>
    <s v="WPP.L"/>
    <s v="JE00B8KF9B49"/>
    <s v="YES"/>
    <s v="WPP.L"/>
    <m/>
    <s v="WPP PLC"/>
    <x v="6"/>
    <n v="8.51"/>
    <n v="8.5099999999999995E-2"/>
    <n v="3100"/>
    <n v="-26381"/>
    <n v="-21.1"/>
    <n v="0"/>
    <n v="-1"/>
    <n v="-26403.1"/>
    <n v="0.87618294748729519"/>
    <m/>
    <x v="1"/>
    <s v="Equita"/>
  </r>
  <r>
    <d v="2019-02-18T00:00:00"/>
    <s v="BUY"/>
    <s v="BPOST.BR"/>
    <s v="BE0974268972"/>
    <s v="YES"/>
    <s v="BPOST.BR"/>
    <m/>
    <s v="Bpost SA"/>
    <x v="5"/>
    <n v="8.2050000000000001"/>
    <n v="8.2050000000000001"/>
    <n v="3650"/>
    <n v="-29948.25"/>
    <n v="-23.96"/>
    <n v="0"/>
    <n v="0"/>
    <n v="-29972.21"/>
    <n v="1"/>
    <m/>
    <x v="1"/>
    <s v="Equita"/>
  </r>
  <r>
    <d v="2019-02-18T00:00:00"/>
    <s v="BUY"/>
    <s v="DC.L"/>
    <s v="GB00B4Y7R145"/>
    <s v="YES"/>
    <s v="DC.L"/>
    <m/>
    <s v="Dixons Carphone PLC"/>
    <x v="6"/>
    <n v="1.32"/>
    <n v="1.32E-2"/>
    <n v="20000"/>
    <n v="-26400"/>
    <n v="-21.12"/>
    <n v="0"/>
    <n v="-133"/>
    <n v="-26554.12"/>
    <n v="0.87618294748729408"/>
    <m/>
    <x v="1"/>
    <s v="Equita"/>
  </r>
  <r>
    <d v="2019-02-18T00:00:00"/>
    <s v="BUY"/>
    <s v="BT.L"/>
    <s v="GB0030913577"/>
    <s v="YES"/>
    <s v="BT.L"/>
    <m/>
    <s v="BT Group PLC"/>
    <x v="6"/>
    <n v="2.33"/>
    <n v="2.3300000000000001E-2"/>
    <n v="11000"/>
    <n v="-25630"/>
    <n v="-20.5"/>
    <n v="0"/>
    <n v="-129.15"/>
    <n v="-25779.65"/>
    <n v="0.8761829474872953"/>
    <m/>
    <x v="1"/>
    <s v="Equita"/>
  </r>
  <r>
    <d v="2019-02-19T00:00:00"/>
    <s v="BUY"/>
    <s v="BBKP.JK"/>
    <s v="ID1000103609"/>
    <s v="YES"/>
    <s v="BBKP.JK"/>
    <m/>
    <s v="Bank Bukopin Tbk PT"/>
    <x v="4"/>
    <n v="385.4787"/>
    <n v="385.4787"/>
    <n v="683190"/>
    <n v="-263355193.053"/>
    <n v="-395033"/>
    <n v="-113243"/>
    <n v="-26336"/>
    <n v="-263889805.053"/>
    <n v="15986.074413435652"/>
    <m/>
    <x v="0"/>
    <s v="DBS"/>
  </r>
  <r>
    <d v="2019-02-19T00:00:00"/>
    <s v="BUY"/>
    <s v="F"/>
    <s v="US3453708600"/>
    <s v="YES"/>
    <s v="F"/>
    <m/>
    <s v="Ford Motor Co"/>
    <x v="8"/>
    <n v="8.65"/>
    <n v="8.65"/>
    <n v="4200"/>
    <n v="-36330"/>
    <n v="-15.05"/>
    <n v="-3.02"/>
    <n v="0"/>
    <n v="-36348.07"/>
    <n v="1.1340054205459102"/>
    <m/>
    <x v="0"/>
    <s v="Kepler"/>
  </r>
  <r>
    <d v="2019-02-19T00:00:00"/>
    <s v="BUY"/>
    <s v="VNE"/>
    <s v="US92336X1090"/>
    <s v="YES"/>
    <s v="VNE"/>
    <m/>
    <s v="Veoneer Inc"/>
    <x v="8"/>
    <n v="29.134599999999999"/>
    <n v="29.134599999999999"/>
    <n v="1400"/>
    <n v="-40788.439999999995"/>
    <n v="-17"/>
    <n v="-3.39"/>
    <n v="0"/>
    <n v="-40808.829999999994"/>
    <n v="1.13400542054591"/>
    <m/>
    <x v="0"/>
    <s v="Kepler"/>
  </r>
  <r>
    <d v="2019-02-19T00:00:00"/>
    <s v="BUY"/>
    <s v="SQM"/>
    <s v="US8336351056"/>
    <s v="YES"/>
    <s v="SQM"/>
    <m/>
    <s v="Sociedad Quimica y Minera de Chile SA"/>
    <x v="8"/>
    <n v="41.2742"/>
    <n v="41.2742"/>
    <n v="700"/>
    <n v="-28891.94"/>
    <n v="-12.05"/>
    <n v="-2.4"/>
    <n v="0"/>
    <n v="-28906.39"/>
    <n v="1.1340054205459102"/>
    <m/>
    <x v="0"/>
    <s v="Kepler"/>
  </r>
  <r>
    <d v="2019-02-19T00:00:00"/>
    <s v="BUY"/>
    <s v="ALB"/>
    <s v="US0126531013"/>
    <s v="YES"/>
    <s v="ALB"/>
    <m/>
    <s v="Albemarle Corp"/>
    <x v="8"/>
    <n v="82.081400000000002"/>
    <n v="82.081400000000002"/>
    <n v="350"/>
    <n v="-28728.49"/>
    <n v="-11.97"/>
    <n v="-2.39"/>
    <n v="0"/>
    <n v="-28742.850000000002"/>
    <n v="1.13400542054591"/>
    <m/>
    <x v="0"/>
    <s v="Kepler"/>
  </r>
  <r>
    <d v="2019-02-19T00:00:00"/>
    <s v="BUY"/>
    <s v="QCOM.O"/>
    <s v="US7475251036"/>
    <s v="YES"/>
    <s v="QCOM.O"/>
    <m/>
    <s v="Qualcomm Inc"/>
    <x v="8"/>
    <n v="51.9071"/>
    <n v="51.9071"/>
    <n v="1400"/>
    <n v="-72669.94"/>
    <n v="-30.28"/>
    <n v="-6.0519999999999996"/>
    <n v="0"/>
    <n v="-72706.271999999997"/>
    <n v="1.1340054205459102"/>
    <m/>
    <x v="0"/>
    <s v="Kepler"/>
  </r>
  <r>
    <d v="2019-02-19T00:00:00"/>
    <s v="BUY"/>
    <s v="IBM"/>
    <s v="US4592001014"/>
    <s v="YES"/>
    <s v="IBM"/>
    <m/>
    <s v="International Business Machines Corp"/>
    <x v="8"/>
    <n v="137.87"/>
    <n v="137.87"/>
    <n v="220"/>
    <n v="-30331.4"/>
    <n v="-12.65"/>
    <n v="-2.52"/>
    <n v="0"/>
    <n v="-30346.570000000003"/>
    <n v="1.13400542054591"/>
    <m/>
    <x v="0"/>
    <s v="Kepler"/>
  </r>
  <r>
    <d v="2019-02-19T00:00:00"/>
    <s v="BUY"/>
    <s v="JNPR.K"/>
    <s v="US48203R1041"/>
    <s v="YES"/>
    <s v="JNPR.K"/>
    <m/>
    <s v="Juniper Networks Inc"/>
    <x v="8"/>
    <n v="27.083600000000001"/>
    <n v="27.083600000000001"/>
    <n v="1400"/>
    <n v="-37917.040000000001"/>
    <n v="-15.8"/>
    <n v="-3.16"/>
    <n v="0"/>
    <n v="-37936.000000000007"/>
    <n v="1.13400542054591"/>
    <m/>
    <x v="0"/>
    <s v="Kepler"/>
  </r>
  <r>
    <d v="2019-02-19T00:00:00"/>
    <s v="BUY"/>
    <s v="COMM.O"/>
    <s v="US20337X1090"/>
    <s v="YES"/>
    <s v="COMM.O"/>
    <m/>
    <s v="CommScope Holding Company Inc"/>
    <x v="8"/>
    <n v="22.6708"/>
    <n v="22.6708"/>
    <n v="1200"/>
    <n v="-27204.959999999999"/>
    <n v="-11.34"/>
    <n v="-2.2599999999999998"/>
    <n v="0"/>
    <n v="-27218.559999999998"/>
    <n v="1.1340054205459102"/>
    <m/>
    <x v="0"/>
    <s v="Kepler"/>
  </r>
  <r>
    <d v="2019-02-19T00:00:00"/>
    <s v="BUY"/>
    <s v="AVT.O"/>
    <s v="US0538071038"/>
    <s v="YES"/>
    <s v="AVT.O"/>
    <m/>
    <s v="Avnet Inc"/>
    <x v="8"/>
    <n v="44.15"/>
    <n v="44.15"/>
    <n v="700"/>
    <n v="-30905"/>
    <n v="-12.88"/>
    <n v="-2.57"/>
    <n v="0"/>
    <n v="-30920.45"/>
    <n v="1.13400542054591"/>
    <m/>
    <x v="0"/>
    <s v="Kepler"/>
  </r>
  <r>
    <d v="2019-02-19T00:00:00"/>
    <s v="BUY"/>
    <s v="DOX.O"/>
    <s v="GB0022569080"/>
    <s v="YES"/>
    <s v="DOX.O"/>
    <m/>
    <s v="Amdocs Ltd"/>
    <x v="8"/>
    <n v="56.03"/>
    <n v="56.03"/>
    <n v="1100"/>
    <n v="-61633"/>
    <n v="-25.69"/>
    <n v="-5.13"/>
    <n v="0"/>
    <n v="-61663.82"/>
    <n v="1.1340054205459102"/>
    <m/>
    <x v="0"/>
    <s v="Kepler"/>
  </r>
  <r>
    <d v="2019-02-19T00:00:00"/>
    <s v="BUY"/>
    <s v="AVYA.K"/>
    <s v="US05351X1019"/>
    <s v="YES"/>
    <s v="AVYA.K"/>
    <m/>
    <s v="Avaya Holdings Corp"/>
    <x v="8"/>
    <n v="16.275300000000001"/>
    <n v="16.275300000000001"/>
    <n v="2700"/>
    <n v="-43943.310000000005"/>
    <n v="-18.309999999999999"/>
    <n v="-3.66"/>
    <n v="0"/>
    <n v="-43965.280000000006"/>
    <n v="1.1340054205459102"/>
    <m/>
    <x v="0"/>
    <s v="Kepler"/>
  </r>
  <r>
    <d v="2019-02-19T00:00:00"/>
    <s v="BUY"/>
    <s v="KEM"/>
    <s v="US4883602074"/>
    <s v="YES"/>
    <s v="KEM"/>
    <m/>
    <s v="KEMET Corp"/>
    <x v="8"/>
    <n v="18.671600000000002"/>
    <m/>
    <n v="2200"/>
    <n v="-41077.520000000004"/>
    <n v="-17.12"/>
    <n v="-3.42"/>
    <n v="0"/>
    <n v="-41098.060000000005"/>
    <n v="1.1357957384943893"/>
    <m/>
    <x v="0"/>
    <s v="Kepler"/>
  </r>
  <r>
    <d v="2019-02-19T00:00:00"/>
    <s v="BUY"/>
    <s v="RBBN.O"/>
    <s v="US7625441040"/>
    <s v="YES"/>
    <s v="RBBN.O"/>
    <m/>
    <s v="Ribbon Communications Inc"/>
    <x v="8"/>
    <n v="6.1555999999999997"/>
    <n v="6.1555999999999997"/>
    <n v="5000"/>
    <n v="-30778"/>
    <n v="-12.83"/>
    <n v="-2.56"/>
    <n v="0"/>
    <n v="-30793.390000000003"/>
    <n v="1.1340054205459102"/>
    <m/>
    <x v="0"/>
    <s v="Kepler"/>
  </r>
  <r>
    <d v="2019-02-19T00:00:00"/>
    <s v="BUY"/>
    <s v="HOG"/>
    <s v="US4128221086"/>
    <s v="YES"/>
    <s v="HOG"/>
    <m/>
    <s v="Harley-Davidson Inc"/>
    <x v="8"/>
    <n v="37.011600000000001"/>
    <n v="37.011600000000001"/>
    <n v="1100"/>
    <n v="-40712.76"/>
    <n v="-16.97"/>
    <n v="-3.39"/>
    <n v="0"/>
    <n v="-40733.120000000003"/>
    <n v="1.13400542054591"/>
    <m/>
    <x v="0"/>
    <s v="Kepler"/>
  </r>
  <r>
    <d v="2019-02-19T00:00:00"/>
    <s v="BUY"/>
    <s v="WY"/>
    <s v="US9621661043"/>
    <s v="YES"/>
    <s v="WY"/>
    <m/>
    <s v="Weyerhaeuser Co"/>
    <x v="8"/>
    <n v="25.68"/>
    <n v="25.68"/>
    <n v="2200"/>
    <n v="-56496"/>
    <n v="-23.55"/>
    <n v="-4.7"/>
    <n v="0"/>
    <n v="-56524.25"/>
    <n v="1.13400542054591"/>
    <m/>
    <x v="0"/>
    <s v="Kepler"/>
  </r>
  <r>
    <d v="2019-02-19T00:00:00"/>
    <s v="BUY"/>
    <s v="KBLT.V"/>
    <s v="CA19075M3093"/>
    <s v="YES"/>
    <s v="KBLT.V"/>
    <m/>
    <s v="Cobalt 27 Capital Corp"/>
    <x v="9"/>
    <n v="4.0095619999999998"/>
    <n v="4.0095619999999998"/>
    <n v="8000"/>
    <n v="-32076.495999999999"/>
    <n v="-13.37"/>
    <n v="-2.67"/>
    <n v="0"/>
    <n v="-32092.535999999996"/>
    <n v="1.49756755837293"/>
    <m/>
    <x v="0"/>
    <s v="Kepler"/>
  </r>
  <r>
    <d v="2019-02-19T00:00:00"/>
    <s v="BUY"/>
    <s v="CFP.TO"/>
    <s v="CA1375761048"/>
    <s v="YES"/>
    <s v="CFP.TO"/>
    <m/>
    <s v="Canfor Corp"/>
    <x v="9"/>
    <n v="15.977"/>
    <n v="15.977"/>
    <n v="3700"/>
    <n v="-59114.9"/>
    <n v="-24.64"/>
    <n v="-4.92"/>
    <n v="0"/>
    <n v="-59144.46"/>
    <n v="1.49756755837293"/>
    <m/>
    <x v="0"/>
    <s v="Kepler"/>
  </r>
  <r>
    <d v="2019-02-19T00:00:00"/>
    <s v="BUY"/>
    <s v="RFP"/>
    <s v="US76117W1099"/>
    <s v="YES"/>
    <s v="RFP"/>
    <m/>
    <s v="Resolute Forest"/>
    <x v="8"/>
    <n v="8.5077999999999996"/>
    <n v="8.5077999999999996"/>
    <n v="4200"/>
    <n v="-35732.759999999995"/>
    <n v="-14.9"/>
    <n v="-2.97"/>
    <n v="0"/>
    <n v="-35750.629999999997"/>
    <n v="1.1299999999999999"/>
    <m/>
    <x v="0"/>
    <s v="Kepler"/>
  </r>
  <r>
    <d v="2019-02-19T00:00:00"/>
    <s v="BUY"/>
    <s v="IFP.TO"/>
    <s v="CA45868C1095"/>
    <s v="YES"/>
    <s v="IFP.TO"/>
    <m/>
    <s v="Interfor Corp"/>
    <x v="9"/>
    <n v="16.015799999999999"/>
    <n v="16.015799999999999"/>
    <n v="4200"/>
    <n v="-67266.36"/>
    <n v="-53.81"/>
    <n v="0"/>
    <n v="0"/>
    <n v="-67320.17"/>
    <n v="1.4975675583729275"/>
    <m/>
    <x v="0"/>
    <s v="Equita"/>
  </r>
  <r>
    <d v="2019-02-19T00:00:00"/>
    <s v="BUY"/>
    <s v="ERMT.PA"/>
    <s v="FR0000131757"/>
    <s v="YES"/>
    <s v="ERMT.PA"/>
    <m/>
    <s v="Eramet SA"/>
    <x v="5"/>
    <n v="59.998600000000003"/>
    <n v="59.998600000000003"/>
    <n v="660"/>
    <n v="-39599.076000000001"/>
    <n v="-31.68"/>
    <n v="0"/>
    <n v="-118.8"/>
    <n v="-39749.556000000004"/>
    <n v="1"/>
    <m/>
    <x v="0"/>
    <s v="Equita"/>
  </r>
  <r>
    <d v="2019-02-19T00:00:00"/>
    <s v="BUY"/>
    <s v="SIEGn.DE"/>
    <s v="DE0007236101"/>
    <s v="YES"/>
    <s v="SIEGn.DE"/>
    <m/>
    <s v="Siemens AG"/>
    <x v="5"/>
    <n v="93.77"/>
    <n v="93.77"/>
    <n v="320"/>
    <n v="-30006.399999999998"/>
    <n v="-24.01"/>
    <n v="0"/>
    <n v="0"/>
    <n v="-30030.409999999996"/>
    <n v="1"/>
    <m/>
    <x v="0"/>
    <s v="Equita"/>
  </r>
  <r>
    <d v="2019-03-19T00:00:00"/>
    <s v="BUY"/>
    <s v="BARC.L"/>
    <s v="GB0031348658"/>
    <s v="YES"/>
    <s v="BARC.L"/>
    <m/>
    <s v="Barclays PLC"/>
    <x v="6"/>
    <n v="1.58"/>
    <m/>
    <n v="16600"/>
    <n v="-26228"/>
    <n v="-20.98"/>
    <n v="0"/>
    <n v="-132.13999999999999"/>
    <n v="-26381.119999999999"/>
    <n v="0.86153321201091759"/>
    <m/>
    <x v="0"/>
    <s v="Equita"/>
  </r>
  <r>
    <d v="2019-02-19T00:00:00"/>
    <s v="BUY"/>
    <s v="CONG.DE"/>
    <s v="DE0005439004"/>
    <s v="YES"/>
    <s v="CONG.DE"/>
    <m/>
    <s v="Continental AG"/>
    <x v="5"/>
    <n v="137.94999999999999"/>
    <n v="137.94999999999999"/>
    <n v="215"/>
    <n v="-29659.249999999996"/>
    <n v="-23.73"/>
    <n v="0"/>
    <n v="0"/>
    <n v="-29682.979999999996"/>
    <n v="1"/>
    <m/>
    <x v="0"/>
    <s v="Equita"/>
  </r>
  <r>
    <d v="2019-02-19T00:00:00"/>
    <s v="BUY"/>
    <s v="RENA.PA"/>
    <s v="FR0000131906"/>
    <s v="YES"/>
    <s v="RENA.PA"/>
    <m/>
    <s v="Renault SA"/>
    <x v="5"/>
    <n v="58.95"/>
    <n v="58.95"/>
    <n v="510"/>
    <n v="-30064.5"/>
    <n v="-24.05"/>
    <n v="0"/>
    <n v="-90.19"/>
    <n v="-30178.739999999998"/>
    <n v="1"/>
    <m/>
    <x v="0"/>
    <s v="Equita"/>
  </r>
  <r>
    <d v="2019-02-19T00:00:00"/>
    <s v="BUY"/>
    <s v="PSHG_p.DE"/>
    <s v="DE000PAH0038"/>
    <s v="YES"/>
    <s v="PSHG_p.DE"/>
    <m/>
    <s v="Porsche Automobil Holding SE"/>
    <x v="5"/>
    <n v="55.18"/>
    <n v="55.18"/>
    <n v="540"/>
    <n v="-29797.200000000001"/>
    <n v="-23.84"/>
    <n v="0"/>
    <n v="0"/>
    <n v="-29821.040000000001"/>
    <n v="1"/>
    <m/>
    <x v="0"/>
    <s v="Equita"/>
  </r>
  <r>
    <d v="2019-02-19T00:00:00"/>
    <s v="BUY"/>
    <s v="VOWG_p.DE"/>
    <s v="DE0007664039"/>
    <s v="YES"/>
    <s v="VOWG_p.DE"/>
    <m/>
    <s v="Volkswagen AG"/>
    <x v="5"/>
    <n v="141.80000000000001"/>
    <n v="141.80000000000001"/>
    <n v="280"/>
    <n v="-39704"/>
    <n v="-31.76"/>
    <n v="0"/>
    <n v="0"/>
    <n v="-39735.760000000002"/>
    <n v="1"/>
    <m/>
    <x v="0"/>
    <s v="Equita"/>
  </r>
  <r>
    <d v="2019-02-19T00:00:00"/>
    <s v="BUY"/>
    <s v="SOLB.BR"/>
    <s v="BE0003470755"/>
    <s v="YES"/>
    <s v="SOLB.BR"/>
    <m/>
    <s v="Solvay SA"/>
    <x v="5"/>
    <n v="99.352699999999999"/>
    <n v="99.352699999999999"/>
    <n v="400"/>
    <n v="-39741.08"/>
    <n v="-31.79"/>
    <n v="0"/>
    <n v="0"/>
    <n v="-39772.870000000003"/>
    <n v="1"/>
    <m/>
    <x v="0"/>
    <s v="Equita"/>
  </r>
  <r>
    <d v="2019-02-19T00:00:00"/>
    <s v="BUY"/>
    <s v="O2Dn.DE"/>
    <s v="DE000A1J5RX9"/>
    <s v="YES"/>
    <s v="O2Dn.DE"/>
    <m/>
    <s v="Telefonica Deutschland Holding AG"/>
    <x v="5"/>
    <n v="3.032"/>
    <n v="3.032"/>
    <n v="11000"/>
    <n v="-33352"/>
    <n v="-26.68"/>
    <n v="0"/>
    <n v="0"/>
    <n v="-33378.68"/>
    <n v="1"/>
    <m/>
    <x v="0"/>
    <s v="Equita"/>
  </r>
  <r>
    <d v="2019-02-19T00:00:00"/>
    <s v="BUY"/>
    <s v="1COV.DE"/>
    <s v="DE0006062144"/>
    <s v="YES"/>
    <s v="1COV.DE"/>
    <m/>
    <s v="Covestro AG"/>
    <x v="5"/>
    <n v="50.32"/>
    <n v="50.32"/>
    <n v="500"/>
    <n v="-25160"/>
    <n v="-20.13"/>
    <n v="0"/>
    <n v="0"/>
    <n v="-25180.13"/>
    <n v="1"/>
    <m/>
    <x v="0"/>
    <s v="Equita"/>
  </r>
  <r>
    <d v="2019-02-20T00:00:00"/>
    <s v="BUY"/>
    <s v="6501.T"/>
    <s v="JP3788600009"/>
    <s v="YES"/>
    <s v="6501.T"/>
    <m/>
    <s v="Hitachi Ltd"/>
    <x v="0"/>
    <n v="3500"/>
    <n v="3500"/>
    <n v="1500"/>
    <n v="-5250000"/>
    <n v="-3063"/>
    <n v="0"/>
    <n v="-613"/>
    <n v="-5253676"/>
    <n v="125.64893110562011"/>
    <m/>
    <x v="2"/>
    <s v="Kepler"/>
  </r>
  <r>
    <d v="2019-02-20T00:00:00"/>
    <s v="BUY"/>
    <s v="5713.T"/>
    <s v="JP3402600005"/>
    <s v="YES"/>
    <s v="5713.T"/>
    <m/>
    <s v="Sumitomo Metal Mining Co Ltd"/>
    <x v="0"/>
    <n v="3184"/>
    <n v="3184"/>
    <n v="1400"/>
    <n v="-4457600"/>
    <n v="-2600"/>
    <n v="0"/>
    <n v="-520"/>
    <n v="-4460720"/>
    <n v="125.6489311056197"/>
    <m/>
    <x v="2"/>
    <s v="Kepler"/>
  </r>
  <r>
    <d v="2019-02-20T00:00:00"/>
    <s v="BUY"/>
    <s v="5301.T"/>
    <s v="JP3560800009"/>
    <s v="YES"/>
    <s v="5301.T"/>
    <m/>
    <s v="Tokai Carbon Co Ltd"/>
    <x v="0"/>
    <n v="1530"/>
    <n v="1530"/>
    <n v="2000"/>
    <n v="-3060000"/>
    <n v="-1785"/>
    <n v="0"/>
    <n v="-357"/>
    <n v="-3062142"/>
    <n v="125.64893110561991"/>
    <m/>
    <x v="2"/>
    <s v="Kepler"/>
  </r>
  <r>
    <d v="2019-02-20T00:00:00"/>
    <s v="BUY"/>
    <s v="4004.T"/>
    <s v="JP3368000000"/>
    <s v="YES"/>
    <s v="4004.T"/>
    <m/>
    <s v="Showa Denko KK"/>
    <x v="0"/>
    <n v="3890"/>
    <n v="3890"/>
    <n v="1000"/>
    <n v="-3890000"/>
    <n v="-2269"/>
    <n v="0"/>
    <n v="-454"/>
    <n v="-3892723"/>
    <n v="125.64893110561981"/>
    <m/>
    <x v="2"/>
    <s v="Kepler"/>
  </r>
  <r>
    <d v="2019-02-20T00:00:00"/>
    <s v="BUY"/>
    <s v="4005.T"/>
    <s v="JP3401400001"/>
    <s v="YES"/>
    <s v="4005.T"/>
    <m/>
    <s v="Sumitomo Chemical Co Ltd"/>
    <x v="0"/>
    <n v="563"/>
    <n v="563"/>
    <n v="8900"/>
    <n v="-5010700"/>
    <n v="-2923"/>
    <n v="0"/>
    <n v="-585"/>
    <n v="-5014208"/>
    <n v="125.64893110561997"/>
    <m/>
    <x v="2"/>
    <s v="Kepler"/>
  </r>
  <r>
    <d v="2019-02-20T00:00:00"/>
    <s v="BUY"/>
    <s v="3407.T"/>
    <s v="JP3111200006"/>
    <s v="YES"/>
    <s v="3407.T"/>
    <m/>
    <s v="Asahi Kasei Corp"/>
    <x v="0"/>
    <n v="1233.5"/>
    <n v="1233.5"/>
    <n v="4200"/>
    <n v="-5180700"/>
    <n v="-3022"/>
    <n v="0"/>
    <n v="-604"/>
    <n v="-5184326"/>
    <n v="125.64893110561988"/>
    <m/>
    <x v="2"/>
    <s v="Kepler"/>
  </r>
  <r>
    <d v="2019-02-20T00:00:00"/>
    <s v="BUY"/>
    <s v="4188.T"/>
    <s v="JP3897700005"/>
    <s v="YES"/>
    <s v="4188.T"/>
    <m/>
    <s v="Mitsubishi Chemical Holdings Corp"/>
    <x v="0"/>
    <n v="830"/>
    <n v="830"/>
    <n v="7600"/>
    <n v="-6308000"/>
    <n v="-3680"/>
    <n v="0"/>
    <n v="-736"/>
    <n v="-6312416"/>
    <n v="125.64893110561992"/>
    <m/>
    <x v="2"/>
    <s v="Kepler"/>
  </r>
  <r>
    <d v="2019-02-20T00:00:00"/>
    <s v="BUY"/>
    <s v="9433.T"/>
    <s v="JP3496400007"/>
    <s v="YES"/>
    <s v="9433.T"/>
    <m/>
    <s v="KDDI Corp"/>
    <x v="0"/>
    <n v="2719"/>
    <n v="2719"/>
    <n v="1400"/>
    <n v="-3806600"/>
    <n v="-2221"/>
    <n v="0"/>
    <n v="-444"/>
    <n v="-3809265"/>
    <n v="125.64893110561971"/>
    <m/>
    <x v="2"/>
    <s v="Kepler"/>
  </r>
  <r>
    <d v="2019-02-20T00:00:00"/>
    <s v="BUY"/>
    <s v="5302.T"/>
    <s v="JP3690400001"/>
    <s v="YES"/>
    <s v="5302.T"/>
    <m/>
    <s v="Nippon Carbon Co Ltd"/>
    <x v="0"/>
    <n v="5290"/>
    <n v="5290"/>
    <n v="1000"/>
    <n v="-5290000"/>
    <n v="-3086"/>
    <n v="0"/>
    <n v="-617"/>
    <n v="-5293703"/>
    <n v="125.64893110562001"/>
    <m/>
    <x v="2"/>
    <s v="Kepler"/>
  </r>
  <r>
    <d v="2019-02-20T00:00:00"/>
    <s v="BUY"/>
    <s v="4217.T"/>
    <s v="JP3785000005"/>
    <s v="YES"/>
    <s v="4217.T"/>
    <m/>
    <s v="Hitachi Chemical Co Ltd"/>
    <x v="0"/>
    <n v="2062"/>
    <n v="2062"/>
    <n v="2500"/>
    <n v="-5155000"/>
    <n v="-3008"/>
    <n v="0"/>
    <n v="-602"/>
    <n v="-5158610"/>
    <n v="125.64893110561975"/>
    <m/>
    <x v="2"/>
    <s v="Kepler"/>
  </r>
  <r>
    <d v="2019-02-20T00:00:00"/>
    <s v="BUY"/>
    <s v="VLOF.PA"/>
    <s v="FR0013176526"/>
    <s v="YES"/>
    <s v="VLOF.PA"/>
    <m/>
    <s v="Valeo SA"/>
    <x v="5"/>
    <n v="27.27"/>
    <n v="27.27"/>
    <n v="1700"/>
    <n v="-46359"/>
    <n v="-37.090000000000003"/>
    <n v="0"/>
    <n v="-139.08000000000001"/>
    <n v="-46535.17"/>
    <n v="1"/>
    <m/>
    <x v="3"/>
    <s v="Equita"/>
  </r>
  <r>
    <d v="2019-02-20T00:00:00"/>
    <s v="BUY"/>
    <s v="VOD.L"/>
    <s v="GB00BH4HKS39"/>
    <s v="YES"/>
    <s v="VOD.L"/>
    <m/>
    <s v="Vodafone Group PLC"/>
    <x v="6"/>
    <n v="1.4117999999999999"/>
    <n v="1.4117999999999999E-2"/>
    <n v="22000"/>
    <n v="-31059.599999999999"/>
    <n v="-24.85"/>
    <n v="0"/>
    <n v="-156.30000000000001"/>
    <n v="-31240.749999999996"/>
    <n v="0.86864954319784293"/>
    <m/>
    <x v="3"/>
    <s v="Equita"/>
  </r>
  <r>
    <d v="2019-02-20T00:00:00"/>
    <s v="BUY"/>
    <s v="ITV.L"/>
    <s v="GB0033986497"/>
    <s v="YES"/>
    <s v="ITV.L"/>
    <m/>
    <s v="ITV PLC"/>
    <x v="6"/>
    <n v="1.3205"/>
    <n v="1.3205E-2"/>
    <n v="22000"/>
    <n v="-29051"/>
    <n v="-23.24"/>
    <n v="0"/>
    <n v="-146.26"/>
    <n v="-29220.5"/>
    <n v="0.86864954319783894"/>
    <m/>
    <x v="3"/>
    <s v="Equita"/>
  </r>
  <r>
    <d v="2019-02-20T00:00:00"/>
    <s v="BUY"/>
    <s v="PSMGn.DE"/>
    <s v="DE000PSM7770"/>
    <s v="YES"/>
    <s v="PSMGn.DE"/>
    <m/>
    <s v="Prosiebensat 1 Media SE"/>
    <x v="5"/>
    <n v="15.315"/>
    <n v="15.315"/>
    <n v="2200"/>
    <n v="-33693"/>
    <n v="-26.95"/>
    <n v="0"/>
    <n v="0"/>
    <n v="-33719.949999999997"/>
    <n v="1"/>
    <m/>
    <x v="3"/>
    <s v="Equita"/>
  </r>
  <r>
    <d v="2019-02-20T00:00:00"/>
    <s v="BUY"/>
    <s v="TL5.MC"/>
    <s v="ES0152503035"/>
    <s v="YES"/>
    <s v="TL5.MC"/>
    <m/>
    <s v="Mediaset Espana Comunicacion SA"/>
    <x v="5"/>
    <n v="6.4774000000000003"/>
    <n v="6.4774000000000003"/>
    <n v="4200"/>
    <n v="-27205.08"/>
    <n v="-21.76"/>
    <n v="0"/>
    <n v="0"/>
    <n v="-27226.84"/>
    <n v="1"/>
    <m/>
    <x v="3"/>
    <s v="Equita"/>
  </r>
  <r>
    <d v="2019-02-20T00:00:00"/>
    <s v="BUY"/>
    <s v="MMTP.PA"/>
    <s v="FR0000053225"/>
    <s v="YES"/>
    <s v="MMTP.PA"/>
    <m/>
    <s v="Metropole Television SA"/>
    <x v="5"/>
    <n v="15.78"/>
    <n v="15.78"/>
    <n v="2200"/>
    <n v="-34716"/>
    <n v="-27.77"/>
    <n v="0"/>
    <n v="-104.15"/>
    <n v="-34847.919999999998"/>
    <n v="1"/>
    <m/>
    <x v="3"/>
    <s v="Equita"/>
  </r>
  <r>
    <d v="2019-02-20T00:00:00"/>
    <s v="BUY"/>
    <s v="TFFP.PA"/>
    <s v="FR0000054900"/>
    <s v="YES"/>
    <s v="TFFP.PA"/>
    <m/>
    <s v="Television Francaise 1 SA"/>
    <x v="5"/>
    <n v="8.0189000000000004"/>
    <n v="8.0189000000000004"/>
    <n v="2200"/>
    <n v="-17641.580000000002"/>
    <n v="-14.11"/>
    <n v="0"/>
    <n v="-52.92"/>
    <n v="-17708.61"/>
    <n v="1"/>
    <m/>
    <x v="3"/>
    <s v="Equita"/>
  </r>
  <r>
    <d v="2019-02-20T00:00:00"/>
    <s v="BUY"/>
    <s v="STERV.HE"/>
    <s v="FI0009005961"/>
    <s v="YES"/>
    <s v="STERV.HE"/>
    <m/>
    <s v="Stora Enso Oyj"/>
    <x v="5"/>
    <n v="12.007400000000001"/>
    <n v="12.007400000000001"/>
    <n v="3000"/>
    <n v="-36022.200000000004"/>
    <n v="-28.82"/>
    <n v="0"/>
    <n v="0"/>
    <n v="-36051.020000000004"/>
    <n v="1"/>
    <m/>
    <x v="3"/>
    <s v="Equita"/>
  </r>
  <r>
    <d v="2019-02-20T00:00:00"/>
    <s v="BUY"/>
    <s v="GCI"/>
    <s v="US36473H1041"/>
    <s v="YES"/>
    <s v="GCI"/>
    <m/>
    <s v="Gannett Co Inc"/>
    <x v="8"/>
    <n v="10.944100000000001"/>
    <n v="10.944100000000001"/>
    <n v="2200"/>
    <n v="-24077.02"/>
    <n v="-10.039999999999999"/>
    <n v="0"/>
    <n v="-2"/>
    <n v="-24089.06"/>
    <n v="1.1335041146199363"/>
    <m/>
    <x v="3"/>
    <s v="Kepler"/>
  </r>
  <r>
    <d v="2019-02-20T00:00:00"/>
    <s v="BUY"/>
    <s v="GME"/>
    <s v="US36467W1099"/>
    <s v="YES"/>
    <s v="GME"/>
    <m/>
    <s v="GameStop Corp"/>
    <x v="8"/>
    <n v="11.241300000000001"/>
    <n v="11.241300000000001"/>
    <n v="4200"/>
    <n v="-47213.460000000006"/>
    <n v="-19.68"/>
    <n v="0"/>
    <n v="-3.93"/>
    <n v="-47237.070000000007"/>
    <n v="1.1335041146199358"/>
    <m/>
    <x v="3"/>
    <s v="Kepler"/>
  </r>
  <r>
    <d v="2019-02-20T00:00:00"/>
    <s v="BUY"/>
    <s v="BBBY.O"/>
    <s v="US0758961009"/>
    <s v="YES"/>
    <s v="BBBY.O"/>
    <m/>
    <s v="Bed Bath &amp; Beyond Inc"/>
    <x v="8"/>
    <n v="16.850000000000001"/>
    <n v="16.850000000000001"/>
    <n v="1700"/>
    <n v="-28645.000000000004"/>
    <n v="-11.94"/>
    <n v="0"/>
    <n v="-2.38"/>
    <n v="-28659.320000000003"/>
    <n v="1.1335041146199361"/>
    <m/>
    <x v="3"/>
    <s v="Kepler"/>
  </r>
  <r>
    <d v="2019-02-20T00:00:00"/>
    <s v="BUY"/>
    <s v="ODP.O"/>
    <s v="US6762201068"/>
    <s v="YES"/>
    <s v="ODP.O"/>
    <m/>
    <s v="Office Depot Inc"/>
    <x v="8"/>
    <n v="3.31"/>
    <n v="3.31"/>
    <n v="6700"/>
    <n v="-22177"/>
    <n v="-9.25"/>
    <n v="0"/>
    <n v="-1.84"/>
    <n v="-22188.09"/>
    <n v="1.1335041146199361"/>
    <m/>
    <x v="3"/>
    <s v="Kepler"/>
  </r>
  <r>
    <d v="2019-02-20T00:00:00"/>
    <s v="BUY"/>
    <s v="M"/>
    <s v="US55616P1049"/>
    <s v="YES"/>
    <s v="M"/>
    <m/>
    <s v="Macy's Inc"/>
    <x v="8"/>
    <n v="25.16"/>
    <n v="25.16"/>
    <n v="1700"/>
    <n v="-42772"/>
    <n v="-17.829999999999998"/>
    <n v="0"/>
    <n v="-3.56"/>
    <n v="-42793.39"/>
    <n v="1.1335041146199361"/>
    <m/>
    <x v="3"/>
    <s v="Kepler"/>
  </r>
  <r>
    <d v="2019-02-20T00:00:00"/>
    <s v="BUY"/>
    <s v="KT.N"/>
    <s v="US48268K1016"/>
    <s v="YES"/>
    <s v="KT.N"/>
    <m/>
    <s v="KT Corp"/>
    <x v="8"/>
    <n v="13.5061"/>
    <n v="13.5061"/>
    <n v="6700"/>
    <n v="-90490.87"/>
    <n v="-37.71"/>
    <n v="0"/>
    <n v="-7.54"/>
    <n v="-90536.12"/>
    <n v="1.1335041146199361"/>
    <m/>
    <x v="3"/>
    <s v="Kepler"/>
  </r>
  <r>
    <d v="2019-02-20T00:00:00"/>
    <s v="BUY"/>
    <s v="SKM"/>
    <s v="US78440P1084"/>
    <s v="YES"/>
    <s v="SKM"/>
    <m/>
    <s v="SK Telecom Co Ltd"/>
    <x v="8"/>
    <n v="25.5564"/>
    <n v="25.5564"/>
    <n v="2200"/>
    <n v="-56224.08"/>
    <n v="-23.43"/>
    <n v="0"/>
    <n v="-4.68"/>
    <n v="-56252.19"/>
    <n v="1.1335041146199361"/>
    <m/>
    <x v="3"/>
    <s v="Kepler"/>
  </r>
  <r>
    <d v="2019-02-20T00:00:00"/>
    <s v="BUY"/>
    <s v="VEON.O"/>
    <s v="US91822M1062"/>
    <s v="YES"/>
    <s v="VEON.O"/>
    <m/>
    <s v="VEON Ltd"/>
    <x v="8"/>
    <n v="2.5097"/>
    <n v="2.5097"/>
    <n v="22000"/>
    <n v="-55213.4"/>
    <n v="-23.01"/>
    <n v="0"/>
    <n v="-4.5999999999999996"/>
    <n v="-55241.01"/>
    <n v="1.1335041146199361"/>
    <m/>
    <x v="3"/>
    <s v="Kepler"/>
  </r>
  <r>
    <d v="2019-02-20T00:00:00"/>
    <s v="BUY"/>
    <s v="AA"/>
    <s v="US0138721065"/>
    <s v="YES"/>
    <s v="AA"/>
    <m/>
    <s v="Alcoa Corp"/>
    <x v="8"/>
    <n v="29.35"/>
    <n v="29.35"/>
    <n v="1700"/>
    <n v="-49895"/>
    <n v="-20.8"/>
    <n v="0"/>
    <n v="-4.1500000000000004"/>
    <n v="-49919.950000000004"/>
    <n v="1.1335041146199361"/>
    <m/>
    <x v="3"/>
    <s v="Kepler"/>
  </r>
  <r>
    <d v="2019-02-20T00:00:00"/>
    <s v="BUY"/>
    <s v="ARNC.K"/>
    <s v="US03965L1008"/>
    <s v="YES"/>
    <s v="ARNC.K"/>
    <m/>
    <s v="Arconic Inc"/>
    <x v="8"/>
    <n v="18.293299999999999"/>
    <n v="18.293299999999999"/>
    <n v="4200"/>
    <n v="-76831.86"/>
    <n v="-32.020000000000003"/>
    <n v="0"/>
    <n v="-6.4"/>
    <n v="-76870.28"/>
    <n v="1.1335041146199361"/>
    <m/>
    <x v="3"/>
    <s v="Kepler"/>
  </r>
  <r>
    <d v="2019-02-20T00:00:00"/>
    <s v="BUY"/>
    <s v="KNL"/>
    <s v="US4989042001"/>
    <s v="YES"/>
    <s v="KNL"/>
    <m/>
    <s v="Knoll Inc"/>
    <x v="8"/>
    <n v="21.422499999999999"/>
    <n v="21.422499999999999"/>
    <n v="2200"/>
    <n v="-47129.5"/>
    <n v="-19.64"/>
    <n v="0"/>
    <n v="-3.92"/>
    <n v="-47153.06"/>
    <n v="1.1335041146199361"/>
    <m/>
    <x v="3"/>
    <s v="Kepler"/>
  </r>
  <r>
    <d v="2019-02-20T00:00:00"/>
    <s v="BUY"/>
    <s v="PBI"/>
    <s v="US7244791007"/>
    <s v="YES"/>
    <s v="PBI"/>
    <m/>
    <s v="Pitney Bowes Inc"/>
    <x v="8"/>
    <n v="7.0899000000000001"/>
    <n v="7.0899000000000001"/>
    <n v="3200"/>
    <n v="-22687.68"/>
    <n v="-9.4499999999999993"/>
    <n v="0"/>
    <n v="-1.89"/>
    <n v="-22699.02"/>
    <n v="1.1335041146199361"/>
    <m/>
    <x v="3"/>
    <s v="Kepler"/>
  </r>
  <r>
    <d v="2019-02-20T00:00:00"/>
    <s v="BUY"/>
    <s v="BMWG.DE"/>
    <s v="DE0005190003"/>
    <s v="YES"/>
    <s v="BMWG.DE"/>
    <m/>
    <s v="Bayerische Motoren Werke AG"/>
    <x v="5"/>
    <n v="72.510000000000005"/>
    <n v="72.510000000000005"/>
    <n v="345"/>
    <n v="-25015.95"/>
    <n v="-20.010000000000002"/>
    <n v="0"/>
    <n v="0"/>
    <n v="-25035.96"/>
    <n v="1"/>
    <m/>
    <x v="3"/>
    <s v="Kepler"/>
  </r>
  <r>
    <d v="2019-02-20T00:00:00"/>
    <s v="BUY"/>
    <s v="DAIGn.DE"/>
    <s v="DE0007100000"/>
    <s v="YES"/>
    <s v="DAIGn.DE"/>
    <m/>
    <s v="Daimler AG"/>
    <x v="5"/>
    <n v="51.76"/>
    <n v="51.76"/>
    <n v="500"/>
    <n v="-25880"/>
    <n v="-20.7"/>
    <n v="0"/>
    <n v="0"/>
    <n v="-25900.7"/>
    <n v="1"/>
    <m/>
    <x v="3"/>
    <s v="Kepler"/>
  </r>
  <r>
    <d v="2019-02-21T00:00:00"/>
    <s v="BUY"/>
    <s v="ALELIO.ST"/>
    <s v="SE0008348072"/>
    <s v="YES"/>
    <s v="ALELIO.ST"/>
    <m/>
    <s v="Alelion Energy Systems AB"/>
    <x v="7"/>
    <n v="3.6497000000000002"/>
    <n v="3.6497000000000002"/>
    <n v="30000"/>
    <n v="-109491"/>
    <n v="-87.59"/>
    <n v="0"/>
    <n v="0"/>
    <n v="-109578.59"/>
    <n v="10.564598399492175"/>
    <m/>
    <x v="4"/>
    <s v="Equita"/>
  </r>
  <r>
    <d v="2019-02-21T00:00:00"/>
    <s v="BUY"/>
    <s v="GEDI.MI"/>
    <s v="IT0001398541"/>
    <s v="YES"/>
    <s v="GEDI.MI"/>
    <m/>
    <s v="GEDI Gruppo Editoriale SpA"/>
    <x v="5"/>
    <n v="0.36380000000000001"/>
    <n v="0.36380000000000001"/>
    <n v="67000"/>
    <n v="-24374.600000000002"/>
    <n v="-19.5"/>
    <n v="0"/>
    <n v="0"/>
    <n v="-24394.100000000002"/>
    <n v="1"/>
    <m/>
    <x v="4"/>
    <s v="Equita"/>
  </r>
  <r>
    <d v="2019-02-21T00:00:00"/>
    <s v="BUY"/>
    <s v="RCH.L"/>
    <s v="GB0009039941"/>
    <s v="YES"/>
    <s v="RCH.L"/>
    <m/>
    <s v="Reach PLC"/>
    <x v="6"/>
    <n v="0.59340000000000004"/>
    <n v="5.934E-3"/>
    <n v="22000"/>
    <n v="-13054.800000000001"/>
    <n v="-10.44"/>
    <n v="-66.27"/>
    <n v="0"/>
    <n v="-13131.510000000002"/>
    <n v="0.86890990745781216"/>
    <m/>
    <x v="4"/>
    <s v="Equita"/>
  </r>
  <r>
    <d v="2019-02-21T00:00:00"/>
    <s v="BUY"/>
    <s v="INME.I"/>
    <s v="IE00B59HWB19"/>
    <s v="YES"/>
    <s v="INME.I"/>
    <m/>
    <s v="Independent News &amp; Media PLC"/>
    <x v="5"/>
    <n v="0.69"/>
    <n v="0.69"/>
    <n v="220000"/>
    <n v="-151800"/>
    <n v="-12.14"/>
    <n v="-151.80000000000001"/>
    <n v="0"/>
    <n v="-151963.94"/>
    <n v="1"/>
    <m/>
    <x v="4"/>
    <s v="Equita"/>
  </r>
  <r>
    <d v="2019-02-21T00:00:00"/>
    <s v="BUY"/>
    <s v="DPWGn.DE"/>
    <s v="DE0005552004"/>
    <s v="YES"/>
    <s v="DPWGn.DE"/>
    <m/>
    <s v="Deutsche Post AG"/>
    <x v="5"/>
    <n v="26.73"/>
    <n v="26.73"/>
    <n v="1700"/>
    <n v="-45441"/>
    <n v="-36.35"/>
    <n v="0"/>
    <n v="0"/>
    <n v="-45477.35"/>
    <n v="1"/>
    <m/>
    <x v="4"/>
    <s v="Equita"/>
  </r>
  <r>
    <d v="2019-02-21T00:00:00"/>
    <s v="BUY"/>
    <s v="DEB.L"/>
    <s v="GB00B126KH97"/>
    <s v="YES"/>
    <s v="DEB.L"/>
    <m/>
    <s v="Debenhams PLC"/>
    <x v="6"/>
    <n v="3.27E-2"/>
    <n v="3.2699999999999998E-4"/>
    <n v="300000"/>
    <n v="-9810"/>
    <n v="-7.85"/>
    <n v="-49.05"/>
    <n v="0"/>
    <n v="-9866.9"/>
    <n v="0.86890990745780561"/>
    <m/>
    <x v="4"/>
    <s v="Equita"/>
  </r>
  <r>
    <d v="2019-02-21T00:00:00"/>
    <s v="BUY"/>
    <s v="VRKP.PA"/>
    <s v="FR0000062796"/>
    <s v="YES"/>
    <s v="VRKP.PA"/>
    <m/>
    <s v="Vranken Pommery Monopole SA"/>
    <x v="5"/>
    <n v="23.917400000000001"/>
    <n v="23.917400000000001"/>
    <n v="690"/>
    <n v="-16503.006000000001"/>
    <n v="-13.2"/>
    <n v="0"/>
    <n v="0"/>
    <n v="-16516.206000000002"/>
    <n v="1"/>
    <m/>
    <x v="4"/>
    <s v="Equita"/>
  </r>
  <r>
    <d v="2019-02-21T00:00:00"/>
    <s v="BUY"/>
    <s v="LAN.PA"/>
    <s v="FR0004027068"/>
    <s v="YES"/>
    <s v="LAN.PA"/>
    <m/>
    <s v="Lanson BCC SA"/>
    <x v="5"/>
    <n v="28.7836"/>
    <n v="28.7836"/>
    <n v="670"/>
    <n v="-19285.011999999999"/>
    <n v="-15.43"/>
    <n v="0"/>
    <n v="0"/>
    <n v="-19300.441999999999"/>
    <n v="1"/>
    <m/>
    <x v="4"/>
    <s v="Equita"/>
  </r>
  <r>
    <d v="2019-02-21T00:00:00"/>
    <s v="BUY"/>
    <s v="LPER.PA"/>
    <s v="FR0006864484"/>
    <s v="YES"/>
    <s v="LPER.PA"/>
    <m/>
    <s v="Laurent Perrier SA"/>
    <x v="5"/>
    <n v="93.4"/>
    <n v="93.4"/>
    <n v="110"/>
    <n v="-10274"/>
    <n v="-8.2200000000000006"/>
    <n v="0"/>
    <n v="0"/>
    <n v="-10282.219999999999"/>
    <n v="1"/>
    <m/>
    <x v="4"/>
    <s v="Equita"/>
  </r>
  <r>
    <d v="2019-02-21T00:00:00"/>
    <s v="BUY"/>
    <s v="MASIA.MI"/>
    <s v="IT0004125677"/>
    <s v="YES"/>
    <s v="MASIA.MI"/>
    <m/>
    <s v="Masi Agricola SpA"/>
    <x v="5"/>
    <n v="3.8012999999999999"/>
    <n v="3.8012999999999999"/>
    <n v="4000"/>
    <n v="-15205.199999999999"/>
    <n v="-12.16"/>
    <n v="0"/>
    <n v="0"/>
    <n v="-15217.359999999999"/>
    <n v="1"/>
    <m/>
    <x v="4"/>
    <s v="Equita"/>
  </r>
  <r>
    <d v="2019-02-21T00:00:00"/>
    <s v="BUY"/>
    <s v="BNAB.BR"/>
    <s v="BE0003008019"/>
    <s v="YES"/>
    <s v="BNAB.BR"/>
    <m/>
    <s v="National Bank of Belgium"/>
    <x v="5"/>
    <n v="2447.0587999999998"/>
    <n v="2447.0587999999998"/>
    <n v="17"/>
    <n v="-41599.999599999996"/>
    <n v="-33.28"/>
    <n v="0"/>
    <n v="0"/>
    <n v="-41633.279599999994"/>
    <n v="1"/>
    <m/>
    <x v="4"/>
    <s v="Equita"/>
  </r>
  <r>
    <d v="2019-02-21T00:00:00"/>
    <s v="BUY"/>
    <s v="SGCG.DE"/>
    <s v="DE0007235301"/>
    <s v="YES"/>
    <s v="SGCG.DE"/>
    <m/>
    <s v="SGL Carbon SE"/>
    <x v="5"/>
    <n v="7.4358000000000004"/>
    <n v="7.4358000000000004"/>
    <n v="3500"/>
    <n v="-26025.300000000003"/>
    <n v="-20.82"/>
    <n v="0"/>
    <n v="0"/>
    <n v="-26046.120000000003"/>
    <n v="1"/>
    <m/>
    <x v="4"/>
    <s v="Equita"/>
  </r>
  <r>
    <d v="2019-02-21T00:00:00"/>
    <s v="BUY"/>
    <s v="CECG.DE"/>
    <s v="DE0007257503"/>
    <s v="YES"/>
    <s v="CECG.DE"/>
    <m/>
    <s v="Ceconomy AG"/>
    <x v="5"/>
    <n v="5.0316999999999998"/>
    <n v="5.0316999999999998"/>
    <n v="6900"/>
    <n v="-34718.729999999996"/>
    <n v="-27.77"/>
    <n v="0"/>
    <n v="0"/>
    <n v="-34746.499999999993"/>
    <n v="1"/>
    <m/>
    <x v="4"/>
    <s v="Equita"/>
  </r>
  <r>
    <d v="2019-02-21T00:00:00"/>
    <s v="BUY"/>
    <s v="GLEN.L"/>
    <s v="JE00B4T3BW64"/>
    <s v="YES"/>
    <s v="GLEN.L"/>
    <m/>
    <s v="Glencore PLC"/>
    <x v="6"/>
    <n v="3.0282"/>
    <n v="3.0282E-2"/>
    <n v="11000"/>
    <n v="-33310.199999999997"/>
    <n v="-26.65"/>
    <n v="-1"/>
    <n v="0"/>
    <n v="-33337.85"/>
    <n v="0.86890990745781094"/>
    <m/>
    <x v="4"/>
    <s v="Equita"/>
  </r>
  <r>
    <d v="2019-02-21T00:00:00"/>
    <s v="BUY"/>
    <s v="T"/>
    <s v="US00206R1023"/>
    <s v="YES"/>
    <s v="T"/>
    <m/>
    <s v="AT&amp;T Inc"/>
    <x v="8"/>
    <n v="31.039899999999999"/>
    <n v="31.039899999999999"/>
    <n v="1700"/>
    <n v="-52767.83"/>
    <n v="-21.99"/>
    <n v="0"/>
    <n v="-4.3899999999999997"/>
    <n v="-52794.21"/>
    <n v="1.134095445472691"/>
    <m/>
    <x v="4"/>
    <s v="Kepler"/>
  </r>
  <r>
    <d v="2019-02-22T00:00:00"/>
    <s v="BUY"/>
    <s v="ERMT.PA"/>
    <s v="FR0000131757"/>
    <s v="YES"/>
    <s v="ERMT.PA"/>
    <m/>
    <s v="Eramet SA"/>
    <x v="5"/>
    <n v="48.2759"/>
    <m/>
    <n v="420"/>
    <n v="-20275.878000000001"/>
    <n v="-16.22"/>
    <n v="0"/>
    <n v="-60.83"/>
    <n v="-20352.928000000004"/>
    <n v="1"/>
    <m/>
    <x v="5"/>
    <s v="Equita"/>
  </r>
  <r>
    <d v="2019-02-22T00:00:00"/>
    <s v="BUY"/>
    <s v="ERMT.PA"/>
    <s v="FR0000131757"/>
    <s v="YES"/>
    <s v="ERMT.PA"/>
    <m/>
    <s v="Eramet SA"/>
    <x v="5"/>
    <n v="49.666200000000003"/>
    <m/>
    <n v="420"/>
    <n v="-20859.804"/>
    <n v="-16.690000000000001"/>
    <n v="0"/>
    <n v="-62.58"/>
    <n v="-20939.074000000001"/>
    <n v="1"/>
    <m/>
    <x v="5"/>
    <s v="Equita"/>
  </r>
  <r>
    <d v="2019-02-22T00:00:00"/>
    <s v="BUY"/>
    <s v="6674.T"/>
    <s v="JP3385820000"/>
    <s v="YES"/>
    <s v="6674.T"/>
    <m/>
    <s v="GS Yuasa Corp"/>
    <x v="0"/>
    <n v="2292.9090999999999"/>
    <n v="2292.9090999999999"/>
    <n v="2200"/>
    <n v="-5044400.0199999996"/>
    <n v="-4036"/>
    <n v="0"/>
    <n v="0"/>
    <n v="-5048436.0199999996"/>
    <n v="125.52168390491744"/>
    <m/>
    <x v="6"/>
    <s v="Equita"/>
  </r>
  <r>
    <d v="2019-02-22T00:00:00"/>
    <s v="BUY"/>
    <s v="4080.T"/>
    <s v="JP3468810001"/>
    <s v="YES"/>
    <s v="4080.T"/>
    <m/>
    <s v="Tanaka Chemical Corp"/>
    <x v="0"/>
    <n v="967.33330000000001"/>
    <n v="967.33330000000001"/>
    <n v="4200"/>
    <n v="-4062799.86"/>
    <n v="-3250"/>
    <n v="0"/>
    <n v="0"/>
    <n v="-4066049.86"/>
    <n v="125.52168390491738"/>
    <m/>
    <x v="6"/>
    <s v="Equita"/>
  </r>
  <r>
    <d v="2019-02-22T00:00:00"/>
    <s v="BUY"/>
    <s v="4092.T"/>
    <s v="JP3691600005"/>
    <s v="YES"/>
    <s v="4092.T"/>
    <m/>
    <s v="Nippon Chemical Industrial Co Ltd"/>
    <x v="0"/>
    <n v="2374.7199999999998"/>
    <n v="2374.7199999999998"/>
    <n v="2500"/>
    <n v="-5936799.9999999991"/>
    <n v="-4749"/>
    <n v="0"/>
    <n v="0"/>
    <n v="-5941548.9999999991"/>
    <n v="125.52168390491759"/>
    <m/>
    <x v="6"/>
    <s v="Equita"/>
  </r>
  <r>
    <d v="2019-02-22T00:00:00"/>
    <s v="BUY"/>
    <s v="4100.T"/>
    <s v="JP3627400009"/>
    <s v="YES"/>
    <s v="4100.T"/>
    <m/>
    <s v="Toda Kogyo Corp"/>
    <x v="0"/>
    <n v="2204.3332999999998"/>
    <n v="2204.3332999999998"/>
    <n v="2100"/>
    <n v="-4629099.93"/>
    <n v="-3703"/>
    <n v="0"/>
    <n v="0"/>
    <n v="-4632802.93"/>
    <n v="125.52168390491777"/>
    <m/>
    <x v="6"/>
    <s v="Equita"/>
  </r>
  <r>
    <d v="2019-02-22T00:00:00"/>
    <s v="BUY"/>
    <s v="6752.t"/>
    <s v="JP3866800000"/>
    <s v="YES"/>
    <s v="6752.T"/>
    <m/>
    <s v="Panasonic Corp"/>
    <x v="0"/>
    <n v="1038.5"/>
    <n v="1038.5"/>
    <n v="7800"/>
    <n v="-8100300"/>
    <n v="-6480"/>
    <n v="0"/>
    <n v="0"/>
    <n v="-8106780"/>
    <n v="125.52168390491745"/>
    <m/>
    <x v="6"/>
    <s v="Equita"/>
  </r>
  <r>
    <d v="2019-02-22T00:00:00"/>
    <s v="BUY"/>
    <s v="5310.T"/>
    <s v="JP3616000000"/>
    <s v="YES"/>
    <s v="5310.T"/>
    <m/>
    <s v="Toyo Tanso Co Ltd"/>
    <x v="0"/>
    <n v="2112.1333"/>
    <n v="2112.1333"/>
    <n v="3000"/>
    <n v="-6336399.8999999994"/>
    <n v="-5069"/>
    <n v="0"/>
    <n v="0"/>
    <n v="-6341468.8999999994"/>
    <n v="125.52168390491741"/>
    <m/>
    <x v="6"/>
    <s v="Equita"/>
  </r>
  <r>
    <d v="2019-02-22T00:00:00"/>
    <s v="BUY"/>
    <s v="3891.T"/>
    <s v="JP3707000000"/>
    <s v="YES"/>
    <s v="3891.T"/>
    <m/>
    <s v="Nippon Kodoshi Corp"/>
    <x v="0"/>
    <n v="1657.8181999999999"/>
    <n v="1657.8181999999999"/>
    <n v="2200"/>
    <n v="-3647200.04"/>
    <n v="-2918"/>
    <n v="0"/>
    <n v="0"/>
    <n v="-3650118.04"/>
    <n v="125.52168390491767"/>
    <m/>
    <x v="6"/>
    <s v="Equita"/>
  </r>
  <r>
    <d v="2019-02-22T00:00:00"/>
    <s v="BUY"/>
    <s v="4109.T"/>
    <s v="JP3399720006"/>
    <s v="YES"/>
    <s v="4109.T"/>
    <m/>
    <s v="Stella Chemifa Corp"/>
    <x v="0"/>
    <n v="3255.4454999999998"/>
    <n v="3255.4454999999998"/>
    <n v="1100"/>
    <n v="-3580990.05"/>
    <n v="-2865"/>
    <n v="0"/>
    <n v="0"/>
    <n v="-3583855.05"/>
    <n v="125.52168390491755"/>
    <m/>
    <x v="6"/>
    <s v="Equita"/>
  </r>
  <r>
    <d v="2019-02-22T00:00:00"/>
    <s v="BUY"/>
    <s v="5715.T"/>
    <s v="JP3826800009"/>
    <s v="YES"/>
    <s v="5715.T"/>
    <m/>
    <s v="Furukawa Co Ltd"/>
    <x v="0"/>
    <n v="1442.0908999999999"/>
    <n v="1442.0908999999999"/>
    <n v="2200"/>
    <n v="-3172599.98"/>
    <n v="-2538"/>
    <n v="0"/>
    <n v="0"/>
    <n v="-3175137.98"/>
    <n v="125.52168390491745"/>
    <m/>
    <x v="6"/>
    <s v="Equita"/>
  </r>
  <r>
    <d v="2019-02-22T00:00:00"/>
    <s v="BUY"/>
    <s v="4208.T"/>
    <s v="JP3158800007"/>
    <s v="YES"/>
    <s v="4208.T"/>
    <m/>
    <s v="Ube Industries Ltd"/>
    <x v="0"/>
    <n v="2572"/>
    <n v="2572"/>
    <n v="1100"/>
    <n v="-2829200"/>
    <n v="-2263"/>
    <n v="0"/>
    <n v="0"/>
    <n v="-2831463"/>
    <n v="125.52168390491732"/>
    <m/>
    <x v="6"/>
    <s v="Equita"/>
  </r>
  <r>
    <d v="2019-02-22T00:00:00"/>
    <s v="BUY"/>
    <s v="2344.T"/>
    <s v="JP3834050001"/>
    <s v="YES"/>
    <s v="2344.T"/>
    <m/>
    <s v="Heian Ceremony Service Co Ltd"/>
    <x v="0"/>
    <n v="922.5"/>
    <n v="922.5"/>
    <n v="800"/>
    <n v="-738000"/>
    <n v="-590"/>
    <n v="0"/>
    <n v="0"/>
    <n v="-738590"/>
    <n v="125.52168390491738"/>
    <m/>
    <x v="6"/>
    <s v="Equita"/>
  </r>
  <r>
    <d v="2019-02-22T00:00:00"/>
    <s v="BUY"/>
    <s v="9055.T"/>
    <s v="JP3126450000"/>
    <s v="YES"/>
    <s v="9055.T"/>
    <m/>
    <s v="Alps Logistics Co Ltd"/>
    <x v="0"/>
    <n v="811"/>
    <n v="811"/>
    <n v="800"/>
    <n v="-648800"/>
    <n v="-519"/>
    <n v="0"/>
    <n v="0"/>
    <n v="-649319"/>
    <n v="125.52168390491745"/>
    <m/>
    <x v="6"/>
    <s v="Equita"/>
  </r>
  <r>
    <d v="2019-02-22T00:00:00"/>
    <s v="BUY"/>
    <s v="6210.T"/>
    <s v="JP3609000009"/>
    <s v="YES"/>
    <s v="6210.T"/>
    <m/>
    <s v="Toyo Machinery &amp; Metal Co Ltd"/>
    <x v="0"/>
    <n v="608.30949999999996"/>
    <n v="608.30949999999996"/>
    <n v="4200"/>
    <n v="-2554899.9"/>
    <n v="-2044"/>
    <n v="0"/>
    <n v="0"/>
    <n v="-2556943.9"/>
    <n v="125.5216839049174"/>
    <m/>
    <x v="6"/>
    <s v="Equita"/>
  </r>
  <r>
    <d v="2019-02-22T00:00:00"/>
    <s v="BUY"/>
    <s v="1960.T"/>
    <s v="JP3335400002"/>
    <s v="YES"/>
    <s v="1960.T"/>
    <m/>
    <s v="Sanyo Engineering &amp; Construction Inc"/>
    <x v="0"/>
    <n v="672.47500000000002"/>
    <n v="672.47500000000002"/>
    <n v="400"/>
    <n v="-268990"/>
    <n v="-215"/>
    <n v="0"/>
    <n v="0"/>
    <n v="-269205"/>
    <n v="125.52168390491741"/>
    <m/>
    <x v="6"/>
    <s v="Equita"/>
  </r>
  <r>
    <d v="2019-02-22T00:00:00"/>
    <s v="BUY"/>
    <s v="LPCK.JK"/>
    <s v="ID1000080302"/>
    <s v="YES"/>
    <s v="LPCK.JK"/>
    <m/>
    <s v="Lippo Cikarang Tbk PT"/>
    <x v="4"/>
    <n v="2724.8"/>
    <n v="2724.8"/>
    <n v="170000"/>
    <n v="-463216000.00000006"/>
    <n v="-694824"/>
    <n v="-199183"/>
    <n v="-46322"/>
    <n v="-464156329.00000006"/>
    <n v="15939.711486118647"/>
    <m/>
    <x v="5"/>
    <s v="DBS"/>
  </r>
  <r>
    <d v="2019-02-22T00:00:00"/>
    <s v="BUY"/>
    <s v="LPKR.JK"/>
    <s v="ID1000108905"/>
    <s v="YES"/>
    <s v="LPKR.JK"/>
    <m/>
    <s v="Lippo Karawaci Tbk PT"/>
    <x v="4"/>
    <n v="284.46120000000002"/>
    <n v="284.46120000000002"/>
    <n v="1700000"/>
    <n v="-483584040.00000006"/>
    <n v="-725376"/>
    <n v="-207941"/>
    <n v="-48358"/>
    <n v="-484565715.00000006"/>
    <n v="15939.711486118236"/>
    <m/>
    <x v="5"/>
    <s v="DBS"/>
  </r>
  <r>
    <d v="2019-02-22T00:00:00"/>
    <s v="BUY"/>
    <s v="SRIL.JK"/>
    <s v="ID1000127400"/>
    <s v="YES"/>
    <s v="SRIL.JK"/>
    <m/>
    <s v="Sri Rejeki Isman Tbk PT"/>
    <x v="4"/>
    <n v="336.76089999999999"/>
    <n v="336.76089999999999"/>
    <n v="1100000"/>
    <n v="-370436990"/>
    <n v="-555655"/>
    <n v="-159288"/>
    <n v="-37044"/>
    <n v="-371188977"/>
    <n v="15939.711486118607"/>
    <m/>
    <x v="5"/>
    <s v="DBS"/>
  </r>
  <r>
    <d v="2019-02-22T00:00:00"/>
    <s v="BUY"/>
    <s v="PNIN.JK"/>
    <s v="ID1000094907"/>
    <s v="YES"/>
    <s v="PNIN.JK"/>
    <m/>
    <s v="Paninvest Tbk PT"/>
    <x v="4"/>
    <n v="1308.8543"/>
    <n v="1308.8543"/>
    <n v="350000"/>
    <n v="-458099005"/>
    <n v="-687149"/>
    <n v="-196983"/>
    <n v="-45810"/>
    <n v="-459028947"/>
    <n v="15939.711486118602"/>
    <m/>
    <x v="5"/>
    <s v="DBS"/>
  </r>
  <r>
    <d v="2019-02-22T00:00:00"/>
    <s v="BUY"/>
    <s v="EXCL.JK"/>
    <s v="ID1000102502"/>
    <s v="YES"/>
    <s v="EXCL.JK"/>
    <m/>
    <s v="XL Axiata Tbk PT"/>
    <x v="4"/>
    <n v="2610.3182000000002"/>
    <n v="2610.3182000000002"/>
    <n v="110000"/>
    <n v="-287135002"/>
    <n v="-430703"/>
    <n v="-123468"/>
    <n v="-28714"/>
    <n v="-287717887"/>
    <n v="15939.711486118658"/>
    <m/>
    <x v="5"/>
    <s v="DBS"/>
  </r>
  <r>
    <d v="2019-02-22T00:00:00"/>
    <s v="BUY"/>
    <s v="ISAT.JK"/>
    <s v="ID1000097405"/>
    <s v="YES"/>
    <s v="ISAT.JK"/>
    <m/>
    <s v="Indosat Tbk PT"/>
    <x v="4"/>
    <n v="3629.0145000000002"/>
    <n v="3629.0145000000002"/>
    <n v="69000"/>
    <n v="-250402000.50000003"/>
    <n v="-375603"/>
    <n v="-107673"/>
    <n v="-25040"/>
    <n v="-250910316.50000003"/>
    <n v="15939.711486118658"/>
    <m/>
    <x v="5"/>
    <s v="DBS"/>
  </r>
  <r>
    <d v="2019-02-22T00:00:00"/>
    <s v="BUY"/>
    <s v="051915.KS"/>
    <s v="KR7051911006"/>
    <s v="YES"/>
    <s v="051915.KS"/>
    <m/>
    <s v="LG Chem Ltd"/>
    <x v="3"/>
    <n v="216579.54550000001"/>
    <n v="216579.54550000001"/>
    <n v="220"/>
    <n v="-47647500.010000005"/>
    <n v="-71471"/>
    <n v="0"/>
    <n v="0"/>
    <n v="-47718971.010000005"/>
    <n v="1272.4437488659071"/>
    <m/>
    <x v="5"/>
    <s v="Samsung"/>
  </r>
  <r>
    <d v="2019-02-22T00:00:00"/>
    <s v="BUY"/>
    <s v="086520.KQ"/>
    <s v="KR7086520004"/>
    <s v="YES"/>
    <s v="086520.KQ"/>
    <m/>
    <s v="Ecopro Co Ltd"/>
    <x v="3"/>
    <n v="34594.9545"/>
    <n v="34594.9545"/>
    <n v="1100"/>
    <n v="-38054449.950000003"/>
    <n v="-57082"/>
    <n v="0"/>
    <n v="0"/>
    <n v="-38111531.950000003"/>
    <n v="1272.443748865903"/>
    <m/>
    <x v="5"/>
    <s v="Samsung"/>
  </r>
  <r>
    <d v="2019-02-22T00:00:00"/>
    <s v="BUY"/>
    <s v="066970.KQ"/>
    <s v="KR7066970005"/>
    <s v="YES"/>
    <s v="066970.KQ"/>
    <m/>
    <s v="L&amp;F Co Ltd"/>
    <x v="3"/>
    <n v="36202.608699999997"/>
    <n v="36202.608699999997"/>
    <n v="690"/>
    <n v="-24979800.002999999"/>
    <n v="-37470"/>
    <n v="0"/>
    <n v="0"/>
    <n v="-25017270.002999999"/>
    <n v="1272.4437488659037"/>
    <m/>
    <x v="5"/>
    <s v="Samsung"/>
  </r>
  <r>
    <d v="2019-02-22T00:00:00"/>
    <s v="BUY"/>
    <s v="005070.KS"/>
    <s v="KR7005070008"/>
    <s v="YES"/>
    <s v="005070.KS"/>
    <m/>
    <s v="Cosmo Advanced Materials &amp; Technology Co Ltd"/>
    <x v="3"/>
    <n v="16559.441200000001"/>
    <n v="16559.441200000001"/>
    <n v="1700"/>
    <n v="-28151050.040000003"/>
    <n v="-42227"/>
    <n v="0"/>
    <n v="0"/>
    <n v="-28193277.040000003"/>
    <n v="1272.4437488659039"/>
    <m/>
    <x v="5"/>
    <s v="Samsung"/>
  </r>
  <r>
    <d v="2019-02-22T00:00:00"/>
    <s v="BUY"/>
    <s v="005490.KS"/>
    <s v="KR7005490008"/>
    <s v="YES"/>
    <s v="005490.KS"/>
    <m/>
    <s v="Posco"/>
    <x v="3"/>
    <n v="274000"/>
    <n v="274000"/>
    <n v="170"/>
    <n v="-46580000"/>
    <n v="-69870"/>
    <n v="0"/>
    <n v="0"/>
    <n v="-46649870"/>
    <n v="1272.4437488659069"/>
    <m/>
    <x v="5"/>
    <s v="Samsung"/>
  </r>
  <r>
    <d v="2019-02-22T00:00:00"/>
    <s v="BUY"/>
    <s v="066575.KS"/>
    <s v="KR7066571001"/>
    <s v="YES"/>
    <s v="066575.KS"/>
    <m/>
    <s v="LG Electronics Inc"/>
    <x v="3"/>
    <n v="29005.0455"/>
    <n v="29005.0455"/>
    <n v="1100"/>
    <n v="-31905550.050000001"/>
    <n v="-47858"/>
    <n v="0"/>
    <n v="0"/>
    <n v="-31953408.050000001"/>
    <n v="1272.4437488659053"/>
    <m/>
    <x v="5"/>
    <s v="Samsung"/>
  </r>
  <r>
    <d v="2019-02-22T00:00:00"/>
    <s v="BUY"/>
    <s v="036830.KQ"/>
    <s v="KR7036830008"/>
    <s v="YES"/>
    <s v="036830.KQ"/>
    <m/>
    <s v="SoulBrain Co Ltd"/>
    <x v="3"/>
    <n v="52980.6"/>
    <n v="52980.6"/>
    <n v="1000"/>
    <n v="-52980600"/>
    <n v="-79471"/>
    <n v="0"/>
    <n v="0"/>
    <n v="-53060071"/>
    <n v="1272.443748865905"/>
    <m/>
    <x v="5"/>
    <s v="Samsung"/>
  </r>
  <r>
    <d v="2019-02-22T00:00:00"/>
    <s v="BUY"/>
    <s v="086790.KS"/>
    <s v="KR7086790003"/>
    <s v="YES"/>
    <s v="086790.KS"/>
    <m/>
    <s v="Hana Financial Group Inc"/>
    <x v="3"/>
    <n v="39800"/>
    <n v="39800"/>
    <n v="1100"/>
    <n v="-43780000"/>
    <n v="-65670"/>
    <n v="0"/>
    <n v="0"/>
    <n v="-43845670"/>
    <n v="1272.4437488659032"/>
    <m/>
    <x v="5"/>
    <s v="Samsung"/>
  </r>
  <r>
    <d v="2019-02-22T00:00:00"/>
    <s v="BUY"/>
    <s v="316140.KS"/>
    <s v="KR7316140003"/>
    <s v="YES"/>
    <s v="316140.KS"/>
    <m/>
    <s v="Woori Financial Group Inc"/>
    <x v="3"/>
    <n v="14950"/>
    <n v="14950"/>
    <n v="3000"/>
    <n v="-44850000"/>
    <n v="-67275"/>
    <n v="0"/>
    <n v="0"/>
    <n v="-44917275"/>
    <n v="1272.44374886591"/>
    <m/>
    <x v="5"/>
    <s v="Samsung"/>
  </r>
  <r>
    <d v="2019-02-22T00:00:00"/>
    <s v="BUY"/>
    <s v="003540.KS"/>
    <s v="KR7003540002"/>
    <s v="YES"/>
    <s v="003540.KS"/>
    <m/>
    <s v="DAISHIN SECURITIES CO LTD"/>
    <x v="3"/>
    <n v="11412.424199999999"/>
    <n v="11412.424199999999"/>
    <n v="3300"/>
    <n v="-37660999.859999999"/>
    <n v="-56492"/>
    <n v="0"/>
    <n v="0"/>
    <n v="-37717491.859999999"/>
    <n v="1272.4437488659041"/>
    <m/>
    <x v="5"/>
    <s v="Samsung"/>
  </r>
  <r>
    <d v="2019-02-22T00:00:00"/>
    <s v="BUY"/>
    <s v="138930.KS"/>
    <s v="KR7138930003"/>
    <s v="YES"/>
    <s v="138930.KS"/>
    <m/>
    <s v="BNK Financial Group Inc"/>
    <x v="3"/>
    <n v="7205.3690999999999"/>
    <n v="7205.3690999999999"/>
    <n v="5500"/>
    <n v="-39629530.049999997"/>
    <n v="-59444"/>
    <n v="0"/>
    <n v="0"/>
    <n v="-39688974.049999997"/>
    <n v="1272.4437488659059"/>
    <m/>
    <x v="5"/>
    <s v="Samsung"/>
  </r>
  <r>
    <d v="2019-02-22T00:00:00"/>
    <s v="BUY"/>
    <s v="028260.KS"/>
    <s v="KR7028260008"/>
    <s v="YES"/>
    <s v="028260.KS"/>
    <m/>
    <s v="Samsung C&amp;T Corp"/>
    <x v="3"/>
    <n v="116483.75"/>
    <n v="116483.75"/>
    <n v="400"/>
    <n v="-46593500"/>
    <n v="-69890"/>
    <n v="0"/>
    <n v="0"/>
    <n v="-46663390"/>
    <n v="1272.4437488659053"/>
    <m/>
    <x v="5"/>
    <s v="Samsung"/>
  </r>
  <r>
    <d v="2019-02-22T00:00:00"/>
    <s v="BUY"/>
    <s v="032830.KS"/>
    <s v="KR7032830002"/>
    <s v="YES"/>
    <s v="032830.KS"/>
    <m/>
    <s v="Samsung Life Insurance Co Ltd"/>
    <x v="3"/>
    <n v="91206.2"/>
    <n v="91206.2"/>
    <n v="500"/>
    <n v="-45603100"/>
    <n v="-68405"/>
    <n v="0"/>
    <n v="0"/>
    <n v="-45671505"/>
    <n v="1272.4437488659046"/>
    <m/>
    <x v="5"/>
    <s v="Samsung"/>
  </r>
  <r>
    <d v="2019-02-22T00:00:00"/>
    <s v="BUY"/>
    <s v="000060.KS"/>
    <s v="KR7000060004"/>
    <s v="YES"/>
    <s v="000060.KS"/>
    <m/>
    <s v="Meritz Fire &amp; Marine Insurance Co Ltd"/>
    <x v="3"/>
    <n v="23016.382399999999"/>
    <n v="23016.382399999999"/>
    <n v="1700"/>
    <n v="-39127850.079999998"/>
    <n v="-58692"/>
    <n v="0"/>
    <n v="0"/>
    <n v="-39186542.079999998"/>
    <n v="1272.4437488659075"/>
    <m/>
    <x v="5"/>
    <s v="Samsung"/>
  </r>
  <r>
    <d v="2019-02-22T00:00:00"/>
    <s v="BUY"/>
    <s v="031440.KS"/>
    <s v="KR7031440001"/>
    <s v="YES"/>
    <s v="031440.KS"/>
    <m/>
    <s v="Shinsegae Food Co Ltd"/>
    <x v="3"/>
    <n v="93752.857099999994"/>
    <n v="93752.857099999994"/>
    <n v="420"/>
    <n v="-39376199.982000001"/>
    <n v="-59064"/>
    <n v="0"/>
    <n v="0"/>
    <n v="-39435263.982000001"/>
    <n v="1272.4437488659055"/>
    <m/>
    <x v="5"/>
    <s v="Samsung"/>
  </r>
  <r>
    <d v="2019-02-22T00:00:00"/>
    <s v="BUY"/>
    <s v="139480.KS"/>
    <s v="KR7139480008"/>
    <s v="YES"/>
    <s v="139480.KS"/>
    <m/>
    <s v="E-Mart Inc"/>
    <x v="3"/>
    <n v="178000"/>
    <n v="178000"/>
    <n v="170"/>
    <n v="-30260000"/>
    <n v="-45390"/>
    <n v="0"/>
    <n v="0"/>
    <n v="-30305390"/>
    <n v="1272.4437488659012"/>
    <m/>
    <x v="5"/>
    <s v="Samsung"/>
  </r>
  <r>
    <d v="2019-02-22T00:00:00"/>
    <s v="BUY"/>
    <s v="003555.KS"/>
    <s v="KR7003551009"/>
    <s v="YES"/>
    <s v="003555.KS"/>
    <m/>
    <s v="LG Corp"/>
    <x v="3"/>
    <n v="43977.981699999997"/>
    <n v="43977.981699999997"/>
    <n v="109"/>
    <n v="-4793600.0052999994"/>
    <n v="-7190"/>
    <n v="0"/>
    <n v="0"/>
    <n v="-4800790.0052999994"/>
    <n v="1272.4437488659041"/>
    <m/>
    <x v="5"/>
    <s v="Samsung"/>
  </r>
  <r>
    <d v="2019-02-22T00:00:00"/>
    <s v="BUY"/>
    <s v="003545.KS"/>
    <s v="KR7003541000"/>
    <s v="YES"/>
    <s v="003545.KS"/>
    <m/>
    <s v="DAISHIN SECURITIES CO LTD"/>
    <x v="3"/>
    <n v="8725.9675999999999"/>
    <n v="8725.9675999999999"/>
    <n v="2899"/>
    <n v="-25296580.0724"/>
    <n v="-37945"/>
    <n v="0"/>
    <n v="0"/>
    <n v="-25334525.0724"/>
    <n v="1272.443748865905"/>
    <m/>
    <x v="5"/>
    <s v="Samsung"/>
  </r>
  <r>
    <d v="2019-02-22T00:00:00"/>
    <s v="BUY"/>
    <s v="02826K.KS"/>
    <s v="KR702826K016"/>
    <s v="YES"/>
    <s v="02826K.KS"/>
    <m/>
    <s v="Samsung C&amp;T Corp"/>
    <x v="3"/>
    <n v="73053.8462"/>
    <n v="73053.8462"/>
    <n v="91"/>
    <n v="-6647900.0042000003"/>
    <n v="-9972"/>
    <n v="0"/>
    <n v="0"/>
    <n v="-6657872.0042000003"/>
    <n v="1272.4437488659053"/>
    <m/>
    <x v="5"/>
    <s v="Samsung"/>
  </r>
  <r>
    <d v="2019-02-22T00:00:00"/>
    <s v="BUY"/>
    <s v="006405.KS"/>
    <s v="KR7006401004"/>
    <s v="YES"/>
    <s v="006405.KS"/>
    <m/>
    <s v="Samsung SDI Co Ltd"/>
    <x v="3"/>
    <n v="95397.826100000006"/>
    <n v="95397.826100000006"/>
    <n v="690"/>
    <n v="-65824500.009000003"/>
    <n v="-98737"/>
    <n v="0"/>
    <n v="0"/>
    <n v="-65923237.009000003"/>
    <n v="1272.4437488659039"/>
    <m/>
    <x v="5"/>
    <s v="Samsung"/>
  </r>
  <r>
    <d v="2019-02-22T00:00:00"/>
    <s v="BUY"/>
    <s v="096775.KS"/>
    <s v="KR7096771001"/>
    <s v="YES"/>
    <s v="096775.KS"/>
    <m/>
    <s v="SK Innovation Co Ltd"/>
    <x v="3"/>
    <n v="125522.85709999999"/>
    <n v="125522.85709999999"/>
    <n v="350"/>
    <n v="-43932999.984999999"/>
    <n v="-65900"/>
    <n v="0"/>
    <n v="0"/>
    <n v="-43998899.984999999"/>
    <n v="1272.4437488659046"/>
    <m/>
    <x v="5"/>
    <s v="Samsung"/>
  </r>
  <r>
    <d v="2019-02-22T00:00:00"/>
    <s v="BUY"/>
    <s v="071055.KS"/>
    <s v="KR7071051007"/>
    <s v="YES"/>
    <s v="071055.KS"/>
    <m/>
    <s v="Korea Investment Holdings Co Ltd"/>
    <x v="3"/>
    <n v="36740.681799999998"/>
    <m/>
    <n v="1100"/>
    <n v="-40414749.979999997"/>
    <n v="-60622"/>
    <n v="0"/>
    <n v="0"/>
    <n v="-40475371.979999997"/>
    <n v="1272.4437488659066"/>
    <m/>
    <x v="5"/>
    <s v="Samsung"/>
  </r>
  <r>
    <d v="2019-02-25T00:00:00"/>
    <s v="BUY"/>
    <s v="003555.KS"/>
    <s v="KR7003551009"/>
    <s v="YES"/>
    <s v="003555.KS"/>
    <m/>
    <s v="LG Corp"/>
    <x v="3"/>
    <n v="44022.202499999999"/>
    <m/>
    <n v="563"/>
    <n v="-24784500.0075"/>
    <n v="-44022.202499999999"/>
    <n v="0"/>
    <n v="0"/>
    <n v="-24828522.210000001"/>
    <n v="1272.443748865903"/>
    <m/>
    <x v="6"/>
    <s v="Samsung"/>
  </r>
  <r>
    <d v="2019-02-25T00:00:00"/>
    <s v="BUY"/>
    <s v="003545.KS"/>
    <s v="KR7003541000"/>
    <s v="YES"/>
    <s v="003545.KS"/>
    <m/>
    <s v="DAISHIN SECURITIES CO LTD"/>
    <x v="3"/>
    <n v="8747.7528999999995"/>
    <m/>
    <n v="1700"/>
    <n v="-14871179.93"/>
    <n v="-8747.7528999999995"/>
    <n v="0"/>
    <n v="0"/>
    <n v="-14879927.6829"/>
    <n v="1272.443748865905"/>
    <m/>
    <x v="6"/>
    <s v="Samsung"/>
  </r>
  <r>
    <d v="2019-02-25T00:00:00"/>
    <s v="BUY"/>
    <s v="02826K.KS"/>
    <s v="KR702826K016"/>
    <s v="YES"/>
    <s v="02826K.KS"/>
    <m/>
    <s v="Samsung C&amp;T Corp"/>
    <x v="3"/>
    <n v="73063.696400000001"/>
    <m/>
    <n v="303"/>
    <n v="-22138300.009199999"/>
    <n v="-73063.696400000001"/>
    <n v="0"/>
    <n v="0"/>
    <n v="-22211363.705600001"/>
    <n v="1272.4437488659046"/>
    <m/>
    <x v="6"/>
    <s v="Samsung"/>
  </r>
  <r>
    <d v="2019-02-25T00:00:00"/>
    <s v="BUY"/>
    <s v="2344.T"/>
    <s v="JP3834050001"/>
    <s v="YES"/>
    <s v="2344.T"/>
    <m/>
    <s v="Heian Ceremony Service Co Ltd"/>
    <x v="0"/>
    <n v="932.11109999999996"/>
    <m/>
    <n v="900"/>
    <n v="-838899.99"/>
    <n v="-671"/>
    <n v="0"/>
    <n v="0"/>
    <n v="-839570.99"/>
    <n v="125.52168390491737"/>
    <m/>
    <x v="7"/>
    <s v="Equita"/>
  </r>
  <r>
    <d v="2019-02-25T00:00:00"/>
    <s v="BUY"/>
    <s v="1960.T"/>
    <s v="JP3335400002"/>
    <s v="YES"/>
    <s v="1960.t"/>
    <m/>
    <s v="Sanyo Engineering &amp; Construction Inc"/>
    <x v="0"/>
    <n v="703.15380000000005"/>
    <m/>
    <n v="1300"/>
    <n v="-914099.94000000006"/>
    <n v="-731"/>
    <n v="0"/>
    <n v="0"/>
    <n v="-914830.94000000006"/>
    <n v="125.52168390491751"/>
    <m/>
    <x v="7"/>
    <s v="Equita"/>
  </r>
  <r>
    <d v="2019-02-25T00:00:00"/>
    <s v="BUY"/>
    <s v="4100.T"/>
    <s v="JP3627400009"/>
    <s v="YES"/>
    <s v="4100.T"/>
    <m/>
    <s v="Toda Kogyo Corp"/>
    <x v="0"/>
    <n v="2220.6"/>
    <m/>
    <n v="500"/>
    <n v="-1110300"/>
    <n v="-888"/>
    <n v="0"/>
    <n v="0"/>
    <n v="-1111188"/>
    <n v="125.52168390491734"/>
    <m/>
    <x v="7"/>
    <s v="Equita"/>
  </r>
  <r>
    <d v="2019-02-25T00:00:00"/>
    <s v="BUY"/>
    <s v="NHY.OL"/>
    <s v="NO0005052605"/>
    <s v="YES"/>
    <s v="NHY.OL"/>
    <m/>
    <s v="Norsk Hydro ASA"/>
    <x v="10"/>
    <n v="35.918700000000001"/>
    <m/>
    <n v="6900"/>
    <n v="-247839.03"/>
    <n v="-198.27"/>
    <n v="0"/>
    <n v="0"/>
    <n v="-248037.3"/>
    <n v="9.7580974414806771"/>
    <m/>
    <x v="7"/>
    <s v="Equita"/>
  </r>
  <r>
    <d v="2019-02-25T00:00:00"/>
    <s v="BUY"/>
    <s v="2344.T"/>
    <s v="JP3834050001"/>
    <s v="YES"/>
    <s v="2344.T"/>
    <m/>
    <s v="Heian Ceremony Service Co Ltd"/>
    <x v="0"/>
    <n v="931.29229999999995"/>
    <m/>
    <n v="1300"/>
    <n v="-1210679.99"/>
    <n v="-969"/>
    <n v="0"/>
    <n v="0"/>
    <n v="-1211648.99"/>
    <n v="125.52168390491737"/>
    <m/>
    <x v="7"/>
    <s v="Equita"/>
  </r>
  <r>
    <d v="2019-02-25T00:00:00"/>
    <s v="BUY"/>
    <s v="9055.T"/>
    <s v="JP3126450000"/>
    <s v="YES"/>
    <s v="9055.T"/>
    <m/>
    <s v="Alps Logistics Co Ltd"/>
    <x v="0"/>
    <n v="817"/>
    <m/>
    <n v="2600"/>
    <n v="-2124200"/>
    <n v="-1699"/>
    <n v="0"/>
    <n v="0"/>
    <n v="-2125899"/>
    <n v="125.52168390491747"/>
    <m/>
    <x v="7"/>
    <s v="Equita"/>
  </r>
  <r>
    <d v="2019-02-25T00:00:00"/>
    <s v="BUY"/>
    <s v="1960.T"/>
    <s v="JP3335400002"/>
    <s v="YES"/>
    <s v="1960.T"/>
    <m/>
    <s v="Sanyo Engineering &amp; Construction Inc"/>
    <x v="0"/>
    <n v="700.05290000000002"/>
    <m/>
    <n v="1700"/>
    <n v="-1190089.93"/>
    <n v="-952"/>
    <n v="0"/>
    <n v="0"/>
    <n v="-1191041.93"/>
    <n v="125.52168390491751"/>
    <m/>
    <x v="7"/>
    <s v="Equita"/>
  </r>
  <r>
    <d v="2019-02-25T00:00:00"/>
    <s v="BUY"/>
    <s v="3402.T"/>
    <s v="JP3621000003"/>
    <s v="YES"/>
    <s v="3402.T"/>
    <m/>
    <s v="Toray Industries Inc"/>
    <x v="0"/>
    <n v="788"/>
    <m/>
    <n v="5000"/>
    <n v="-3940000"/>
    <n v="-3152"/>
    <n v="0"/>
    <n v="0"/>
    <n v="-3943152"/>
    <n v="125.52168390491752"/>
    <m/>
    <x v="7"/>
    <s v="Equita"/>
  </r>
  <r>
    <d v="2019-02-25T00:00:00"/>
    <s v="BUY"/>
    <s v="3401.T"/>
    <s v="JP3544000007"/>
    <s v="YES"/>
    <s v="3401.T"/>
    <m/>
    <s v="Teijin Ltd"/>
    <x v="0"/>
    <n v="1881.8810000000001"/>
    <m/>
    <n v="4200"/>
    <n v="-7903900.2000000002"/>
    <n v="-6323"/>
    <n v="0"/>
    <n v="0"/>
    <n v="-7910223.2000000002"/>
    <n v="125.52168390491737"/>
    <m/>
    <x v="7"/>
    <s v="Equita"/>
  </r>
  <r>
    <d v="2019-02-25T00:00:00"/>
    <s v="BUY"/>
    <s v="6701.T"/>
    <s v="JP3733000008"/>
    <s v="YES"/>
    <s v="6701.T"/>
    <m/>
    <s v="NEC Corp"/>
    <x v="0"/>
    <n v="3770"/>
    <m/>
    <n v="1100"/>
    <n v="-4147000"/>
    <n v="-3318"/>
    <n v="0"/>
    <n v="0"/>
    <n v="-4150318"/>
    <n v="125.52168390491757"/>
    <m/>
    <x v="7"/>
    <s v="Equita"/>
  </r>
  <r>
    <d v="2019-02-25T00:00:00"/>
    <s v="BUY"/>
    <s v="1973.T"/>
    <s v="JP3733800001"/>
    <s v="YES"/>
    <s v="1973.T"/>
    <m/>
    <s v="NEC Networks &amp; System Integration Corp"/>
    <x v="0"/>
    <n v="2616.2136"/>
    <m/>
    <n v="2200"/>
    <n v="-5755669.9199999999"/>
    <n v="-4605"/>
    <n v="0"/>
    <n v="0"/>
    <n v="-5760274.9199999999"/>
    <n v="125.52168390491759"/>
    <m/>
    <x v="7"/>
    <s v="Equita"/>
  </r>
  <r>
    <d v="2019-02-25T00:00:00"/>
    <s v="BUY"/>
    <s v="QCOM.O"/>
    <s v="US7475251036"/>
    <s v="YES"/>
    <s v="QCOM.O"/>
    <m/>
    <s v="Qualcomm Inc"/>
    <x v="8"/>
    <n v="53.479900000000001"/>
    <m/>
    <n v="670"/>
    <n v="-35831.533000000003"/>
    <n v="-14.94"/>
    <n v="-2.98"/>
    <n v="0"/>
    <n v="-35849.453000000009"/>
    <n v="1.134095445472691"/>
    <m/>
    <x v="6"/>
    <s v="Kepler"/>
  </r>
  <r>
    <d v="2019-02-25T00:00:00"/>
    <s v="BUY"/>
    <s v="0593q.L"/>
    <s v="US7960502018"/>
    <s v="YES"/>
    <s v="0593q.L"/>
    <m/>
    <s v="Samsung Electronics Co Ltd"/>
    <x v="8"/>
    <n v="845"/>
    <m/>
    <n v="42"/>
    <n v="-35490"/>
    <n v="-14.8"/>
    <n v="-2.95"/>
    <n v="0"/>
    <n v="-35507.75"/>
    <n v="1.134095445472691"/>
    <m/>
    <x v="6"/>
    <s v="Kepler"/>
  </r>
  <r>
    <d v="2019-02-26T00:00:00"/>
    <s v="BUY"/>
    <s v="8151.T"/>
    <s v="JP3616600007"/>
    <s v="YES"/>
    <s v="8151.T"/>
    <m/>
    <s v="Toyo Corp"/>
    <x v="0"/>
    <n v="919"/>
    <m/>
    <n v="2200"/>
    <n v="-2021800"/>
    <n v="-1179"/>
    <n v="0"/>
    <n v="-236"/>
    <n v="-2023215"/>
    <n v="125.52168390491738"/>
    <m/>
    <x v="8"/>
    <s v="Kepler"/>
  </r>
  <r>
    <d v="2019-02-25T00:00:00"/>
    <s v="BUY"/>
    <s v="6997.T"/>
    <s v="JP3701200002"/>
    <s v="YES"/>
    <s v="6997.T"/>
    <m/>
    <s v="Nippon Chemi-Con Corp"/>
    <x v="0"/>
    <n v="2154"/>
    <m/>
    <n v="1100"/>
    <n v="-2369400"/>
    <n v="-1383"/>
    <n v="0"/>
    <n v="-277"/>
    <n v="-2371060"/>
    <n v="125.52168390491781"/>
    <m/>
    <x v="8"/>
    <s v="Kepler"/>
  </r>
  <r>
    <d v="2019-02-26T00:00:00"/>
    <s v="BUY"/>
    <s v="6762.T"/>
    <s v="JP3538800008"/>
    <s v="YES"/>
    <s v="6762.T"/>
    <m/>
    <s v="TDK Corp"/>
    <x v="0"/>
    <n v="8940"/>
    <m/>
    <n v="420"/>
    <n v="-3754800"/>
    <n v="-2190"/>
    <n v="0"/>
    <n v="-438"/>
    <n v="-3757428"/>
    <n v="125.5216839049175"/>
    <m/>
    <x v="8"/>
    <s v="Kepler"/>
  </r>
  <r>
    <d v="2019-02-26T00:00:00"/>
    <s v="BUY"/>
    <s v="8070.T"/>
    <s v="JP3576600005"/>
    <s v="YES"/>
    <s v="8070.T"/>
    <m/>
    <s v="Tokyo Sangyo Co Ltd"/>
    <x v="0"/>
    <n v="557"/>
    <m/>
    <n v="4200"/>
    <n v="-2339400"/>
    <n v="-1365"/>
    <n v="0"/>
    <n v="-273"/>
    <n v="-2341038"/>
    <n v="125.52168390491741"/>
    <m/>
    <x v="8"/>
    <s v="Kepler"/>
  </r>
  <r>
    <d v="2019-02-25T00:00:00"/>
    <s v="BUY"/>
    <s v="6309.T"/>
    <s v="JP3631600008"/>
    <s v="YES"/>
    <s v="6309.T"/>
    <m/>
    <s v="Tomoe Engineering Co Ltd"/>
    <x v="0"/>
    <n v="2366"/>
    <m/>
    <n v="1100"/>
    <n v="-2602600"/>
    <n v="-1518"/>
    <n v="0"/>
    <n v="-304"/>
    <n v="-2604422"/>
    <n v="125.52168390491735"/>
    <m/>
    <x v="8"/>
    <s v="Kepler"/>
  </r>
  <r>
    <d v="2019-02-25T00:00:00"/>
    <s v="BUY"/>
    <s v="6826.T"/>
    <s v="JP3854650003"/>
    <s v="YES"/>
    <s v="6826.T"/>
    <m/>
    <s v="Honda Tsushin Kogyo Co Ltd"/>
    <x v="0"/>
    <n v="580"/>
    <m/>
    <n v="6700"/>
    <n v="-3886000"/>
    <n v="-2267"/>
    <n v="0"/>
    <n v="-453"/>
    <n v="-3888720"/>
    <n v="125.52168390491751"/>
    <m/>
    <x v="8"/>
    <s v="Kepler"/>
  </r>
  <r>
    <d v="2019-02-25T00:00:00"/>
    <s v="BUY"/>
    <s v="7004.T"/>
    <s v="JP3789000001"/>
    <s v="YES"/>
    <s v="7004.T"/>
    <m/>
    <s v="Hitachi Zosen Corp"/>
    <x v="0"/>
    <n v="354"/>
    <m/>
    <n v="6700"/>
    <n v="-2371800"/>
    <n v="-1383"/>
    <n v="0"/>
    <n v="-277"/>
    <n v="-2373460"/>
    <n v="125.52168390491728"/>
    <m/>
    <x v="8"/>
    <s v="Kepler"/>
  </r>
  <r>
    <d v="2019-02-27T00:00:00"/>
    <s v="BUY"/>
    <s v="6702.T"/>
    <s v="JP3818000006"/>
    <s v="YES"/>
    <s v="6702.T"/>
    <m/>
    <s v="Fujitsu Ltd"/>
    <x v="0"/>
    <n v="7604.4627"/>
    <m/>
    <n v="670"/>
    <n v="-5094990.0089999996"/>
    <n v="-4076"/>
    <n v="0"/>
    <n v="0"/>
    <n v="-5099066.0089999996"/>
    <n v="126.17385570385872"/>
    <m/>
    <x v="9"/>
    <s v="Equita"/>
  </r>
  <r>
    <d v="2019-02-27T00:00:00"/>
    <s v="BUY"/>
    <s v="LPKR.JK"/>
    <s v="ID1000108905"/>
    <s v="YES"/>
    <s v="LPKR.JK"/>
    <m/>
    <s v="Lippo Karawaci Tbk PT"/>
    <x v="4"/>
    <n v="289.03269999999998"/>
    <m/>
    <n v="1100000"/>
    <n v="-317935970"/>
    <n v="-476904"/>
    <n v="-136712"/>
    <n v="-31794"/>
    <n v="-318581380"/>
    <n v="15945.110166215642"/>
    <m/>
    <x v="8"/>
    <s v="DBS"/>
  </r>
  <r>
    <d v="2019-02-27T00:00:00"/>
    <s v="BUY"/>
    <s v="EXCL.JK"/>
    <s v="ID1000102502"/>
    <s v="YES"/>
    <s v="EXCL.JK"/>
    <m/>
    <s v="XL Axiata Tbk PT"/>
    <x v="4"/>
    <n v="2402.8544999999999"/>
    <m/>
    <n v="110000"/>
    <n v="-264313995"/>
    <n v="-396471"/>
    <n v="-113655"/>
    <n v="-26431"/>
    <n v="-264850552"/>
    <n v="15945.110166215654"/>
    <m/>
    <x v="8"/>
    <s v="DBS"/>
  </r>
  <r>
    <d v="2019-02-27T00:00:00"/>
    <s v="BUY"/>
    <s v="003555.KS"/>
    <s v="KR7003551009"/>
    <s v="YES"/>
    <s v="003555.KS"/>
    <m/>
    <s v="LG Corp"/>
    <x v="3"/>
    <n v="43758.0092"/>
    <m/>
    <n v="437"/>
    <n v="-19122250.020399999"/>
    <n v="-28683"/>
    <n v="0"/>
    <n v="0"/>
    <n v="-19150933.020399999"/>
    <n v="1270.1744014188573"/>
    <m/>
    <x v="8"/>
    <s v="Samsung"/>
  </r>
  <r>
    <d v="2019-02-27T00:00:00"/>
    <s v="BUY"/>
    <s v="02826K.KS"/>
    <s v="KR702826K016"/>
    <s v="YES"/>
    <s v="02826K.KS"/>
    <m/>
    <s v="Samsung C&amp;T Corp"/>
    <x v="3"/>
    <n v="72996.470600000001"/>
    <m/>
    <n v="85"/>
    <n v="-6204700.0010000002"/>
    <n v="-9307"/>
    <n v="0"/>
    <n v="0"/>
    <n v="-6214007.0010000002"/>
    <n v="1270.1744014188591"/>
    <m/>
    <x v="8"/>
    <s v="Samsung"/>
  </r>
  <r>
    <d v="2019-02-27T00:00:00"/>
    <s v="BUY"/>
    <s v="BT.L"/>
    <s v="GB0030913577"/>
    <s v="YES"/>
    <s v="BT.L"/>
    <m/>
    <s v="BT Group PLC"/>
    <x v="6"/>
    <n v="2.1884999999999999"/>
    <m/>
    <n v="11000"/>
    <n v="-24073.5"/>
    <n v="-19.260000000000002"/>
    <n v="-121.37"/>
    <n v="0"/>
    <n v="-24214.129999999997"/>
    <n v="0.85430546397144136"/>
    <m/>
    <x v="8"/>
    <s v="Equita"/>
  </r>
  <r>
    <d v="2019-02-27T00:00:00"/>
    <s v="BUY"/>
    <s v="VOD.L"/>
    <s v="GB00BH4HKS39"/>
    <s v="YES"/>
    <s v="VOD.L"/>
    <m/>
    <s v="Vodafone Group PLC"/>
    <x v="6"/>
    <n v="1.3418000000000001"/>
    <m/>
    <n v="11000"/>
    <n v="-14759.800000000001"/>
    <n v="-11.81"/>
    <n v="-74.8"/>
    <n v="0"/>
    <n v="-14846.41"/>
    <n v="0.85430546397144258"/>
    <m/>
    <x v="8"/>
    <s v="Equita"/>
  </r>
  <r>
    <d v="2019-02-27T00:00:00"/>
    <s v="BUY"/>
    <s v="ORAN.PA"/>
    <s v="FR0000133308"/>
    <s v="YES"/>
    <s v="ORAN.PA"/>
    <m/>
    <s v="Orange SA"/>
    <x v="5"/>
    <n v="13.4009"/>
    <m/>
    <n v="1100"/>
    <n v="-14740.99"/>
    <n v="-11.79"/>
    <n v="-44.22"/>
    <n v="0"/>
    <n v="-14797"/>
    <n v="1"/>
    <m/>
    <x v="8"/>
    <s v="Equita"/>
  </r>
  <r>
    <d v="2019-02-27T00:00:00"/>
    <s v="BUY"/>
    <s v="RMG.L"/>
    <s v="GB00BDVZYZ77"/>
    <s v="YES"/>
    <s v="RMG.L"/>
    <m/>
    <s v="Royal Mail PLC"/>
    <x v="6"/>
    <n v="2.7734000000000001"/>
    <m/>
    <n v="17000"/>
    <n v="-47147.8"/>
    <n v="-37.72"/>
    <n v="-236.74"/>
    <n v="0"/>
    <n v="-47422.26"/>
    <n v="0.85430546397144125"/>
    <m/>
    <x v="8"/>
    <s v="Equita"/>
  </r>
  <r>
    <d v="2019-02-27T00:00:00"/>
    <s v="BUY"/>
    <s v="INME.I"/>
    <s v="IE00B59HWB19"/>
    <s v="YES"/>
    <s v="INME.I"/>
    <m/>
    <s v="Independent News &amp; Media PLC"/>
    <x v="5"/>
    <n v="6.7900000000000002E-2"/>
    <m/>
    <n v="170000"/>
    <n v="-11543"/>
    <n v="-9.23"/>
    <n v="-115.43"/>
    <n v="0"/>
    <n v="-11667.66"/>
    <n v="1"/>
    <m/>
    <x v="8"/>
    <s v="Equita"/>
  </r>
  <r>
    <d v="2019-02-27T00:00:00"/>
    <s v="BUY"/>
    <s v="RCH.L"/>
    <s v="GB0009039941"/>
    <s v="YES"/>
    <s v="RCH.L"/>
    <m/>
    <s v="Reach PLC"/>
    <x v="6"/>
    <n v="0.61509999999999998"/>
    <m/>
    <n v="7467"/>
    <n v="-4592.9516999999996"/>
    <n v="-3.67"/>
    <n v="-22.96"/>
    <n v="0"/>
    <n v="-4619.5816999999997"/>
    <n v="0.85430546397144025"/>
    <m/>
    <x v="8"/>
    <s v="Equita"/>
  </r>
  <r>
    <d v="2019-02-27T00:00:00"/>
    <s v="BUY"/>
    <s v="KT.N"/>
    <s v="US48268K1016"/>
    <s v="YES"/>
    <s v="KT.N"/>
    <m/>
    <s v="KT Corp"/>
    <x v="8"/>
    <n v="13.6812"/>
    <m/>
    <n v="5000"/>
    <n v="-68406"/>
    <n v="-54.72"/>
    <n v="0"/>
    <n v="0"/>
    <n v="-68460.72"/>
    <n v="1.1369062507105665"/>
    <m/>
    <x v="8"/>
    <s v="Equita"/>
  </r>
  <r>
    <d v="2019-02-27T00:00:00"/>
    <s v="BUY"/>
    <s v="SKM"/>
    <s v="US78440P1084"/>
    <s v="YES"/>
    <s v="SKM"/>
    <m/>
    <s v="SK Telecom Co Ltd"/>
    <x v="8"/>
    <n v="26.040500000000002"/>
    <m/>
    <n v="2700"/>
    <n v="-70309.350000000006"/>
    <n v="-56.25"/>
    <n v="0"/>
    <n v="0"/>
    <n v="-70365.600000000006"/>
    <n v="1.1369062507105663"/>
    <m/>
    <x v="8"/>
    <s v="Equita"/>
  </r>
  <r>
    <d v="2019-02-27T00:00:00"/>
    <s v="BUY"/>
    <s v="QCOM.O"/>
    <s v="US7475251036"/>
    <s v="YES"/>
    <s v="QCOM.O"/>
    <m/>
    <s v="Qualcomm Inc"/>
    <x v="8"/>
    <n v="52.6462"/>
    <m/>
    <n v="420"/>
    <n v="-22111.403999999999"/>
    <n v="-17.690000000000001"/>
    <n v="0"/>
    <n v="0"/>
    <n v="-22129.093999999997"/>
    <n v="1.1369062507105665"/>
    <m/>
    <x v="8"/>
    <s v="Equita"/>
  </r>
  <r>
    <d v="2019-02-27T00:00:00"/>
    <s v="BUY"/>
    <s v="KB"/>
    <s v="US48241A1051"/>
    <s v="YES"/>
    <s v="KB"/>
    <m/>
    <s v="KB Financial Group Inc"/>
    <x v="8"/>
    <n v="39.9041"/>
    <m/>
    <n v="1100"/>
    <n v="-43894.51"/>
    <n v="-35.119999999999997"/>
    <n v="0"/>
    <n v="0"/>
    <n v="-43929.630000000005"/>
    <n v="1.1369062507105663"/>
    <m/>
    <x v="8"/>
    <s v="Equita"/>
  </r>
  <r>
    <d v="2019-02-27T00:00:00"/>
    <s v="BUY"/>
    <s v="SHG"/>
    <s v="US8245961003"/>
    <s v="YES"/>
    <s v="SHG"/>
    <m/>
    <s v="Shinhan Financial Group Co Ltd"/>
    <x v="8"/>
    <n v="38.643000000000001"/>
    <m/>
    <n v="1100"/>
    <n v="-42507.3"/>
    <n v="-34.01"/>
    <n v="0"/>
    <n v="0"/>
    <n v="-42541.310000000005"/>
    <n v="1.1369062507105663"/>
    <m/>
    <x v="8"/>
    <s v="Equita"/>
  </r>
  <r>
    <d v="2019-02-28T00:00:00"/>
    <s v="BUY"/>
    <s v="KT.N"/>
    <s v="US48268K1016"/>
    <s v="YES"/>
    <s v="KT.N"/>
    <m/>
    <s v="KT Corp"/>
    <x v="8"/>
    <n v="13.5021"/>
    <m/>
    <n v="1700"/>
    <n v="-22953.57"/>
    <n v="-18.36"/>
    <n v="0"/>
    <n v="0"/>
    <n v="-22971.93"/>
    <n v="1.1369062507105663"/>
    <m/>
    <x v="10"/>
    <s v="Equita"/>
  </r>
  <r>
    <d v="2019-02-28T00:00:00"/>
    <s v="BUY"/>
    <s v="SKM"/>
    <s v="US78440P1084"/>
    <s v="YES"/>
    <s v="SKM"/>
    <m/>
    <s v="SK Telecom Co Ltd"/>
    <x v="8"/>
    <n v="25.6541"/>
    <m/>
    <n v="1700"/>
    <n v="-43611.97"/>
    <n v="-34.89"/>
    <n v="0"/>
    <n v="0"/>
    <n v="-43646.86"/>
    <n v="1.1369062507105663"/>
    <m/>
    <x v="10"/>
    <s v="Equita"/>
  </r>
  <r>
    <d v="2019-02-28T00:00:00"/>
    <s v="BUY"/>
    <s v="CFP.TO"/>
    <s v="CA1375761048"/>
    <s v="YES"/>
    <s v="cfp.to"/>
    <m/>
    <s v="Canfor Corp"/>
    <x v="9"/>
    <n v="14.0526"/>
    <m/>
    <n v="1700"/>
    <n v="-23889.42"/>
    <n v="-19.11"/>
    <n v="0"/>
    <n v="0"/>
    <n v="-23908.53"/>
    <n v="1.4969699036963764"/>
    <m/>
    <x v="10"/>
    <s v="Equita"/>
  </r>
  <r>
    <d v="2019-03-04T00:00:00"/>
    <s v="BUY"/>
    <s v="003555.KS"/>
    <s v="KR7003551009"/>
    <s v="YES"/>
    <s v="003555.ks"/>
    <m/>
    <s v="LG Corp"/>
    <x v="3"/>
    <n v="43298.841399999998"/>
    <m/>
    <n v="561"/>
    <n v="-24290650.025399998"/>
    <n v="-36436"/>
    <n v="0"/>
    <n v="0"/>
    <n v="-24327086.025399998"/>
    <n v="1279.1619479048707"/>
    <m/>
    <x v="11"/>
    <s v="Samsung"/>
  </r>
  <r>
    <d v="2019-03-04T00:00:00"/>
    <s v="BUY"/>
    <s v="02826K.KS"/>
    <s v="KR702826K016"/>
    <s v="YES"/>
    <s v="02826k.ks"/>
    <m/>
    <s v="Samsung C&amp;T Corp"/>
    <x v="3"/>
    <n v="72368.720400000006"/>
    <m/>
    <n v="211"/>
    <n v="-15269800.004400002"/>
    <n v="-22905"/>
    <n v="0"/>
    <n v="0"/>
    <n v="-15292705.004400002"/>
    <n v="1279.1619479048693"/>
    <m/>
    <x v="11"/>
    <s v="Samsung"/>
  </r>
  <r>
    <d v="2019-03-04T00:00:00"/>
    <s v="BUY"/>
    <s v="036830.KQ"/>
    <s v="KR7036830008"/>
    <s v="YES"/>
    <s v="036830.kq"/>
    <m/>
    <s v="SoulBrain Co Ltd"/>
    <x v="3"/>
    <n v="51816.190499999997"/>
    <m/>
    <n v="420"/>
    <n v="-21762800.009999998"/>
    <n v="-32644"/>
    <n v="0"/>
    <n v="0"/>
    <n v="-21795444.009999998"/>
    <n v="1279.1619479048711"/>
    <m/>
    <x v="11"/>
    <s v="Samsung"/>
  </r>
  <r>
    <d v="2019-03-04T00:00:00"/>
    <s v="BUY"/>
    <s v="042600.kq"/>
    <s v="KR7042600007"/>
    <s v="YES"/>
    <s v="042600.kq"/>
    <m/>
    <s v="Seronics Co Ltd"/>
    <x v="3"/>
    <n v="5406.3040000000001"/>
    <m/>
    <n v="5000"/>
    <n v="-27031520"/>
    <n v="-40547"/>
    <n v="0"/>
    <n v="0"/>
    <n v="-27072067"/>
    <n v="1279.1619479048711"/>
    <m/>
    <x v="11"/>
    <s v="Samsung"/>
  </r>
  <r>
    <d v="2019-03-04T00:00:00"/>
    <s v="BUY"/>
    <s v="105560.ks"/>
    <s v="KR7105560007"/>
    <s v="YES"/>
    <s v="105560.ks"/>
    <m/>
    <s v="KB Financial Group Inc"/>
    <x v="3"/>
    <n v="44700"/>
    <m/>
    <n v="690"/>
    <n v="-30843000"/>
    <n v="-46265"/>
    <n v="0"/>
    <n v="0"/>
    <n v="-30889265"/>
    <n v="1279.1619479048707"/>
    <m/>
    <x v="11"/>
    <s v="Samsung"/>
  </r>
  <r>
    <d v="2019-03-04T00:00:00"/>
    <s v="BUY"/>
    <s v="NHY.OL"/>
    <s v="NO0005052605"/>
    <s v="YES"/>
    <s v="NHY.OL"/>
    <m/>
    <s v="Norsk Hydro ASA"/>
    <x v="10"/>
    <n v="34.398499999999999"/>
    <m/>
    <n v="4100"/>
    <n v="-141033.85"/>
    <n v="-113"/>
    <n v="0"/>
    <n v="0"/>
    <n v="-141146.85"/>
    <n v="9.6958097395243374"/>
    <m/>
    <x v="11"/>
    <s v="Equita"/>
  </r>
  <r>
    <d v="2019-03-04T00:00:00"/>
    <s v="BUY"/>
    <s v="LAN.PA"/>
    <s v="FR0004027068"/>
    <s v="YES"/>
    <s v="LAN.PA"/>
    <m/>
    <s v="Lanson BCC SA"/>
    <x v="5"/>
    <n v="27.993400000000001"/>
    <m/>
    <n v="670"/>
    <n v="-18755.578000000001"/>
    <n v="-15"/>
    <n v="0"/>
    <n v="0"/>
    <n v="-18770.578000000001"/>
    <n v="1"/>
    <m/>
    <x v="11"/>
    <s v="Equita"/>
  </r>
  <r>
    <d v="2019-03-04T00:00:00"/>
    <s v="BUY"/>
    <s v="VRKP.PA"/>
    <s v="FR0000062796"/>
    <s v="YES"/>
    <s v="VRKP.PA"/>
    <m/>
    <s v="Vranken Pommery Monopole SA"/>
    <x v="5"/>
    <n v="23.525400000000001"/>
    <m/>
    <n v="670"/>
    <n v="-15762.018"/>
    <n v="-13"/>
    <n v="0"/>
    <n v="0"/>
    <n v="-15775.018"/>
    <n v="1"/>
    <m/>
    <x v="11"/>
    <s v="Equita"/>
  </r>
  <r>
    <d v="2019-03-04T00:00:00"/>
    <s v="BUY"/>
    <s v="KB"/>
    <s v="US48241A1051"/>
    <s v="YES"/>
    <s v="KB"/>
    <m/>
    <s v="KB Financial Group Inc"/>
    <x v="8"/>
    <n v="37.778399999999998"/>
    <m/>
    <n v="420"/>
    <n v="-15866.928"/>
    <n v="-13"/>
    <n v="0"/>
    <n v="0"/>
    <n v="-15879.928"/>
    <n v="1.1325028312570784"/>
    <m/>
    <x v="11"/>
    <s v="Equita"/>
  </r>
  <r>
    <d v="2019-03-05T00:00:00"/>
    <s v="BUY"/>
    <s v="SYR.AX"/>
    <s v="AU000000SYR9"/>
    <s v="YES"/>
    <s v="SYR.AX"/>
    <m/>
    <s v="Syrah Resources Ltd"/>
    <x v="1"/>
    <n v="1.3353999999999999"/>
    <m/>
    <n v="22000"/>
    <n v="-29378.799999999999"/>
    <n v="-24"/>
    <n v="0"/>
    <n v="0"/>
    <n v="-29402.799999999999"/>
    <n v="1.5966477916194786"/>
    <m/>
    <x v="12"/>
    <s v="Equita"/>
  </r>
  <r>
    <d v="2019-03-05T00:00:00"/>
    <s v="BUY"/>
    <s v="6617.T"/>
    <s v="JP3591600006"/>
    <s v="YES"/>
    <s v="6617.T"/>
    <m/>
    <s v="Takaoka Toko Co Ltd"/>
    <x v="0"/>
    <n v="1402.0454999999999"/>
    <m/>
    <n v="2200"/>
    <n v="-3084500.1"/>
    <n v="-2468"/>
    <n v="0"/>
    <n v="0"/>
    <n v="-3086968.1"/>
    <n v="125.87768969422424"/>
    <m/>
    <x v="13"/>
    <s v="Equita"/>
  </r>
  <r>
    <d v="2019-03-05T00:00:00"/>
    <s v="BUY"/>
    <s v="5302.T"/>
    <s v="JP3690400001"/>
    <s v="YES"/>
    <s v="5302.t"/>
    <m/>
    <s v="Nippon Carbon Co Ltd"/>
    <x v="0"/>
    <n v="5480.9524000000001"/>
    <m/>
    <n v="420"/>
    <n v="-2302000.0079999999"/>
    <n v="-1842"/>
    <n v="0"/>
    <n v="0"/>
    <n v="-2303842.0079999999"/>
    <n v="125.87768969422439"/>
    <m/>
    <x v="13"/>
    <s v="Equita"/>
  </r>
  <r>
    <d v="2019-03-05T00:00:00"/>
    <s v="BUY"/>
    <s v="5713.T"/>
    <s v="JP3402600005"/>
    <s v="YES"/>
    <s v="5713.T"/>
    <m/>
    <s v="Sumitomo Metal Mining Co Ltd"/>
    <x v="0"/>
    <n v="3307.4776000000002"/>
    <m/>
    <n v="670"/>
    <n v="-2216009.9920000001"/>
    <n v="-1773"/>
    <n v="0"/>
    <n v="0"/>
    <n v="-2217782.9920000001"/>
    <n v="125.87768969422436"/>
    <m/>
    <x v="13"/>
    <s v="Equita"/>
  </r>
  <r>
    <d v="2019-03-05T00:00:00"/>
    <s v="BUY"/>
    <s v="2344.T"/>
    <s v="JP3834050001"/>
    <s v="YES"/>
    <s v="2344.t"/>
    <m/>
    <s v="Heian Ceremony Service Co Ltd"/>
    <x v="0"/>
    <n v="902"/>
    <m/>
    <n v="500"/>
    <n v="-451000"/>
    <n v="-361"/>
    <n v="0"/>
    <n v="0"/>
    <n v="-451361"/>
    <n v="125.87768969422432"/>
    <m/>
    <x v="13"/>
    <s v="Equita"/>
  </r>
  <r>
    <d v="2019-03-05T00:00:00"/>
    <s v="BUY"/>
    <s v="8070.T"/>
    <s v="JP3576600005"/>
    <s v="YES"/>
    <s v="8070.T"/>
    <m/>
    <s v="Tokyo Sangyo Co Ltd"/>
    <x v="0"/>
    <n v="547.61189999999999"/>
    <m/>
    <n v="4200"/>
    <n v="-2299969.98"/>
    <n v="-1840"/>
    <n v="0"/>
    <n v="0"/>
    <n v="-2301809.98"/>
    <n v="125.8776896942242"/>
    <m/>
    <x v="13"/>
    <s v="Equita"/>
  </r>
  <r>
    <d v="2019-03-05T00:00:00"/>
    <s v="BUY"/>
    <s v="1945.T"/>
    <s v="JP3585400009"/>
    <s v="YES"/>
    <s v="1945.T"/>
    <m/>
    <s v="Tokyo Energy &amp; Systems Inc"/>
    <x v="0"/>
    <n v="952.78330000000005"/>
    <m/>
    <n v="4200"/>
    <n v="-4001689.8600000003"/>
    <n v="-3201"/>
    <n v="0"/>
    <n v="0"/>
    <n v="-4004890.8600000003"/>
    <n v="125.8776896942243"/>
    <m/>
    <x v="13"/>
    <s v="Equita"/>
  </r>
  <r>
    <d v="2019-03-07T00:00:00"/>
    <s v="BUY"/>
    <s v="RMG.L"/>
    <s v="GB00BDVZYZ77"/>
    <s v="YES"/>
    <s v="RMG.L"/>
    <m/>
    <s v="Royal Mail PLC"/>
    <x v="6"/>
    <n v="259.81"/>
    <m/>
    <n v="4650"/>
    <n v="-1208116.5"/>
    <n v="-10"/>
    <n v="0"/>
    <n v="-61"/>
    <n v="-1208187.5"/>
    <n v="0.84913929784824493"/>
    <m/>
    <x v="14"/>
    <s v="Equita"/>
  </r>
  <r>
    <d v="2019-03-08T00:00:00"/>
    <s v="BUY"/>
    <s v="IMTP.PA"/>
    <s v="FR0000120859"/>
    <s v="YES"/>
    <s v="IMTP.PA"/>
    <m/>
    <s v="Imerys SA"/>
    <x v="5"/>
    <n v="48.100900000000003"/>
    <m/>
    <n v="430"/>
    <n v="-20683.387000000002"/>
    <n v="-17"/>
    <n v="0"/>
    <n v="-62"/>
    <n v="-20762.387000000002"/>
    <n v="1"/>
    <m/>
    <x v="15"/>
    <s v="Equita"/>
  </r>
  <r>
    <d v="2019-03-08T00:00:00"/>
    <s v="BUY"/>
    <s v="FCHA.MI"/>
    <s v="NL0010877643"/>
    <s v="YES"/>
    <s v="FCHA.MI"/>
    <m/>
    <s v="Fiat Chrysler Automobiles NV"/>
    <x v="5"/>
    <n v="12.8636"/>
    <m/>
    <n v="2100"/>
    <n v="-27013.56"/>
    <n v="-22"/>
    <n v="0"/>
    <n v="0"/>
    <n v="-27035.56"/>
    <n v="1"/>
    <m/>
    <x v="15"/>
    <s v="Equita"/>
  </r>
  <r>
    <d v="2019-03-11T00:00:00"/>
    <s v="BUY"/>
    <s v="2344.T"/>
    <s v="JP3834050001"/>
    <s v="YES"/>
    <s v="2344.T"/>
    <m/>
    <s v="Heian Ceremony Service Co Ltd"/>
    <x v="0"/>
    <n v="892.78949999999998"/>
    <m/>
    <n v="950"/>
    <n v="-848150.02500000002"/>
    <n v="-679"/>
    <n v="0"/>
    <n v="0"/>
    <n v="-848829.02500000002"/>
    <n v="125.87768969422432"/>
    <m/>
    <x v="16"/>
    <s v="Equita"/>
  </r>
  <r>
    <d v="2019-03-11T00:00:00"/>
    <s v="BUY"/>
    <s v="9055.T"/>
    <s v="JP3126450000"/>
    <s v="YES"/>
    <s v="9055.T"/>
    <m/>
    <s v="Alps Logistics Co Ltd"/>
    <x v="0"/>
    <n v="773.64189999999996"/>
    <m/>
    <n v="2150"/>
    <n v="-1663330.085"/>
    <n v="-1331"/>
    <n v="0"/>
    <n v="0"/>
    <n v="-1664661.085"/>
    <n v="125.87768969422419"/>
    <m/>
    <x v="16"/>
    <s v="Equita"/>
  </r>
  <r>
    <d v="2019-03-11T00:00:00"/>
    <s v="BUY"/>
    <s v="1960.T"/>
    <s v="JP3335400002"/>
    <s v="YES"/>
    <s v="1960.t"/>
    <m/>
    <s v="Sanyo Engineering &amp; Construction Inc"/>
    <x v="0"/>
    <n v="709.24"/>
    <m/>
    <n v="2500"/>
    <n v="-1773100"/>
    <n v="-1418"/>
    <n v="0"/>
    <n v="0"/>
    <n v="-1774518"/>
    <n v="125.87768969422427"/>
    <m/>
    <x v="16"/>
    <s v="Equita"/>
  </r>
  <r>
    <d v="2019-03-11T00:00:00"/>
    <s v="BUY"/>
    <s v="3891.T"/>
    <s v="JP3707000000"/>
    <s v="YES"/>
    <s v="3891.T"/>
    <m/>
    <s v="Nippon Kodoshi Corp"/>
    <x v="0"/>
    <n v="1543.8181999999999"/>
    <m/>
    <n v="1100"/>
    <n v="-1698200.02"/>
    <n v="-1359"/>
    <n v="0"/>
    <n v="0"/>
    <n v="-1699559.02"/>
    <n v="125.87768969422427"/>
    <m/>
    <x v="16"/>
    <s v="Equita"/>
  </r>
  <r>
    <d v="2019-03-11T00:00:00"/>
    <s v="BUY"/>
    <s v="6501.T"/>
    <s v="JP3788600009"/>
    <s v="YES"/>
    <s v="6501.T"/>
    <m/>
    <s v="Hitachi Ltd"/>
    <x v="0"/>
    <n v="3164.5455000000002"/>
    <m/>
    <n v="550"/>
    <n v="-1740500.0250000001"/>
    <n v="-1392"/>
    <n v="0"/>
    <n v="0"/>
    <n v="-1741892.0250000001"/>
    <n v="125.8776896942242"/>
    <m/>
    <x v="16"/>
    <s v="Equita"/>
  </r>
  <r>
    <d v="2019-03-11T00:00:00"/>
    <s v="BUY"/>
    <s v="003555.KS"/>
    <s v="KR7003551009"/>
    <s v="YES"/>
    <s v="003555.KS"/>
    <m/>
    <s v="LG Corp"/>
    <x v="3"/>
    <n v="43049.1463"/>
    <m/>
    <n v="410"/>
    <n v="-17650149.982999999"/>
    <n v="-26475"/>
    <n v="0"/>
    <n v="0"/>
    <n v="-17676624.982999999"/>
    <n v="1279.1619479048707"/>
    <m/>
    <x v="17"/>
    <s v="Samsung"/>
  </r>
  <r>
    <d v="2019-03-11T00:00:00"/>
    <s v="BUY"/>
    <s v="006405.KS"/>
    <s v="KR7006401004"/>
    <s v="YES"/>
    <s v="006405.KS"/>
    <m/>
    <s v="Samsung SDI Co Ltd"/>
    <x v="3"/>
    <n v="93071.052599999995"/>
    <m/>
    <n v="190"/>
    <n v="-17683499.993999999"/>
    <n v="-26525"/>
    <n v="0"/>
    <n v="0"/>
    <n v="-17710024.993999999"/>
    <n v="1279.1619479048695"/>
    <m/>
    <x v="17"/>
    <s v="Samsung"/>
  </r>
  <r>
    <d v="2019-03-11T00:00:00"/>
    <s v="BUY"/>
    <s v="02826K.KS"/>
    <s v="KR702826K016"/>
    <s v="YES"/>
    <s v="02826K.KS"/>
    <m/>
    <s v="Samsung C&amp;T Corp"/>
    <x v="3"/>
    <n v="72412.653099999996"/>
    <m/>
    <n v="245"/>
    <n v="-17741100.009500001"/>
    <n v="-26612"/>
    <n v="0"/>
    <n v="0"/>
    <n v="-17767712.009500001"/>
    <n v="1279.1619479048693"/>
    <m/>
    <x v="17"/>
    <s v="Samsung"/>
  </r>
  <r>
    <d v="2019-03-14T00:00:00"/>
    <s v="BUY"/>
    <s v="WPP.L"/>
    <s v="Not Signed In"/>
    <s v="YES"/>
    <s v="WPP.L"/>
    <m/>
    <s v="Not Signed In"/>
    <x v="6"/>
    <n v="8.5595999999999997"/>
    <m/>
    <n v="2200"/>
    <n v="-18831.12"/>
    <n v="-15.06"/>
    <n v="0"/>
    <n v="-1"/>
    <n v="-18847.18"/>
    <n v="0.84913929784824116"/>
    <m/>
    <x v="18"/>
    <s v="Equita"/>
  </r>
  <r>
    <d v="2019-03-15T00:00:00"/>
    <s v="BUY"/>
    <s v="WPP.L"/>
    <s v="JE00B8KF9B49"/>
    <s v="YES"/>
    <s v="wpp.l"/>
    <m/>
    <s v="WPP PLC"/>
    <x v="6"/>
    <n v="8.6150000000000002"/>
    <m/>
    <n v="2200"/>
    <n v="-18953"/>
    <n v="-15.16"/>
    <n v="0"/>
    <n v="-1"/>
    <n v="-18969.16"/>
    <n v="0.85368444846293212"/>
    <m/>
    <x v="19"/>
    <s v="Equita"/>
  </r>
  <r>
    <d v="2019-03-15T00:00:00"/>
    <s v="BUY"/>
    <s v="SCAb.ST"/>
    <s v="SE0000112724"/>
    <s v="YES"/>
    <s v="SCAb.ST"/>
    <m/>
    <s v="Svenska Cellulosa SCA AB"/>
    <x v="7"/>
    <n v="82.797600000000003"/>
    <m/>
    <n v="2700"/>
    <n v="-223553.52000000002"/>
    <n v="-179"/>
    <n v="0"/>
    <n v="0"/>
    <n v="-223732.52000000002"/>
    <n v="10.512997287522607"/>
    <m/>
    <x v="19"/>
    <s v="Equita"/>
  </r>
  <r>
    <d v="2019-03-15T00:00:00"/>
    <s v="BUY"/>
    <s v="KNL"/>
    <s v="US4989042001"/>
    <s v="YES"/>
    <s v="KNL"/>
    <m/>
    <s v="Knoll Inc"/>
    <x v="8"/>
    <n v="20.192"/>
    <m/>
    <n v="1200"/>
    <n v="-24230.400000000001"/>
    <n v="-19"/>
    <n v="0"/>
    <n v="0"/>
    <n v="-24249.4"/>
    <n v="1.1325028312570784"/>
    <m/>
    <x v="19"/>
    <s v="Equita"/>
  </r>
  <r>
    <d v="2019-03-18T00:00:00"/>
    <s v="BUY"/>
    <s v="003545.KS"/>
    <s v="KR7003541000"/>
    <s v="YES"/>
    <s v="003545.KS"/>
    <m/>
    <s v="DAISHIN SECURITIES CO LTD"/>
    <x v="3"/>
    <n v="8720"/>
    <m/>
    <n v="3500"/>
    <n v="-30520000"/>
    <n v="-45827"/>
    <n v="0"/>
    <n v="0"/>
    <n v="-30565827"/>
    <n v="1285.0509626274074"/>
    <m/>
    <x v="20"/>
    <s v="Samsung"/>
  </r>
  <r>
    <d v="2019-03-18T00:00:00"/>
    <s v="BUY"/>
    <s v="003555.KS"/>
    <s v="KR7003551009"/>
    <s v="YES"/>
    <s v="003555.KS"/>
    <m/>
    <s v="LG Corp"/>
    <x v="3"/>
    <n v="44600"/>
    <m/>
    <n v="700"/>
    <n v="-31220000"/>
    <n v="-46711"/>
    <n v="0"/>
    <n v="0"/>
    <n v="-31266711"/>
    <n v="1285.0509626274049"/>
    <m/>
    <x v="20"/>
    <s v="Samsung"/>
  </r>
  <r>
    <d v="2019-03-18T00:00:00"/>
    <s v="BUY"/>
    <s v="006405.KS"/>
    <s v="KR7006401004"/>
    <s v="YES"/>
    <s v="006405.KS"/>
    <m/>
    <s v="Samsung SDI Co Ltd"/>
    <x v="3"/>
    <n v="90600"/>
    <m/>
    <n v="300"/>
    <n v="-27180000"/>
    <n v="-40721"/>
    <n v="0"/>
    <n v="0"/>
    <n v="-27220721"/>
    <n v="1285.0509626274063"/>
    <m/>
    <x v="20"/>
    <s v="Samsung"/>
  </r>
  <r>
    <d v="2019-03-18T00:00:00"/>
    <s v="BUY"/>
    <s v="02826K.KS"/>
    <s v="KR702826K016"/>
    <s v="YES"/>
    <s v="02826K.KS"/>
    <m/>
    <s v="Samsung C&amp;T Corp"/>
    <x v="3"/>
    <n v="72400"/>
    <m/>
    <n v="170"/>
    <n v="-12308000"/>
    <n v="-18405"/>
    <n v="0"/>
    <n v="0"/>
    <n v="-12326405"/>
    <n v="1285.0509626274065"/>
    <m/>
    <x v="20"/>
    <s v="Samsung"/>
  </r>
  <r>
    <d v="2019-03-18T00:00:00"/>
    <s v="BUY"/>
    <s v="096775.KS"/>
    <s v="KR7096771001"/>
    <s v="YES"/>
    <s v="096775.KS"/>
    <m/>
    <s v="SK Innovation Co Ltd"/>
    <x v="3"/>
    <n v="128000"/>
    <m/>
    <n v="220"/>
    <n v="-28160000"/>
    <n v="-42821"/>
    <n v="0"/>
    <n v="0"/>
    <n v="-28202821"/>
    <n v="1285.0509626274061"/>
    <m/>
    <x v="20"/>
    <s v="Samsung"/>
  </r>
  <r>
    <d v="2019-03-18T00:00:00"/>
    <s v="BUY"/>
    <s v="SYR.AX"/>
    <s v="AU000000SYR9"/>
    <s v="YES"/>
    <s v="SYR.AX"/>
    <m/>
    <s v="Syrah Resources Ltd"/>
    <x v="1"/>
    <n v="1.06"/>
    <m/>
    <n v="22000"/>
    <n v="-23320"/>
    <n v="-19.25"/>
    <n v="0"/>
    <n v="0"/>
    <n v="-23339.25"/>
    <n v="1.5979954699886756"/>
    <m/>
    <x v="20"/>
    <s v="Equita"/>
  </r>
  <r>
    <d v="2019-03-18T00:00:00"/>
    <s v="BUY"/>
    <s v="2344.T"/>
    <s v="JP3834050001"/>
    <s v="YES"/>
    <s v="2344.T"/>
    <m/>
    <s v="Heian Ceremony Service Co Ltd"/>
    <x v="0"/>
    <n v="892"/>
    <m/>
    <n v="1800"/>
    <n v="-1605600"/>
    <n v="-1273"/>
    <n v="0"/>
    <n v="0"/>
    <n v="-1606873"/>
    <n v="126.21744054360137"/>
    <m/>
    <x v="21"/>
    <s v="Equita"/>
  </r>
  <r>
    <d v="2019-03-18T00:00:00"/>
    <s v="BUY"/>
    <s v="6752.t"/>
    <s v="JP3866800000"/>
    <s v="YES"/>
    <s v="6752.T"/>
    <m/>
    <s v="Panasonic Corp"/>
    <x v="0"/>
    <n v="969.7"/>
    <m/>
    <n v="3500"/>
    <n v="-3393950"/>
    <n v="-2711"/>
    <n v="0"/>
    <n v="0"/>
    <n v="-3396661"/>
    <n v="126.21744054360144"/>
    <m/>
    <x v="21"/>
    <s v="Equita"/>
  </r>
  <r>
    <d v="2019-03-18T00:00:00"/>
    <s v="BUY"/>
    <s v="VRKP.PA"/>
    <s v="FR0000062796"/>
    <s v="YES"/>
    <s v="VRKP.PA"/>
    <m/>
    <s v="Vranken Pommery Monopole SA"/>
    <x v="5"/>
    <n v="23.4"/>
    <m/>
    <n v="460"/>
    <n v="-10764"/>
    <n v="-8.61"/>
    <n v="0"/>
    <n v="0"/>
    <n v="-10772.61"/>
    <n v="1"/>
    <m/>
    <x v="20"/>
    <s v="Equita"/>
  </r>
  <r>
    <d v="2019-03-18T00:00:00"/>
    <s v="BUY"/>
    <s v="LAN.PA"/>
    <s v="FR0004027068"/>
    <s v="YES"/>
    <s v="LAN.PA"/>
    <m/>
    <s v="Lanson BCC SA"/>
    <x v="5"/>
    <n v="27"/>
    <m/>
    <n v="670"/>
    <n v="-18090"/>
    <n v="-14.47"/>
    <n v="0"/>
    <n v="0"/>
    <n v="-18104.47"/>
    <n v="1"/>
    <m/>
    <x v="20"/>
    <s v="Equita"/>
  </r>
  <r>
    <d v="2019-03-18T00:00:00"/>
    <s v="BUY"/>
    <s v="INME.I"/>
    <s v="IE00B59HWB19"/>
    <s v="YES"/>
    <s v="INME.I"/>
    <m/>
    <s v="Independent News &amp; Media PLC"/>
    <x v="5"/>
    <n v="6.3299999999999995E-2"/>
    <m/>
    <n v="216000"/>
    <n v="-13672.8"/>
    <n v="-10.94"/>
    <n v="-136.72999999999999"/>
    <n v="0"/>
    <n v="-13820.47"/>
    <n v="1"/>
    <m/>
    <x v="20"/>
    <s v="Equita"/>
  </r>
  <r>
    <d v="2019-03-18T00:00:00"/>
    <s v="BUY"/>
    <s v="O2Dn.DE"/>
    <s v="DE000A1J5RX9"/>
    <s v="YES"/>
    <s v="O2Dn.DE"/>
    <m/>
    <s v="Telefonica Deutschland Holding AG"/>
    <x v="5"/>
    <n v="2.9552999999999998"/>
    <m/>
    <n v="4800"/>
    <n v="-14185.439999999999"/>
    <n v="-11.35"/>
    <n v="0"/>
    <n v="0"/>
    <n v="-14196.789999999999"/>
    <n v="1"/>
    <m/>
    <x v="20"/>
    <s v="Equita"/>
  </r>
  <r>
    <d v="2019-03-18T00:00:00"/>
    <s v="BUY"/>
    <s v="JNPR.K"/>
    <s v="US48203R1041"/>
    <s v="YES"/>
    <s v="JNPR.K"/>
    <m/>
    <s v="Juniper Networks Inc"/>
    <x v="8"/>
    <n v="26.834499999999998"/>
    <m/>
    <n v="600"/>
    <n v="-16100.699999999999"/>
    <n v="-12.88"/>
    <n v="0"/>
    <n v="0"/>
    <n v="-16113.579999999998"/>
    <n v="1.1325028312570782"/>
    <m/>
    <x v="20"/>
    <s v="Equita"/>
  </r>
  <r>
    <d v="2019-03-19T00:00:00"/>
    <s v="BUY"/>
    <s v="02826K.KS"/>
    <s v="KR702826K016"/>
    <s v="YES"/>
    <s v="02826k.ks"/>
    <m/>
    <s v="Samsung C&amp;T Corp"/>
    <x v="3"/>
    <n v="72900"/>
    <m/>
    <n v="43"/>
    <n v="-3134700"/>
    <n v="-4681"/>
    <n v="0"/>
    <n v="0"/>
    <n v="-3139381"/>
    <n v="1282.3987379841794"/>
    <m/>
    <x v="21"/>
    <s v="Samsung"/>
  </r>
  <r>
    <d v="2019-03-19T00:00:00"/>
    <s v="BUY"/>
    <s v="RCH.L"/>
    <s v="GB0009039941"/>
    <s v="YES"/>
    <s v="RCH.L"/>
    <m/>
    <s v="Reach PLC"/>
    <x v="6"/>
    <n v="0.64"/>
    <m/>
    <n v="4195"/>
    <n v="-2684.8"/>
    <n v="-2.15"/>
    <n v="-13.42"/>
    <n v="0"/>
    <n v="-2700.3700000000003"/>
    <n v="0.85543563378843113"/>
    <m/>
    <x v="21"/>
    <s v="Equita"/>
  </r>
  <r>
    <d v="2019-03-19T00:00:00"/>
    <s v="BUY"/>
    <s v="RBBN.O"/>
    <s v="US7625441040"/>
    <s v="YES"/>
    <s v="RBBN.O"/>
    <m/>
    <s v="Ribbon Communications Inc"/>
    <x v="8"/>
    <n v="5.3028000000000004"/>
    <m/>
    <n v="3200"/>
    <n v="-16968.960000000003"/>
    <n v="-13.58"/>
    <n v="0"/>
    <n v="0"/>
    <n v="-16982.540000000005"/>
    <n v="1.134906313483822"/>
    <m/>
    <x v="21"/>
    <s v="Equita"/>
  </r>
  <r>
    <d v="2019-03-20T00:00:00"/>
    <s v="BUY"/>
    <s v="4005.T"/>
    <s v="JP3401400001"/>
    <s v="YES"/>
    <s v="4005.T"/>
    <m/>
    <s v="Sumitomo Chemical Co Ltd"/>
    <x v="0"/>
    <n v="537"/>
    <m/>
    <n v="3530"/>
    <n v="-1895610"/>
    <n v="-1516"/>
    <n v="0"/>
    <n v="0"/>
    <n v="-1897126"/>
    <n v="126.39451613269338"/>
    <m/>
    <x v="22"/>
    <s v="Equita"/>
  </r>
  <r>
    <d v="2019-03-20T00:00:00"/>
    <s v="BUY"/>
    <s v="4092.T"/>
    <s v="Not Signed In"/>
    <s v="YES"/>
    <s v="4092.t"/>
    <m/>
    <s v="Nippon Chemical Industrial Co Ltd"/>
    <x v="0"/>
    <n v="2062"/>
    <m/>
    <n v="930"/>
    <n v="-1917660"/>
    <n v="-1534"/>
    <n v="0"/>
    <n v="0"/>
    <n v="-1919194"/>
    <n v="126.29657100473587"/>
    <m/>
    <x v="22"/>
    <s v="Equita"/>
  </r>
  <r>
    <d v="2019-03-20T00:00:00"/>
    <s v="BUY"/>
    <s v="02826K.KS"/>
    <s v="Not Signed In"/>
    <s v="YES"/>
    <s v="02826k.ks"/>
    <m/>
    <s v="Samsung C&amp;T Corp"/>
    <x v="3"/>
    <n v="72838.164300000004"/>
    <m/>
    <n v="207"/>
    <n v="-15077500.010100001"/>
    <n v="-22616"/>
    <n v="0"/>
    <n v="0"/>
    <n v="-15100116.010100001"/>
    <n v="1283.7907228846932"/>
    <m/>
    <x v="23"/>
    <s v="Samsung"/>
  </r>
  <r>
    <d v="2019-03-20T00:00:00"/>
    <s v="BUY"/>
    <s v="A3M.MC"/>
    <s v="Not Signed In"/>
    <s v="YES"/>
    <s v="A3M.MC"/>
    <m/>
    <s v="Atresmedia Corporacion de Medios de Comunicacion SA"/>
    <x v="5"/>
    <n v="4.5237999999999996"/>
    <m/>
    <n v="4800"/>
    <n v="-21714.239999999998"/>
    <n v="-17.37"/>
    <n v="0"/>
    <n v="0"/>
    <n v="-21731.609999999997"/>
    <n v="1"/>
    <m/>
    <x v="23"/>
    <s v="Equita"/>
  </r>
  <r>
    <d v="2019-03-20T00:00:00"/>
    <s v="BUY"/>
    <s v="STERV.HE"/>
    <s v="Not Signed In"/>
    <s v="YES"/>
    <s v="STERV.HE"/>
    <m/>
    <s v="Stora Enso Oyj"/>
    <x v="5"/>
    <n v="11.569900000000001"/>
    <m/>
    <n v="1300"/>
    <n v="-15040.87"/>
    <n v="-12.03"/>
    <n v="0"/>
    <n v="0"/>
    <n v="-15052.900000000001"/>
    <n v="1"/>
    <m/>
    <x v="23"/>
    <s v="Equita"/>
  </r>
  <r>
    <d v="2019-03-20T00:00:00"/>
    <s v="BUY"/>
    <s v="rtn.l"/>
    <s v="Not Signed In"/>
    <s v="YES"/>
    <s v="rtn.l"/>
    <m/>
    <s v="Restaurant Group PLC"/>
    <x v="6"/>
    <n v="1.2716000000000001"/>
    <m/>
    <n v="15000"/>
    <n v="-19074"/>
    <n v="-15.26"/>
    <n v="0"/>
    <n v="-96.37"/>
    <n v="-19185.629999999997"/>
    <n v="0.86473440976778737"/>
    <m/>
    <x v="23"/>
    <s v="Equita"/>
  </r>
  <r>
    <d v="2019-03-20T00:00:00"/>
    <s v="BUY"/>
    <s v="RCH.L"/>
    <s v="Not Signed In"/>
    <s v="YES"/>
    <s v="rch.l"/>
    <m/>
    <s v="Reach PLC"/>
    <x v="6"/>
    <n v="0.64980000000000004"/>
    <m/>
    <n v="15500"/>
    <n v="-10071.900000000001"/>
    <n v="-8.06"/>
    <n v="0"/>
    <n v="-51.36"/>
    <n v="-10131.320000000002"/>
    <n v="0.86473440976778704"/>
    <m/>
    <x v="23"/>
    <s v="Equita"/>
  </r>
  <r>
    <d v="2019-03-21T00:00:00"/>
    <s v="BUY"/>
    <s v="006405.KS"/>
    <s v="Not Signed In"/>
    <s v="YES"/>
    <s v="006405.KS"/>
    <m/>
    <s v="Samsung SDI Co Ltd"/>
    <x v="3"/>
    <n v="90924.583299999998"/>
    <m/>
    <n v="240"/>
    <n v="-21821899.991999999"/>
    <n v="-32733"/>
    <n v="0"/>
    <n v="0"/>
    <n v="-21854632.991999999"/>
    <n v="1283.7907228846925"/>
    <m/>
    <x v="24"/>
    <s v="Samsung"/>
  </r>
  <r>
    <d v="2019-03-21T00:00:00"/>
    <s v="BUY"/>
    <s v="032830.KS"/>
    <s v="Not Signed In"/>
    <s v="YES"/>
    <s v="032830.KS"/>
    <m/>
    <s v="Samsung Life Insurance Co Ltd"/>
    <x v="3"/>
    <n v="87100"/>
    <m/>
    <n v="230"/>
    <n v="-20033000"/>
    <n v="-30050"/>
    <n v="0"/>
    <n v="0"/>
    <n v="-20063050"/>
    <n v="1283.7907228846921"/>
    <m/>
    <x v="24"/>
    <s v="Samsung"/>
  </r>
  <r>
    <d v="2019-03-21T00:00:00"/>
    <s v="BUY"/>
    <s v="M"/>
    <s v="Not Signed In"/>
    <s v="YES"/>
    <s v="M"/>
    <m/>
    <s v="Macy's Inc"/>
    <x v="8"/>
    <n v="23.915199999999999"/>
    <m/>
    <n v="740"/>
    <n v="-17697.248"/>
    <n v="-14.16"/>
    <n v="0"/>
    <n v="0"/>
    <n v="-17711.407999999999"/>
    <n v="1.1312985044233772"/>
    <m/>
    <x v="24"/>
    <s v="Equita"/>
  </r>
  <r>
    <d v="2019-03-22T00:00:00"/>
    <s v="BUY"/>
    <s v="9433.T"/>
    <s v="Not Signed In"/>
    <s v="YES"/>
    <s v="9433.T"/>
    <m/>
    <s v="KDDI Corp"/>
    <x v="0"/>
    <n v="2471"/>
    <m/>
    <n v="1600"/>
    <n v="-3953600"/>
    <n v="-3163"/>
    <n v="0"/>
    <n v="0"/>
    <n v="-3956763"/>
    <n v="124.3410186211735"/>
    <m/>
    <x v="25"/>
    <s v="Equita"/>
  </r>
  <r>
    <d v="2019-03-22T00:00:00"/>
    <s v="BUY"/>
    <s v="4188.T"/>
    <s v="Not Signed In"/>
    <s v="YES"/>
    <s v="4188.T"/>
    <m/>
    <s v="Mitsubishi Chemical Holdings Corp"/>
    <x v="0"/>
    <n v="820"/>
    <m/>
    <n v="2400"/>
    <n v="-1968000"/>
    <n v="-1574"/>
    <n v="0"/>
    <n v="0"/>
    <n v="-1969574"/>
    <n v="124.34101862117349"/>
    <m/>
    <x v="25"/>
    <s v="Equita"/>
  </r>
  <r>
    <d v="2019-03-22T00:00:00"/>
    <s v="BUY"/>
    <s v="STERV.HE"/>
    <s v="Not Signed In"/>
    <s v="YES"/>
    <s v="STERV.HE"/>
    <m/>
    <s v="Stora Enso Oyj"/>
    <x v="5"/>
    <n v="11.049200000000001"/>
    <m/>
    <n v="1700"/>
    <n v="-18783.640000000003"/>
    <n v="-15.03"/>
    <n v="0"/>
    <n v="0"/>
    <n v="-18798.670000000002"/>
    <n v="1"/>
    <m/>
    <x v="26"/>
    <s v="Equita"/>
  </r>
  <r>
    <d v="2019-03-22T00:00:00"/>
    <s v="BUY"/>
    <s v="STERV.HE"/>
    <s v="Not Signed In"/>
    <s v="YES"/>
    <s v="STERV.HE"/>
    <m/>
    <s v="Stora Enso Oyj"/>
    <x v="5"/>
    <n v="10.775"/>
    <m/>
    <n v="1700"/>
    <n v="-18317.5"/>
    <n v="-14.65"/>
    <n v="0"/>
    <n v="0"/>
    <n v="-18332.150000000001"/>
    <n v="1"/>
    <m/>
    <x v="26"/>
    <s v="Equita"/>
  </r>
  <r>
    <d v="2019-03-22T00:00:00"/>
    <s v="BUY"/>
    <s v="PSMGn.DE"/>
    <s v="Not Signed In"/>
    <s v="YES"/>
    <s v="PSMGn.DE"/>
    <m/>
    <s v="Prosiebensat 1 Media SE"/>
    <x v="5"/>
    <n v="14"/>
    <m/>
    <n v="1700"/>
    <n v="-23800"/>
    <n v="-19.04"/>
    <n v="0"/>
    <n v="0"/>
    <n v="-23819.040000000001"/>
    <n v="1"/>
    <m/>
    <x v="26"/>
    <s v="Equita"/>
  </r>
  <r>
    <d v="2019-03-22T00:00:00"/>
    <s v="BUY"/>
    <s v="AA"/>
    <s v="Not Signed In"/>
    <s v="YES"/>
    <s v="AA"/>
    <m/>
    <s v="Alcoa Corp"/>
    <x v="8"/>
    <n v="27.908999999999999"/>
    <m/>
    <n v="1100"/>
    <n v="-30699.899999999998"/>
    <n v="-24.55"/>
    <n v="0"/>
    <n v="0"/>
    <n v="-30724.449999999997"/>
    <n v="1.1312985044233772"/>
    <m/>
    <x v="26"/>
    <s v="Equita"/>
  </r>
  <r>
    <d v="2019-03-22T00:00:00"/>
    <s v="BUY"/>
    <s v="HOG"/>
    <s v="Not Signed In"/>
    <s v="YES"/>
    <s v="HOG"/>
    <m/>
    <s v="Harley-Davidson Inc"/>
    <x v="8"/>
    <n v="34.000999999999998"/>
    <m/>
    <n v="690"/>
    <n v="-23460.69"/>
    <n v="-18.77"/>
    <n v="0"/>
    <n v="0"/>
    <n v="-23479.46"/>
    <n v="1.1312985044233772"/>
    <m/>
    <x v="26"/>
    <s v="Equita"/>
  </r>
  <r>
    <d v="2019-03-22T00:00:00"/>
    <s v="BUY"/>
    <s v="VNE"/>
    <s v="Not Signed In"/>
    <s v="YES"/>
    <s v="VNE"/>
    <m/>
    <s v="Veoneer Inc"/>
    <x v="8"/>
    <n v="23.2256"/>
    <m/>
    <n v="1100"/>
    <n v="-25548.16"/>
    <n v="-20.440000000000001"/>
    <n v="0"/>
    <n v="0"/>
    <n v="-25568.6"/>
    <n v="1.131298504423377"/>
    <m/>
    <x v="26"/>
    <s v="Equita"/>
  </r>
  <r>
    <d v="2019-03-22T00:00:00"/>
    <s v="BUY"/>
    <s v="KT.N"/>
    <s v="Not Signed In"/>
    <s v="YES"/>
    <s v="KT.N"/>
    <m/>
    <s v="KT Corp"/>
    <x v="8"/>
    <n v="12.9353"/>
    <m/>
    <n v="1700"/>
    <n v="-21990.01"/>
    <n v="-17.59"/>
    <n v="0"/>
    <n v="0"/>
    <n v="-22007.599999999999"/>
    <n v="1.1312985044233772"/>
    <m/>
    <x v="26"/>
    <s v="Equita"/>
  </r>
  <r>
    <d v="2019-03-25T00:00:00"/>
    <s v="BUY"/>
    <s v="NOKIA.HE"/>
    <s v="Not Signed In"/>
    <s v="YES"/>
    <s v="NOKIA.HE"/>
    <m/>
    <s v="Nokia Oyj"/>
    <x v="5"/>
    <n v="5.2142999999999997"/>
    <m/>
    <n v="3000"/>
    <n v="-15642.9"/>
    <n v="-12.51"/>
    <n v="0"/>
    <n v="0"/>
    <n v="-15655.41"/>
    <n v="1"/>
    <m/>
    <x v="25"/>
    <s v="Equita"/>
  </r>
  <r>
    <d v="2019-03-25T00:00:00"/>
    <s v="BUY"/>
    <s v="IMTP.PA"/>
    <s v="Not Signed In"/>
    <s v="YES"/>
    <s v="IMTP.PA"/>
    <m/>
    <s v="Imerys SA"/>
    <x v="5"/>
    <n v="43.694400000000002"/>
    <m/>
    <n v="350"/>
    <n v="-15293.04"/>
    <n v="-12.23"/>
    <n v="0"/>
    <n v="-45.88"/>
    <n v="-15351.15"/>
    <n v="1"/>
    <m/>
    <x v="25"/>
    <s v="Equita"/>
  </r>
  <r>
    <d v="2019-03-26T00:00:00"/>
    <s v="BUY"/>
    <s v="006405.KS"/>
    <s v="Not Signed In"/>
    <s v="YES"/>
    <s v="006405.KS"/>
    <m/>
    <s v="Samsung SDI Co Ltd"/>
    <x v="3"/>
    <n v="86789.565199999997"/>
    <m/>
    <n v="230"/>
    <n v="-19961599.995999999"/>
    <n v="-29942"/>
    <n v="0"/>
    <n v="0"/>
    <n v="-19991541.995999999"/>
    <n v="1284.1482453560191"/>
    <m/>
    <x v="27"/>
    <s v="Samsung"/>
  </r>
  <r>
    <d v="2019-03-26T00:00:00"/>
    <s v="BUY"/>
    <s v="02826K.KS"/>
    <s v="Not Signed In"/>
    <s v="YES"/>
    <s v="02826K.KS"/>
    <m/>
    <s v="Samsung C&amp;T Corp"/>
    <x v="3"/>
    <n v="72302.325599999996"/>
    <m/>
    <n v="215"/>
    <n v="-15545000.003999999"/>
    <n v="-23318"/>
    <n v="0"/>
    <n v="0"/>
    <n v="-15568318.003999999"/>
    <n v="1284.1482453560193"/>
    <m/>
    <x v="27"/>
    <s v="Samsung"/>
  </r>
  <r>
    <d v="2019-03-26T00:00:00"/>
    <s v="BUY"/>
    <s v="003555.KS"/>
    <s v="Not Signed In"/>
    <s v="YES"/>
    <s v="003555.KS"/>
    <m/>
    <s v="LG Corp"/>
    <x v="3"/>
    <n v="43999.111100000002"/>
    <m/>
    <n v="450"/>
    <n v="-19799599.995000001"/>
    <n v="-29699"/>
    <n v="0"/>
    <n v="0"/>
    <n v="-19829298.995000001"/>
    <n v="1284.1482453560195"/>
    <n v="-15441.596456414183"/>
    <x v="27"/>
    <s v="Samsung"/>
  </r>
  <r>
    <d v="2019-03-26T00:00:00"/>
    <s v="BUY"/>
    <s v="316140.KS"/>
    <s v="Not Signed In"/>
    <s v="YES"/>
    <s v="316140.KS"/>
    <m/>
    <s v="Woori Financial Group Inc"/>
    <x v="3"/>
    <n v="13500"/>
    <m/>
    <n v="1480"/>
    <n v="-19980000"/>
    <n v="-29970"/>
    <n v="0"/>
    <n v="0"/>
    <n v="-20009970"/>
    <n v="1284.1482453560188"/>
    <n v="-15582.289718000908"/>
    <x v="27"/>
    <s v="Samsung"/>
  </r>
  <r>
    <d v="2019-03-25T00:00:00"/>
    <s v="BUY"/>
    <s v="4208.T"/>
    <s v="Not Signed In"/>
    <s v="YES"/>
    <s v="4208.T"/>
    <m/>
    <s v="Ube Industries Ltd"/>
    <x v="0"/>
    <n v="2358.0731999999998"/>
    <m/>
    <n v="820"/>
    <n v="-1933620.0239999997"/>
    <n v="-1547"/>
    <n v="0"/>
    <n v="0"/>
    <n v="-1935167.0239999997"/>
    <n v="124.36375975568401"/>
    <n v="-15560.538116583866"/>
    <x v="28"/>
    <s v="Equita"/>
  </r>
  <r>
    <d v="2019-03-26T00:00:00"/>
    <s v="BUY"/>
    <s v="4092.T"/>
    <s v="Not Signed In"/>
    <s v="YES"/>
    <s v="4092.T"/>
    <m/>
    <s v="Nippon Chemical Industrial Co Ltd"/>
    <x v="0"/>
    <n v="2041"/>
    <m/>
    <n v="950"/>
    <n v="-1938950"/>
    <n v="-1534"/>
    <n v="0"/>
    <n v="0"/>
    <n v="-1940484"/>
    <n v="124.36375975568349"/>
    <n v="-15603.291536152828"/>
    <x v="28"/>
    <s v="Equita"/>
  </r>
  <r>
    <d v="2019-03-26T00:00:00"/>
    <s v="BUY"/>
    <s v="6752.t"/>
    <s v="Not Signed In"/>
    <s v="YES"/>
    <s v="6752.t"/>
    <m/>
    <s v="Panasonic Corp"/>
    <x v="0"/>
    <n v="948.57560000000001"/>
    <m/>
    <n v="2050"/>
    <n v="-1944579.98"/>
    <n v="-1556"/>
    <n v="0"/>
    <n v="0"/>
    <n v="-1946135.98"/>
    <n v="124.36375975568373"/>
    <n v="-15648.73869866303"/>
    <x v="28"/>
    <s v="Equita"/>
  </r>
  <r>
    <d v="2019-03-26T00:00:00"/>
    <s v="BUY"/>
    <s v="4005.T"/>
    <s v="Not Signed In"/>
    <s v="YES"/>
    <s v="4005.t"/>
    <m/>
    <s v="Sumitomo Chemical Co Ltd"/>
    <x v="0"/>
    <n v="527.95889999999997"/>
    <m/>
    <n v="3650"/>
    <n v="-1927049.9849999999"/>
    <n v="-1542"/>
    <n v="0"/>
    <n v="0"/>
    <n v="-1928591.9849999999"/>
    <n v="124.36375975568366"/>
    <n v="-15507.668703397008"/>
    <x v="28"/>
    <s v="Equita"/>
  </r>
  <r>
    <d v="2019-03-26T00:00:00"/>
    <s v="BUY"/>
    <s v="8070.T"/>
    <s v="JP3576600005"/>
    <s v="YES"/>
    <s v="8070.t"/>
    <m/>
    <s v="Tokyo Sangyo Co Ltd"/>
    <x v="0"/>
    <n v="527.58920000000001"/>
    <m/>
    <n v="3700"/>
    <n v="-1952080.04"/>
    <n v="-1562"/>
    <n v="0"/>
    <n v="0"/>
    <n v="-1953642.04"/>
    <n v="124.3637597556837"/>
    <n v="-15709.094384392913"/>
    <x v="28"/>
    <s v="Equita"/>
  </r>
  <r>
    <d v="2019-03-26T00:00:00"/>
    <s v="BUY"/>
    <s v="2344.T"/>
    <s v="JP3834050001"/>
    <s v="YES"/>
    <s v="2344.t"/>
    <m/>
    <s v="Heian Ceremony Service Co Ltd"/>
    <x v="0"/>
    <n v="891.375"/>
    <m/>
    <n v="1600"/>
    <n v="-1426200"/>
    <n v="-1141"/>
    <n v="0"/>
    <n v="0"/>
    <n v="-1427341"/>
    <n v="124.36375975568382"/>
    <n v="-11477.14577626193"/>
    <x v="28"/>
    <s v="Equita"/>
  </r>
  <r>
    <d v="2019-03-26T00:00:00"/>
    <s v="BUY"/>
    <s v="CFP.TO"/>
    <s v="CA1375761048"/>
    <s v="YES"/>
    <s v="CFP.TO"/>
    <m/>
    <s v="Canfor Corp"/>
    <x v="9"/>
    <n v="13.19"/>
    <m/>
    <n v="1700"/>
    <n v="-22423"/>
    <n v="-17.940000000000001"/>
    <n v="0"/>
    <n v="0"/>
    <n v="-22440.94"/>
    <n v="1.5072427853747561"/>
    <n v="-14888.736053508695"/>
    <x v="27"/>
    <s v="Equita"/>
  </r>
  <r>
    <d v="2019-03-26T00:00:00"/>
    <s v="BUY"/>
    <s v="RRTL.DE"/>
    <s v="LU0061462528"/>
    <s v="YES"/>
    <s v="RRTL.DE"/>
    <m/>
    <s v="RTL Group SA"/>
    <x v="5"/>
    <n v="48.378500000000003"/>
    <m/>
    <n v="500"/>
    <n v="-24189.25"/>
    <n v="-19.350000000000001"/>
    <n v="0"/>
    <n v="0"/>
    <n v="-24208.6"/>
    <n v="1"/>
    <n v="-24208.6"/>
    <x v="27"/>
    <s v="Equita"/>
  </r>
  <r>
    <d v="2019-03-26T00:00:00"/>
    <s v="BUY"/>
    <s v="NHY.OL"/>
    <s v="NO0005052605"/>
    <s v="YES"/>
    <s v="NHY.OL"/>
    <m/>
    <s v="Norsk Hydro ASA"/>
    <x v="10"/>
    <n v="34.015799999999999"/>
    <m/>
    <n v="6700"/>
    <n v="-227905.86"/>
    <n v="-182.32"/>
    <n v="0"/>
    <n v="0"/>
    <n v="-228088.18"/>
    <n v="9.6228795422289188"/>
    <n v="-23702.695123539768"/>
    <x v="27"/>
    <s v="Equita"/>
  </r>
  <r>
    <d v="2019-03-26T00:00:00"/>
    <s v="BUY"/>
    <s v="KT.N"/>
    <s v="US48268K1016"/>
    <s v="YES"/>
    <s v="KT.N"/>
    <m/>
    <s v="KT Corp"/>
    <x v="8"/>
    <n v="12.712400000000001"/>
    <m/>
    <n v="1700"/>
    <n v="-21611.08"/>
    <n v="-17.29"/>
    <n v="0"/>
    <n v="0"/>
    <n v="-21628.370000000003"/>
    <n v="1.1264051904751178"/>
    <n v="-19201.2343186"/>
    <x v="27"/>
    <s v="Equita"/>
  </r>
  <r>
    <d v="2019-03-27T00:00:00"/>
    <s v="BUY"/>
    <s v="VEON.O"/>
    <s v="US91822M1062"/>
    <s v="YES"/>
    <s v="VEON.O"/>
    <m/>
    <s v="VEON Ltd"/>
    <x v="8"/>
    <n v="2.1850000000000001"/>
    <m/>
    <n v="11000"/>
    <n v="-24035"/>
    <n v="-19"/>
    <n v="0"/>
    <n v="0"/>
    <n v="-24054"/>
    <n v="1.1264051904751178"/>
    <n v="-21354.66012"/>
    <x v="28"/>
    <s v="Equita"/>
  </r>
  <r>
    <d v="2019-03-28T00:00:00"/>
    <s v="BUY"/>
    <s v="2344.T"/>
    <s v="JP3834050001"/>
    <s v="YES"/>
    <s v="2344.T"/>
    <m/>
    <s v="Heian Ceremony Service Co Ltd"/>
    <x v="0"/>
    <n v="885.29409999999996"/>
    <m/>
    <n v="340"/>
    <n v="-300999.99400000001"/>
    <n v="-241"/>
    <n v="0"/>
    <n v="0"/>
    <n v="-301240.99400000001"/>
    <n v="124.11502687176718"/>
    <n v="-2427.1113787956983"/>
    <x v="29"/>
    <s v="Equita"/>
  </r>
  <r>
    <d v="2019-03-28T00:00:00"/>
    <s v="BUY"/>
    <s v="1960.T"/>
    <s v="JP3335400002"/>
    <s v="YES"/>
    <s v="1960.t"/>
    <m/>
    <s v="Sanyo Engineering &amp; Construction Inc"/>
    <x v="0"/>
    <n v="675.39670000000001"/>
    <m/>
    <n v="3000"/>
    <n v="-2026190.1"/>
    <n v="-1621"/>
    <n v="0"/>
    <n v="0"/>
    <n v="-2027811.1"/>
    <n v="124.11502687176727"/>
    <n v="-16338.159456671487"/>
    <x v="29"/>
    <s v="Equita"/>
  </r>
  <r>
    <d v="2019-03-28T00:00:00"/>
    <s v="BUY"/>
    <s v="PNIN.JK"/>
    <s v="ID1000094907"/>
    <s v="YES"/>
    <s v="PNIN.JK"/>
    <m/>
    <s v="Paninvest Tbk PT"/>
    <x v="4"/>
    <n v="1160"/>
    <m/>
    <n v="170000"/>
    <n v="-197200000"/>
    <n v="-295800"/>
    <n v="-84796"/>
    <n v="-19720"/>
    <n v="-197600316"/>
    <n v="15973.835089254619"/>
    <n v="-12370.248903653892"/>
    <x v="30"/>
    <s v="DBS"/>
  </r>
  <r>
    <d v="2019-03-28T00:00:00"/>
    <s v="BUY"/>
    <s v="IMTP.PA"/>
    <s v="FR0000120859"/>
    <s v="YES"/>
    <s v="imtp.pa"/>
    <m/>
    <s v="Imerys SA"/>
    <x v="5"/>
    <n v="44.179299999999998"/>
    <m/>
    <n v="600"/>
    <n v="-26507.579999999998"/>
    <n v="-21"/>
    <n v="-79.52"/>
    <n v="0"/>
    <n v="-26608.1"/>
    <n v="1"/>
    <n v="-26608.1"/>
    <x v="30"/>
    <s v="Equita"/>
  </r>
  <r>
    <d v="2019-03-28T00:00:00"/>
    <s v="BUY"/>
    <s v="RENA.PA"/>
    <s v="FR0000131906"/>
    <s v="YES"/>
    <s v="RENA.PA"/>
    <m/>
    <s v="Renault SA"/>
    <x v="5"/>
    <n v="58.073099999999997"/>
    <m/>
    <n v="420"/>
    <n v="-24390.701999999997"/>
    <n v="-20"/>
    <n v="-73.17"/>
    <n v="0"/>
    <n v="-24483.871999999996"/>
    <n v="1"/>
    <n v="-24483.871999999996"/>
    <x v="30"/>
    <s v="Equita"/>
  </r>
  <r>
    <d v="2019-03-28T00:00:00"/>
    <s v="BUY"/>
    <s v="RMG.L"/>
    <s v="GB00BDVZYZ77"/>
    <s v="YES"/>
    <s v="RMG.L"/>
    <m/>
    <s v="Royal Mail PLC"/>
    <x v="6"/>
    <n v="2.3927"/>
    <m/>
    <n v="9350"/>
    <n v="-22371.744999999999"/>
    <n v="-18"/>
    <n v="-112.86"/>
    <n v="0"/>
    <n v="-22502.605"/>
    <n v="0.86022193050366191"/>
    <n v="-26159.069191394217"/>
    <x v="30"/>
    <s v="Equita"/>
  </r>
  <r>
    <d v="2019-03-28T00:00:00"/>
    <s v="BUY"/>
    <s v="TUIGn.DE"/>
    <s v="DE000TUAG000"/>
    <s v="YES"/>
    <s v="TUIGn.DE"/>
    <m/>
    <s v="Tui AG"/>
    <x v="5"/>
    <n v="9.1628000000000007"/>
    <m/>
    <n v="2200"/>
    <n v="-20158.16"/>
    <n v="-16.13"/>
    <n v="-86.34"/>
    <n v="0"/>
    <n v="-20260.63"/>
    <n v="1"/>
    <n v="-20260.63"/>
    <x v="30"/>
    <s v="Equita"/>
  </r>
  <r>
    <d v="2019-03-28T00:00:00"/>
    <s v="BUY"/>
    <s v="BARC.L"/>
    <s v="GB0031348658"/>
    <s v="YES"/>
    <s v="BARC.L"/>
    <m/>
    <s v="Barclays PLC"/>
    <x v="6"/>
    <n v="1.5516000000000001"/>
    <m/>
    <n v="11000"/>
    <n v="-17067.600000000002"/>
    <n v="-14"/>
    <n v="0"/>
    <n v="0"/>
    <n v="-17081.600000000002"/>
    <n v="0.86022193050366536"/>
    <n v="-19857.201257352994"/>
    <x v="30"/>
    <s v="Equita"/>
  </r>
  <r>
    <d v="2019-03-28T00:00:00"/>
    <s v="BUY"/>
    <s v="VNE"/>
    <s v="US92336X1090"/>
    <s v="YES"/>
    <s v="VNE"/>
    <m/>
    <s v="Veoneer Inc"/>
    <x v="8"/>
    <n v="23.359000000000002"/>
    <m/>
    <n v="770"/>
    <n v="-17986.43"/>
    <n v="-14.39"/>
    <n v="0"/>
    <n v="0"/>
    <n v="-18000.82"/>
    <n v="1.1219944573473808"/>
    <n v="-16043.590841399999"/>
    <x v="30"/>
    <s v="Equita"/>
  </r>
  <r>
    <d v="2019-03-29T00:00:00"/>
    <s v="BUY"/>
    <s v="6674.T"/>
    <s v="JP3385820000"/>
    <s v="YES"/>
    <s v="6674.T"/>
    <m/>
    <s v="GS Yuasa Corp"/>
    <x v="0"/>
    <n v="2170.8798000000002"/>
    <m/>
    <n v="915"/>
    <n v="-1986355.0170000002"/>
    <n v="-1589"/>
    <n v="0"/>
    <n v="0"/>
    <n v="-1987944.0170000002"/>
    <n v="124.11502687176701"/>
    <n v="-16016.948689491897"/>
    <x v="31"/>
    <s v="Equita"/>
  </r>
  <r>
    <d v="2019-03-29T00:00:00"/>
    <s v="BUY"/>
    <s v="6826.T"/>
    <s v="JP3854650003"/>
    <s v="YES"/>
    <s v="6826.T"/>
    <m/>
    <s v="Honda Tsushin Kogyo Co Ltd"/>
    <x v="0"/>
    <n v="532.94399999999996"/>
    <m/>
    <n v="5180"/>
    <n v="-2760649.92"/>
    <n v="-2209"/>
    <n v="0"/>
    <n v="0"/>
    <n v="-2762858.92"/>
    <n v="124.1150268717671"/>
    <n v="-22260.470707181368"/>
    <x v="31"/>
    <s v="Equita"/>
  </r>
  <r>
    <d v="2019-03-29T00:00:00"/>
    <s v="BUY"/>
    <s v="2344.T"/>
    <s v="JP3834050001"/>
    <s v="YES"/>
    <s v="2344.T"/>
    <m/>
    <s v="Heian Ceremony Service Co Ltd"/>
    <x v="0"/>
    <n v="882.40909999999997"/>
    <m/>
    <n v="440"/>
    <n v="-388260.00399999996"/>
    <n v="-311"/>
    <n v="0"/>
    <n v="0"/>
    <n v="-388571.00399999996"/>
    <n v="124.11502687176718"/>
    <n v="-3130.7329482469731"/>
    <x v="31"/>
    <s v="Equita"/>
  </r>
  <r>
    <d v="2019-03-29T00:00:00"/>
    <s v="BUY"/>
    <s v="1945.T"/>
    <s v="JP3585400009"/>
    <s v="YES"/>
    <s v="1945.T"/>
    <m/>
    <s v="Tokyo Energy &amp; Systems Inc"/>
    <x v="0"/>
    <n v="983.61940000000004"/>
    <m/>
    <n v="2890"/>
    <n v="-2842660.0660000001"/>
    <n v="-2274"/>
    <n v="0"/>
    <n v="0"/>
    <n v="-2844934.0660000001"/>
    <n v="124.1150268717673"/>
    <n v="-22921.753616017169"/>
    <x v="31"/>
    <s v="Equita"/>
  </r>
  <r>
    <d v="2019-03-29T00:00:00"/>
    <s v="BUY"/>
    <s v="6997.T"/>
    <s v="JP3701200002"/>
    <s v="YES"/>
    <s v="6997.T"/>
    <m/>
    <s v="Nippon Chemi-Con Corp"/>
    <x v="0"/>
    <n v="1945.0388"/>
    <m/>
    <n v="1030"/>
    <n v="-2003389.9640000002"/>
    <n v="-1603"/>
    <n v="0"/>
    <n v="0"/>
    <n v="-2004992.9640000002"/>
    <n v="124.11502687176689"/>
    <n v="-16154.312773678226"/>
    <x v="31"/>
    <s v="Equita"/>
  </r>
  <r>
    <d v="2019-03-29T00:00:00"/>
    <s v="BUY"/>
    <s v="086520.KQ"/>
    <s v="KR7086520004"/>
    <s v="YES"/>
    <s v="086520.KQ"/>
    <m/>
    <s v="Ecopro Co Ltd"/>
    <x v="3"/>
    <n v="27600"/>
    <m/>
    <n v="690"/>
    <n v="-19044000"/>
    <n v="-28566"/>
    <n v="0"/>
    <n v="0"/>
    <n v="-19072566"/>
    <n v="1273.4076093664073"/>
    <n v="-14977.581302101442"/>
    <x v="29"/>
    <s v="Samsung"/>
  </r>
  <r>
    <d v="2019-03-29T00:00:00"/>
    <s v="BUY"/>
    <s v="086790.KS"/>
    <s v="KR7086790003"/>
    <s v="YES"/>
    <s v="086790.KS"/>
    <m/>
    <s v="Hana Financial Group Inc"/>
    <x v="3"/>
    <n v="36500"/>
    <m/>
    <n v="600"/>
    <n v="-21900000"/>
    <n v="-32850"/>
    <n v="0"/>
    <n v="0"/>
    <n v="-21932850"/>
    <n v="1273.4076093664098"/>
    <n v="-17223.746613947751"/>
    <x v="29"/>
    <s v="Samsung"/>
  </r>
  <r>
    <d v="2019-03-29T00:00:00"/>
    <s v="BUY"/>
    <s v="032830.KS"/>
    <s v="KR7032830002"/>
    <s v="YES"/>
    <s v="032830.KS"/>
    <m/>
    <s v="Samsung Life Insurance Co Ltd"/>
    <x v="3"/>
    <n v="84400"/>
    <m/>
    <n v="220"/>
    <n v="-18568000"/>
    <n v="-27852"/>
    <n v="0"/>
    <n v="0"/>
    <n v="-18595852"/>
    <n v="1273.4076093664105"/>
    <n v="-14603.220416793683"/>
    <x v="29"/>
    <s v="Samsung"/>
  </r>
  <r>
    <d v="2019-03-29T00:00:00"/>
    <s v="BUY"/>
    <s v="028260.KS"/>
    <s v="KR7028260008"/>
    <s v="YES"/>
    <s v="028260.KS"/>
    <m/>
    <s v="Samsung C&amp;T Corp"/>
    <x v="3"/>
    <n v="106500"/>
    <m/>
    <n v="300"/>
    <n v="-31950000"/>
    <n v="-47925"/>
    <n v="0"/>
    <n v="0"/>
    <n v="-31997925"/>
    <n v="1273.4076093664098"/>
    <n v="-25127.794717608704"/>
    <x v="29"/>
    <s v="Samsung"/>
  </r>
  <r>
    <d v="2019-03-29T00:00:00"/>
    <s v="BUY"/>
    <s v="003555.KS"/>
    <s v="KR7003551009"/>
    <s v="YES"/>
    <s v="003555.KS"/>
    <m/>
    <s v="Not Signed In"/>
    <x v="3"/>
    <n v="45041"/>
    <m/>
    <n v="450"/>
    <n v="-20268450"/>
    <n v="-30403"/>
    <n v="0"/>
    <n v="0"/>
    <n v="-20298853"/>
    <n v="1273.4076093664089"/>
    <n v="-15940.577746429368"/>
    <x v="29"/>
    <s v="Samsung"/>
  </r>
  <r>
    <d v="2019-03-29T00:00:00"/>
    <s v="BUY"/>
    <s v="02826K.KS"/>
    <s v="KR702826K016"/>
    <s v="YES"/>
    <s v="02826k.ks"/>
    <m/>
    <s v="Samsung C&amp;T Corp"/>
    <x v="3"/>
    <n v="72682.666700000002"/>
    <m/>
    <n v="300"/>
    <n v="-21804800.010000002"/>
    <n v="-32707"/>
    <n v="0"/>
    <n v="0"/>
    <n v="-21837507.010000002"/>
    <n v="1273.407609366411"/>
    <n v="-17148.874287680235"/>
    <x v="29"/>
    <s v="Samsung"/>
  </r>
  <r>
    <d v="2019-03-29T00:00:00"/>
    <s v="BUY"/>
    <s v="BBKP.JK"/>
    <s v="ID1000103609"/>
    <s v="YES"/>
    <s v="BBKP.JK"/>
    <m/>
    <s v="Not Signed In"/>
    <x v="4"/>
    <n v="339.84059999999999"/>
    <m/>
    <n v="670000"/>
    <n v="-227693202"/>
    <n v="-341540"/>
    <n v="0"/>
    <n v="0"/>
    <n v="-228034742"/>
    <n v="15973.835089254546"/>
    <n v="-14093.046456416479"/>
    <x v="29"/>
    <s v="DBS"/>
  </r>
  <r>
    <d v="2019-04-01T00:00:00"/>
    <s v="BUY"/>
    <s v="006405.KS"/>
    <s v="KR7006401004"/>
    <s v="YES"/>
    <s v="006405.KS"/>
    <m/>
    <s v="Samsung SDI Co Ltd"/>
    <x v="3"/>
    <n v="8449.1429000000007"/>
    <m/>
    <n v="350"/>
    <n v="-2957200.0150000001"/>
    <n v="-46436"/>
    <n v="0"/>
    <n v="0"/>
    <n v="-3003636.0150000001"/>
    <n v="1274.3690409422325"/>
    <n v="-24361.075169439308"/>
    <x v="31"/>
    <s v="Samsung"/>
  </r>
  <r>
    <d v="2019-04-01T00:00:00"/>
    <s v="BUY"/>
    <s v="028260.KS"/>
    <s v="KR7028260008"/>
    <s v="YES"/>
    <s v="028260.KS"/>
    <m/>
    <s v="Samsung C&amp;T Corp"/>
    <x v="3"/>
    <n v="107500"/>
    <m/>
    <n v="300"/>
    <n v="-32250000"/>
    <n v="-48375"/>
    <n v="0"/>
    <n v="0"/>
    <n v="-32298375"/>
    <n v="1274.3690409422329"/>
    <n v="-25424.346448376011"/>
    <x v="31"/>
    <s v="Samsung"/>
  </r>
  <r>
    <d v="2019-04-01T00:00:00"/>
    <s v="BUY"/>
    <s v="138930.KS"/>
    <s v="KR7138930003"/>
    <s v="YES"/>
    <s v="138930.KS"/>
    <m/>
    <s v="BNK Financial Group Inc"/>
    <x v="3"/>
    <n v="6719.7024000000001"/>
    <m/>
    <n v="4200"/>
    <n v="-28222750.080000002"/>
    <n v="-42334"/>
    <n v="0"/>
    <n v="0"/>
    <n v="-28265084.080000002"/>
    <n v="1274.3690409422311"/>
    <n v="-22740.665434380797"/>
    <x v="31"/>
    <s v="Samsung"/>
  </r>
  <r>
    <d v="2019-04-01T00:00:00"/>
    <s v="BUY"/>
    <s v="105560.ks"/>
    <s v="KR7105560007"/>
    <s v="YES"/>
    <s v="105560.KS"/>
    <m/>
    <s v="KB Financial Group Inc"/>
    <x v="3"/>
    <n v="42600"/>
    <m/>
    <n v="500"/>
    <n v="-21300000"/>
    <n v="-31950"/>
    <n v="0"/>
    <n v="0"/>
    <n v="-21331950"/>
    <n v="1274.3690409422306"/>
    <n v="-17263.44511926769"/>
    <x v="31"/>
    <s v="Samsung"/>
  </r>
  <r>
    <d v="2019-04-01T00:00:00"/>
    <s v="BUY"/>
    <s v="003545.KS"/>
    <s v="KR7003541000"/>
    <s v="YES"/>
    <s v="003545.KS"/>
    <m/>
    <s v="DAISHIN SECURITIES CO LTD"/>
    <x v="3"/>
    <n v="8699.9318000000003"/>
    <m/>
    <n v="2200"/>
    <n v="-19139849.960000001"/>
    <n v="-28710"/>
    <n v="0"/>
    <n v="0"/>
    <n v="-19168559.960000001"/>
    <n v="1274.369040942232"/>
    <n v="-15105.514479359214"/>
    <x v="31"/>
    <s v="Samsung"/>
  </r>
  <r>
    <d v="2019-04-01T00:00:00"/>
    <s v="BUY"/>
    <s v="KT.N"/>
    <s v="US48268K1016"/>
    <s v="YES"/>
    <s v="KT.N"/>
    <m/>
    <s v="KT Corp"/>
    <x v="8"/>
    <n v="12.369"/>
    <m/>
    <n v="3000"/>
    <n v="-37107"/>
    <n v="-29.69"/>
    <n v="0"/>
    <n v="0"/>
    <n v="-37136.69"/>
    <n v="1.1212019284673171"/>
    <n v="-33178.679999999993"/>
    <x v="31"/>
    <s v="Equita"/>
  </r>
  <r>
    <d v="2019-04-01T00:00:00"/>
    <s v="BUY"/>
    <s v="GCI"/>
    <s v="US36473H1041"/>
    <s v="YES"/>
    <s v="GCI"/>
    <m/>
    <s v="Gannett Co Inc"/>
    <x v="8"/>
    <n v="10.647500000000001"/>
    <m/>
    <n v="2000"/>
    <n v="-21295"/>
    <n v="-17.04"/>
    <n v="0"/>
    <n v="0"/>
    <n v="-21312.04"/>
    <n v="1.1212019284673171"/>
    <n v="-19104.497999999996"/>
    <x v="31"/>
    <s v="Equita"/>
  </r>
  <r>
    <d v="2019-04-01T00:00:00"/>
    <s v="BUY"/>
    <s v="VRKP.PA"/>
    <s v="FR0000062796"/>
    <s v="YES"/>
    <s v="VRKP.PA"/>
    <m/>
    <s v="Vranken Pommery Monopole SA"/>
    <x v="5"/>
    <n v="23.4"/>
    <m/>
    <n v="633"/>
    <n v="-14812.199999999999"/>
    <n v="-11.85"/>
    <n v="0"/>
    <n v="0"/>
    <n v="-14824.05"/>
    <n v="1"/>
    <n v="-23300"/>
    <x v="31"/>
    <s v="Equita"/>
  </r>
  <r>
    <d v="2019-04-02T00:00:00"/>
    <s v="BUY"/>
    <s v="2344.T"/>
    <s v="JP3834050001"/>
    <s v="YES"/>
    <s v="2344.T"/>
    <m/>
    <s v="Heian Ceremony Service Co Ltd"/>
    <x v="0"/>
    <n v="881.33330000000001"/>
    <m/>
    <n v="3000"/>
    <n v="-2643999.9"/>
    <n v="-2115"/>
    <n v="0"/>
    <n v="0"/>
    <n v="-2646114.9"/>
    <n v="124.83462271555115"/>
    <n v="-21123.947368421039"/>
    <x v="32"/>
    <s v="Equita"/>
  </r>
  <r>
    <d v="2019-04-02T00:00:00"/>
    <s v="BUY"/>
    <s v="8070.T"/>
    <s v="JP3576600005"/>
    <s v="YES"/>
    <s v="8070.T"/>
    <m/>
    <s v="Tokyo Sangyo Co Ltd"/>
    <x v="0"/>
    <n v="520.44860000000006"/>
    <m/>
    <n v="3700"/>
    <n v="-1925659.8200000003"/>
    <n v="-1541"/>
    <n v="0"/>
    <n v="0"/>
    <n v="-1927200.8200000003"/>
    <n v="124.83462271555103"/>
    <n v="-20907.661217891153"/>
    <x v="32"/>
    <s v="Equita"/>
  </r>
  <r>
    <d v="2019-04-02T00:00:00"/>
    <s v="BUY"/>
    <s v="1960.T"/>
    <s v="JP3335400002"/>
    <s v="YES"/>
    <s v="1960.T"/>
    <m/>
    <s v="Sanyo Engineering &amp; Construction Inc"/>
    <x v="0"/>
    <n v="662.8"/>
    <m/>
    <n v="1000"/>
    <n v="-662800"/>
    <n v="-530"/>
    <n v="0"/>
    <n v="0"/>
    <n v="-663330"/>
    <n v="124.83462271555101"/>
    <n v="-15933.07975570326"/>
    <x v="32"/>
    <s v="Equita"/>
  </r>
  <r>
    <d v="2019-04-02T00:00:00"/>
    <s v="BUY"/>
    <s v="BBKP.JK"/>
    <s v="ID1000103609"/>
    <s v="YES"/>
    <s v="BBKP.JK"/>
    <m/>
    <s v="Bank Bukopin Tbk PT"/>
    <x v="4"/>
    <n v="322.70150000000001"/>
    <m/>
    <n v="800000"/>
    <n v="-258161200"/>
    <n v="-387242"/>
    <n v="-111009"/>
    <n v="-25816"/>
    <n v="-258685267"/>
    <n v="15943.491422805504"/>
    <n v="-16357.772151898469"/>
    <x v="33"/>
    <s v="DBS"/>
  </r>
  <r>
    <d v="2019-04-02T00:00:00"/>
    <s v="BUY"/>
    <s v="JNPR.K"/>
    <s v="US48203R1041"/>
    <s v="YES"/>
    <s v="JNPR.K"/>
    <m/>
    <s v="Juniper Networks Inc"/>
    <x v="8"/>
    <n v="27.235900000000001"/>
    <m/>
    <n v="690"/>
    <n v="-18792.771000000001"/>
    <n v="-15"/>
    <n v="0"/>
    <n v="0"/>
    <n v="-18807.771000000001"/>
    <n v="1.1201971546992271"/>
    <n v="-16711.076189999996"/>
    <x v="33"/>
    <s v="Equita"/>
  </r>
  <r>
    <d v="2019-04-02T00:00:00"/>
    <s v="BUY"/>
    <s v="SKM"/>
    <s v="US78440P1084"/>
    <s v="YES"/>
    <s v="SKM"/>
    <m/>
    <s v="SK Telecom Co Ltd"/>
    <x v="8"/>
    <n v="24.728100000000001"/>
    <m/>
    <n v="1100"/>
    <n v="-27200.91"/>
    <n v="-22"/>
    <n v="0"/>
    <n v="0"/>
    <n v="-27222.91"/>
    <n v="1.1201971546992273"/>
    <n v="-24225.199899999996"/>
    <x v="33"/>
    <s v="Equita"/>
  </r>
  <r>
    <d v="2019-04-02T00:00:00"/>
    <s v="BUY"/>
    <s v="VEON.O"/>
    <s v="US91822M1062"/>
    <s v="YES"/>
    <s v="VEON.O"/>
    <m/>
    <s v="VEON Ltd"/>
    <x v="8"/>
    <n v="2.1185999999999998"/>
    <m/>
    <n v="11000"/>
    <n v="-23304.6"/>
    <n v="-19"/>
    <n v="0"/>
    <n v="0"/>
    <n v="-23323.599999999999"/>
    <n v="1.1201971546992271"/>
    <n v="-20719.566999999995"/>
    <x v="33"/>
    <s v="Equita"/>
  </r>
  <r>
    <d v="2019-04-02T00:00:00"/>
    <s v="BUY"/>
    <s v="SWKS.O"/>
    <s v="US83088M1027"/>
    <s v="YES"/>
    <s v="SWKS.O"/>
    <m/>
    <s v="Skyworks Solutions Inc"/>
    <x v="8"/>
    <n v="83.986599999999996"/>
    <m/>
    <n v="350"/>
    <n v="-29395.309999999998"/>
    <n v="-23.52"/>
    <n v="0"/>
    <n v="0"/>
    <n v="-29418.829999999998"/>
    <n v="1.1201971546992271"/>
    <n v="-26295.371200000001"/>
    <x v="33"/>
    <s v="Equita"/>
  </r>
  <r>
    <d v="2019-04-10T00:00:00"/>
    <s v="BUY"/>
    <s v="ODP.O"/>
    <s v="US6762201068"/>
    <s v="YES"/>
    <s v="ODP.O"/>
    <m/>
    <s v="Office Depot Inc"/>
    <x v="8"/>
    <n v="2.6282999999999999"/>
    <m/>
    <n v="10300"/>
    <n v="-27071.489999999998"/>
    <n v="-21.66"/>
    <n v="0"/>
    <n v="0"/>
    <n v="-27093.149999999998"/>
    <n v="1.127294043378275"/>
    <n v="-24669.694799999994"/>
    <x v="34"/>
    <s v="Equita"/>
  </r>
  <r>
    <d v="2019-04-12T00:00:00"/>
    <s v="BUY"/>
    <s v="O2Dn.DE"/>
    <s v="DE000A1J5RX9"/>
    <s v="YES"/>
    <s v="O2Dn.DE"/>
    <m/>
    <s v="Telefonica Deutschland Holding AG"/>
    <x v="5"/>
    <n v="2.7092999999999998"/>
    <m/>
    <n v="6000"/>
    <n v="-16255.8"/>
    <n v="-13"/>
    <n v="0"/>
    <n v="0"/>
    <n v="0"/>
    <n v="1"/>
    <n v="-16320.000000000002"/>
    <x v="35"/>
    <s v="Equita"/>
  </r>
  <r>
    <d v="2019-04-12T00:00:00"/>
    <s v="BUY"/>
    <s v="KNL"/>
    <s v="US4989042001"/>
    <s v="YES"/>
    <s v="KNL"/>
    <m/>
    <s v="Knoll Inc"/>
    <x v="8"/>
    <n v="19.432400000000001"/>
    <m/>
    <n v="930"/>
    <n v="-18072.132000000001"/>
    <n v="-14.46"/>
    <n v="0"/>
    <n v="0"/>
    <n v="-18086.592000000001"/>
    <n v="1.1299945760260353"/>
    <n v="-16032.289343999999"/>
    <x v="35"/>
    <s v="Equita"/>
  </r>
  <r>
    <d v="2019-04-12T00:00:00"/>
    <s v="BUY"/>
    <s v="SQM"/>
    <s v="US8336351056"/>
    <s v="YES"/>
    <s v="SQM"/>
    <m/>
    <s v="Sociedad Quimica y Minera de Chile SA"/>
    <x v="8"/>
    <n v="37.494"/>
    <m/>
    <n v="300"/>
    <n v="-11248.2"/>
    <n v="-9"/>
    <n v="0"/>
    <n v="0"/>
    <n v="-11257.2"/>
    <n v="1.1299945760260353"/>
    <n v="-10027.481759999997"/>
    <x v="35"/>
    <s v="Equita"/>
  </r>
  <r>
    <d v="2019-04-12T00:00:00"/>
    <s v="BUY"/>
    <s v="ALB"/>
    <s v="US0126531013"/>
    <s v="YES"/>
    <s v="ALB"/>
    <m/>
    <s v="Albemarle Corp"/>
    <x v="8"/>
    <n v="83.221999999999994"/>
    <m/>
    <n v="140"/>
    <n v="-11651.08"/>
    <n v="-9.32"/>
    <n v="0"/>
    <n v="0"/>
    <n v="-11660.4"/>
    <n v="1.129994576026035"/>
    <n v="-10365.005503999999"/>
    <x v="35"/>
    <s v="Equita"/>
  </r>
  <r>
    <d v="2019-04-15T00:00:00"/>
    <s v="BUY"/>
    <s v="6617.T"/>
    <s v="JP3591600006"/>
    <s v="YES"/>
    <s v="6617.T"/>
    <m/>
    <s v="Takaoka Toko Co Ltd"/>
    <x v="0"/>
    <n v="1403.64"/>
    <m/>
    <n v="2250"/>
    <n v="-3158190"/>
    <n v="-2527"/>
    <n v="0"/>
    <n v="0"/>
    <n v="-3160717"/>
    <n v="126.58199240643638"/>
    <n v="-25009.481521156951"/>
    <x v="36"/>
    <s v="Equita"/>
  </r>
  <r>
    <d v="2019-04-15T00:00:00"/>
    <s v="BUY"/>
    <s v="086520.KQ"/>
    <s v="KR7086520004"/>
    <s v="YES"/>
    <s v="086520.KQ"/>
    <m/>
    <s v="Ecopro Co Ltd"/>
    <x v="3"/>
    <n v="29002.400000000001"/>
    <m/>
    <n v="750"/>
    <n v="-21751800"/>
    <n v="-32628"/>
    <n v="0"/>
    <n v="0"/>
    <n v="-21784428"/>
    <n v="1281.0974507322383"/>
    <n v="-16772.728716085101"/>
    <x v="37"/>
    <s v="Samsung"/>
  </r>
  <r>
    <d v="2019-04-15T00:00:00"/>
    <s v="BUY"/>
    <s v="036830.KQ"/>
    <s v="KR7036830008"/>
    <s v="YES"/>
    <s v="036830.KQ"/>
    <m/>
    <s v="SoulBrain Co Ltd"/>
    <x v="3"/>
    <n v="53149.230799999998"/>
    <m/>
    <n v="390"/>
    <n v="-20728200.011999998"/>
    <n v="-31092"/>
    <n v="0"/>
    <n v="0"/>
    <n v="-20759292.011999998"/>
    <n v="1281.0974507322362"/>
    <n v="-15951.948064777904"/>
    <x v="37"/>
    <s v="Samsung"/>
  </r>
  <r>
    <d v="2019-04-15T00:00:00"/>
    <s v="BUY"/>
    <s v="BBKP.JK"/>
    <s v="ID1000103609"/>
    <s v="YES"/>
    <s v="BBKP.JK"/>
    <m/>
    <s v="Bank Bukopin Tbk PT"/>
    <x v="4"/>
    <n v="307.73570000000001"/>
    <m/>
    <n v="840000"/>
    <n v="-258497988"/>
    <n v="-387747"/>
    <n v="-111154"/>
    <n v="-25850"/>
    <n v="-259022739"/>
    <n v="15921.623576206874"/>
    <n v="-16144.082214336368"/>
    <x v="36"/>
    <s v="DBS"/>
  </r>
  <r>
    <d v="2019-04-15T00:00:00"/>
    <s v="BUY"/>
    <s v="VRKP.PA"/>
    <s v="FR0000062796"/>
    <s v="YES"/>
    <s v="VRKP.PA"/>
    <m/>
    <s v="Vranken Pommery Monopole SA"/>
    <x v="5"/>
    <n v="23"/>
    <m/>
    <n v="670"/>
    <n v="-15410"/>
    <n v="-12.33"/>
    <n v="0"/>
    <n v="0"/>
    <n v="-15422.33"/>
    <n v="1"/>
    <n v="-15410"/>
    <x v="37"/>
    <s v="Equita"/>
  </r>
  <r>
    <d v="2019-04-15T00:00:00"/>
    <s v="BUY"/>
    <s v="LAN.PA"/>
    <s v="FR0004027068"/>
    <s v="YES"/>
    <s v="LAN.PA"/>
    <m/>
    <s v="Lanson BCC SA"/>
    <x v="5"/>
    <n v="29.6614"/>
    <m/>
    <n v="267"/>
    <n v="-7919.5938000000006"/>
    <n v="-6.34"/>
    <n v="0"/>
    <n v="0"/>
    <n v="-7925.9338000000007"/>
    <n v="1"/>
    <n v="-19564.000000000004"/>
    <x v="37"/>
    <s v="Equita"/>
  </r>
  <r>
    <d v="2019-04-15T00:00:00"/>
    <s v="BUY"/>
    <s v="RBBN.O"/>
    <s v="US7625441040"/>
    <s v="YES"/>
    <s v="RBBN.O"/>
    <m/>
    <s v="Ribbon Communications Inc"/>
    <x v="8"/>
    <n v="5.1757"/>
    <m/>
    <n v="5000"/>
    <n v="-25878.5"/>
    <n v="-20.7"/>
    <n v="0"/>
    <n v="0"/>
    <n v="-25899.200000000001"/>
    <n v="1.1299999999999999"/>
    <n v="-22919.646017699117"/>
    <x v="37"/>
    <s v="Equita"/>
  </r>
  <r>
    <d v="2019-04-17T00:00:00"/>
    <s v="BUY"/>
    <s v="IBM"/>
    <s v="US4592001014"/>
    <s v="YES"/>
    <s v="IBM"/>
    <m/>
    <s v="International Business Machines Corp"/>
    <x v="8"/>
    <n v="140.06399999999999"/>
    <m/>
    <n v="220"/>
    <n v="-30814.079999999998"/>
    <n v="-24.65"/>
    <n v="0"/>
    <n v="0"/>
    <n v="-30838.73"/>
    <n v="1.1299999999999999"/>
    <n v="-27290.911504424781"/>
    <x v="38"/>
    <s v="Equita"/>
  </r>
  <r>
    <d v="2019-04-18T00:00:00"/>
    <s v="BUY"/>
    <s v="RFP"/>
    <s v="US76117W1099"/>
    <s v="YES"/>
    <s v="RFP"/>
    <m/>
    <s v="Resolute Forest Products Inc"/>
    <x v="8"/>
    <n v="7.7965"/>
    <m/>
    <n v="2200"/>
    <n v="-17152.3"/>
    <n v="-13.72"/>
    <n v="0"/>
    <n v="0"/>
    <n v="-17166.02"/>
    <n v="1.1224982320652843"/>
    <n v="-14973.742960000003"/>
    <x v="39"/>
    <s v="Equita"/>
  </r>
  <r>
    <d v="2019-04-18T00:00:00"/>
    <s v="BUY"/>
    <s v="UPM.HE"/>
    <s v="FI0009005987"/>
    <s v="YES"/>
    <s v="UPM.HE"/>
    <m/>
    <s v="UPM-Kymmene Oyj"/>
    <x v="5"/>
    <n v="25.493600000000001"/>
    <m/>
    <n v="1400"/>
    <n v="-35691.040000000001"/>
    <n v="-28.55"/>
    <n v="0"/>
    <n v="0"/>
    <n v="-35719.590000000004"/>
    <n v="1"/>
    <n v="-35560"/>
    <x v="40"/>
    <s v="Equita"/>
  </r>
  <r>
    <d v="2019-04-19T00:00:00"/>
    <s v="BUY"/>
    <s v="042600.kq"/>
    <s v="KR7042600007"/>
    <s v="YES"/>
    <s v="042600.KQ"/>
    <m/>
    <s v="Seronics Co Ltd"/>
    <x v="3"/>
    <n v="5072.5"/>
    <m/>
    <n v="2300"/>
    <n v="-11666750"/>
    <n v="-17500"/>
    <n v="0"/>
    <n v="0"/>
    <n v="-11684250"/>
    <n v="1282.0164558240824"/>
    <n v="-9059.9461085184412"/>
    <x v="39"/>
    <s v="Samsung"/>
  </r>
  <r>
    <d v="2019-04-19T00:00:00"/>
    <s v="BUY"/>
    <s v="2344.T"/>
    <s v="JP3834050001"/>
    <s v="YES"/>
    <s v="2344.T"/>
    <m/>
    <s v="Heian Ceremony Service Co Ltd"/>
    <x v="0"/>
    <n v="843.88890000000004"/>
    <m/>
    <n v="900"/>
    <n v="-759500.01"/>
    <n v="-608"/>
    <n v="0"/>
    <n v="0"/>
    <n v="-760108.01"/>
    <n v="125.56265223882272"/>
    <n v="-6235.9307169676376"/>
    <x v="40"/>
    <s v="Equita"/>
  </r>
  <r>
    <d v="2019-04-19T00:00:00"/>
    <s v="BUY"/>
    <s v="1960.T"/>
    <s v="JP3335400002"/>
    <s v="YES"/>
    <s v="1960.T"/>
    <m/>
    <s v="Sanyo Engineering &amp; Construction Inc"/>
    <x v="0"/>
    <n v="660.71429999999998"/>
    <m/>
    <n v="700"/>
    <n v="-462500.01"/>
    <n v="-370"/>
    <n v="0"/>
    <n v="0"/>
    <n v="-462870.01"/>
    <n v="125.56265223882278"/>
    <n v="-3640.4137046307869"/>
    <x v="40"/>
    <s v="Equita"/>
  </r>
  <r>
    <d v="2019-04-19T00:00:00"/>
    <s v="BUY"/>
    <s v="4005.T"/>
    <s v="JP3401400001"/>
    <s v="YES"/>
    <s v="4005.T"/>
    <m/>
    <s v="Sumitomo Chemical Co Ltd"/>
    <x v="0"/>
    <n v="553"/>
    <m/>
    <n v="6700"/>
    <n v="-3705100"/>
    <n v="-2964"/>
    <n v="0"/>
    <n v="0"/>
    <n v="-3708064"/>
    <n v="125.56265223882271"/>
    <n v="-28867.660370105492"/>
    <x v="40"/>
    <s v="Equita"/>
  </r>
  <r>
    <d v="2019-04-19T00:00:00"/>
    <s v="BUY"/>
    <s v="3401.T"/>
    <s v="JP3544000007"/>
    <s v="YES"/>
    <s v="3401.T"/>
    <m/>
    <s v="Teijin Ltd"/>
    <x v="0"/>
    <n v="1925"/>
    <m/>
    <n v="2200"/>
    <n v="-4235000"/>
    <n v="-3388"/>
    <n v="0"/>
    <n v="0"/>
    <n v="-4238388"/>
    <n v="125.56265223882296"/>
    <n v="-33465.365099231123"/>
    <x v="40"/>
    <s v="Equita"/>
  </r>
  <r>
    <d v="2019-04-19T00:00:00"/>
    <s v="BUY"/>
    <s v="5301.T"/>
    <s v="JP3560800009"/>
    <s v="YES"/>
    <s v="5301.T"/>
    <m/>
    <s v="Tokai Carbon Co Ltd"/>
    <x v="0"/>
    <n v="1481"/>
    <m/>
    <n v="1700"/>
    <n v="-2517700"/>
    <n v="-2014"/>
    <n v="0"/>
    <n v="0"/>
    <n v="-2519714"/>
    <n v="125.56265223882302"/>
    <n v="-17682.00942249236"/>
    <x v="40"/>
    <s v="Equita"/>
  </r>
  <r>
    <d v="2019-04-19T00:00:00"/>
    <s v="BUY"/>
    <s v="3402.T"/>
    <s v="JP3621000003"/>
    <s v="YES"/>
    <s v="3402.T"/>
    <m/>
    <s v="Toray Industries Inc"/>
    <x v="0"/>
    <n v="795"/>
    <m/>
    <n v="3300"/>
    <n v="-2623500"/>
    <n v="2099"/>
    <n v="0"/>
    <n v="0"/>
    <n v="-2621401"/>
    <n v="125.56265223882266"/>
    <n v="-19834.799246379414"/>
    <x v="40"/>
    <s v="Samsung"/>
  </r>
  <r>
    <d v="2019-04-22T00:00:00"/>
    <s v="BUY"/>
    <s v="000155.KS"/>
    <s v="KR7000151001"/>
    <s v="YES"/>
    <s v="000155.KS"/>
    <m/>
    <s v="Doosan Co Ltd"/>
    <x v="3"/>
    <n v="77045.671600000001"/>
    <m/>
    <n v="670"/>
    <n v="-51620599.972000003"/>
    <n v="-77431"/>
    <n v="0"/>
    <n v="0"/>
    <n v="-51698030.972000003"/>
    <n v="1282.0164558240829"/>
    <n v="-40032.247454273209"/>
    <x v="40"/>
    <s v="Samsung"/>
  </r>
  <r>
    <d v="2019-04-22T00:00:00"/>
    <s v="BUY"/>
    <s v="005945.KS"/>
    <s v="KR7005941000"/>
    <s v="YES"/>
    <s v="005945.KS"/>
    <m/>
    <s v="NH Investment &amp; Securities Co Ltd"/>
    <x v="3"/>
    <n v="9200.8570999999993"/>
    <m/>
    <n v="3500"/>
    <n v="-32202999.849999998"/>
    <n v="-48305"/>
    <n v="0"/>
    <n v="0"/>
    <n v="-32251304.849999998"/>
    <n v="1282.0164558240826"/>
    <n v="-24761.772640113464"/>
    <x v="40"/>
    <s v="Samsung"/>
  </r>
  <r>
    <d v="2019-04-22T00:00:00"/>
    <s v="BUY"/>
    <s v="00680K.KS"/>
    <s v="KR700680K019"/>
    <s v="YES"/>
    <s v="00680K.KS"/>
    <m/>
    <s v="Mirae Asset Daewoo Co Ltd"/>
    <x v="3"/>
    <n v="4032.4893999999999"/>
    <m/>
    <n v="9000"/>
    <n v="-36292404.600000001"/>
    <n v="-54439"/>
    <n v="0"/>
    <n v="0"/>
    <n v="-36346843.600000001"/>
    <n v="1282.0164558240801"/>
    <n v="-27905.258031187928"/>
    <x v="40"/>
    <s v="Samsung"/>
  </r>
  <r>
    <d v="2019-04-22T00:00:00"/>
    <s v="BUY"/>
    <s v="042600.kq"/>
    <s v="KR7042600007"/>
    <s v="YES"/>
    <s v="042600.KQ"/>
    <m/>
    <s v="Not Signed In"/>
    <x v="3"/>
    <n v="5100.6666999999998"/>
    <m/>
    <n v="3000"/>
    <n v="-15302000.1"/>
    <n v="-22953"/>
    <n v="0"/>
    <n v="0"/>
    <n v="-15324953.1"/>
    <n v="1282.0164558240824"/>
    <n v="-11817.321011111011"/>
    <x v="40"/>
    <s v="Samsung"/>
  </r>
  <r>
    <d v="2019-05-07T00:00:00"/>
    <s v="BUY"/>
    <s v="NOKIA.HE"/>
    <s v="FI0009000681"/>
    <s v="YES"/>
    <s v="NOKIA.HE"/>
    <m/>
    <s v="Nokia Oyj"/>
    <x v="5"/>
    <n v="4.4654999999999996"/>
    <m/>
    <n v="6700"/>
    <n v="-29918.85"/>
    <n v="-23.94"/>
    <m/>
    <n v="0"/>
    <n v="-29942.789999999997"/>
    <m/>
    <m/>
    <x v="41"/>
    <s v="Equita"/>
  </r>
  <r>
    <d v="2019-05-07T00:00:00"/>
    <s v="BUY"/>
    <s v="IMTP.PA"/>
    <s v="FR0000120859"/>
    <s v="YES"/>
    <s v="IMTP.PA"/>
    <m/>
    <s v="Imerys SA"/>
    <x v="5"/>
    <n v="40.6633"/>
    <m/>
    <n v="670"/>
    <n v="-27244.411"/>
    <n v="-21.8"/>
    <n v="-81.73"/>
    <n v="0"/>
    <n v="-27347.940999999999"/>
    <m/>
    <m/>
    <x v="41"/>
    <s v="Equita"/>
  </r>
  <r>
    <d v="2019-05-13T00:00:00"/>
    <s v="BUY"/>
    <s v="M"/>
    <s v="US55616P1049"/>
    <s v="YES"/>
    <s v="M"/>
    <m/>
    <s v="Macy's Inc"/>
    <x v="8"/>
    <n v="21.6648"/>
    <m/>
    <n v="850"/>
    <n v="-18415.079999999998"/>
    <n v="-14.73"/>
    <m/>
    <m/>
    <n v="-18429.809999999998"/>
    <m/>
    <m/>
    <x v="42"/>
    <s v="Equita"/>
  </r>
  <r>
    <d v="2019-05-13T00:00:00"/>
    <s v="BUY"/>
    <s v="ptnl.as"/>
    <s v="NL0009739416"/>
    <s v="YES"/>
    <s v="PTNL.AS"/>
    <m/>
    <s v="PostNL NV"/>
    <x v="5"/>
    <n v="1.7472000000000001"/>
    <m/>
    <n v="11000"/>
    <n v="-19219.2"/>
    <n v="-15.38"/>
    <m/>
    <m/>
    <n v="-19234.580000000002"/>
    <m/>
    <m/>
    <x v="42"/>
    <s v="Equita"/>
  </r>
  <r>
    <d v="2019-05-13T00:00:00"/>
    <s v="BUY"/>
    <s v="SOGN.PA"/>
    <s v="FR0000130809"/>
    <s v="YES"/>
    <s v="SOGN.PA"/>
    <m/>
    <s v="Societe Generale SA"/>
    <x v="5"/>
    <n v="25.627300000000002"/>
    <m/>
    <n v="690"/>
    <n v="-17682.837"/>
    <n v="-14.15"/>
    <n v="-53.05"/>
    <m/>
    <n v="-17750.037"/>
    <m/>
    <m/>
    <x v="42"/>
    <s v="Equita"/>
  </r>
  <r>
    <d v="2019-05-13T00:00:00"/>
    <s v="BUY"/>
    <s v="RENA.PA"/>
    <s v="FR0000131906"/>
    <s v="YES"/>
    <s v="RENA.PA"/>
    <m/>
    <s v="Renault SA"/>
    <x v="5"/>
    <n v="54.496000000000002"/>
    <m/>
    <n v="400"/>
    <n v="-21798.400000000001"/>
    <n v="-17.440000000000001"/>
    <m/>
    <m/>
    <n v="-21815.84"/>
    <m/>
    <m/>
    <x v="42"/>
    <s v="Equita"/>
  </r>
  <r>
    <d v="2019-05-13T00:00:00"/>
    <s v="BUY"/>
    <s v="UPM.HE"/>
    <s v="FI0009005987"/>
    <s v="YES"/>
    <s v="UPM.HE"/>
    <m/>
    <s v="UPM-Kymmene Oyj"/>
    <x v="5"/>
    <n v="23.53"/>
    <m/>
    <n v="690"/>
    <n v="-16235.7"/>
    <n v="-12.99"/>
    <m/>
    <m/>
    <n v="-16248.69"/>
    <m/>
    <m/>
    <x v="42"/>
    <s v="Equita"/>
  </r>
  <r>
    <d v="2019-05-14T00:00:00"/>
    <s v="BUY"/>
    <s v="5301.T"/>
    <s v="JP3560800009"/>
    <s v="YES"/>
    <s v="5301.T"/>
    <m/>
    <s v="Tokai Carbon Co Ltd"/>
    <x v="0"/>
    <n v="1044"/>
    <m/>
    <n v="1900"/>
    <n v="-1983600"/>
    <n v="-1587"/>
    <m/>
    <m/>
    <n v="-1985187"/>
    <m/>
    <m/>
    <x v="43"/>
    <s v="Equita"/>
  </r>
  <r>
    <d v="2019-05-14T00:00:00"/>
    <s v="BUY"/>
    <s v="6752.t"/>
    <s v="JP3866800000"/>
    <s v="YES"/>
    <s v="6752.T"/>
    <m/>
    <s v="Panasonic Corp"/>
    <x v="0"/>
    <n v="871.9"/>
    <m/>
    <n v="2400"/>
    <n v="-2092560"/>
    <n v="-1674"/>
    <m/>
    <m/>
    <n v="-2094234"/>
    <m/>
    <m/>
    <x v="43"/>
    <s v="Equita"/>
  </r>
  <r>
    <d v="2019-05-14T00:00:00"/>
    <s v="BUY"/>
    <s v="4080.T"/>
    <s v="JP3468810001"/>
    <s v="YES"/>
    <s v="4080.T"/>
    <m/>
    <s v="Tanaka Chemical Corp"/>
    <x v="0"/>
    <n v="717"/>
    <m/>
    <n v="2800"/>
    <n v="-2007600"/>
    <n v="-1606"/>
    <m/>
    <m/>
    <n v="-2009206"/>
    <m/>
    <m/>
    <x v="43"/>
    <s v="Equita"/>
  </r>
  <r>
    <d v="2019-05-14T00:00:00"/>
    <s v="BUY"/>
    <s v="6826.T"/>
    <s v="JP3854650003"/>
    <s v="YES"/>
    <s v="6826.T"/>
    <m/>
    <s v="Honda Tsushin Kogyo Co Ltd"/>
    <x v="0"/>
    <n v="499.9"/>
    <m/>
    <n v="4000"/>
    <n v="-1999600"/>
    <n v="-1600"/>
    <m/>
    <m/>
    <n v="-2001200"/>
    <m/>
    <m/>
    <x v="43"/>
    <s v="Equita"/>
  </r>
  <r>
    <d v="2019-05-14T00:00:00"/>
    <s v="BUY"/>
    <s v="4005.T"/>
    <s v="JP3401400001"/>
    <s v="YES"/>
    <s v="4005.T"/>
    <m/>
    <s v="Sumitomo Chemical Co Ltd"/>
    <x v="0"/>
    <n v="493"/>
    <m/>
    <n v="4000"/>
    <n v="-1972000"/>
    <n v="-1578"/>
    <m/>
    <m/>
    <n v="-1973578"/>
    <m/>
    <m/>
    <x v="43"/>
    <s v="Equita"/>
  </r>
  <r>
    <d v="2019-05-14T00:00:00"/>
    <s v="BUY"/>
    <s v="BBKP.JK"/>
    <s v="ID1000103609"/>
    <s v="YES"/>
    <s v="BBKP.JK"/>
    <m/>
    <s v="Bank Bukopin Tbk PT"/>
    <x v="4"/>
    <n v="275.06979999999999"/>
    <m/>
    <n v="925000"/>
    <n v="-254439565"/>
    <n v="-381659"/>
    <n v="-109409"/>
    <n v="-25444"/>
    <n v="-254956077"/>
    <m/>
    <m/>
    <x v="44"/>
    <s v="DBS"/>
  </r>
  <r>
    <d v="2019-05-14T00:00:00"/>
    <s v="BUY"/>
    <s v="086520.KQ"/>
    <s v="KR7086520004"/>
    <s v="YES"/>
    <s v="086520.KQ"/>
    <m/>
    <s v="Ecopro Co Ltd"/>
    <x v="3"/>
    <n v="23550"/>
    <m/>
    <n v="870"/>
    <n v="-20488500"/>
    <n v="-30733"/>
    <m/>
    <m/>
    <n v="-20519233"/>
    <m/>
    <m/>
    <x v="44"/>
    <s v="Samsung"/>
  </r>
  <r>
    <d v="2019-05-14T00:00:00"/>
    <s v="BUY"/>
    <s v="RENA.PA"/>
    <s v="FR0000131906"/>
    <s v="YES"/>
    <s v="RENA.PA"/>
    <m/>
    <s v="Renault SA"/>
    <x v="5"/>
    <n v="52.492100000000001"/>
    <m/>
    <n v="400"/>
    <n v="-20996.84"/>
    <n v="-16.8"/>
    <n v="-62.99"/>
    <m/>
    <n v="-21076.63"/>
    <m/>
    <m/>
    <x v="44"/>
    <s v="Equita"/>
  </r>
  <r>
    <d v="2019-05-14T00:00:00"/>
    <s v="BUY"/>
    <s v="CFP.TO"/>
    <s v="CA1375761048"/>
    <s v="YES"/>
    <s v="cfp.to"/>
    <m/>
    <s v="Canfor Corp"/>
    <x v="9"/>
    <n v="10.813000000000001"/>
    <m/>
    <n v="2300"/>
    <n v="-24869.9"/>
    <n v="-19.899999999999999"/>
    <m/>
    <m/>
    <n v="-24889.800000000003"/>
    <m/>
    <m/>
    <x v="44"/>
    <s v="Equita"/>
  </r>
  <r>
    <d v="2019-05-15T00:00:00"/>
    <s v="BUY"/>
    <s v="NHY.OL"/>
    <s v="NO0005052605"/>
    <s v="YES"/>
    <s v="nhy.ol"/>
    <m/>
    <s v="Norsk Hydro ASA"/>
    <x v="10"/>
    <n v="32.19"/>
    <m/>
    <m/>
    <n v="0"/>
    <m/>
    <m/>
    <m/>
    <n v="0"/>
    <m/>
    <m/>
    <x v="45"/>
    <s v="Equita"/>
  </r>
  <r>
    <d v="2019-05-15T00:00:00"/>
    <s v="BUY"/>
    <s v="8070.T"/>
    <s v="JP3576600005"/>
    <s v="YES"/>
    <s v="8070.t"/>
    <m/>
    <s v="Tokyo Sangyo Co Ltd"/>
    <x v="0"/>
    <n v="470.8125"/>
    <m/>
    <n v="4000"/>
    <n v="-1883250"/>
    <n v="-1507"/>
    <m/>
    <m/>
    <n v="-1884757"/>
    <m/>
    <m/>
    <x v="46"/>
    <s v="Equita"/>
  </r>
  <r>
    <d v="2019-05-15T00:00:00"/>
    <s v="BUY"/>
    <s v="051915.KS"/>
    <s v="KR7051911006"/>
    <s v="YES"/>
    <s v="051915.KS"/>
    <m/>
    <s v="LG Chem Ltd"/>
    <x v="3"/>
    <n v="188735"/>
    <m/>
    <n v="200"/>
    <n v="-37747000"/>
    <n v="-56621"/>
    <m/>
    <m/>
    <n v="-37803621"/>
    <m/>
    <m/>
    <x v="43"/>
    <s v="Samsung"/>
  </r>
  <r>
    <d v="2019-05-15T00:00:00"/>
    <s v="BUY"/>
    <s v="VOD.L"/>
    <s v="GB00BH4HKS39"/>
    <s v="YES"/>
    <s v="VOD.L"/>
    <m/>
    <s v="Vodafone Group PLC"/>
    <x v="6"/>
    <n v="1.2655000000000001"/>
    <m/>
    <n v="11300"/>
    <n v="-14300.150000000001"/>
    <n v="-11.44"/>
    <n v="-72.5"/>
    <m/>
    <n v="-14384.090000000002"/>
    <m/>
    <m/>
    <x v="43"/>
    <s v="Equita"/>
  </r>
  <r>
    <d v="2019-05-15T00:00:00"/>
    <s v="BUY"/>
    <s v="BT.L"/>
    <s v="GB0030913577"/>
    <s v="YES"/>
    <s v="BT.L"/>
    <m/>
    <s v="BT Group PLC"/>
    <x v="6"/>
    <n v="2.0533000000000001"/>
    <m/>
    <n v="6800"/>
    <n v="-13962.44"/>
    <n v="-11.17"/>
    <n v="-70.81"/>
    <m/>
    <n v="-14044.42"/>
    <m/>
    <m/>
    <x v="43"/>
    <s v="Equita"/>
  </r>
  <r>
    <d v="2019-05-15T00:00:00"/>
    <s v="BUY"/>
    <s v="NOKIA.HE"/>
    <s v="FI0009000681"/>
    <s v="YES"/>
    <s v="NOKIA.HE"/>
    <m/>
    <s v="Nokia Oyj"/>
    <x v="5"/>
    <n v="4.2024999999999997"/>
    <m/>
    <n v="3900"/>
    <n v="-16389.75"/>
    <n v="-13.11"/>
    <m/>
    <m/>
    <n v="-16402.86"/>
    <m/>
    <m/>
    <x v="43"/>
    <s v="Equita"/>
  </r>
  <r>
    <d v="2019-05-15T00:00:00"/>
    <s v="BUY"/>
    <s v="0593q.L"/>
    <s v="US7960502018"/>
    <s v="YES"/>
    <s v="0593q.L"/>
    <m/>
    <s v="Samsung Electronics Co Ltd"/>
    <x v="8"/>
    <n v="720.64"/>
    <m/>
    <n v="25"/>
    <n v="-18016"/>
    <n v="-14.41"/>
    <m/>
    <m/>
    <n v="-18030.41"/>
    <m/>
    <m/>
    <x v="43"/>
    <s v="Equita"/>
  </r>
  <r>
    <d v="2019-05-21T00:00:00"/>
    <s v="BUY"/>
    <s v="KT.N"/>
    <s v="US48268K1016"/>
    <s v="YES"/>
    <s v="KT.N"/>
    <m/>
    <s v="KT Corp"/>
    <x v="8"/>
    <n v="11.798299999999999"/>
    <m/>
    <n v="2050"/>
    <n v="-24186.514999999999"/>
    <n v="-19.39"/>
    <m/>
    <m/>
    <n v="-24205.904999999999"/>
    <m/>
    <m/>
    <x v="47"/>
    <s v="Equita"/>
  </r>
  <r>
    <d v="2019-05-21T00:00:00"/>
    <s v="BUY"/>
    <s v="CONG.DE"/>
    <s v="DE0005439004"/>
    <s v="YES"/>
    <s v="CONG.DE"/>
    <m/>
    <s v="Continental AG"/>
    <x v="5"/>
    <n v="127.51390000000001"/>
    <m/>
    <n v="170"/>
    <n v="-21677.363000000001"/>
    <n v="-17.34"/>
    <m/>
    <m/>
    <n v="-21694.703000000001"/>
    <m/>
    <m/>
    <x v="47"/>
    <s v="Equita"/>
  </r>
  <r>
    <d v="2019-05-21T00:00:00"/>
    <s v="BUY"/>
    <s v="1COV.DE"/>
    <s v="DE0006062144"/>
    <s v="YES"/>
    <s v="1cov.de"/>
    <m/>
    <s v="Covestro AG"/>
    <x v="5"/>
    <n v="43.17"/>
    <m/>
    <n v="380"/>
    <n v="-16404.600000000002"/>
    <n v="-13.19"/>
    <m/>
    <m/>
    <n v="-16417.79"/>
    <m/>
    <m/>
    <x v="47"/>
    <s v="Equita"/>
  </r>
  <r>
    <d v="2019-05-21T00:00:00"/>
    <s v="BUY"/>
    <s v="ALB"/>
    <s v="US0126531013"/>
    <s v="YES"/>
    <s v="ALB"/>
    <m/>
    <s v="Albemarle Corp"/>
    <x v="8"/>
    <n v="69.219899999999996"/>
    <m/>
    <n v="270"/>
    <n v="-18689.373"/>
    <n v="-14.95"/>
    <m/>
    <m/>
    <n v="-18704.323"/>
    <m/>
    <m/>
    <x v="47"/>
    <s v="Equita"/>
  </r>
  <r>
    <d v="2019-05-21T00:00:00"/>
    <s v="BUY"/>
    <s v="UPM.HE"/>
    <s v="FI0009005987"/>
    <s v="YES"/>
    <s v="UPM.HE"/>
    <m/>
    <s v="UPM-Kymmene Oyj"/>
    <x v="5"/>
    <n v="23.482099999999999"/>
    <m/>
    <n v="900"/>
    <n v="-21133.89"/>
    <n v="-16.91"/>
    <m/>
    <m/>
    <n v="-21150.799999999999"/>
    <m/>
    <m/>
    <x v="47"/>
    <s v="Equita"/>
  </r>
  <r>
    <d v="2019-05-22T00:00:00"/>
    <s v="BUY"/>
    <s v="032830.KS"/>
    <s v="KR7032830002"/>
    <s v="YES"/>
    <s v="032830.KS"/>
    <m/>
    <s v="Samsung Life Insurance Co Ltd"/>
    <x v="3"/>
    <n v="81000"/>
    <m/>
    <n v="265"/>
    <n v="-21465000"/>
    <n v="-32198"/>
    <m/>
    <m/>
    <n v="-21497198"/>
    <m/>
    <m/>
    <x v="48"/>
    <s v="Samsung"/>
  </r>
  <r>
    <d v="2019-05-24T00:00:00"/>
    <s v="BUY"/>
    <s v="ALB"/>
    <s v="US0126531013"/>
    <s v="YES"/>
    <s v="ALB"/>
    <m/>
    <s v="Albemarle Corp"/>
    <x v="8"/>
    <n v="65.8"/>
    <m/>
    <n v="270"/>
    <n v="-17766"/>
    <n v="-14"/>
    <m/>
    <m/>
    <n v="-17780"/>
    <n v="1.1100000000000001"/>
    <n v="-15963.639299999997"/>
    <x v="49"/>
    <s v="Equita"/>
  </r>
  <r>
    <d v="2019-05-24T00:00:00"/>
    <s v="BUY"/>
    <s v="VNE"/>
    <s v="US92336X1090"/>
    <s v="YES"/>
    <s v="VNE"/>
    <m/>
    <s v="Veoneer Inc"/>
    <x v="8"/>
    <n v="16.739999999999998"/>
    <m/>
    <n v="1000"/>
    <n v="-16740"/>
    <n v="-14"/>
    <m/>
    <m/>
    <n v="-16754"/>
    <n v="1.1129041233097767"/>
    <n v="-15041.726999999999"/>
    <x v="49"/>
    <s v="Equita"/>
  </r>
  <r>
    <d v="2019-05-24T00:00:00"/>
    <s v="BUY"/>
    <s v="CFP.TO"/>
    <s v="CA1375761048"/>
    <s v="YES"/>
    <s v="CFP.TO"/>
    <m/>
    <s v="Canfor Corp"/>
    <x v="9"/>
    <n v="9.14"/>
    <m/>
    <n v="2600"/>
    <n v="-23764"/>
    <n v="-19"/>
    <m/>
    <m/>
    <n v="-23783"/>
    <n v="1.5045350843024881"/>
    <n v="-15794.912493527621"/>
    <x v="49"/>
    <s v="Equita"/>
  </r>
  <r>
    <d v="2019-05-27T00:00:00"/>
    <s v="BUY"/>
    <s v="SQM"/>
    <s v="US8336351056"/>
    <s v="YES"/>
    <s v="SQM"/>
    <m/>
    <s v="Sociedad Quimica y Minera de Chile SA"/>
    <x v="8"/>
    <n v="29.38"/>
    <m/>
    <m/>
    <n v="0"/>
    <m/>
    <m/>
    <m/>
    <n v="0"/>
    <n v="1.1129041233097769"/>
    <n v="-15575.645409999997"/>
    <x v="50"/>
    <s v="Equita"/>
  </r>
  <r>
    <d v="2019-05-27T00:00:00"/>
    <s v="BUY"/>
    <s v="STERV.HE"/>
    <s v="FI0009005961"/>
    <s v="YES"/>
    <s v="STERV.HE"/>
    <m/>
    <s v="Stora Enso Oyj"/>
    <x v="5"/>
    <n v="9.86"/>
    <m/>
    <n v="1600"/>
    <n v="-15776"/>
    <n v="-13"/>
    <m/>
    <m/>
    <n v="-15789"/>
    <n v="1"/>
    <n v="-5541.28"/>
    <x v="51"/>
    <s v="Equita"/>
  </r>
  <r>
    <d v="2019-05-27T00:00:00"/>
    <s v="BUY"/>
    <s v="DBKGn.DE"/>
    <s v="DE0005140008"/>
    <s v="YES"/>
    <s v="DBKGn.DE"/>
    <m/>
    <s v="Deutsche Bank AG"/>
    <x v="5"/>
    <n v="6.1520000000000001"/>
    <m/>
    <n v="2500"/>
    <n v="-15380"/>
    <n v="-13"/>
    <m/>
    <m/>
    <n v="-15393"/>
    <n v="1"/>
    <n v="-15380"/>
    <x v="51"/>
    <s v="Equita"/>
  </r>
  <r>
    <d v="2019-05-30T00:00:00"/>
    <s v="BUY"/>
    <s v="LTHM.K"/>
    <s v="US53814L1089"/>
    <s v="YES"/>
    <s v="LTHM.K"/>
    <m/>
    <s v="Livent Corp"/>
    <x v="8"/>
    <n v="6.4399999999999995"/>
    <m/>
    <n v="4200"/>
    <n v="-27047.999999999996"/>
    <n v="-22"/>
    <m/>
    <m/>
    <n v="-27069.999999999996"/>
    <n v="1.1129041233097769"/>
    <n v="-17359.985999999997"/>
    <x v="52"/>
    <s v="Equita"/>
  </r>
  <r>
    <d v="2019-05-30T00:00:00"/>
    <s v="BUY"/>
    <s v="STERV.HE"/>
    <s v="FI0009005961"/>
    <s v="YES"/>
    <s v="STERV.HE"/>
    <m/>
    <s v="Stora Enso Oyj"/>
    <x v="5"/>
    <n v="9.3919999999999995"/>
    <m/>
    <m/>
    <n v="0"/>
    <m/>
    <m/>
    <m/>
    <n v="0"/>
    <n v="1.1171"/>
    <m/>
    <x v="50"/>
    <m/>
  </r>
  <r>
    <d v="2019-05-30T00:00:00"/>
    <s v="BUY"/>
    <s v="GCI"/>
    <s v="US36473H1041"/>
    <s v="YES"/>
    <s v="GCI"/>
    <m/>
    <s v="Gannett Co Inc"/>
    <x v="8"/>
    <n v="7.56"/>
    <m/>
    <n v="2200"/>
    <n v="-16632"/>
    <n v="-14"/>
    <m/>
    <m/>
    <n v="-16646"/>
    <n v="1.1171"/>
    <n v="-14888.5507116641"/>
    <x v="52"/>
    <s v="Equita"/>
  </r>
  <r>
    <d v="2019-05-30T00:00:00"/>
    <s v="BUY"/>
    <s v="SHG"/>
    <s v="US8245961003"/>
    <s v="YES"/>
    <s v="SHG"/>
    <m/>
    <s v="Shinhan Financial Group Co Ltd"/>
    <x v="8"/>
    <n v="37.772500000000001"/>
    <m/>
    <n v="670"/>
    <n v="-25307.575000000001"/>
    <n v="-20"/>
    <m/>
    <m/>
    <n v="-25327.575000000001"/>
    <n v="1.1171"/>
    <n v="-22587.234804404299"/>
    <x v="52"/>
    <s v="Equita"/>
  </r>
  <r>
    <d v="2019-05-30T00:00:00"/>
    <s v="BUY"/>
    <s v="SKM"/>
    <s v="US78440P1084"/>
    <s v="YES"/>
    <s v="SKM"/>
    <m/>
    <s v="SK Telecom Co Ltd"/>
    <x v="8"/>
    <n v="23.608799999999999"/>
    <m/>
    <n v="690"/>
    <n v="-16290.071999999998"/>
    <n v="-13"/>
    <m/>
    <m/>
    <n v="-16303.071999999998"/>
    <n v="1.1171"/>
    <n v="-14552.3229791424"/>
    <x v="52"/>
    <s v="Equita"/>
  </r>
  <r>
    <d v="2019-06-06T00:00:00"/>
    <s v="SELL"/>
    <s v="4217.T"/>
    <s v="JP3785000005"/>
    <s v="YES"/>
    <s v="4217.t"/>
    <m/>
    <s v="Not Signed In"/>
    <x v="0"/>
    <n v="2992"/>
    <m/>
    <n v="-2500"/>
    <n v="7480000"/>
    <m/>
    <m/>
    <m/>
    <n v="7480000"/>
    <n v="121.66937790991186"/>
    <n v="61478.082065467999"/>
    <x v="53"/>
    <s v="Equita"/>
  </r>
  <r>
    <d v="2019-06-07T00:00:00"/>
    <s v="SELL"/>
    <s v="F"/>
    <s v="US3453708600"/>
    <s v="YES"/>
    <s v="F"/>
    <m/>
    <s v="Not Signed In"/>
    <x v="8"/>
    <n v="9.76"/>
    <m/>
    <n v="-4200"/>
    <n v="40992"/>
    <m/>
    <m/>
    <m/>
    <n v="40992"/>
    <n v="1.1331059567380146"/>
    <n v="36176.669759999997"/>
    <x v="54"/>
    <s v="Equita"/>
  </r>
  <r>
    <d v="2019-06-07T00:00:00"/>
    <s v="SELL"/>
    <s v="5715.T"/>
    <s v="JP3826800009"/>
    <s v="YES"/>
    <s v="5715.T"/>
    <m/>
    <s v="Not Signed In"/>
    <x v="0"/>
    <n v="1370"/>
    <m/>
    <n v="-2200"/>
    <n v="3014000"/>
    <m/>
    <m/>
    <m/>
    <n v="3014000"/>
    <n v="122.57940239991878"/>
    <n v="24588.14401922714"/>
    <x v="55"/>
    <s v="Equita"/>
  </r>
  <r>
    <d v="2019-06-10T00:00:00"/>
    <s v="BUY"/>
    <m/>
    <s v="Not Signed In"/>
    <s v="NO"/>
    <s v="5801.t"/>
    <m/>
    <s v="Not Signed In"/>
    <x v="0"/>
    <n v="3005"/>
    <m/>
    <n v="1030"/>
    <n v="-3095150"/>
    <m/>
    <m/>
    <m/>
    <m/>
    <n v="122.91971133693605"/>
    <n v="-25180.257635944679"/>
    <x v="55"/>
    <s v="Equit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d v="2019-02-15T00:00:00"/>
    <s v="BUY"/>
    <s v="6752.t"/>
    <s v="JP3866800000"/>
    <s v="YES"/>
    <s v="6752.t"/>
    <m/>
    <s v="Panasonic Corp"/>
    <s v="JPY"/>
    <n v="1041.5"/>
    <n v="1041.5"/>
    <n v="12200"/>
    <n v="-12706300"/>
    <n v="-5294"/>
    <n v="-1059"/>
    <n v="0"/>
    <n v="-12712653"/>
    <n v="124.82062754934861"/>
    <n v="-101847.37290296008"/>
    <d v="2019-02-21T00:00:00"/>
    <s v="Kepler"/>
    <d v="1899-12-30T16:31:32"/>
  </r>
  <r>
    <d v="2019-02-15T00:00:00"/>
    <s v="BUY"/>
    <s v="SYR.AX"/>
    <s v="AU000000SYR9"/>
    <s v="YES"/>
    <s v="SYR.AX"/>
    <m/>
    <s v="Syrah Resources Ltd"/>
    <s v="AUD"/>
    <n v="1.3412999999999999"/>
    <n v="1.3412999999999999"/>
    <n v="35700"/>
    <n v="-47884.409999999996"/>
    <n v="-19.95"/>
    <n v="-3.99"/>
    <n v="0"/>
    <n v="-47908.349999999991"/>
    <n v="1.5902963741342107"/>
    <n v="-30125.422392465844"/>
    <d v="2019-02-20T00:00:00"/>
    <s v="Kepler"/>
    <d v="1899-12-30T16:33:17"/>
  </r>
  <r>
    <d v="2019-02-15T00:00:00"/>
    <s v="BUY"/>
    <s v="1958.HK"/>
    <s v="CNE100001TJ4"/>
    <s v="YES"/>
    <s v="1958.HK"/>
    <m/>
    <s v="BAIC Motor Corp Ltd"/>
    <s v="HKD"/>
    <n v="5.2645"/>
    <n v="5.2645"/>
    <n v="51546"/>
    <n v="-271363.91700000002"/>
    <n v="-407.04"/>
    <n v="-292.89999999999998"/>
    <n v="0"/>
    <n v="-272063.85700000002"/>
    <n v="8.8624505928853718"/>
    <n v="-30698.490688163427"/>
    <d v="2019-02-20T00:00:00"/>
    <s v="Samsung"/>
    <d v="1899-12-30T17:32:46"/>
  </r>
  <r>
    <d v="2019-02-15T00:00:00"/>
    <s v="BUY"/>
    <s v="006400.KS"/>
    <s v="KR7006400006"/>
    <s v="YES"/>
    <s v="006400.KS"/>
    <m/>
    <s v="Samsung SDI Co Ltd"/>
    <s v="KRW"/>
    <n v="238000"/>
    <n v="238000"/>
    <n v="320"/>
    <n v="-76160000"/>
    <n v="-114240"/>
    <n v="0"/>
    <n v="0"/>
    <n v="-76274240"/>
    <n v="1270.9655561829475"/>
    <n v="-60012.830110889961"/>
    <d v="2019-02-20T00:00:00"/>
    <s v="DBS"/>
    <d v="1899-12-30T17:34:09"/>
  </r>
  <r>
    <d v="2019-02-15T00:00:00"/>
    <s v="BUY"/>
    <s v="BBKP.JK"/>
    <s v="ID1000103609"/>
    <s v="YES"/>
    <s v="BBKP.JK"/>
    <m/>
    <s v="Bank Bukopin Tbk PT"/>
    <s v="IDR"/>
    <n v="378.51679999999999"/>
    <n v="378.51679999999999"/>
    <n v="1073100"/>
    <n v="-406186378.07999998"/>
    <n v="-609280"/>
    <n v="-215279"/>
    <n v="0"/>
    <n v="-407010937.07999998"/>
    <n v="15968.379446640194"/>
    <n v="-25488.556208227918"/>
    <d v="2019-02-20T00:00:00"/>
    <s v="DBS"/>
    <d v="1899-12-30T17:37:51"/>
  </r>
  <r>
    <d v="2019-02-18T00:00:00"/>
    <s v="BUY"/>
    <s v="DTEGn.DE"/>
    <s v="DE0005557508"/>
    <s v="YES"/>
    <s v="DTEGn.DE"/>
    <m/>
    <s v="Deutsche Telekom AG"/>
    <s v="EUR"/>
    <n v="14.319000000000001"/>
    <n v="14.319000000000001"/>
    <n v="2100"/>
    <n v="-30069.9"/>
    <n v="-24.06"/>
    <n v="0"/>
    <n v="0"/>
    <n v="-30093.960000000003"/>
    <n v="1"/>
    <n v="-30093.960000000003"/>
    <d v="2019-02-20T00:00:00"/>
    <s v="Equita"/>
    <d v="1899-12-30T08:12:21"/>
  </r>
  <r>
    <d v="2019-02-18T00:00:00"/>
    <s v="BUY"/>
    <s v="ORAN.PA"/>
    <s v="FR0000133308"/>
    <s v="YES"/>
    <s v="ORAN.PA"/>
    <m/>
    <s v="Orange SA"/>
    <s v="EUR"/>
    <n v="13.4634"/>
    <n v="13.4634"/>
    <n v="2200"/>
    <n v="-29619.48"/>
    <n v="-23.7"/>
    <n v="0"/>
    <n v="-88.86"/>
    <n v="-29732.04"/>
    <n v="1"/>
    <n v="-29732.04"/>
    <d v="2019-02-20T00:00:00"/>
    <s v="Equita"/>
    <d v="1899-12-30T08:14:04"/>
  </r>
  <r>
    <d v="2019-02-18T00:00:00"/>
    <s v="BUY"/>
    <s v="TLITn.MI"/>
    <s v="IT0003497176"/>
    <s v="YES"/>
    <s v="TLITn.MI"/>
    <m/>
    <s v="Telecom Italia SpA"/>
    <s v="EUR"/>
    <n v="0.44950000000000001"/>
    <n v="0.44950000000000001"/>
    <n v="67700"/>
    <n v="-30431.15"/>
    <n v="-24.34"/>
    <n v="0"/>
    <n v="0"/>
    <n v="-30455.49"/>
    <n v="1"/>
    <n v="-30455.49"/>
    <d v="2019-02-20T00:00:00"/>
    <s v="Equita"/>
    <d v="1899-12-30T08:15:54"/>
  </r>
  <r>
    <d v="2019-02-18T00:00:00"/>
    <s v="BUY"/>
    <s v="TEF.MC"/>
    <s v="ES0178430E18"/>
    <s v="YES"/>
    <s v="TEF.MC"/>
    <m/>
    <s v="Telefonica SA"/>
    <s v="EUR"/>
    <n v="7.5347"/>
    <n v="7.5347"/>
    <n v="4000"/>
    <n v="-30138.799999999999"/>
    <n v="-24.11"/>
    <n v="0"/>
    <n v="0"/>
    <n v="-30162.91"/>
    <n v="1"/>
    <n v="-30162.91"/>
    <d v="2019-02-20T00:00:00"/>
    <s v="Equita"/>
    <d v="1899-12-30T08:19:29"/>
  </r>
  <r>
    <d v="2019-02-18T00:00:00"/>
    <s v="BUY"/>
    <s v="BT.L"/>
    <s v="GB0030913577"/>
    <s v="YES"/>
    <s v="BT.L"/>
    <m/>
    <s v="BT Group PLC"/>
    <s v="GBp"/>
    <n v="2.3279999999999998"/>
    <n v="2.3279999999999999E-2"/>
    <n v="120"/>
    <n v="-279.35999999999996"/>
    <n v="-0.22"/>
    <n v="0"/>
    <n v="-1.4"/>
    <n v="-280.97999999999996"/>
    <n v="0.8761829474872953"/>
    <n v="-320.68645116386972"/>
    <d v="2019-02-20T00:00:00"/>
    <s v="Equita"/>
    <d v="1899-12-30T08:20:13"/>
  </r>
  <r>
    <d v="2019-02-18T00:00:00"/>
    <s v="BUY"/>
    <s v="ERICb.ST"/>
    <s v="SE0000108656"/>
    <s v="YES"/>
    <s v="ERICb.ST"/>
    <m/>
    <s v="Telefonaktiebolaget LM Ericsson"/>
    <s v="SEK"/>
    <n v="86.6327"/>
    <n v="86.6327"/>
    <n v="3700"/>
    <n v="-320540.99"/>
    <n v="-256.43"/>
    <n v="0"/>
    <n v="0"/>
    <n v="-320797.42"/>
    <n v="10.469452286843586"/>
    <n v="-30641.280098590196"/>
    <d v="2019-02-20T00:00:00"/>
    <s v="Equita"/>
    <d v="1899-12-30T08:21:31"/>
  </r>
  <r>
    <d v="2019-02-18T00:00:00"/>
    <s v="BUY"/>
    <s v="NOKIA.HE"/>
    <s v="FI0009000681"/>
    <s v="YES"/>
    <s v="NOKIA.HE"/>
    <m/>
    <s v="Nokia Oyj"/>
    <s v="EUR"/>
    <n v="5.5555000000000003"/>
    <n v="5.5555000000000003"/>
    <n v="7200"/>
    <n v="-39999.600000000006"/>
    <n v="-32"/>
    <n v="0"/>
    <n v="0"/>
    <n v="-40031.600000000006"/>
    <n v="1"/>
    <n v="-40031.600000000006"/>
    <d v="2019-02-20T00:00:00"/>
    <s v="Equita"/>
    <d v="1899-12-30T08:23:43"/>
  </r>
  <r>
    <d v="2019-02-18T00:00:00"/>
    <s v="BUY"/>
    <s v="CTT.LS"/>
    <s v="PTCTT0AM0001"/>
    <s v="YES"/>
    <s v="CTT.LS"/>
    <m/>
    <s v="CTT Correios de Portugal SA"/>
    <s v="EUR"/>
    <n v="3.0947"/>
    <n v="3.0947"/>
    <n v="6500"/>
    <n v="-20115.55"/>
    <n v="-16.09"/>
    <n v="0"/>
    <n v="0"/>
    <n v="-20131.64"/>
    <n v="1"/>
    <n v="-20131.64"/>
    <d v="2019-02-20T00:00:00"/>
    <s v="Equita"/>
    <d v="1899-12-30T08:25:51"/>
  </r>
  <r>
    <d v="2019-02-18T00:00:00"/>
    <s v="BUY"/>
    <s v="ptnl.as"/>
    <s v="NL0009739416"/>
    <s v="YES"/>
    <s v="ptnl.as"/>
    <m/>
    <s v="PostNL NV"/>
    <s v="EUR"/>
    <n v="2.2705000000000002"/>
    <n v="2.2705000000000002"/>
    <n v="22200"/>
    <n v="-50405.100000000006"/>
    <n v="-40.32"/>
    <n v="0"/>
    <n v="0"/>
    <n v="-50445.420000000006"/>
    <n v="1"/>
    <n v="-50445.420000000006"/>
    <d v="2019-02-20T00:00:00"/>
    <s v="Equita"/>
    <d v="1899-12-30T08:26:49"/>
  </r>
  <r>
    <d v="2019-02-18T00:00:00"/>
    <s v="BUY"/>
    <s v="SOGN.PA"/>
    <s v="FR0000130809"/>
    <s v="YES"/>
    <s v="SOGN.PA"/>
    <m/>
    <s v="Societe Generale SA"/>
    <s v="EUR"/>
    <n v="25.175000000000001"/>
    <n v="25.175000000000001"/>
    <n v="2000"/>
    <n v="-50350"/>
    <n v="-40.28"/>
    <n v="0"/>
    <n v="-151.05000000000001"/>
    <n v="-50541.33"/>
    <n v="1"/>
    <n v="-50541.33"/>
    <d v="2019-02-20T00:00:00"/>
    <s v="Equita"/>
    <d v="1899-12-30T16:13:28"/>
  </r>
  <r>
    <d v="2019-02-18T00:00:00"/>
    <s v="BUY"/>
    <s v="TUIGn.DE"/>
    <s v="DE000TUAG000"/>
    <s v="YES"/>
    <s v="TUIGn.DE"/>
    <m/>
    <s v="Tui AG"/>
    <s v="EUR"/>
    <n v="9.4779999999999998"/>
    <n v="9.4779999999999998"/>
    <n v="4200"/>
    <n v="-39807.599999999999"/>
    <n v="-31.85"/>
    <n v="0"/>
    <n v="0"/>
    <n v="-39839.449999999997"/>
    <n v="1"/>
    <n v="-39839.449999999997"/>
    <d v="2019-02-20T00:00:00"/>
    <s v="Equita"/>
    <d v="1899-12-30T16:15:09"/>
  </r>
  <r>
    <d v="2019-02-18T00:00:00"/>
    <s v="BUY"/>
    <s v="WPP.L"/>
    <s v="JE00B8KF9B49"/>
    <s v="YES"/>
    <s v="WPP.L"/>
    <m/>
    <s v="WPP PLC"/>
    <s v="GBp"/>
    <n v="8.51"/>
    <n v="8.5099999999999995E-2"/>
    <n v="3100"/>
    <n v="-26381"/>
    <n v="-21.1"/>
    <n v="0"/>
    <n v="-1"/>
    <n v="-26403.1"/>
    <n v="0.87618294748729519"/>
    <n v="-30134.231755729128"/>
    <d v="2019-02-20T00:00:00"/>
    <s v="Equita"/>
    <d v="1899-12-30T16:16:36"/>
  </r>
  <r>
    <d v="2019-02-18T00:00:00"/>
    <s v="BUY"/>
    <s v="BPOST.BR"/>
    <s v="BE0974268972"/>
    <s v="YES"/>
    <s v="BPOST.BR"/>
    <m/>
    <s v="Bpost SA"/>
    <s v="EUR"/>
    <n v="8.2050000000000001"/>
    <n v="8.2050000000000001"/>
    <n v="3650"/>
    <n v="-29948.25"/>
    <n v="-23.96"/>
    <n v="0"/>
    <n v="0"/>
    <n v="-29972.21"/>
    <n v="1"/>
    <n v="-29972.21"/>
    <d v="2019-02-20T00:00:00"/>
    <s v="Equita"/>
    <d v="1899-12-30T16:18:33"/>
  </r>
  <r>
    <d v="2019-02-18T00:00:00"/>
    <s v="BUY"/>
    <s v="DC.L"/>
    <s v="GB00B4Y7R145"/>
    <s v="YES"/>
    <s v="DC.L"/>
    <m/>
    <s v="Dixons Carphone PLC"/>
    <s v="GBp"/>
    <n v="1.32"/>
    <n v="1.32E-2"/>
    <n v="20000"/>
    <n v="-26400"/>
    <n v="-21.12"/>
    <n v="0"/>
    <n v="-133"/>
    <n v="-26554.12"/>
    <n v="0.87618294748729408"/>
    <n v="-30306.593019359203"/>
    <d v="2019-02-20T00:00:00"/>
    <s v="Equita"/>
    <d v="1899-12-30T15:29:32"/>
  </r>
  <r>
    <d v="2019-02-18T00:00:00"/>
    <s v="BUY"/>
    <s v="BT.L"/>
    <s v="GB0030913577"/>
    <s v="YES"/>
    <s v="BT.L"/>
    <m/>
    <s v="BT Group PLC"/>
    <s v="GBp"/>
    <n v="2.33"/>
    <n v="2.3300000000000001E-2"/>
    <n v="11000"/>
    <n v="-25630"/>
    <n v="-20.5"/>
    <n v="0"/>
    <n v="-129.15"/>
    <n v="-25779.65"/>
    <n v="0.8761829474872953"/>
    <n v="-29422.679446034079"/>
    <d v="2019-02-20T00:00:00"/>
    <s v="Equita"/>
    <d v="1899-12-30T15:30:59"/>
  </r>
  <r>
    <d v="2019-02-19T00:00:00"/>
    <s v="BUY"/>
    <s v="BBKP.JK"/>
    <s v="ID1000103609"/>
    <s v="YES"/>
    <s v="BBKP.JK"/>
    <m/>
    <s v="Bank Bukopin Tbk PT"/>
    <s v="IDR"/>
    <n v="385.4787"/>
    <n v="385.4787"/>
    <n v="683190"/>
    <n v="-263355193.053"/>
    <n v="-395033"/>
    <n v="-113243"/>
    <n v="-26336"/>
    <n v="-263889805.053"/>
    <n v="15986.074413435652"/>
    <n v="-16507.480087244636"/>
    <d v="2019-02-21T00:00:00"/>
    <s v="DBS"/>
    <d v="1899-12-30T18:01:16"/>
  </r>
  <r>
    <d v="2019-02-19T00:00:00"/>
    <s v="BUY"/>
    <s v=""/>
    <s v="US3453708600"/>
    <m/>
    <s v="F"/>
    <m/>
    <s v="Ford Motor Co"/>
    <s v="USD"/>
    <n v="8.65"/>
    <n v="8.65"/>
    <n v="4200"/>
    <n v="-36330"/>
    <n v="-15.05"/>
    <n v="-3.02"/>
    <n v="0"/>
    <n v="-36348.07"/>
    <n v="1.1340054205459102"/>
    <n v="-32052.8185681"/>
    <d v="2019-02-21T00:00:00"/>
    <s v="Kepler"/>
    <d v="1899-12-30T14:37:22"/>
  </r>
  <r>
    <d v="2019-02-19T00:00:00"/>
    <s v="BUY"/>
    <s v="VNE"/>
    <s v="US92336X1090"/>
    <s v="YES"/>
    <s v="VNE"/>
    <m/>
    <s v="Veoneer Inc"/>
    <s v="USD"/>
    <n v="29.134599999999999"/>
    <n v="29.134599999999999"/>
    <n v="1400"/>
    <n v="-40788.439999999995"/>
    <n v="-17"/>
    <n v="-3.39"/>
    <n v="0"/>
    <n v="-40808.829999999994"/>
    <n v="1.13400542054591"/>
    <n v="-35986.450558900004"/>
    <d v="2019-02-21T00:00:00"/>
    <s v="Kepler"/>
    <d v="1899-12-30T14:39:19"/>
  </r>
  <r>
    <d v="2019-02-19T00:00:00"/>
    <s v="BUY"/>
    <s v="SQM"/>
    <s v="US8336351056"/>
    <s v="YES"/>
    <s v="SQM"/>
    <m/>
    <s v="Sociedad Quimica y Minera de Chile SA"/>
    <s v="USD"/>
    <n v="41.2742"/>
    <n v="41.2742"/>
    <n v="700"/>
    <n v="-28891.94"/>
    <n v="-12.05"/>
    <n v="-2.4"/>
    <n v="0"/>
    <n v="-28906.39"/>
    <n v="1.1340054205459102"/>
    <n v="-25490.521893699999"/>
    <d v="2019-02-21T00:00:00"/>
    <s v="Kepler"/>
    <d v="1899-12-30T14:41:00"/>
  </r>
  <r>
    <d v="2019-02-19T00:00:00"/>
    <s v="BUY"/>
    <s v="ALB"/>
    <s v="US0126531013"/>
    <s v="YES"/>
    <s v="ALB"/>
    <m/>
    <s v="Albemarle Corp"/>
    <s v="USD"/>
    <n v="82.081400000000002"/>
    <n v="82.081400000000002"/>
    <n v="350"/>
    <n v="-28728.49"/>
    <n v="-11.97"/>
    <n v="-2.39"/>
    <n v="0"/>
    <n v="-28742.850000000002"/>
    <n v="1.13400542054591"/>
    <n v="-25346.307415500007"/>
    <d v="2019-02-21T00:00:00"/>
    <s v="Kepler"/>
    <d v="1899-12-30T14:42:32"/>
  </r>
  <r>
    <d v="2019-02-19T00:00:00"/>
    <s v="BUY"/>
    <s v="QCOM.O"/>
    <s v="US7475251036"/>
    <s v="YES"/>
    <s v="QCOM.O"/>
    <m/>
    <s v="Qualcomm Inc"/>
    <s v="USD"/>
    <n v="51.9071"/>
    <n v="51.9071"/>
    <n v="1400"/>
    <n v="-72669.94"/>
    <n v="-30.28"/>
    <n v="-6.0519999999999996"/>
    <n v="0"/>
    <n v="-72706.271999999997"/>
    <n v="1.1340054205459102"/>
    <n v="-64114.571837759999"/>
    <d v="2019-02-21T00:00:00"/>
    <s v="Kepler"/>
    <d v="1899-12-30T14:43:59"/>
  </r>
  <r>
    <d v="2019-02-19T00:00:00"/>
    <s v="BUY"/>
    <s v="IBM"/>
    <s v="US4592001014"/>
    <s v="YES"/>
    <s v="IBM"/>
    <m/>
    <s v="International Business Machines Corp"/>
    <s v="USD"/>
    <n v="137.87"/>
    <n v="137.87"/>
    <n v="220"/>
    <n v="-30331.4"/>
    <n v="-12.65"/>
    <n v="-2.52"/>
    <n v="0"/>
    <n v="-30346.570000000003"/>
    <n v="1.13400542054591"/>
    <n v="-26760.515823100006"/>
    <d v="2019-02-21T00:00:00"/>
    <s v="Kepler"/>
    <d v="1899-12-30T14:45:40"/>
  </r>
  <r>
    <d v="2019-02-19T00:00:00"/>
    <s v="BUY"/>
    <s v="JNPR.K"/>
    <s v="US48203R1041"/>
    <s v="YES"/>
    <s v="JNPR.K"/>
    <m/>
    <s v="Juniper Networks Inc"/>
    <s v="USD"/>
    <n v="27.083600000000001"/>
    <n v="27.083600000000001"/>
    <n v="1400"/>
    <n v="-37917.040000000001"/>
    <n v="-15.8"/>
    <n v="-3.16"/>
    <n v="0"/>
    <n v="-37936.000000000007"/>
    <n v="1.13400542054591"/>
    <n v="-33453.102880000013"/>
    <d v="2019-02-21T00:00:00"/>
    <s v="Kepler"/>
    <d v="1899-12-30T14:47:12"/>
  </r>
  <r>
    <d v="2019-02-19T00:00:00"/>
    <s v="BUY"/>
    <s v="COMM.O"/>
    <s v="US20337X1090"/>
    <s v="YES"/>
    <s v="COMM.O"/>
    <m/>
    <s v="CommScope Holding Company Inc"/>
    <s v="USD"/>
    <n v="22.6708"/>
    <n v="22.6708"/>
    <n v="1200"/>
    <n v="-27204.959999999999"/>
    <n v="-11.34"/>
    <n v="-2.2599999999999998"/>
    <n v="0"/>
    <n v="-27218.559999999998"/>
    <n v="1.1340054205459102"/>
    <n v="-24002.142764799995"/>
    <d v="2019-02-21T00:00:00"/>
    <s v="Kepler"/>
    <d v="1899-12-30T14:49:15"/>
  </r>
  <r>
    <d v="2019-02-19T00:00:00"/>
    <s v="BUY"/>
    <s v="AVT.O"/>
    <s v="US0538071038"/>
    <s v="YES"/>
    <s v="AVT.O"/>
    <m/>
    <s v="Avnet Inc"/>
    <s v="USD"/>
    <n v="44.15"/>
    <n v="44.15"/>
    <n v="700"/>
    <n v="-30905"/>
    <n v="-12.88"/>
    <n v="-2.57"/>
    <n v="0"/>
    <n v="-30920.45"/>
    <n v="1.13400542054591"/>
    <n v="-27266.580423500007"/>
    <d v="2019-02-21T00:00:00"/>
    <s v="Kepler"/>
    <d v="1899-12-30T14:50:42"/>
  </r>
  <r>
    <d v="2019-02-19T00:00:00"/>
    <s v="BUY"/>
    <s v="DOX.O"/>
    <s v="GB0022569080"/>
    <s v="YES"/>
    <s v="DOX.O"/>
    <m/>
    <s v="Amdocs Ltd"/>
    <s v="USD"/>
    <n v="56.03"/>
    <n v="56.03"/>
    <n v="1100"/>
    <n v="-61633"/>
    <n v="-25.69"/>
    <n v="-5.13"/>
    <n v="0"/>
    <n v="-61663.82"/>
    <n v="1.1340054205459102"/>
    <n v="-54377.0063906"/>
    <d v="2019-02-21T00:00:00"/>
    <s v="Kepler"/>
    <d v="1899-12-30T14:52:39"/>
  </r>
  <r>
    <d v="2019-02-19T00:00:00"/>
    <s v="BUY"/>
    <s v="AVYA.K"/>
    <s v="US05351X1019"/>
    <s v="YES"/>
    <s v="AVYA.K"/>
    <m/>
    <s v="Avaya Holdings Corp"/>
    <s v="USD"/>
    <n v="16.275300000000001"/>
    <n v="16.275300000000001"/>
    <n v="2700"/>
    <n v="-43943.310000000005"/>
    <n v="-18.309999999999999"/>
    <n v="-3.66"/>
    <n v="0"/>
    <n v="-43965.280000000006"/>
    <n v="1.1340054205459102"/>
    <n v="-38769.902862400006"/>
    <d v="2019-02-21T00:00:00"/>
    <s v="Kepler"/>
    <d v="1899-12-30T16:48:15"/>
  </r>
  <r>
    <d v="2019-02-19T00:00:00"/>
    <s v="BUY"/>
    <s v="KEM"/>
    <s v="US4883602074"/>
    <s v="YES"/>
    <s v="KEM"/>
    <m/>
    <s v="KEMET Corp"/>
    <s v="USD"/>
    <n v="18.671600000000002"/>
    <m/>
    <n v="2200"/>
    <n v="-41077.520000000004"/>
    <n v="-17.12"/>
    <n v="-3.42"/>
    <n v="0"/>
    <n v="-41098.060000000005"/>
    <n v="1.1357957384943893"/>
    <n v="-36184.375946400003"/>
    <d v="2019-02-21T00:00:00"/>
    <s v="Kepler"/>
    <d v="1899-12-30T16:49:47"/>
  </r>
  <r>
    <d v="2019-02-19T00:00:00"/>
    <s v="BUY"/>
    <s v="RBBN.O"/>
    <s v="US7625441040"/>
    <s v="YES"/>
    <s v="RBBN.O"/>
    <m/>
    <s v="Ribbon Communications Inc"/>
    <s v="USD"/>
    <n v="6.1555999999999997"/>
    <n v="6.1555999999999997"/>
    <n v="5000"/>
    <n v="-30778"/>
    <n v="-12.83"/>
    <n v="-2.56"/>
    <n v="0"/>
    <n v="-30793.390000000003"/>
    <n v="1.1340054205459102"/>
    <n v="-27154.5351037"/>
    <d v="2019-02-21T00:00:00"/>
    <s v="Kepler"/>
    <d v="1899-12-30T16:51:28"/>
  </r>
  <r>
    <d v="2019-02-19T00:00:00"/>
    <s v="BUY"/>
    <s v="HOG"/>
    <s v="US4128221086"/>
    <s v="YES"/>
    <s v="HOG"/>
    <m/>
    <s v="Harley-Davidson Inc"/>
    <s v="USD"/>
    <n v="37.011600000000001"/>
    <n v="37.011600000000001"/>
    <n v="1100"/>
    <n v="-40712.76"/>
    <n v="-16.97"/>
    <n v="-3.39"/>
    <n v="0"/>
    <n v="-40733.120000000003"/>
    <n v="1.13400542054591"/>
    <n v="-35919.687209600008"/>
    <d v="2019-02-21T00:00:00"/>
    <s v="Kepler"/>
    <d v="1899-12-30T16:52:55"/>
  </r>
  <r>
    <d v="2019-02-19T00:00:00"/>
    <s v="BUY"/>
    <s v="WY"/>
    <s v="US9621661043"/>
    <s v="YES"/>
    <s v="WY"/>
    <m/>
    <s v="Weyerhaeuser Co"/>
    <s v="USD"/>
    <n v="25.68"/>
    <n v="25.68"/>
    <n v="2200"/>
    <n v="-56496"/>
    <n v="-23.55"/>
    <n v="-4.7"/>
    <n v="0"/>
    <n v="-56524.25"/>
    <n v="1.13400542054591"/>
    <n v="-49844.77937750001"/>
    <d v="2019-02-21T00:00:00"/>
    <s v="Kepler"/>
    <d v="1899-12-30T16:54:52"/>
  </r>
  <r>
    <d v="2019-02-19T00:00:00"/>
    <s v="BUY"/>
    <s v="KBLT.V"/>
    <s v="CA19075M3093"/>
    <s v="YES"/>
    <s v="KBLT.V"/>
    <m/>
    <s v="Cobalt 27 Capital Corp"/>
    <s v="CAD"/>
    <n v="4.0095619999999998"/>
    <n v="4.0095619999999998"/>
    <n v="8000"/>
    <n v="-32076.495999999999"/>
    <n v="-13.37"/>
    <n v="-2.67"/>
    <n v="0"/>
    <n v="-32092.535999999996"/>
    <n v="1.49756755837293"/>
    <n v="-21429.77511803724"/>
    <d v="2019-02-21T00:00:00"/>
    <s v="Kepler"/>
    <d v="1899-12-30T16:56:24"/>
  </r>
  <r>
    <d v="2019-02-19T00:00:00"/>
    <s v="BUY"/>
    <s v="CFP.TO"/>
    <s v="CA1375761048"/>
    <s v="YES"/>
    <s v="CFP.TO"/>
    <m/>
    <s v="Canfor Corp"/>
    <s v="CAD"/>
    <n v="15.977"/>
    <n v="15.977"/>
    <n v="3700"/>
    <n v="-59114.9"/>
    <n v="-24.64"/>
    <n v="-4.92"/>
    <n v="0"/>
    <n v="-59144.46"/>
    <n v="1.49756755837293"/>
    <n v="-39493.684054066311"/>
    <d v="2019-02-21T00:00:00"/>
    <s v="Kepler"/>
    <d v="1899-12-30T16:57:51"/>
  </r>
  <r>
    <d v="2019-02-19T00:00:00"/>
    <s v="BUY"/>
    <s v="RFP"/>
    <s v="US76117W1099"/>
    <s v="YES"/>
    <s v="RFP"/>
    <m/>
    <s v="Resolute Forest"/>
    <s v="USD"/>
    <n v="8.5077999999999996"/>
    <n v="8.5077999999999996"/>
    <n v="4200"/>
    <n v="-35732.759999999995"/>
    <n v="-14.9"/>
    <n v="-2.97"/>
    <n v="0"/>
    <n v="-35750.629999999997"/>
    <n v="1.1299999999999999"/>
    <n v="-31637.725663716814"/>
    <d v="2019-02-21T00:00:00"/>
    <s v="Kepler"/>
    <d v="1899-12-30T16:59:18"/>
  </r>
  <r>
    <d v="2019-02-19T00:00:00"/>
    <s v="BUY"/>
    <s v="IFP.TO"/>
    <s v="CA45868C1095"/>
    <s v="YES"/>
    <s v="IFP.TO"/>
    <m/>
    <s v="Interfor Corp"/>
    <s v="CAD"/>
    <n v="16.015799999999999"/>
    <n v="16.015799999999999"/>
    <n v="4200"/>
    <n v="-67266.36"/>
    <n v="-53.81"/>
    <n v="0"/>
    <n v="0"/>
    <n v="-67320.17"/>
    <n v="1.4975675583729275"/>
    <n v="-44953.010382477703"/>
    <d v="2019-02-21T00:00:00"/>
    <s v="Equita"/>
    <d v="1899-12-30T17:00:45"/>
  </r>
  <r>
    <d v="2019-02-19T00:00:00"/>
    <s v="BUY"/>
    <s v="ERMT.PA"/>
    <s v="FR0000131757"/>
    <s v="YES"/>
    <s v="ERMT.PA"/>
    <m/>
    <s v="Eramet SA"/>
    <s v="EUR"/>
    <n v="59.998600000000003"/>
    <n v="59.998600000000003"/>
    <n v="660"/>
    <n v="-39599.076000000001"/>
    <n v="-31.68"/>
    <n v="0"/>
    <n v="-118.8"/>
    <n v="-39749.556000000004"/>
    <n v="1"/>
    <n v="-39749.556000000004"/>
    <d v="2019-02-21T00:00:00"/>
    <s v="Equita"/>
    <d v="1899-12-30T17:02:12"/>
  </r>
  <r>
    <d v="2019-02-19T00:00:00"/>
    <s v="BUY"/>
    <s v="SIEGn.DE"/>
    <s v="DE0007236101"/>
    <s v="YES"/>
    <s v="SIEGn.DE"/>
    <m/>
    <s v="Siemens AG"/>
    <s v="EUR"/>
    <n v="93.77"/>
    <n v="93.77"/>
    <n v="320"/>
    <n v="-30006.399999999998"/>
    <n v="-24.01"/>
    <n v="0"/>
    <n v="0"/>
    <n v="-30030.409999999996"/>
    <n v="1"/>
    <n v="-30030.409999999996"/>
    <d v="2019-02-21T00:00:00"/>
    <s v="Equita"/>
    <d v="1899-12-30T17:03:39"/>
  </r>
  <r>
    <d v="2019-03-19T00:00:00"/>
    <s v="BUY"/>
    <s v="BARC.L"/>
    <s v="GB0031348658"/>
    <s v="YES"/>
    <s v="BARC.L"/>
    <m/>
    <s v="Barclays PLC"/>
    <s v="GBp"/>
    <n v="1.58"/>
    <m/>
    <n v="16600"/>
    <n v="-26228"/>
    <n v="-20.98"/>
    <n v="0"/>
    <n v="-132.13999999999999"/>
    <n v="-26381.119999999999"/>
    <n v="0.86153321201091759"/>
    <n v="-30621.129437858155"/>
    <d v="2019-02-21T00:00:00"/>
    <s v="Equita"/>
    <d v="1899-12-30T17:05:06"/>
  </r>
  <r>
    <d v="2019-02-19T00:00:00"/>
    <s v="BUY"/>
    <s v="CONG.DE"/>
    <s v="DE0005439004"/>
    <s v="YES"/>
    <s v="CONG.DE"/>
    <m/>
    <s v="Continental AG"/>
    <s v="EUR"/>
    <n v="137.94999999999999"/>
    <n v="137.94999999999999"/>
    <n v="215"/>
    <n v="-29659.249999999996"/>
    <n v="-23.73"/>
    <n v="0"/>
    <n v="0"/>
    <n v="-29682.979999999996"/>
    <n v="1"/>
    <n v="-29682.979999999996"/>
    <d v="2019-02-21T00:00:00"/>
    <s v="Equita"/>
    <d v="1899-12-30T17:06:33"/>
  </r>
  <r>
    <d v="2019-02-19T00:00:00"/>
    <s v="BUY"/>
    <s v="RENA.PA"/>
    <s v="FR0000131906"/>
    <s v="YES"/>
    <s v="RENA.PA"/>
    <m/>
    <s v="Renault SA"/>
    <s v="EUR"/>
    <n v="58.95"/>
    <n v="58.95"/>
    <n v="510"/>
    <n v="-30064.5"/>
    <n v="-24.05"/>
    <n v="0"/>
    <n v="-90.19"/>
    <n v="-30178.739999999998"/>
    <n v="1"/>
    <n v="-30178.739999999998"/>
    <d v="2019-02-21T00:00:00"/>
    <s v="Equita"/>
    <d v="1899-12-30T17:08:00"/>
  </r>
  <r>
    <d v="2019-02-19T00:00:00"/>
    <s v="BUY"/>
    <s v="PSHG_p.DE"/>
    <s v="DE000PAH0038"/>
    <s v="YES"/>
    <s v="PSHG_p.DE"/>
    <m/>
    <s v="Porsche Automobil Holding SE"/>
    <s v="EUR"/>
    <n v="55.18"/>
    <n v="55.18"/>
    <n v="540"/>
    <n v="-29797.200000000001"/>
    <n v="-23.84"/>
    <n v="0"/>
    <n v="0"/>
    <n v="-29821.040000000001"/>
    <n v="1"/>
    <n v="-29821.040000000001"/>
    <d v="2019-02-21T00:00:00"/>
    <s v="Equita"/>
    <d v="1899-12-30T17:09:27"/>
  </r>
  <r>
    <d v="2019-02-19T00:00:00"/>
    <s v="BUY"/>
    <s v="VOWG_p.DE"/>
    <s v="DE0007664039"/>
    <s v="YES"/>
    <s v="VOWG_p.DE"/>
    <m/>
    <s v="Volkswagen AG"/>
    <s v="EUR"/>
    <n v="141.80000000000001"/>
    <n v="141.80000000000001"/>
    <n v="280"/>
    <n v="-39704"/>
    <n v="-31.76"/>
    <n v="0"/>
    <n v="0"/>
    <n v="-39735.760000000002"/>
    <n v="1"/>
    <n v="-39735.760000000002"/>
    <d v="2019-02-21T00:00:00"/>
    <s v="Equita"/>
    <d v="1899-12-30T17:10:54"/>
  </r>
  <r>
    <d v="2019-02-19T00:00:00"/>
    <s v="BUY"/>
    <s v="SOLB.BR"/>
    <s v="BE0003470755"/>
    <s v="YES"/>
    <s v="SOLB.BR"/>
    <m/>
    <s v="Solvay SA"/>
    <s v="EUR"/>
    <n v="99.352699999999999"/>
    <n v="99.352699999999999"/>
    <n v="400"/>
    <n v="-39741.08"/>
    <n v="-31.79"/>
    <n v="0"/>
    <n v="0"/>
    <n v="-39772.870000000003"/>
    <n v="1"/>
    <n v="-39772.870000000003"/>
    <d v="2019-02-21T00:00:00"/>
    <s v="Equita"/>
    <d v="1899-12-30T17:11:45"/>
  </r>
  <r>
    <d v="2019-02-19T00:00:00"/>
    <s v="BUY"/>
    <s v="O2Dn.DE"/>
    <s v="DE000A1J5RX9"/>
    <s v="YES"/>
    <s v="O2Dn.DE"/>
    <m/>
    <s v="Telefonica Deutschland Holding AG"/>
    <s v="EUR"/>
    <n v="3.032"/>
    <n v="3.032"/>
    <n v="11000"/>
    <n v="-33352"/>
    <n v="-26.68"/>
    <n v="0"/>
    <n v="0"/>
    <n v="-33378.68"/>
    <n v="1"/>
    <n v="-33378.68"/>
    <d v="2019-02-21T00:00:00"/>
    <s v="Equita"/>
    <d v="1899-12-30T17:13:26"/>
  </r>
  <r>
    <d v="2019-02-19T00:00:00"/>
    <s v="BUY"/>
    <s v="1COV.DE"/>
    <s v="DE0006062144"/>
    <s v="YES"/>
    <s v="1COV.DE"/>
    <m/>
    <s v="Covestro AG"/>
    <s v="EUR"/>
    <n v="50.32"/>
    <n v="50.32"/>
    <n v="500"/>
    <n v="-25160"/>
    <n v="-20.13"/>
    <n v="0"/>
    <n v="0"/>
    <n v="-25180.13"/>
    <n v="1"/>
    <n v="-25180.13"/>
    <d v="2019-02-21T00:00:00"/>
    <s v="Equita"/>
    <d v="1899-12-30T17:14:53"/>
  </r>
  <r>
    <d v="2019-02-20T00:00:00"/>
    <s v="BUY"/>
    <s v="6501.T"/>
    <s v="JP3788600009"/>
    <s v="YES"/>
    <s v="6501.T"/>
    <m/>
    <s v="Hitachi Ltd"/>
    <s v="JPY"/>
    <n v="3500"/>
    <n v="3500"/>
    <n v="1500"/>
    <n v="-5250000"/>
    <n v="-3063"/>
    <n v="0"/>
    <n v="-613"/>
    <n v="-5253676"/>
    <n v="125.64893110562011"/>
    <n v="-41812.341368696369"/>
    <d v="2019-02-25T00:00:00"/>
    <s v="Kepler"/>
    <d v="1899-12-30T08:06:13"/>
  </r>
  <r>
    <d v="2019-02-20T00:00:00"/>
    <s v="BUY"/>
    <s v="5713.T"/>
    <s v="JP3402600005"/>
    <s v="YES"/>
    <s v="5713.T"/>
    <m/>
    <s v="Sumitomo Metal Mining Co Ltd"/>
    <s v="JPY"/>
    <n v="3184"/>
    <n v="3184"/>
    <n v="1400"/>
    <n v="-4457600"/>
    <n v="-2600"/>
    <n v="0"/>
    <n v="-520"/>
    <n v="-4460720"/>
    <n v="125.6489311056197"/>
    <n v="-35501.456007217021"/>
    <d v="2019-02-25T00:00:00"/>
    <s v="Kepler"/>
    <d v="1899-12-30T08:07:54"/>
  </r>
  <r>
    <d v="2019-02-20T00:00:00"/>
    <s v="BUY"/>
    <s v="5301.T"/>
    <s v="JP3560800009"/>
    <s v="YES"/>
    <s v="5301.T"/>
    <m/>
    <s v="Tokai Carbon Co Ltd"/>
    <s v="JPY"/>
    <n v="1530"/>
    <n v="1530"/>
    <n v="2000"/>
    <n v="-3060000"/>
    <n v="-1785"/>
    <n v="0"/>
    <n v="-357"/>
    <n v="-3062142"/>
    <n v="125.64893110561991"/>
    <n v="-24370.617187550746"/>
    <d v="2019-02-25T00:00:00"/>
    <s v="Kepler"/>
    <d v="1899-12-30T08:09:57"/>
  </r>
  <r>
    <d v="2019-02-20T00:00:00"/>
    <s v="BUY"/>
    <s v="4004.T"/>
    <s v="JP3368000000"/>
    <s v="YES"/>
    <s v="4004.T"/>
    <m/>
    <s v="Showa Denko KK"/>
    <s v="JPY"/>
    <n v="3890"/>
    <n v="3890"/>
    <n v="1000"/>
    <n v="-3890000"/>
    <n v="-2269"/>
    <n v="0"/>
    <n v="-454"/>
    <n v="-3892723"/>
    <n v="125.64893110561981"/>
    <n v="-30980.947993324338"/>
    <d v="2019-02-25T00:00:00"/>
    <s v="Kepler"/>
    <d v="1899-12-30T08:12:00"/>
  </r>
  <r>
    <d v="2019-02-20T00:00:00"/>
    <s v="BUY"/>
    <s v="4005.T"/>
    <s v="JP3401400001"/>
    <s v="YES"/>
    <s v="4005.T"/>
    <m/>
    <s v="Sumitomo Chemical Co Ltd"/>
    <s v="JPY"/>
    <n v="563"/>
    <n v="563"/>
    <n v="8900"/>
    <n v="-5010700"/>
    <n v="-2923"/>
    <n v="0"/>
    <n v="-585"/>
    <n v="-5014208"/>
    <n v="125.64893110561997"/>
    <n v="-39906.491490843466"/>
    <d v="2019-02-25T00:00:00"/>
    <s v="Kepler"/>
    <d v="1899-12-30T08:13:27"/>
  </r>
  <r>
    <d v="2019-02-20T00:00:00"/>
    <s v="BUY"/>
    <s v="3407.T"/>
    <s v="JP3111200006"/>
    <s v="YES"/>
    <s v="3407.T"/>
    <m/>
    <s v="Asahi Kasei Corp"/>
    <s v="JPY"/>
    <n v="1233.5"/>
    <n v="1233.5"/>
    <n v="4200"/>
    <n v="-5180700"/>
    <n v="-3022"/>
    <n v="0"/>
    <n v="-604"/>
    <n v="-5184326"/>
    <n v="125.64893110561988"/>
    <n v="-41260.406709246738"/>
    <d v="2019-02-25T00:00:00"/>
    <s v="Kepler"/>
    <d v="1899-12-30T08:14:59"/>
  </r>
  <r>
    <d v="2019-02-20T00:00:00"/>
    <s v="BUY"/>
    <s v="4188.T"/>
    <s v="JP3897700005"/>
    <s v="YES"/>
    <s v="4188.T"/>
    <m/>
    <s v="Mitsubishi Chemical Holdings Corp"/>
    <s v="JPY"/>
    <n v="830"/>
    <n v="830"/>
    <n v="7600"/>
    <n v="-6308000"/>
    <n v="-3680"/>
    <n v="0"/>
    <n v="-736"/>
    <n v="-6312416"/>
    <n v="125.64893110561992"/>
    <n v="-50238.517307352275"/>
    <d v="2019-02-25T00:00:00"/>
    <s v="Kepler"/>
    <d v="1899-12-30T08:17:02"/>
  </r>
  <r>
    <d v="2019-02-20T00:00:00"/>
    <s v="BUY"/>
    <s v="9433.T"/>
    <s v="JP3496400007"/>
    <s v="YES"/>
    <s v="9433.T"/>
    <m/>
    <s v="KDDI Corp"/>
    <s v="JPY"/>
    <n v="2719"/>
    <n v="2719"/>
    <n v="1400"/>
    <n v="-3806600"/>
    <n v="-2221"/>
    <n v="0"/>
    <n v="-444"/>
    <n v="-3809265"/>
    <n v="125.64893110561971"/>
    <n v="-30316.732235453364"/>
    <d v="2019-02-25T00:00:00"/>
    <s v="Kepler"/>
    <d v="1899-12-30T17:39:28"/>
  </r>
  <r>
    <d v="2019-02-20T00:00:00"/>
    <s v="BUY"/>
    <s v="5302.T"/>
    <s v="JP3690400001"/>
    <s v="YES"/>
    <s v="5302.T"/>
    <m/>
    <s v="Nippon Carbon Co Ltd"/>
    <s v="JPY"/>
    <n v="5290"/>
    <n v="5290"/>
    <n v="1000"/>
    <n v="-5290000"/>
    <n v="-3086"/>
    <n v="0"/>
    <n v="-617"/>
    <n v="-5293703"/>
    <n v="125.64893110562001"/>
    <n v="-42130.903569327886"/>
    <d v="2019-02-25T00:00:00"/>
    <s v="Kepler"/>
    <d v="1899-12-30T17:40:45"/>
  </r>
  <r>
    <d v="2019-02-20T00:00:00"/>
    <s v="BUY"/>
    <s v=""/>
    <s v="JP3785000005"/>
    <m/>
    <s v="4217.T"/>
    <m/>
    <s v="Hitachi Chemical Co Ltd"/>
    <s v="JPY"/>
    <n v="2062"/>
    <n v="2062"/>
    <n v="2500"/>
    <n v="-5155000"/>
    <n v="-3008"/>
    <n v="0"/>
    <n v="-602"/>
    <n v="-5158610"/>
    <n v="125.64893110561975"/>
    <n v="-41055.74121966627"/>
    <d v="2019-02-25T00:00:00"/>
    <s v="Kepler"/>
    <d v="1899-12-30T17:42:06"/>
  </r>
  <r>
    <d v="2019-02-20T00:00:00"/>
    <s v="BUY"/>
    <s v="VLOF.PA"/>
    <s v="FR0013176526"/>
    <s v="YES"/>
    <s v="VLOF.PA"/>
    <m/>
    <s v="Valeo SA"/>
    <s v="EUR"/>
    <n v="27.27"/>
    <n v="27.27"/>
    <n v="1700"/>
    <n v="-46359"/>
    <n v="-37.090000000000003"/>
    <n v="0"/>
    <n v="-139.08000000000001"/>
    <n v="-46535.17"/>
    <n v="1"/>
    <n v="-46535.17"/>
    <d v="2019-02-22T00:00:00"/>
    <s v="Equita"/>
    <d v="1899-12-30T17:43:52"/>
  </r>
  <r>
    <d v="2019-02-20T00:00:00"/>
    <s v="BUY"/>
    <s v="VOD.L"/>
    <s v="GB00BH4HKS39"/>
    <s v="YES"/>
    <s v="VOD.L"/>
    <m/>
    <s v="Vodafone Group PLC"/>
    <s v="GBp"/>
    <n v="1.4117999999999999"/>
    <n v="1.4117999999999999E-2"/>
    <n v="22000"/>
    <n v="-31059.599999999999"/>
    <n v="-24.85"/>
    <n v="0"/>
    <n v="-156.30000000000001"/>
    <n v="-31240.749999999996"/>
    <n v="0.86864954319784293"/>
    <n v="-35964.734275908813"/>
    <d v="2019-02-22T00:00:00"/>
    <s v="Equita"/>
    <d v="1899-12-30T17:45:30"/>
  </r>
  <r>
    <d v="2019-02-20T00:00:00"/>
    <s v="BUY"/>
    <s v="ITV.L"/>
    <s v="GB0033986497"/>
    <s v="YES"/>
    <s v="ITV.L"/>
    <m/>
    <s v="ITV PLC"/>
    <s v="GBp"/>
    <n v="1.3205"/>
    <n v="1.3205E-2"/>
    <n v="22000"/>
    <n v="-29051"/>
    <n v="-23.24"/>
    <n v="0"/>
    <n v="-146.26"/>
    <n v="-29220.5"/>
    <n v="0.86864954319783894"/>
    <n v="-33638.997716418409"/>
    <d v="2019-02-22T00:00:00"/>
    <s v="Equita"/>
    <d v="1899-12-30T17:47:16"/>
  </r>
  <r>
    <d v="2019-02-20T00:00:00"/>
    <s v="BUY"/>
    <s v="PSMGn.DE"/>
    <s v="DE000PSM7770"/>
    <s v="YES"/>
    <s v="PSMGn.DE"/>
    <m/>
    <s v="Prosiebensat 1 Media SE"/>
    <s v="EUR"/>
    <n v="15.315"/>
    <n v="15.315"/>
    <n v="2200"/>
    <n v="-33693"/>
    <n v="-26.95"/>
    <n v="0"/>
    <n v="0"/>
    <n v="-33719.949999999997"/>
    <n v="1"/>
    <n v="-33719.949999999997"/>
    <d v="2019-02-22T00:00:00"/>
    <s v="Equita"/>
    <d v="1899-12-30T17:49:17"/>
  </r>
  <r>
    <d v="2019-02-20T00:00:00"/>
    <s v="BUY"/>
    <s v="TL5.MC"/>
    <s v="ES0152503035"/>
    <s v="YES"/>
    <s v="TL5.MC"/>
    <m/>
    <s v="Mediaset Espana Comunicacion SA"/>
    <s v="EUR"/>
    <n v="6.4774000000000003"/>
    <n v="6.4774000000000003"/>
    <n v="4200"/>
    <n v="-27205.08"/>
    <n v="-21.76"/>
    <n v="0"/>
    <n v="0"/>
    <n v="-27226.84"/>
    <n v="1"/>
    <n v="-27226.84"/>
    <d v="2019-02-22T00:00:00"/>
    <s v="Equita"/>
    <d v="1899-12-30T17:50:38"/>
  </r>
  <r>
    <d v="2019-02-20T00:00:00"/>
    <s v="BUY"/>
    <s v="MMTP.PA"/>
    <s v="FR0000053225"/>
    <s v="YES"/>
    <s v="MMTP.PA"/>
    <m/>
    <s v="Metropole Television SA"/>
    <s v="EUR"/>
    <n v="15.78"/>
    <n v="15.78"/>
    <n v="2200"/>
    <n v="-34716"/>
    <n v="-27.77"/>
    <n v="0"/>
    <n v="-104.15"/>
    <n v="-34847.919999999998"/>
    <n v="1"/>
    <n v="-34847.919999999998"/>
    <d v="2019-02-22T00:00:00"/>
    <s v="Equita"/>
    <d v="1899-12-30T17:51:55"/>
  </r>
  <r>
    <d v="2019-02-20T00:00:00"/>
    <s v="BUY"/>
    <s v="TFFP.PA"/>
    <s v="FR0000054900"/>
    <s v="YES"/>
    <s v="TFFP.PA"/>
    <m/>
    <s v="Television Francaise 1 SA"/>
    <s v="EUR"/>
    <n v="8.0189000000000004"/>
    <n v="8.0189000000000004"/>
    <n v="2200"/>
    <n v="-17641.580000000002"/>
    <n v="-14.11"/>
    <n v="0"/>
    <n v="-52.92"/>
    <n v="-17708.61"/>
    <n v="1"/>
    <n v="-17708.61"/>
    <d v="2019-02-22T00:00:00"/>
    <s v="Equita"/>
    <d v="1899-12-30T17:53:33"/>
  </r>
  <r>
    <d v="2019-02-20T00:00:00"/>
    <s v="BUY"/>
    <s v="STERV.HE"/>
    <s v="FI0009005961"/>
    <s v="YES"/>
    <s v="STERV.HE"/>
    <m/>
    <s v="Stora Enso Oyj"/>
    <s v="EUR"/>
    <n v="12.007400000000001"/>
    <n v="12.007400000000001"/>
    <n v="3000"/>
    <n v="-36022.200000000004"/>
    <n v="-28.82"/>
    <n v="0"/>
    <n v="0"/>
    <n v="-36051.020000000004"/>
    <n v="1"/>
    <n v="-36051.020000000004"/>
    <d v="2019-02-22T00:00:00"/>
    <s v="Equita"/>
    <d v="1899-12-30T16:21:56"/>
  </r>
  <r>
    <d v="2019-02-20T00:00:00"/>
    <s v="BUY"/>
    <s v="GCI"/>
    <s v="US36473H1041"/>
    <s v="YES"/>
    <s v="GCI"/>
    <m/>
    <s v="Gannett Co Inc"/>
    <s v="USD"/>
    <n v="10.944100000000001"/>
    <n v="10.944100000000001"/>
    <n v="2200"/>
    <n v="-24077.02"/>
    <n v="-10.039999999999999"/>
    <n v="0"/>
    <n v="-2"/>
    <n v="-24089.06"/>
    <n v="1.1335041146199363"/>
    <n v="-21251.850513199999"/>
    <d v="2019-02-22T00:00:00"/>
    <s v="Kepler"/>
    <d v="1899-12-30T16:23:57"/>
  </r>
  <r>
    <d v="2019-02-20T00:00:00"/>
    <s v="BUY"/>
    <s v="GME"/>
    <s v="US36467W1099"/>
    <s v="YES"/>
    <s v="GME"/>
    <m/>
    <s v="GameStop Corp"/>
    <s v="USD"/>
    <n v="11.241300000000001"/>
    <n v="11.241300000000001"/>
    <n v="4200"/>
    <n v="-47213.460000000006"/>
    <n v="-19.68"/>
    <n v="0"/>
    <n v="-3.93"/>
    <n v="-47237.070000000007"/>
    <n v="1.1335041146199358"/>
    <n v="-41673.487895400016"/>
    <d v="2019-02-22T00:00:00"/>
    <s v="Kepler"/>
    <d v="1899-12-30T16:25:18"/>
  </r>
  <r>
    <d v="2019-02-20T00:00:00"/>
    <s v="BUY"/>
    <s v="BBBY.O"/>
    <s v="US0758961009"/>
    <s v="YES"/>
    <s v="BBBY.O"/>
    <m/>
    <s v="Bed Bath &amp; Beyond Inc"/>
    <s v="USD"/>
    <n v="16.850000000000001"/>
    <n v="16.850000000000001"/>
    <n v="1700"/>
    <n v="-28645.000000000004"/>
    <n v="-11.94"/>
    <n v="0"/>
    <n v="-2.38"/>
    <n v="-28659.320000000003"/>
    <n v="1.1335041146199361"/>
    <n v="-25283.825290400004"/>
    <d v="2019-02-22T00:00:00"/>
    <s v="Kepler"/>
    <d v="1899-12-30T16:26:35"/>
  </r>
  <r>
    <d v="2019-02-20T00:00:00"/>
    <s v="BUY"/>
    <s v="ODP.O"/>
    <s v="US6762201068"/>
    <s v="YES"/>
    <s v="ODP.O"/>
    <m/>
    <s v="Office Depot Inc"/>
    <s v="USD"/>
    <n v="3.31"/>
    <n v="3.31"/>
    <n v="6700"/>
    <n v="-22177"/>
    <n v="-9.25"/>
    <n v="0"/>
    <n v="-1.84"/>
    <n v="-22188.09"/>
    <n v="1.1335041146199361"/>
    <n v="-19574.776759799999"/>
    <d v="2019-02-22T00:00:00"/>
    <s v="Kepler"/>
    <d v="1899-12-30T16:28:13"/>
  </r>
  <r>
    <d v="2019-02-20T00:00:00"/>
    <s v="BUY"/>
    <s v="M"/>
    <s v="US55616P1049"/>
    <s v="YES"/>
    <s v="M"/>
    <m/>
    <s v="Macy's Inc"/>
    <s v="USD"/>
    <n v="25.16"/>
    <n v="25.16"/>
    <n v="1700"/>
    <n v="-42772"/>
    <n v="-17.829999999999998"/>
    <n v="0"/>
    <n v="-3.56"/>
    <n v="-42793.39"/>
    <n v="1.1335041146199361"/>
    <n v="-37753.184525800003"/>
    <d v="2019-02-22T00:00:00"/>
    <s v="Kepler"/>
    <d v="1899-12-30T16:29:59"/>
  </r>
  <r>
    <d v="2019-02-20T00:00:00"/>
    <s v="BUY"/>
    <s v="KT.N"/>
    <s v="US48268K1016"/>
    <s v="YES"/>
    <s v="KT.N"/>
    <m/>
    <s v="KT Corp"/>
    <s v="USD"/>
    <n v="13.5061"/>
    <n v="13.5061"/>
    <n v="6700"/>
    <n v="-90490.87"/>
    <n v="-37.71"/>
    <n v="0"/>
    <n v="-7.54"/>
    <n v="-90536.12"/>
    <n v="1.1335041146199361"/>
    <n v="-79872.775786400001"/>
    <d v="2019-02-22T00:00:00"/>
    <s v="Kepler"/>
    <d v="1899-12-30T16:32:00"/>
  </r>
  <r>
    <d v="2019-02-20T00:00:00"/>
    <s v="BUY"/>
    <s v="SKM"/>
    <s v="US78440P1084"/>
    <s v="YES"/>
    <s v="SKM"/>
    <m/>
    <s v="SK Telecom Co Ltd"/>
    <s v="USD"/>
    <n v="25.5564"/>
    <n v="25.5564"/>
    <n v="2200"/>
    <n v="-56224.08"/>
    <n v="-23.43"/>
    <n v="0"/>
    <n v="-4.68"/>
    <n v="-56252.19"/>
    <n v="1.1335041146199361"/>
    <n v="-49626.807061800006"/>
    <d v="2019-02-22T00:00:00"/>
    <s v="Kepler"/>
    <d v="1899-12-30T16:33:21"/>
  </r>
  <r>
    <d v="2019-02-20T00:00:00"/>
    <s v="BUY"/>
    <s v="VEON.O"/>
    <s v="US91822M1062"/>
    <s v="YES"/>
    <s v="VEON.O"/>
    <m/>
    <s v="VEON Ltd"/>
    <s v="USD"/>
    <n v="2.5097"/>
    <n v="2.5097"/>
    <n v="22000"/>
    <n v="-55213.4"/>
    <n v="-23.01"/>
    <n v="0"/>
    <n v="-4.5999999999999996"/>
    <n v="-55241.01"/>
    <n v="1.1335041146199361"/>
    <n v="-48734.723842200001"/>
    <d v="2019-02-22T00:00:00"/>
    <s v="Kepler"/>
    <d v="1899-12-30T16:34:38"/>
  </r>
  <r>
    <d v="2019-02-20T00:00:00"/>
    <s v="BUY"/>
    <s v="AA"/>
    <s v="US0138721065"/>
    <s v="YES"/>
    <s v="AA"/>
    <m/>
    <s v="Alcoa Corp"/>
    <s v="USD"/>
    <n v="29.35"/>
    <n v="29.35"/>
    <n v="1700"/>
    <n v="-49895"/>
    <n v="-20.8"/>
    <n v="0"/>
    <n v="-4.1500000000000004"/>
    <n v="-49919.950000000004"/>
    <n v="1.1335041146199361"/>
    <n v="-44040.378289000007"/>
    <d v="2019-02-22T00:00:00"/>
    <s v="Kepler"/>
    <d v="1899-12-30T16:36:16"/>
  </r>
  <r>
    <d v="2019-02-20T00:00:00"/>
    <s v="BUY"/>
    <s v="ARNC.K"/>
    <s v="US03965L1008"/>
    <s v="YES"/>
    <s v="ARNC.K"/>
    <m/>
    <s v="Arconic Inc"/>
    <s v="USD"/>
    <n v="18.293299999999999"/>
    <n v="18.293299999999999"/>
    <n v="4200"/>
    <n v="-76831.86"/>
    <n v="-32.020000000000003"/>
    <n v="0"/>
    <n v="-6.4"/>
    <n v="-76870.28"/>
    <n v="1.1335041146199361"/>
    <n v="-67816.498421600001"/>
    <d v="2019-02-22T00:00:00"/>
    <s v="Kepler"/>
    <d v="1899-12-30T16:38:02"/>
  </r>
  <r>
    <d v="2019-02-20T00:00:00"/>
    <s v="BUY"/>
    <s v="KNL"/>
    <s v="US4989042001"/>
    <s v="YES"/>
    <s v="KNL"/>
    <m/>
    <s v="Knoll Inc"/>
    <s v="USD"/>
    <n v="21.422499999999999"/>
    <n v="21.422499999999999"/>
    <n v="2200"/>
    <n v="-47129.5"/>
    <n v="-19.64"/>
    <n v="0"/>
    <n v="-3.92"/>
    <n v="-47153.06"/>
    <n v="1.1335041146199361"/>
    <n v="-41599.372593200002"/>
    <d v="2019-02-22T00:00:00"/>
    <s v="Kepler"/>
    <d v="1899-12-30T16:40:03"/>
  </r>
  <r>
    <d v="2019-02-20T00:00:00"/>
    <s v="BUY"/>
    <s v="PBI"/>
    <s v="US7244791007"/>
    <s v="YES"/>
    <s v="PBI"/>
    <m/>
    <s v="Pitney Bowes Inc"/>
    <s v="USD"/>
    <n v="7.0899000000000001"/>
    <n v="7.0899000000000001"/>
    <n v="3200"/>
    <n v="-22687.68"/>
    <n v="-9.4499999999999993"/>
    <n v="0"/>
    <n v="-1.89"/>
    <n v="-22699.02"/>
    <n v="1.1335041146199361"/>
    <n v="-20025.5294244"/>
    <d v="2019-02-22T00:00:00"/>
    <s v="Kepler"/>
    <d v="1899-12-30T17:02:03"/>
  </r>
  <r>
    <d v="2019-02-20T00:00:00"/>
    <s v="BUY"/>
    <s v="BMWG.DE"/>
    <s v="DE0005190003"/>
    <s v="YES"/>
    <s v="BMWG.DE"/>
    <m/>
    <s v="Bayerische Motoren Werke AG"/>
    <s v="EUR"/>
    <n v="72.510000000000005"/>
    <n v="72.510000000000005"/>
    <n v="345"/>
    <n v="-25015.95"/>
    <n v="-20.010000000000002"/>
    <n v="0"/>
    <n v="0"/>
    <n v="-25035.96"/>
    <n v="1"/>
    <n v="-25035.96"/>
    <d v="2019-02-22T00:00:00"/>
    <s v="Kepler"/>
    <d v="1899-12-30T17:03:36"/>
  </r>
  <r>
    <d v="2019-02-20T00:00:00"/>
    <s v="BUY"/>
    <s v="DAIGn.DE"/>
    <s v="DE0007100000"/>
    <s v="YES"/>
    <s v="DAIGn.DE"/>
    <m/>
    <s v="Daimler AG"/>
    <s v="EUR"/>
    <n v="51.76"/>
    <n v="51.76"/>
    <n v="500"/>
    <n v="-25880"/>
    <n v="-20.7"/>
    <n v="0"/>
    <n v="0"/>
    <n v="-25900.7"/>
    <n v="1"/>
    <n v="-25900.7"/>
    <d v="2019-02-22T00:00:00"/>
    <s v="Kepler"/>
    <d v="1899-12-30T13:39:16"/>
  </r>
  <r>
    <d v="2019-02-21T00:00:00"/>
    <s v="BUY"/>
    <s v="ALELIO.ST"/>
    <s v="SE0008348072"/>
    <s v="YES"/>
    <s v="ALELIO.ST"/>
    <m/>
    <s v="Alelion Energy Systems AB"/>
    <s v="SEK"/>
    <n v="3.6497000000000002"/>
    <n v="3.6497000000000002"/>
    <n v="30000"/>
    <n v="-109491"/>
    <n v="-87.59"/>
    <n v="0"/>
    <n v="0"/>
    <n v="-109578.59"/>
    <n v="10.564598399492175"/>
    <n v="-10372.243776466437"/>
    <d v="2019-02-23T00:00:00"/>
    <s v="Equita"/>
    <d v="1899-12-30T13:40:33"/>
  </r>
  <r>
    <d v="2019-02-21T00:00:00"/>
    <s v="BUY"/>
    <s v="GEDI.MI"/>
    <s v="IT0001398541"/>
    <s v="YES"/>
    <s v="GEDI.MI"/>
    <m/>
    <s v="GEDI Gruppo Editoriale SpA"/>
    <s v="EUR"/>
    <n v="0.36380000000000001"/>
    <n v="0.36380000000000001"/>
    <n v="67000"/>
    <n v="-24374.600000000002"/>
    <n v="-19.5"/>
    <n v="0"/>
    <n v="0"/>
    <n v="-24394.100000000002"/>
    <n v="1"/>
    <n v="-24394.100000000002"/>
    <d v="2019-02-23T00:00:00"/>
    <s v="Equita"/>
    <d v="1899-12-30T13:39:16"/>
  </r>
  <r>
    <d v="2019-02-21T00:00:00"/>
    <s v="BUY"/>
    <s v="RCH.L"/>
    <s v="GB0009039941"/>
    <s v="YES"/>
    <s v="RCH.L"/>
    <m/>
    <s v="Reach PLC"/>
    <s v="GBp"/>
    <n v="0.59340000000000004"/>
    <n v="5.934E-3"/>
    <n v="22000"/>
    <n v="-13054.800000000001"/>
    <n v="-10.44"/>
    <n v="-66.27"/>
    <n v="0"/>
    <n v="-13131.510000000002"/>
    <n v="0.86890990745781216"/>
    <n v="-15112.625471631616"/>
    <d v="2019-02-23T00:00:00"/>
    <s v="Equita"/>
    <d v="1899-12-30T13:40:33"/>
  </r>
  <r>
    <d v="2019-02-21T00:00:00"/>
    <s v="BUY"/>
    <s v="INME.I"/>
    <s v="IE00B59HWB19"/>
    <s v="YES"/>
    <s v="INME.I"/>
    <m/>
    <s v="Independent News &amp; Media PLC"/>
    <s v="EUR"/>
    <n v="0.69"/>
    <n v="0.69"/>
    <n v="220000"/>
    <n v="-151800"/>
    <n v="-12.14"/>
    <n v="-151.80000000000001"/>
    <n v="0"/>
    <n v="-151963.94"/>
    <n v="1"/>
    <n v="-151963.94"/>
    <d v="2019-02-23T00:00:00"/>
    <s v="Equita"/>
    <d v="1899-12-30T17:06:23"/>
  </r>
  <r>
    <d v="2019-02-21T00:00:00"/>
    <s v="BUY"/>
    <s v="DPWGn.DE"/>
    <s v="DE0005552004"/>
    <s v="YES"/>
    <s v="DPWGn.DE"/>
    <m/>
    <s v="Deutsche Post AG"/>
    <s v="EUR"/>
    <n v="26.73"/>
    <n v="26.73"/>
    <n v="1700"/>
    <n v="-45441"/>
    <n v="-36.35"/>
    <n v="0"/>
    <n v="0"/>
    <n v="-45477.35"/>
    <n v="1"/>
    <n v="-45477.35"/>
    <d v="2019-02-23T00:00:00"/>
    <s v="Equita"/>
    <d v="1899-12-30T17:22:13"/>
  </r>
  <r>
    <d v="2019-02-21T00:00:00"/>
    <s v="BUY"/>
    <s v="DEB.L"/>
    <s v="GB00B126KH97"/>
    <s v="YES"/>
    <s v="DEB.L"/>
    <m/>
    <s v="Debenhams PLC"/>
    <s v="GBp"/>
    <n v="3.27E-2"/>
    <n v="3.2699999999999998E-4"/>
    <n v="300000"/>
    <n v="-9810"/>
    <n v="-7.85"/>
    <n v="-49.05"/>
    <n v="0"/>
    <n v="-9866.9"/>
    <n v="0.86890990745780561"/>
    <n v="-11355.492572144642"/>
    <d v="2019-02-23T00:00:00"/>
    <s v="Equita"/>
    <d v="1899-12-30T17:24:14"/>
  </r>
  <r>
    <d v="2019-02-21T00:00:00"/>
    <s v="BUY"/>
    <s v="VRKP.PA"/>
    <s v="FR0000062796"/>
    <s v="YES"/>
    <s v="VRKP.PA"/>
    <m/>
    <s v="Vranken Pommery Monopole SA"/>
    <s v="EUR"/>
    <n v="23.917400000000001"/>
    <n v="23.917400000000001"/>
    <n v="690"/>
    <n v="-16503.006000000001"/>
    <n v="-13.2"/>
    <n v="0"/>
    <n v="0"/>
    <n v="-16516.206000000002"/>
    <n v="1"/>
    <n v="-16516.206000000002"/>
    <d v="2019-02-23T00:00:00"/>
    <s v="Equita"/>
    <d v="1899-12-30T17:25:31"/>
  </r>
  <r>
    <d v="2019-02-21T00:00:00"/>
    <s v="BUY"/>
    <s v="LAN.PA"/>
    <s v="FR0004027068"/>
    <s v="YES"/>
    <s v="LAN.PA"/>
    <m/>
    <s v="Lanson BCC SA"/>
    <s v="EUR"/>
    <n v="28.7836"/>
    <n v="28.7836"/>
    <n v="670"/>
    <n v="-19285.011999999999"/>
    <n v="-15.43"/>
    <n v="0"/>
    <n v="0"/>
    <n v="-19300.441999999999"/>
    <n v="1"/>
    <n v="-19300.441999999999"/>
    <d v="2019-02-23T00:00:00"/>
    <s v="Equita"/>
    <d v="1899-12-30T17:27:32"/>
  </r>
  <r>
    <d v="2019-02-21T00:00:00"/>
    <s v="BUY"/>
    <s v="LPER.PA"/>
    <s v="FR0006864484"/>
    <s v="YES"/>
    <s v="LPER.PA"/>
    <m/>
    <s v="Laurent Perrier SA"/>
    <s v="EUR"/>
    <n v="93.4"/>
    <n v="93.4"/>
    <n v="110"/>
    <n v="-10274"/>
    <n v="-8.2200000000000006"/>
    <n v="0"/>
    <n v="0"/>
    <n v="-10282.219999999999"/>
    <n v="1"/>
    <n v="-10282.219999999999"/>
    <d v="2019-02-23T00:00:00"/>
    <s v="Equita"/>
    <d v="1899-12-30T17:29:18"/>
  </r>
  <r>
    <d v="2019-02-21T00:00:00"/>
    <s v="BUY"/>
    <s v="MASIA.MI"/>
    <s v="IT0004125677"/>
    <s v="YES"/>
    <s v="MASIA.MI"/>
    <m/>
    <s v="Masi Agricola SpA"/>
    <s v="EUR"/>
    <n v="3.8012999999999999"/>
    <n v="3.8012999999999999"/>
    <n v="4000"/>
    <n v="-15205.199999999999"/>
    <n v="-12.16"/>
    <n v="0"/>
    <n v="0"/>
    <n v="-15217.359999999999"/>
    <n v="1"/>
    <n v="-15217.359999999999"/>
    <d v="2019-02-23T00:00:00"/>
    <s v="Equita"/>
    <d v="1899-12-30T17:31:19"/>
  </r>
  <r>
    <d v="2019-02-21T00:00:00"/>
    <s v="BUY"/>
    <s v="BNAB.BR"/>
    <s v="BE0003008019"/>
    <s v="YES"/>
    <s v="BNAB.BR"/>
    <m/>
    <s v="National Bank of Belgium"/>
    <s v="EUR"/>
    <n v="2447.0587999999998"/>
    <n v="2447.0587999999998"/>
    <n v="17"/>
    <n v="-41599.999599999996"/>
    <n v="-33.28"/>
    <n v="0"/>
    <n v="0"/>
    <n v="-41633.279599999994"/>
    <n v="1"/>
    <n v="-41633.279599999994"/>
    <d v="2019-02-23T00:00:00"/>
    <s v="Equita"/>
    <d v="1899-12-30T17:33:20"/>
  </r>
  <r>
    <d v="2019-02-21T00:00:00"/>
    <s v="BUY"/>
    <s v="SGCG.DE"/>
    <s v="DE0007235301"/>
    <s v="YES"/>
    <s v="SGCG.DE"/>
    <m/>
    <s v="SGL Carbon SE"/>
    <s v="EUR"/>
    <n v="7.4358000000000004"/>
    <n v="7.4358000000000004"/>
    <n v="3500"/>
    <n v="-26025.300000000003"/>
    <n v="-20.82"/>
    <n v="0"/>
    <n v="0"/>
    <n v="-26046.120000000003"/>
    <n v="1"/>
    <n v="-26046.120000000003"/>
    <d v="2019-02-23T00:00:00"/>
    <s v="Equita"/>
    <d v="1899-12-30T17:34:58"/>
  </r>
  <r>
    <d v="2019-02-21T00:00:00"/>
    <s v="BUY"/>
    <s v="CECG.DE"/>
    <s v="DE0007257503"/>
    <s v="YES"/>
    <s v="CECG.DE"/>
    <m/>
    <s v="Ceconomy AG"/>
    <s v="EUR"/>
    <n v="5.0316999999999998"/>
    <n v="5.0316999999999998"/>
    <n v="6900"/>
    <n v="-34718.729999999996"/>
    <n v="-27.77"/>
    <n v="0"/>
    <n v="0"/>
    <n v="-34746.499999999993"/>
    <n v="1"/>
    <n v="-34746.499999999993"/>
    <d v="2019-02-23T00:00:00"/>
    <s v="Equita"/>
    <d v="1899-12-30T08:34:21"/>
  </r>
  <r>
    <d v="2019-02-21T00:00:00"/>
    <s v="BUY"/>
    <s v="GLEN.L"/>
    <s v="JE00B4T3BW64"/>
    <s v="YES"/>
    <s v="GLEN.L"/>
    <m/>
    <s v="Glencore PLC"/>
    <s v="GBp"/>
    <n v="3.0282"/>
    <n v="3.0282E-2"/>
    <n v="11000"/>
    <n v="-33310.199999999997"/>
    <n v="-26.65"/>
    <n v="-1"/>
    <n v="0"/>
    <n v="-33337.85"/>
    <n v="0.86890990745781094"/>
    <n v="-38367.441450330894"/>
    <d v="2019-02-23T00:00:00"/>
    <s v="Equita"/>
    <d v="1899-12-30T08:35:59"/>
  </r>
  <r>
    <d v="2019-02-21T00:00:00"/>
    <s v="BUY"/>
    <s v="T"/>
    <s v="US00206R1023"/>
    <s v="YES"/>
    <s v="T"/>
    <m/>
    <s v="AT&amp;T Inc"/>
    <s v="USD"/>
    <n v="31.039899999999999"/>
    <n v="31.039899999999999"/>
    <n v="1700"/>
    <n v="-52767.83"/>
    <n v="-21.99"/>
    <n v="0"/>
    <n v="-4.3899999999999997"/>
    <n v="-52794.21"/>
    <n v="1.134095445472691"/>
    <n v="-46551.8226096"/>
    <d v="2019-02-23T00:00:00"/>
    <s v="Kepler"/>
    <d v="1899-12-30T08:37:45"/>
  </r>
  <r>
    <d v="2019-02-22T00:00:00"/>
    <s v="BUY"/>
    <s v="ERMT.PA"/>
    <s v="FR0000131757"/>
    <s v="YES"/>
    <s v="ERMT.PA"/>
    <m/>
    <s v="Eramet SA"/>
    <s v="EUR"/>
    <n v="48.2759"/>
    <m/>
    <n v="420"/>
    <n v="-20275.878000000001"/>
    <n v="-16.22"/>
    <n v="0"/>
    <n v="-60.83"/>
    <n v="-20352.928000000004"/>
    <n v="1"/>
    <n v="-20352.928000000004"/>
    <d v="2019-02-26T00:00:00"/>
    <s v="Equita"/>
    <d v="1899-12-30T08:39:46"/>
  </r>
  <r>
    <d v="2019-02-22T00:00:00"/>
    <s v="BUY"/>
    <s v="ERMT.PA"/>
    <s v="FR0000131757"/>
    <s v="YES"/>
    <s v="ERMT.PA"/>
    <m/>
    <s v="Eramet SA"/>
    <s v="EUR"/>
    <n v="49.666200000000003"/>
    <m/>
    <n v="420"/>
    <n v="-20859.804"/>
    <n v="-16.690000000000001"/>
    <n v="0"/>
    <n v="-62.58"/>
    <n v="-20939.074000000001"/>
    <n v="1"/>
    <n v="-20939.074000000001"/>
    <d v="2019-02-26T00:00:00"/>
    <s v="Equita"/>
    <d v="1899-12-30T08:41:03"/>
  </r>
  <r>
    <d v="2019-02-22T00:00:00"/>
    <s v="BUY"/>
    <s v="6674.T"/>
    <s v="JP3385820000"/>
    <s v="YES"/>
    <s v="6674.T"/>
    <m/>
    <s v="GS Yuasa Corp"/>
    <s v="JPY"/>
    <n v="2292.9090999999999"/>
    <n v="2292.9090999999999"/>
    <n v="2200"/>
    <n v="-5044400.0199999996"/>
    <n v="-4036"/>
    <n v="0"/>
    <n v="0"/>
    <n v="-5048436.0199999996"/>
    <n v="125.52168390491744"/>
    <n v="-40219.632679754242"/>
    <d v="2019-02-27T00:00:00"/>
    <s v="Equita"/>
    <d v="1899-12-30T08:43:04"/>
  </r>
  <r>
    <d v="2019-02-22T00:00:00"/>
    <s v="BUY"/>
    <s v="4080.T"/>
    <s v="JP3468810001"/>
    <s v="YES"/>
    <s v="4080.T"/>
    <m/>
    <s v="Tanaka Chemical Corp"/>
    <s v="JPY"/>
    <n v="967.33330000000001"/>
    <n v="967.33330000000001"/>
    <n v="4200"/>
    <n v="-4062799.86"/>
    <n v="-3250"/>
    <n v="0"/>
    <n v="0"/>
    <n v="-4066049.86"/>
    <n v="125.52168390491738"/>
    <n v="-32393.206763223723"/>
    <d v="2019-02-27T00:00:00"/>
    <s v="Equita"/>
    <d v="1899-12-30T08:44:50"/>
  </r>
  <r>
    <d v="2019-02-22T00:00:00"/>
    <s v="BUY"/>
    <s v="4092.T"/>
    <s v="JP3691600005"/>
    <s v="YES"/>
    <s v="4092.T"/>
    <m/>
    <s v="Nippon Chemical Industrial Co Ltd"/>
    <s v="JPY"/>
    <n v="2374.7199999999998"/>
    <n v="2374.7199999999998"/>
    <n v="2500"/>
    <n v="-5936799.9999999991"/>
    <n v="-4749"/>
    <n v="0"/>
    <n v="0"/>
    <n v="-5941548.9999999991"/>
    <n v="125.52168390491759"/>
    <n v="-47334.84140079502"/>
    <d v="2019-02-27T00:00:00"/>
    <s v="Equita"/>
    <d v="1899-12-30T08:46:51"/>
  </r>
  <r>
    <d v="2019-02-22T00:00:00"/>
    <s v="BUY"/>
    <s v="4100.T"/>
    <s v="JP3627400009"/>
    <s v="YES"/>
    <s v="4100.T"/>
    <m/>
    <s v="Toda Kogyo Corp"/>
    <s v="JPY"/>
    <n v="2204.3332999999998"/>
    <n v="2204.3332999999998"/>
    <n v="2100"/>
    <n v="-4629099.93"/>
    <n v="-3703"/>
    <n v="0"/>
    <n v="0"/>
    <n v="-4632802.93"/>
    <n v="125.52168390491777"/>
    <n v="-36908.387346917138"/>
    <d v="2019-02-27T00:00:00"/>
    <s v="Equita"/>
    <d v="1899-12-30T18:33:00"/>
  </r>
  <r>
    <d v="2019-02-22T00:00:00"/>
    <s v="BUY"/>
    <s v="6752.t"/>
    <s v="JP3866800000"/>
    <s v="YES"/>
    <s v="6752.T"/>
    <m/>
    <s v="Panasonic Corp"/>
    <s v="JPY"/>
    <n v="1038.5"/>
    <n v="1038.5"/>
    <n v="7800"/>
    <n v="-8100300"/>
    <n v="-6480"/>
    <n v="0"/>
    <n v="0"/>
    <n v="-8106780"/>
    <n v="125.52168390491745"/>
    <n v="-64584.697621973246"/>
    <d v="2019-02-27T00:00:00"/>
    <s v="Equita"/>
    <d v="1899-12-30T18:34:46"/>
  </r>
  <r>
    <d v="2019-02-22T00:00:00"/>
    <s v="BUY"/>
    <s v="5310.T"/>
    <s v="JP3616000000"/>
    <s v="YES"/>
    <s v="5310.T"/>
    <m/>
    <s v="Toyo Tanso Co Ltd"/>
    <s v="JPY"/>
    <n v="2112.1333"/>
    <n v="2112.1333"/>
    <n v="3000"/>
    <n v="-6336399.8999999994"/>
    <n v="-5069"/>
    <n v="0"/>
    <n v="0"/>
    <n v="-6341468.8999999994"/>
    <n v="125.52168390491741"/>
    <n v="-50520.903661582946"/>
    <d v="2019-02-27T00:00:00"/>
    <s v="Equita"/>
    <d v="1899-12-30T18:36:47"/>
  </r>
  <r>
    <d v="2019-02-22T00:00:00"/>
    <s v="BUY"/>
    <s v="3891.T"/>
    <s v="JP3707000000"/>
    <s v="YES"/>
    <s v="3891.T"/>
    <m/>
    <s v="Nippon Kodoshi Corp"/>
    <s v="JPY"/>
    <n v="1657.8181999999999"/>
    <n v="1657.8181999999999"/>
    <n v="2200"/>
    <n v="-3647200.04"/>
    <n v="-2918"/>
    <n v="0"/>
    <n v="0"/>
    <n v="-3650118.04"/>
    <n v="125.52168390491767"/>
    <n v="-29079.581522862252"/>
    <d v="2019-02-27T00:00:00"/>
    <s v="Equita"/>
    <d v="1899-12-30T18:38:48"/>
  </r>
  <r>
    <d v="2019-02-22T00:00:00"/>
    <s v="BUY"/>
    <s v="4109.T"/>
    <s v="JP3399720006"/>
    <s v="YES"/>
    <s v="4109.T"/>
    <m/>
    <s v="Stella Chemifa Corp"/>
    <s v="JPY"/>
    <n v="3255.4454999999998"/>
    <n v="3255.4454999999998"/>
    <n v="1100"/>
    <n v="-3580990.05"/>
    <n v="-2865"/>
    <n v="0"/>
    <n v="0"/>
    <n v="-3583855.05"/>
    <n v="125.52168390491755"/>
    <n v="-28551.680781423896"/>
    <d v="2019-02-27T00:00:00"/>
    <s v="Equita"/>
    <d v="1899-12-30T18:40:26"/>
  </r>
  <r>
    <d v="2019-02-22T00:00:00"/>
    <s v="BUY"/>
    <s v=""/>
    <s v="JP3826800009"/>
    <m/>
    <s v="5715.T"/>
    <m/>
    <s v="Furukawa Co Ltd"/>
    <s v="JPY"/>
    <n v="1442.0908999999999"/>
    <n v="1442.0908999999999"/>
    <n v="2200"/>
    <n v="-3172599.98"/>
    <n v="-2538"/>
    <n v="0"/>
    <n v="0"/>
    <n v="-3175137.98"/>
    <n v="125.52168390491745"/>
    <n v="-25295.533657795444"/>
    <d v="2019-02-27T00:00:00"/>
    <s v="Equita"/>
    <d v="1899-12-30T18:42:12"/>
  </r>
  <r>
    <d v="2019-02-22T00:00:00"/>
    <s v="BUY"/>
    <s v="4208.T"/>
    <s v="JP3158800007"/>
    <s v="YES"/>
    <s v="4208.T"/>
    <m/>
    <s v="Ube Industries Ltd"/>
    <s v="JPY"/>
    <n v="2572"/>
    <n v="2572"/>
    <n v="1100"/>
    <n v="-2829200"/>
    <n v="-2263"/>
    <n v="0"/>
    <n v="0"/>
    <n v="-2831463"/>
    <n v="125.52168390491732"/>
    <n v="-22557.560669316968"/>
    <d v="2019-02-27T00:00:00"/>
    <s v="Equita"/>
    <d v="1899-12-30T18:44:13"/>
  </r>
  <r>
    <d v="2019-02-22T00:00:00"/>
    <s v="BUY"/>
    <s v="2344.T"/>
    <s v="JP3834050001"/>
    <s v="YES"/>
    <s v="2344.T"/>
    <m/>
    <s v="Heian Ceremony Service Co Ltd"/>
    <s v="JPY"/>
    <n v="922.5"/>
    <n v="922.5"/>
    <n v="800"/>
    <n v="-738000"/>
    <n v="-590"/>
    <n v="0"/>
    <n v="0"/>
    <n v="-738590"/>
    <n v="125.52168390491738"/>
    <n v="-5884.1626165522257"/>
    <d v="2019-02-27T00:00:00"/>
    <s v="Equita"/>
    <d v="1899-12-30T18:45:01"/>
  </r>
  <r>
    <d v="2019-02-22T00:00:00"/>
    <s v="BUY"/>
    <s v="9055.T"/>
    <s v="JP3126450000"/>
    <s v="YES"/>
    <s v="9055.T"/>
    <m/>
    <s v="Alps Logistics Co Ltd"/>
    <s v="JPY"/>
    <n v="811"/>
    <n v="811"/>
    <n v="800"/>
    <n v="-648800"/>
    <n v="-519"/>
    <n v="0"/>
    <n v="0"/>
    <n v="-649319"/>
    <n v="125.52168390491745"/>
    <n v="-5172.962788579689"/>
    <d v="2019-02-27T00:00:00"/>
    <s v="Equita"/>
    <d v="1899-12-30T18:46:27"/>
  </r>
  <r>
    <d v="2019-02-22T00:00:00"/>
    <s v="BUY"/>
    <s v="6210.T"/>
    <s v="JP3609000009"/>
    <s v="YES"/>
    <s v="6210.T"/>
    <m/>
    <s v="Toyo Machinery &amp; Metal Co Ltd"/>
    <s v="JPY"/>
    <n v="608.30949999999996"/>
    <n v="608.30949999999996"/>
    <n v="4200"/>
    <n v="-2554899.9"/>
    <n v="-2044"/>
    <n v="0"/>
    <n v="0"/>
    <n v="-2556943.9"/>
    <n v="125.5216839049174"/>
    <n v="-20370.535356559456"/>
    <d v="2019-02-27T00:00:00"/>
    <s v="Equita"/>
    <d v="1899-12-30T18:27:32"/>
  </r>
  <r>
    <d v="2019-02-22T00:00:00"/>
    <s v="BUY"/>
    <s v="1960.T"/>
    <s v="JP3335400002"/>
    <s v="YES"/>
    <s v="1960.T"/>
    <m/>
    <s v="Sanyo Engineering &amp; Construction Inc"/>
    <s v="JPY"/>
    <n v="672.47500000000002"/>
    <n v="672.47500000000002"/>
    <n v="400"/>
    <n v="-268990"/>
    <n v="-215"/>
    <n v="0"/>
    <n v="0"/>
    <n v="-269205"/>
    <n v="125.52168390491741"/>
    <n v="-2144.6892013010483"/>
    <d v="2019-02-27T00:00:00"/>
    <s v="Equita"/>
    <d v="1899-12-30T18:29:33"/>
  </r>
  <r>
    <d v="2019-02-22T00:00:00"/>
    <s v="BUY"/>
    <s v="LPCK.JK"/>
    <s v="ID1000080302"/>
    <s v="YES"/>
    <s v="LPCK.JK"/>
    <m/>
    <s v="Lippo Cikarang Tbk PT"/>
    <s v="IDR"/>
    <n v="2724.8"/>
    <n v="2724.8"/>
    <n v="170000"/>
    <n v="-463216000.00000006"/>
    <n v="-694824"/>
    <n v="-199183"/>
    <n v="-46322"/>
    <n v="-464156329.00000006"/>
    <n v="15939.711486118647"/>
    <n v="-29119.493750198555"/>
    <d v="2019-02-26T00:00:00"/>
    <s v="DBS"/>
    <d v="1899-12-30T18:31:19"/>
  </r>
  <r>
    <d v="2019-02-22T00:00:00"/>
    <s v="BUY"/>
    <s v="LPKR.JK"/>
    <s v="ID1000108905"/>
    <s v="YES"/>
    <s v="LPKR.JK"/>
    <m/>
    <s v="Lippo Karawaci Tbk PT"/>
    <s v="IDR"/>
    <n v="284.46120000000002"/>
    <n v="284.46120000000002"/>
    <n v="1700000"/>
    <n v="-483584040.00000006"/>
    <n v="-725376"/>
    <n v="-207941"/>
    <n v="-48358"/>
    <n v="-484565715.00000006"/>
    <n v="15939.711486118236"/>
    <n v="-30399.905005934666"/>
    <d v="2019-02-26T00:00:00"/>
    <s v="DBS"/>
    <d v="1899-12-30T18:33:20"/>
  </r>
  <r>
    <d v="2019-02-22T00:00:00"/>
    <s v="BUY"/>
    <s v="SRIL.JK"/>
    <s v="ID1000127400"/>
    <s v="YES"/>
    <s v="SRIL.JK"/>
    <m/>
    <s v="Sri Rejeki Isman Tbk PT"/>
    <s v="IDR"/>
    <n v="336.76089999999999"/>
    <n v="336.76089999999999"/>
    <n v="1100000"/>
    <n v="-370436990"/>
    <n v="-555655"/>
    <n v="-159288"/>
    <n v="-37044"/>
    <n v="-371188977"/>
    <n v="15939.711486118607"/>
    <n v="-23287.057442868823"/>
    <d v="2019-02-26T00:00:00"/>
    <s v="DBS"/>
    <d v="1899-12-30T18:35:21"/>
  </r>
  <r>
    <d v="2019-02-22T00:00:00"/>
    <s v="BUY"/>
    <s v="PNIN.JK"/>
    <s v="ID1000094907"/>
    <s v="YES"/>
    <s v="PNIN.JK"/>
    <m/>
    <s v="Paninvest Tbk PT"/>
    <s v="IDR"/>
    <n v="1308.8543"/>
    <n v="1308.8543"/>
    <n v="350000"/>
    <n v="-458099005"/>
    <n v="-687149"/>
    <n v="-196983"/>
    <n v="-45810"/>
    <n v="-459028947"/>
    <n v="15939.711486118602"/>
    <n v="-28797.820299304287"/>
    <d v="2019-02-26T00:00:00"/>
    <s v="DBS"/>
    <d v="1899-12-30T18:36:59"/>
  </r>
  <r>
    <d v="2019-02-22T00:00:00"/>
    <s v="BUY"/>
    <s v="EXCL.JK"/>
    <s v="ID1000102502"/>
    <s v="YES"/>
    <s v="EXCL.JK"/>
    <m/>
    <s v="XL Axiata Tbk PT"/>
    <s v="IDR"/>
    <n v="2610.3182000000002"/>
    <n v="2610.3182000000002"/>
    <n v="110000"/>
    <n v="-287135002"/>
    <n v="-430703"/>
    <n v="-123468"/>
    <n v="-28714"/>
    <n v="-287717887"/>
    <n v="15939.711486118658"/>
    <n v="-18050.382357959461"/>
    <d v="2019-02-26T00:00:00"/>
    <s v="DBS"/>
    <d v="1899-12-30T18:38:45"/>
  </r>
  <r>
    <d v="2019-02-22T00:00:00"/>
    <s v="BUY"/>
    <s v="ISAT.JK"/>
    <s v="ID1000097405"/>
    <s v="YES"/>
    <s v="ISAT.JK"/>
    <m/>
    <s v="Indosat Tbk PT"/>
    <s v="IDR"/>
    <n v="3629.0145000000002"/>
    <n v="3629.0145000000002"/>
    <n v="69000"/>
    <n v="-250402000.50000003"/>
    <n v="-375603"/>
    <n v="-107673"/>
    <n v="-25040"/>
    <n v="-250910316.50000003"/>
    <n v="15939.711486118658"/>
    <n v="-15741.208159163301"/>
    <d v="2019-02-26T00:00:00"/>
    <s v="DBS"/>
    <d v="1899-12-30T18:40:46"/>
  </r>
  <r>
    <d v="2019-02-22T00:00:00"/>
    <s v="BUY"/>
    <s v="051915.KS"/>
    <s v="KR7051911006"/>
    <s v="YES"/>
    <s v="051915.KS"/>
    <m/>
    <s v="LG Chem Ltd"/>
    <s v="KRW"/>
    <n v="216579.54550000001"/>
    <n v="216579.54550000001"/>
    <n v="220"/>
    <n v="-47647500.010000005"/>
    <n v="-71471"/>
    <n v="0"/>
    <n v="0"/>
    <n v="-47718971.010000005"/>
    <n v="1272.4437488659071"/>
    <n v="-37501.831458192602"/>
    <d v="2019-02-26T00:00:00"/>
    <s v="Samsung"/>
    <d v="1899-12-30T18:42:32"/>
  </r>
  <r>
    <d v="2019-02-22T00:00:00"/>
    <s v="BUY"/>
    <s v="086520.KQ"/>
    <s v="KR7086520004"/>
    <s v="YES"/>
    <s v="086520.KQ"/>
    <m/>
    <s v="Ecopro Co Ltd"/>
    <s v="KRW"/>
    <n v="34594.9545"/>
    <n v="34594.9545"/>
    <n v="1100"/>
    <n v="-38054449.950000003"/>
    <n v="-57082"/>
    <n v="0"/>
    <n v="0"/>
    <n v="-38111531.950000003"/>
    <n v="1272.443748865903"/>
    <n v="-29951.447350004943"/>
    <d v="2019-02-26T00:00:00"/>
    <s v="Samsung"/>
    <d v="1899-12-30T18:44:33"/>
  </r>
  <r>
    <d v="2019-02-22T00:00:00"/>
    <s v="BUY"/>
    <s v="066970.KQ"/>
    <s v="KR7066970005"/>
    <s v="YES"/>
    <s v="066970.KQ"/>
    <m/>
    <s v="L&amp;F Co Ltd"/>
    <s v="KRW"/>
    <n v="36202.608699999997"/>
    <n v="36202.608699999997"/>
    <n v="690"/>
    <n v="-24979800.002999999"/>
    <n v="-37470"/>
    <n v="0"/>
    <n v="0"/>
    <n v="-25017270.002999999"/>
    <n v="1272.4437488659037"/>
    <n v="-19660.806244124542"/>
    <d v="2019-02-26T00:00:00"/>
    <s v="Samsung"/>
    <d v="1899-12-30T18:46:19"/>
  </r>
  <r>
    <d v="2019-02-22T00:00:00"/>
    <s v="BUY"/>
    <s v="005070.KS"/>
    <s v="KR7005070008"/>
    <s v="YES"/>
    <s v="005070.KS"/>
    <m/>
    <s v="Cosmo Advanced Materials &amp; Technology Co Ltd"/>
    <s v="KRW"/>
    <n v="16559.441200000001"/>
    <n v="16559.441200000001"/>
    <n v="1700"/>
    <n v="-28151050.040000003"/>
    <n v="-42227"/>
    <n v="0"/>
    <n v="0"/>
    <n v="-28193277.040000003"/>
    <n v="1272.4437488659039"/>
    <n v="-22156.796373221165"/>
    <d v="2019-02-26T00:00:00"/>
    <s v="Samsung"/>
    <d v="1899-12-30T18:48:20"/>
  </r>
  <r>
    <d v="2019-02-22T00:00:00"/>
    <s v="BUY"/>
    <s v="005490.KS"/>
    <s v="KR7005490008"/>
    <s v="YES"/>
    <s v="005490.KS"/>
    <m/>
    <s v="Posco"/>
    <s v="KRW"/>
    <n v="274000"/>
    <n v="274000"/>
    <n v="170"/>
    <n v="-46580000"/>
    <n v="-69870"/>
    <n v="0"/>
    <n v="0"/>
    <n v="-46649870"/>
    <n v="1272.4437488659069"/>
    <n v="-36661.636352552094"/>
    <d v="2019-02-26T00:00:00"/>
    <s v="Samsung"/>
    <d v="1899-12-30T18:50:21"/>
  </r>
  <r>
    <d v="2019-02-22T00:00:00"/>
    <s v="BUY"/>
    <s v="066575.KS"/>
    <s v="KR7066571001"/>
    <s v="YES"/>
    <s v="066575.KS"/>
    <m/>
    <s v="LG Electronics Inc"/>
    <s v="KRW"/>
    <n v="29005.0455"/>
    <n v="29005.0455"/>
    <n v="1100"/>
    <n v="-31905550.050000001"/>
    <n v="-47858"/>
    <n v="0"/>
    <n v="0"/>
    <n v="-31953408.050000001"/>
    <n v="1272.4437488659053"/>
    <n v="-25111.8433160438"/>
    <d v="2019-02-26T00:00:00"/>
    <s v="Samsung"/>
    <d v="1899-12-30T18:51:59"/>
  </r>
  <r>
    <d v="2019-02-22T00:00:00"/>
    <s v="BUY"/>
    <s v="036830.KQ"/>
    <s v="KR7036830008"/>
    <s v="YES"/>
    <s v="036830.KQ"/>
    <m/>
    <s v="SoulBrain Co Ltd"/>
    <s v="KRW"/>
    <n v="52980.6"/>
    <n v="52980.6"/>
    <n v="1000"/>
    <n v="-52980600"/>
    <n v="-79471"/>
    <n v="0"/>
    <n v="0"/>
    <n v="-53060071"/>
    <n v="1272.443748865905"/>
    <n v="-41699.34509662295"/>
    <d v="2019-02-26T00:00:00"/>
    <s v="Samsung"/>
    <d v="1899-12-30T18:53:45"/>
  </r>
  <r>
    <d v="2019-02-22T00:00:00"/>
    <s v="BUY"/>
    <s v="086790.KS"/>
    <s v="KR7086790003"/>
    <s v="YES"/>
    <s v="086790.KS"/>
    <m/>
    <s v="Hana Financial Group Inc"/>
    <s v="KRW"/>
    <n v="39800"/>
    <n v="39800"/>
    <n v="1100"/>
    <n v="-43780000"/>
    <n v="-65670"/>
    <n v="0"/>
    <n v="0"/>
    <n v="-43845670"/>
    <n v="1272.4437488659032"/>
    <n v="-34457.845416804106"/>
    <d v="2019-02-26T00:00:00"/>
    <s v="Samsung"/>
    <d v="1899-12-30T18:55:46"/>
  </r>
  <r>
    <d v="2019-02-22T00:00:00"/>
    <s v="BUY"/>
    <s v="316140.KS"/>
    <s v="KR7316140003"/>
    <s v="YES"/>
    <s v="316140.KS"/>
    <m/>
    <s v="Woori Financial Group Inc"/>
    <s v="KRW"/>
    <n v="14950"/>
    <n v="14950"/>
    <n v="3000"/>
    <n v="-44850000"/>
    <n v="-67275"/>
    <n v="0"/>
    <n v="0"/>
    <n v="-44917275"/>
    <n v="1272.44374886591"/>
    <n v="-35300.008381536223"/>
    <d v="2019-02-26T00:00:00"/>
    <s v="Samsung"/>
    <d v="1899-12-30T18:57:32"/>
  </r>
  <r>
    <d v="2019-02-22T00:00:00"/>
    <s v="BUY"/>
    <s v="003540.KS"/>
    <s v="KR7003540002"/>
    <s v="YES"/>
    <s v="003540.KS"/>
    <m/>
    <s v="DAISHIN SECURITIES CO LTD"/>
    <s v="KRW"/>
    <n v="11412.424199999999"/>
    <n v="11412.424199999999"/>
    <n v="3300"/>
    <n v="-37660999.859999999"/>
    <n v="-56492"/>
    <n v="0"/>
    <n v="0"/>
    <n v="-37717491.859999999"/>
    <n v="1272.4437488659041"/>
    <n v="-29641.775436923333"/>
    <d v="2019-02-26T00:00:00"/>
    <s v="Samsung"/>
    <d v="1899-12-30T18:59:33"/>
  </r>
  <r>
    <d v="2019-02-22T00:00:00"/>
    <s v="BUY"/>
    <s v="138930.KS"/>
    <s v="KR7138930003"/>
    <s v="YES"/>
    <s v="138930.KS"/>
    <m/>
    <s v="BNK Financial Group Inc"/>
    <s v="KRW"/>
    <n v="7205.3690999999999"/>
    <n v="7205.3690999999999"/>
    <n v="5500"/>
    <n v="-39629530.049999997"/>
    <n v="-59444"/>
    <n v="0"/>
    <n v="0"/>
    <n v="-39688974.049999997"/>
    <n v="1272.4437488659059"/>
    <n v="-31191.142308156006"/>
    <d v="2019-02-26T00:00:00"/>
    <s v="Samsung"/>
    <d v="1899-12-30T19:01:19"/>
  </r>
  <r>
    <d v="2019-02-22T00:00:00"/>
    <s v="BUY"/>
    <s v="028260.KS"/>
    <s v="KR7028260008"/>
    <s v="YES"/>
    <s v="028260.KS"/>
    <m/>
    <s v="Samsung C&amp;T Corp"/>
    <s v="KRW"/>
    <n v="116483.75"/>
    <n v="116483.75"/>
    <n v="400"/>
    <n v="-46593500"/>
    <n v="-69890"/>
    <n v="0"/>
    <n v="0"/>
    <n v="-46663390"/>
    <n v="1272.4437488659053"/>
    <n v="-36672.261576662873"/>
    <d v="2019-02-26T00:00:00"/>
    <s v="Samsung"/>
    <d v="1899-12-30T19:03:04"/>
  </r>
  <r>
    <d v="2019-02-22T00:00:00"/>
    <s v="BUY"/>
    <s v="032830.KS"/>
    <s v="KR7032830002"/>
    <s v="YES"/>
    <s v="032830.KS"/>
    <m/>
    <s v="Samsung Life Insurance Co Ltd"/>
    <s v="KRW"/>
    <n v="91206.2"/>
    <n v="91206.2"/>
    <n v="500"/>
    <n v="-45603100"/>
    <n v="-68405"/>
    <n v="0"/>
    <n v="0"/>
    <n v="-45671505"/>
    <n v="1272.4437488659046"/>
    <n v="-35892.749711494755"/>
    <d v="2019-02-26T00:00:00"/>
    <s v="Samsung"/>
    <d v="1899-12-30T19:04:27"/>
  </r>
  <r>
    <d v="2019-02-22T00:00:00"/>
    <s v="BUY"/>
    <s v="000060.KS"/>
    <s v="KR7000060004"/>
    <s v="YES"/>
    <s v="000060.KS"/>
    <m/>
    <s v="Meritz Fire &amp; Marine Insurance Co Ltd"/>
    <s v="KRW"/>
    <n v="23016.382399999999"/>
    <n v="23016.382399999999"/>
    <n v="1700"/>
    <n v="-39127850.079999998"/>
    <n v="-58692"/>
    <n v="0"/>
    <n v="0"/>
    <n v="-39186542.079999998"/>
    <n v="1272.4437488659075"/>
    <n v="-30796.286370164366"/>
    <d v="2019-02-26T00:00:00"/>
    <s v="Samsung"/>
    <d v="1899-12-30T10:23:16"/>
  </r>
  <r>
    <d v="2019-02-22T00:00:00"/>
    <s v="BUY"/>
    <s v="031440.KS"/>
    <s v="KR7031440001"/>
    <s v="YES"/>
    <s v="031440.KS"/>
    <m/>
    <s v="Shinsegae Food Co Ltd"/>
    <s v="KRW"/>
    <n v="93752.857099999994"/>
    <n v="93752.857099999994"/>
    <n v="420"/>
    <n v="-39376199.982000001"/>
    <n v="-59064"/>
    <n v="0"/>
    <n v="0"/>
    <n v="-39435263.982000001"/>
    <n v="1272.4437488659055"/>
    <n v="-30991.75426587429"/>
    <d v="2019-02-26T00:00:00"/>
    <s v="Samsung"/>
    <d v="1899-12-30T10:25:02"/>
  </r>
  <r>
    <d v="2019-02-22T00:00:00"/>
    <s v="BUY"/>
    <s v="139480.KS"/>
    <s v="KR7139480008"/>
    <s v="YES"/>
    <s v="139480.KS"/>
    <m/>
    <s v="E-Mart Inc"/>
    <s v="KRW"/>
    <n v="178000"/>
    <n v="178000"/>
    <n v="170"/>
    <n v="-30260000"/>
    <n v="-45390"/>
    <n v="0"/>
    <n v="0"/>
    <n v="-30305390"/>
    <n v="1272.4437488659012"/>
    <n v="-23816.683469906213"/>
    <d v="2019-02-26T00:00:00"/>
    <s v="Samsung"/>
    <d v="1899-12-30T10:27:03"/>
  </r>
  <r>
    <d v="2019-02-22T00:00:00"/>
    <s v="BUY"/>
    <s v="003555.KS"/>
    <s v="KR7003551009"/>
    <s v="YES"/>
    <s v="003555.KS"/>
    <m/>
    <s v="LG Corp"/>
    <s v="KRW"/>
    <n v="43977.981699999997"/>
    <n v="43977.981699999997"/>
    <n v="109"/>
    <n v="-4793600.0052999994"/>
    <n v="-7190"/>
    <n v="0"/>
    <n v="0"/>
    <n v="-4800790.0052999994"/>
    <n v="1272.4437488659041"/>
    <n v="-3772.8897718102021"/>
    <d v="2019-02-26T00:00:00"/>
    <s v="Samsung"/>
    <d v="1899-12-30T10:28:34"/>
  </r>
  <r>
    <d v="2019-02-22T00:00:00"/>
    <s v="BUY"/>
    <s v="003545.KS"/>
    <s v="KR7003541000"/>
    <s v="YES"/>
    <s v="003545.KS"/>
    <m/>
    <s v="DAISHIN SECURITIES CO LTD"/>
    <s v="KRW"/>
    <n v="8725.9675999999999"/>
    <n v="8725.9675999999999"/>
    <n v="2899"/>
    <n v="-25296580.0724"/>
    <n v="-37945"/>
    <n v="0"/>
    <n v="0"/>
    <n v="-25334525.0724"/>
    <n v="1272.443748865905"/>
    <n v="-19910.133626716295"/>
    <d v="2019-02-26T00:00:00"/>
    <s v="Samsung"/>
    <d v="1899-12-30T10:30:43"/>
  </r>
  <r>
    <d v="2019-02-22T00:00:00"/>
    <s v="BUY"/>
    <s v="02826K.KS"/>
    <s v="KR702826K016"/>
    <s v="YES"/>
    <s v="02826K.KS"/>
    <m/>
    <s v="Samsung C&amp;T Corp"/>
    <s v="KRW"/>
    <n v="73053.8462"/>
    <n v="73053.8462"/>
    <n v="91"/>
    <n v="-6647900.0042000003"/>
    <n v="-9972"/>
    <n v="0"/>
    <n v="0"/>
    <n v="-6657872.0042000003"/>
    <n v="1272.4437488659053"/>
    <n v="-5232.3507503840401"/>
    <d v="2019-02-26T00:00:00"/>
    <s v="Samsung"/>
    <d v="1899-12-30T10:32:49"/>
  </r>
  <r>
    <d v="2019-02-22T00:00:00"/>
    <s v="BUY"/>
    <s v="006405.KS"/>
    <s v="KR7006401004"/>
    <s v="YES"/>
    <s v="006405.KS"/>
    <m/>
    <s v="Samsung SDI Co Ltd"/>
    <s v="KRW"/>
    <n v="95397.826100000006"/>
    <n v="95397.826100000006"/>
    <n v="690"/>
    <n v="-65824500.009000003"/>
    <n v="-98737"/>
    <n v="0"/>
    <n v="0"/>
    <n v="-65923237.009000003"/>
    <n v="1272.4437488659039"/>
    <n v="-51808.370364313298"/>
    <d v="2019-02-26T00:00:00"/>
    <s v="Samsung"/>
    <d v="1899-12-30T10:34:27"/>
  </r>
  <r>
    <d v="2019-02-22T00:00:00"/>
    <s v="BUY"/>
    <s v="096775.KS"/>
    <s v="KR7096771001"/>
    <s v="YES"/>
    <s v="096775.KS"/>
    <m/>
    <s v="SK Innovation Co Ltd"/>
    <s v="KRW"/>
    <n v="125522.85709999999"/>
    <n v="125522.85709999999"/>
    <n v="350"/>
    <n v="-43932999.984999999"/>
    <n v="-65900"/>
    <n v="0"/>
    <n v="0"/>
    <n v="-43998899.984999999"/>
    <n v="1272.4437488659046"/>
    <n v="-34578.267231235215"/>
    <d v="2019-02-26T00:00:00"/>
    <s v="Samsung"/>
    <d v="1899-12-30T15:12:34"/>
  </r>
  <r>
    <d v="2019-02-22T00:00:00"/>
    <s v="BUY"/>
    <s v="071055.KS"/>
    <s v="KR7071051007"/>
    <s v="YES"/>
    <s v="071055.KS"/>
    <m/>
    <s v="Korea Investment Holdings Co Ltd"/>
    <s v="KRW"/>
    <n v="36740.681799999998"/>
    <m/>
    <n v="1100"/>
    <n v="-40414749.979999997"/>
    <n v="-60622"/>
    <n v="0"/>
    <n v="0"/>
    <n v="-40475371.979999997"/>
    <n v="1272.4437488659066"/>
    <n v="-31809.164071947824"/>
    <d v="2019-02-26T00:00:00"/>
    <s v="Samsung"/>
    <d v="1899-12-30T15:14:20"/>
  </r>
  <r>
    <d v="2019-02-25T00:00:00"/>
    <s v="BUY"/>
    <s v="003555.KS"/>
    <s v="KR7003551009"/>
    <s v="YES"/>
    <s v="003555.KS"/>
    <m/>
    <s v="LG Corp"/>
    <s v="KRW"/>
    <n v="44022.202499999999"/>
    <m/>
    <n v="563"/>
    <n v="-24784500.0075"/>
    <n v="-44022.202499999999"/>
    <n v="0"/>
    <n v="0"/>
    <n v="-24828522.210000001"/>
    <n v="1272.443748865903"/>
    <n v="-19512.47136239149"/>
    <d v="2019-02-27T00:00:00"/>
    <s v="Samsung"/>
    <d v="1899-12-30T15:16:21"/>
  </r>
  <r>
    <d v="2019-02-25T00:00:00"/>
    <s v="BUY"/>
    <s v="003545.KS"/>
    <s v="KR7003541000"/>
    <s v="YES"/>
    <s v="003545.KS"/>
    <m/>
    <s v="DAISHIN SECURITIES CO LTD"/>
    <s v="KRW"/>
    <n v="8747.7528999999995"/>
    <m/>
    <n v="1700"/>
    <n v="-14871179.93"/>
    <n v="-8747.7528999999995"/>
    <n v="0"/>
    <n v="0"/>
    <n v="-14879927.6829"/>
    <n v="1272.443748865905"/>
    <n v="-11693.976803424182"/>
    <d v="2019-02-27T00:00:00"/>
    <s v="Samsung"/>
    <d v="1899-12-30T10:32:57"/>
  </r>
  <r>
    <d v="2019-02-25T00:00:00"/>
    <s v="BUY"/>
    <s v="02826K.KS"/>
    <s v="KR702826K016"/>
    <s v="YES"/>
    <s v="02826K.KS"/>
    <m/>
    <s v="Samsung C&amp;T Corp"/>
    <s v="KRW"/>
    <n v="73063.696400000001"/>
    <m/>
    <n v="303"/>
    <n v="-22138300.009199999"/>
    <n v="-73063.696400000001"/>
    <n v="0"/>
    <n v="0"/>
    <n v="-22211363.705600001"/>
    <n v="1272.4437488659046"/>
    <n v="-17455.674347409386"/>
    <d v="2019-02-27T00:00:00"/>
    <s v="Samsung"/>
    <d v="1899-12-30T10:34:58"/>
  </r>
  <r>
    <d v="2019-02-25T00:00:00"/>
    <s v="BUY"/>
    <s v="2344.T"/>
    <s v="JP3834050001"/>
    <s v="YES"/>
    <s v="2344.T"/>
    <m/>
    <s v="Heian Ceremony Service Co Ltd"/>
    <s v="JPY"/>
    <n v="932.11109999999996"/>
    <m/>
    <n v="900"/>
    <n v="-838899.99"/>
    <n v="-671"/>
    <n v="0"/>
    <n v="0"/>
    <n v="-839570.99"/>
    <n v="125.52168390491737"/>
    <n v="-6688.6530189953055"/>
    <d v="2019-02-28T00:00:00"/>
    <s v="Equita"/>
    <d v="1899-12-30T10:36:44"/>
  </r>
  <r>
    <d v="2019-02-25T00:00:00"/>
    <s v="BUY"/>
    <s v="1960.T"/>
    <s v="JP3335400002"/>
    <s v="YES"/>
    <s v="1960.t"/>
    <m/>
    <s v="Sanyo Engineering &amp; Construction Inc"/>
    <s v="JPY"/>
    <n v="703.15380000000005"/>
    <m/>
    <n v="1300"/>
    <n v="-914099.94000000006"/>
    <n v="-731"/>
    <n v="0"/>
    <n v="0"/>
    <n v="-914830.94000000006"/>
    <n v="125.52168390491751"/>
    <n v="-7288.2303004553632"/>
    <d v="2019-02-28T00:00:00"/>
    <s v="Equita"/>
    <d v="1899-12-30T10:38:45"/>
  </r>
  <r>
    <d v="2019-02-25T00:00:00"/>
    <s v="BUY"/>
    <s v="4100.T"/>
    <s v="JP3627400009"/>
    <s v="YES"/>
    <s v="4100.T"/>
    <m/>
    <s v="Toda Kogyo Corp"/>
    <s v="JPY"/>
    <n v="2220.6"/>
    <m/>
    <n v="500"/>
    <n v="-1110300"/>
    <n v="-888"/>
    <n v="0"/>
    <n v="0"/>
    <n v="-1111188"/>
    <n v="125.52168390491734"/>
    <n v="-8852.558103361047"/>
    <d v="2019-02-28T00:00:00"/>
    <s v="Equita"/>
    <d v="1899-12-30T10:40:16"/>
  </r>
  <r>
    <d v="2019-02-25T00:00:00"/>
    <s v="BUY"/>
    <s v="NHY.OL"/>
    <s v="NO0005052605"/>
    <s v="YES"/>
    <s v="NHY.OL"/>
    <m/>
    <s v="Norsk Hydro ASA"/>
    <s v="NOK"/>
    <n v="35.918700000000001"/>
    <m/>
    <n v="6900"/>
    <n v="-247839.03"/>
    <n v="-198.27"/>
    <n v="0"/>
    <n v="0"/>
    <n v="-248037.3"/>
    <n v="9.7580974414806771"/>
    <n v="-25418.612745720155"/>
    <d v="2019-02-28T00:00:00"/>
    <s v="Equita"/>
    <d v="1899-12-30T10:02:39"/>
  </r>
  <r>
    <d v="2019-02-25T00:00:00"/>
    <s v="BUY"/>
    <s v="2344.T"/>
    <s v="JP3834050001"/>
    <s v="YES"/>
    <s v="2344.T"/>
    <m/>
    <s v="Heian Ceremony Service Co Ltd"/>
    <s v="JPY"/>
    <n v="931.29229999999995"/>
    <m/>
    <n v="1300"/>
    <n v="-1210679.99"/>
    <n v="-969"/>
    <n v="0"/>
    <n v="0"/>
    <n v="-1211648.99"/>
    <n v="125.52168390491737"/>
    <n v="-9652.9057952873209"/>
    <d v="2019-02-28T00:00:00"/>
    <s v="Equita"/>
    <d v="1899-12-30T17:02:14"/>
  </r>
  <r>
    <d v="2019-02-25T00:00:00"/>
    <s v="BUY"/>
    <s v="9055.T"/>
    <s v="JP3126450000"/>
    <s v="YES"/>
    <s v="9055.T"/>
    <m/>
    <s v="Alps Logistics Co Ltd"/>
    <s v="JPY"/>
    <n v="817"/>
    <m/>
    <n v="2600"/>
    <n v="-2124200"/>
    <n v="-1699"/>
    <n v="0"/>
    <n v="0"/>
    <n v="-2125899"/>
    <n v="125.52168390491747"/>
    <n v="-16936.507971087816"/>
    <d v="2019-02-28T00:00:00"/>
    <s v="Equita"/>
    <d v="1899-12-30T17:03:20"/>
  </r>
  <r>
    <d v="2019-02-25T00:00:00"/>
    <s v="BUY"/>
    <s v="1960.T"/>
    <s v="JP3335400002"/>
    <s v="YES"/>
    <s v="1960.T"/>
    <m/>
    <s v="Sanyo Engineering &amp; Construction Inc"/>
    <s v="JPY"/>
    <n v="700.05290000000002"/>
    <m/>
    <n v="1700"/>
    <n v="-1190089.93"/>
    <n v="-952"/>
    <n v="0"/>
    <n v="0"/>
    <n v="-1191041.93"/>
    <n v="125.52168390491751"/>
    <n v="-9488.7344795518547"/>
    <d v="2019-02-28T00:00:00"/>
    <s v="Equita"/>
    <d v="1899-12-30T17:04:26"/>
  </r>
  <r>
    <d v="2019-02-25T00:00:00"/>
    <s v="BUY"/>
    <s v="3402.T"/>
    <s v="JP3621000003"/>
    <s v="YES"/>
    <s v="3402.T"/>
    <m/>
    <s v="Toray Industries Inc"/>
    <s v="JPY"/>
    <n v="788"/>
    <m/>
    <n v="5000"/>
    <n v="-3940000"/>
    <n v="-3152"/>
    <n v="0"/>
    <n v="0"/>
    <n v="-3943152"/>
    <n v="125.52168390491752"/>
    <n v="-31414.11011492589"/>
    <d v="2019-02-28T00:00:00"/>
    <s v="Equita"/>
    <d v="1899-12-30T15:35:42"/>
  </r>
  <r>
    <d v="2019-02-25T00:00:00"/>
    <s v="BUY"/>
    <s v="3401.T"/>
    <s v="JP3544000007"/>
    <s v="YES"/>
    <s v="3401.T"/>
    <m/>
    <s v="Teijin Ltd"/>
    <s v="JPY"/>
    <n v="1881.8810000000001"/>
    <m/>
    <n v="4200"/>
    <n v="-7903900.2000000002"/>
    <n v="-6323"/>
    <n v="0"/>
    <n v="0"/>
    <n v="-7910223.2000000002"/>
    <n v="125.52168390491737"/>
    <n v="-63018.778540224106"/>
    <d v="2019-02-28T00:00:00"/>
    <s v="Equita"/>
    <d v="1899-12-30T15:37:43"/>
  </r>
  <r>
    <d v="2019-02-25T00:00:00"/>
    <s v="BUY"/>
    <s v="6701.T"/>
    <s v="JP3733000008"/>
    <s v="YES"/>
    <s v="6701.T"/>
    <m/>
    <s v="NEC Corp"/>
    <s v="JPY"/>
    <n v="3770"/>
    <m/>
    <n v="1100"/>
    <n v="-4147000"/>
    <n v="-3318"/>
    <n v="0"/>
    <n v="0"/>
    <n v="-4150318"/>
    <n v="125.52168390491757"/>
    <n v="-33064.550051319085"/>
    <d v="2019-02-28T00:00:00"/>
    <s v="Equita"/>
    <d v="1899-12-30T15:38:49"/>
  </r>
  <r>
    <d v="2019-02-25T00:00:00"/>
    <s v="BUY"/>
    <s v="1973.T"/>
    <s v="JP3733800001"/>
    <s v="YES"/>
    <s v="1973.T"/>
    <m/>
    <s v="NEC Networks &amp; System Integration Corp"/>
    <s v="JPY"/>
    <n v="2616.2136"/>
    <m/>
    <n v="2200"/>
    <n v="-5755669.9199999999"/>
    <n v="-4605"/>
    <n v="0"/>
    <n v="0"/>
    <n v="-5760274.9199999999"/>
    <n v="125.52168390491759"/>
    <n v="-45890.675943794668"/>
    <d v="2019-02-28T00:00:00"/>
    <s v="Equita"/>
    <d v="1899-12-30T15:39:55"/>
  </r>
  <r>
    <d v="2019-02-25T00:00:00"/>
    <s v="BUY"/>
    <s v="QCOM.O"/>
    <s v="US7475251036"/>
    <s v="YES"/>
    <s v="QCOM.O"/>
    <m/>
    <s v="Qualcomm Inc"/>
    <s v="USD"/>
    <n v="53.479900000000001"/>
    <m/>
    <n v="670"/>
    <n v="-35831.533000000003"/>
    <n v="-14.94"/>
    <n v="-2.98"/>
    <n v="0"/>
    <n v="-35849.453000000009"/>
    <n v="1.134095445472691"/>
    <n v="-31610.613677280006"/>
    <d v="2019-02-27T00:00:00"/>
    <s v="Kepler"/>
    <d v="1899-12-30T15:41:01"/>
  </r>
  <r>
    <d v="2019-02-25T00:00:00"/>
    <s v="BUY"/>
    <s v="0593q.L"/>
    <s v="US7960502018"/>
    <s v="YES"/>
    <s v="0593q.L"/>
    <m/>
    <s v="Samsung Electronics Co Ltd"/>
    <s v="USD"/>
    <n v="845"/>
    <m/>
    <n v="42"/>
    <n v="-35490"/>
    <n v="-14.8"/>
    <n v="-2.95"/>
    <n v="0"/>
    <n v="-35507.75"/>
    <n v="1.134095445472691"/>
    <n v="-31309.31364"/>
    <d v="2019-02-27T00:00:00"/>
    <s v="Kepler"/>
    <d v="1899-12-30T15:42:07"/>
  </r>
  <r>
    <d v="2019-02-26T00:00:00"/>
    <s v="BUY"/>
    <s v="8151.T"/>
    <s v="JP3616600007"/>
    <s v="YES"/>
    <s v="8151.T"/>
    <m/>
    <s v="Toyo Corp"/>
    <s v="JPY"/>
    <n v="919"/>
    <m/>
    <n v="2200"/>
    <n v="-2021800"/>
    <n v="-1179"/>
    <n v="0"/>
    <n v="-236"/>
    <n v="-2023215"/>
    <n v="125.52168390491738"/>
    <n v="-16118.450112034701"/>
    <d v="2019-03-01T00:00:00"/>
    <s v="Kepler"/>
    <d v="1899-12-30T15:43:13"/>
  </r>
  <r>
    <d v="2019-02-25T00:00:00"/>
    <s v="BUY"/>
    <s v="6997.T"/>
    <s v="JP3701200002"/>
    <s v="YES"/>
    <s v="6997.T"/>
    <m/>
    <s v="Nippon Chemi-Con Corp"/>
    <s v="JPY"/>
    <n v="2154"/>
    <m/>
    <n v="1100"/>
    <n v="-2369400"/>
    <n v="-1383"/>
    <n v="0"/>
    <n v="-277"/>
    <n v="-2371060"/>
    <n v="125.52168390491781"/>
    <n v="-18889.644611492535"/>
    <d v="2019-03-01T00:00:00"/>
    <s v="Kepler"/>
    <d v="1899-12-30T15:44:19"/>
  </r>
  <r>
    <d v="2019-02-26T00:00:00"/>
    <s v="BUY"/>
    <s v="6762.T"/>
    <s v="JP3538800008"/>
    <s v="YES"/>
    <s v="6762.T"/>
    <m/>
    <s v="TDK Corp"/>
    <s v="JPY"/>
    <n v="8940"/>
    <m/>
    <n v="420"/>
    <n v="-3754800"/>
    <n v="-2190"/>
    <n v="0"/>
    <n v="-438"/>
    <n v="-3757428"/>
    <n v="125.5216839049175"/>
    <n v="-29934.493253342956"/>
    <d v="2019-03-01T00:00:00"/>
    <s v="Kepler"/>
    <d v="1899-12-30T15:45:25"/>
  </r>
  <r>
    <d v="2019-02-26T00:00:00"/>
    <s v="BUY"/>
    <s v="8070.T"/>
    <s v="JP3576600005"/>
    <s v="YES"/>
    <s v="8070.T"/>
    <m/>
    <s v="Tokyo Sangyo Co Ltd"/>
    <s v="JPY"/>
    <n v="557"/>
    <m/>
    <n v="4200"/>
    <n v="-2339400"/>
    <n v="-1365"/>
    <n v="0"/>
    <n v="-273"/>
    <n v="-2341038"/>
    <n v="125.52168390491741"/>
    <n v="-18650.466813155046"/>
    <d v="2019-03-01T00:00:00"/>
    <s v="Kepler"/>
    <d v="1899-12-30T18:29:32"/>
  </r>
  <r>
    <d v="2019-02-25T00:00:00"/>
    <s v="BUY"/>
    <s v="6309.T"/>
    <s v="JP3631600008"/>
    <s v="YES"/>
    <s v="6309.T"/>
    <m/>
    <s v="Tomoe Engineering Co Ltd"/>
    <s v="JPY"/>
    <n v="2366"/>
    <m/>
    <n v="1100"/>
    <n v="-2602600"/>
    <n v="-1518"/>
    <n v="0"/>
    <n v="-304"/>
    <n v="-2604422"/>
    <n v="125.52168390491735"/>
    <n v="-20748.781556920869"/>
    <d v="2019-03-01T00:00:00"/>
    <s v="Kepler"/>
    <d v="1899-12-30T08:54:21"/>
  </r>
  <r>
    <d v="2019-02-25T00:00:00"/>
    <s v="BUY"/>
    <s v="6826.T"/>
    <s v="JP3854650003"/>
    <s v="YES"/>
    <s v="6826.T"/>
    <m/>
    <s v="Honda Tsushin Kogyo Co Ltd"/>
    <s v="JPY"/>
    <n v="580"/>
    <m/>
    <n v="6700"/>
    <n v="-3886000"/>
    <n v="-2267"/>
    <n v="0"/>
    <n v="-453"/>
    <n v="-3888720"/>
    <n v="125.52168390491751"/>
    <n v="-30980.463924828317"/>
    <d v="2019-03-01T00:00:00"/>
    <s v="Kepler"/>
    <d v="1899-12-30T08:55:59"/>
  </r>
  <r>
    <d v="2019-02-25T00:00:00"/>
    <s v="BUY"/>
    <s v="7004.T"/>
    <s v="JP3789000001"/>
    <s v="YES"/>
    <s v="7004.T"/>
    <m/>
    <s v="Hitachi Zosen Corp"/>
    <s v="JPY"/>
    <n v="354"/>
    <m/>
    <n v="6700"/>
    <n v="-2371800"/>
    <n v="-1383"/>
    <n v="0"/>
    <n v="-277"/>
    <n v="-2373460"/>
    <n v="125.52168390491728"/>
    <n v="-18908.764813877871"/>
    <d v="2019-03-01T00:00:00"/>
    <s v="Kepler"/>
    <d v="1899-12-30T08:57:05"/>
  </r>
  <r>
    <d v="2019-02-27T00:00:00"/>
    <s v="BUY"/>
    <s v="6702.T"/>
    <s v="JP3818000006"/>
    <s v="YES"/>
    <s v="6702.T"/>
    <m/>
    <s v="Fujitsu Ltd"/>
    <s v="JPY"/>
    <n v="7604.4627"/>
    <m/>
    <n v="670"/>
    <n v="-5094990.0089999996"/>
    <n v="-4076"/>
    <n v="0"/>
    <n v="0"/>
    <n v="-5099066.0089999996"/>
    <n v="126.17385570385872"/>
    <n v="-40413.015680268676"/>
    <d v="2019-03-02T00:00:00"/>
    <s v="Equita"/>
    <d v="1899-12-30T08:58:11"/>
  </r>
  <r>
    <d v="2019-02-27T00:00:00"/>
    <s v="BUY"/>
    <s v="LPKR.JK"/>
    <s v="ID1000108905"/>
    <s v="YES"/>
    <s v="LPKR.JK"/>
    <m/>
    <s v="Lippo Karawaci Tbk PT"/>
    <s v="IDR"/>
    <n v="289.03269999999998"/>
    <m/>
    <n v="1100000"/>
    <n v="-317935970"/>
    <n v="-476904"/>
    <n v="-136712"/>
    <n v="-31794"/>
    <n v="-318581380"/>
    <n v="15945.110166215642"/>
    <n v="-19979.879516606125"/>
    <d v="2019-03-01T00:00:00"/>
    <s v="DBS"/>
    <d v="1899-12-30T09:41:02"/>
  </r>
  <r>
    <d v="2019-02-27T00:00:00"/>
    <s v="BUY"/>
    <s v="EXCL.JK"/>
    <s v="ID1000102502"/>
    <s v="YES"/>
    <s v="EXCL.JK"/>
    <m/>
    <s v="XL Axiata Tbk PT"/>
    <s v="IDR"/>
    <n v="2402.8544999999999"/>
    <m/>
    <n v="110000"/>
    <n v="-264313995"/>
    <n v="-396471"/>
    <n v="-113655"/>
    <n v="-26431"/>
    <n v="-264850552"/>
    <n v="15945.110166215654"/>
    <n v="-16610.142497551555"/>
    <d v="2019-03-01T00:00:00"/>
    <s v="DBS"/>
    <d v="1899-12-30T09:42:11"/>
  </r>
  <r>
    <d v="2019-02-27T00:00:00"/>
    <s v="BUY"/>
    <s v="003555.KS"/>
    <s v="KR7003551009"/>
    <s v="YES"/>
    <s v="003555.KS"/>
    <m/>
    <s v="LG Corp"/>
    <s v="KRW"/>
    <n v="43758.0092"/>
    <m/>
    <n v="437"/>
    <n v="-19122250.020399999"/>
    <n v="-28683"/>
    <n v="0"/>
    <n v="0"/>
    <n v="-19150933.020399999"/>
    <n v="1270.1744014188573"/>
    <n v="-15077.404330466205"/>
    <d v="2019-03-01T00:00:00"/>
    <s v="Samsung"/>
    <d v="1899-12-30T09:43:42"/>
  </r>
  <r>
    <d v="2019-02-27T00:00:00"/>
    <s v="BUY"/>
    <s v="02826K.KS"/>
    <s v="KR702826K016"/>
    <s v="YES"/>
    <s v="02826K.KS"/>
    <m/>
    <s v="Samsung C&amp;T Corp"/>
    <s v="KRW"/>
    <n v="72996.470600000001"/>
    <m/>
    <n v="85"/>
    <n v="-6204700.0010000002"/>
    <n v="-9307"/>
    <n v="0"/>
    <n v="0"/>
    <n v="-6214007.0010000002"/>
    <n v="1270.1744014188591"/>
    <n v="-4892.247075723295"/>
    <d v="2019-03-01T00:00:00"/>
    <s v="Samsung"/>
    <d v="1899-12-30T09:45:51"/>
  </r>
  <r>
    <d v="2019-02-27T00:00:00"/>
    <s v="BUY"/>
    <s v="BT.L"/>
    <s v="GB0030913577"/>
    <s v="YES"/>
    <s v="BT.L"/>
    <m/>
    <s v="BT Group PLC"/>
    <s v="GBp"/>
    <n v="2.1884999999999999"/>
    <m/>
    <n v="11000"/>
    <n v="-24073.5"/>
    <n v="-19.260000000000002"/>
    <n v="-121.37"/>
    <n v="0"/>
    <n v="-24214.129999999997"/>
    <n v="0.85430546397144136"/>
    <n v="-28343.644072501746"/>
    <d v="2019-03-01T00:00:00"/>
    <s v="Equita"/>
    <d v="1899-12-30T09:47:57"/>
  </r>
  <r>
    <d v="2019-02-27T00:00:00"/>
    <s v="BUY"/>
    <s v="VOD.L"/>
    <s v="GB00BH4HKS39"/>
    <s v="YES"/>
    <s v="VOD.L"/>
    <m/>
    <s v="Vodafone Group PLC"/>
    <s v="GBp"/>
    <n v="1.3418000000000001"/>
    <m/>
    <n v="11000"/>
    <n v="-14759.800000000001"/>
    <n v="-11.81"/>
    <n v="-74.8"/>
    <n v="0"/>
    <n v="-14846.41"/>
    <n v="0.85430546397144258"/>
    <n v="-17378.339043956155"/>
    <d v="2019-03-01T00:00:00"/>
    <s v="Equita"/>
    <d v="1899-12-30T09:49:35"/>
  </r>
  <r>
    <d v="2019-02-27T00:00:00"/>
    <s v="BUY"/>
    <s v="ORAN.PA"/>
    <s v="FR0000133308"/>
    <s v="YES"/>
    <s v="ORAN.PA"/>
    <m/>
    <s v="Orange SA"/>
    <s v="EUR"/>
    <n v="13.4009"/>
    <m/>
    <n v="1100"/>
    <n v="-14740.99"/>
    <n v="-11.79"/>
    <n v="-44.22"/>
    <n v="0"/>
    <n v="-14797"/>
    <n v="1"/>
    <n v="-14797"/>
    <d v="2019-03-01T00:00:00"/>
    <s v="Equita"/>
    <d v="1899-12-30T14:48:27"/>
  </r>
  <r>
    <d v="2019-02-27T00:00:00"/>
    <s v="BUY"/>
    <s v="RMG.L"/>
    <s v="GB00BDVZYZ77"/>
    <s v="YES"/>
    <s v="RMG.L"/>
    <m/>
    <s v="Royal Mail PLC"/>
    <s v="GBp"/>
    <n v="2.7734000000000001"/>
    <m/>
    <n v="17000"/>
    <n v="-47147.8"/>
    <n v="-37.72"/>
    <n v="-236.74"/>
    <n v="0"/>
    <n v="-47422.26"/>
    <n v="0.85430546397144125"/>
    <n v="-55509.723395126603"/>
    <d v="2019-03-01T00:00:00"/>
    <s v="Equita"/>
    <d v="1899-12-30T14:50:13"/>
  </r>
  <r>
    <d v="2019-02-27T00:00:00"/>
    <s v="BUY"/>
    <s v="INME.I"/>
    <s v="IE00B59HWB19"/>
    <s v="YES"/>
    <s v="INME.I"/>
    <m/>
    <s v="Independent News &amp; Media PLC"/>
    <s v="EUR"/>
    <n v="6.7900000000000002E-2"/>
    <m/>
    <n v="170000"/>
    <n v="-11543"/>
    <n v="-9.23"/>
    <n v="-115.43"/>
    <n v="0"/>
    <n v="-11667.66"/>
    <n v="1"/>
    <n v="-11667.66"/>
    <d v="2019-03-01T00:00:00"/>
    <s v="Equita"/>
    <d v="1899-12-30T14:51:22"/>
  </r>
  <r>
    <d v="2019-02-27T00:00:00"/>
    <s v="BUY"/>
    <s v="RCH.L"/>
    <s v="GB0009039941"/>
    <s v="YES"/>
    <s v="RCH.L"/>
    <m/>
    <s v="Reach PLC"/>
    <s v="GBp"/>
    <n v="0.61509999999999998"/>
    <m/>
    <n v="7467"/>
    <n v="-4592.9516999999996"/>
    <n v="-3.67"/>
    <n v="-22.96"/>
    <n v="0"/>
    <n v="-4619.5816999999997"/>
    <n v="0.85430546397144025"/>
    <n v="-5407.4120965173106"/>
    <d v="2019-03-01T00:00:00"/>
    <s v="Equita"/>
    <d v="1899-12-30T16:02:21"/>
  </r>
  <r>
    <d v="2019-02-27T00:00:00"/>
    <s v="BUY"/>
    <s v="KT.N"/>
    <s v="US48268K1016"/>
    <s v="YES"/>
    <s v="KT.N"/>
    <m/>
    <s v="KT Corp"/>
    <s v="USD"/>
    <n v="13.6812"/>
    <m/>
    <n v="5000"/>
    <n v="-68406"/>
    <n v="-54.72"/>
    <n v="0"/>
    <n v="0"/>
    <n v="-68460.72"/>
    <n v="1.1369062507105665"/>
    <n v="-60216.680097599994"/>
    <d v="2019-03-01T00:00:00"/>
    <s v="Equita"/>
    <d v="1899-12-30T16:04:06"/>
  </r>
  <r>
    <d v="2019-02-27T00:00:00"/>
    <s v="BUY"/>
    <s v="SKM"/>
    <s v="US78440P1084"/>
    <s v="YES"/>
    <s v="SKM"/>
    <m/>
    <s v="SK Telecom Co Ltd"/>
    <s v="USD"/>
    <n v="26.040500000000002"/>
    <m/>
    <n v="2700"/>
    <n v="-70309.350000000006"/>
    <n v="-56.25"/>
    <n v="0"/>
    <n v="0"/>
    <n v="-70365.600000000006"/>
    <n v="1.1369062507105663"/>
    <n v="-61892.174448000012"/>
    <d v="2019-03-01T00:00:00"/>
    <s v="Equita"/>
    <d v="1899-12-30T15:19:43"/>
  </r>
  <r>
    <d v="2019-02-27T00:00:00"/>
    <s v="BUY"/>
    <s v="QCOM.O"/>
    <s v="US7475251036"/>
    <s v="YES"/>
    <s v="QCOM.O"/>
    <m/>
    <s v="Qualcomm Inc"/>
    <s v="USD"/>
    <n v="52.6462"/>
    <m/>
    <n v="420"/>
    <n v="-22111.403999999999"/>
    <n v="-17.690000000000001"/>
    <n v="0"/>
    <n v="0"/>
    <n v="-22129.093999999997"/>
    <n v="1.1369062507105665"/>
    <n v="-19464.308500519997"/>
    <d v="2019-03-01T00:00:00"/>
    <s v="Equita"/>
    <d v="1899-12-30T15:21:21"/>
  </r>
  <r>
    <d v="2019-02-27T00:00:00"/>
    <s v="BUY"/>
    <s v="KB"/>
    <s v="US48241A1051"/>
    <s v="YES"/>
    <s v="KB"/>
    <m/>
    <s v="KB Financial Group Inc"/>
    <s v="USD"/>
    <n v="39.9041"/>
    <m/>
    <n v="1100"/>
    <n v="-43894.51"/>
    <n v="-35.119999999999997"/>
    <n v="0"/>
    <n v="0"/>
    <n v="-43929.630000000005"/>
    <n v="1.1369062507105663"/>
    <n v="-38639.623955400006"/>
    <d v="2019-03-01T00:00:00"/>
    <s v="Equita"/>
    <d v="1899-12-30T15:23:07"/>
  </r>
  <r>
    <d v="2019-02-27T00:00:00"/>
    <s v="BUY"/>
    <s v="SHG"/>
    <s v="US8245961003"/>
    <s v="YES"/>
    <s v="SHG"/>
    <m/>
    <s v="Shinhan Financial Group Co Ltd"/>
    <s v="USD"/>
    <n v="38.643000000000001"/>
    <m/>
    <n v="1100"/>
    <n v="-42507.3"/>
    <n v="-34.01"/>
    <n v="0"/>
    <n v="0"/>
    <n v="-42541.310000000005"/>
    <n v="1.1369062507105663"/>
    <n v="-37418.485449800006"/>
    <d v="2019-03-01T00:00:00"/>
    <s v="Equita"/>
    <d v="1899-12-30T19:02:52"/>
  </r>
  <r>
    <d v="2019-02-28T00:00:00"/>
    <s v="BUY"/>
    <s v="KT.N"/>
    <s v="US48268K1016"/>
    <s v="YES"/>
    <s v="KT.N"/>
    <m/>
    <s v="KT Corp"/>
    <s v="USD"/>
    <n v="13.5021"/>
    <m/>
    <n v="1700"/>
    <n v="-22953.57"/>
    <n v="-18.36"/>
    <n v="0"/>
    <n v="0"/>
    <n v="-22971.93"/>
    <n v="1.1369062507105663"/>
    <n v="-20205.650189400003"/>
    <d v="2019-03-04T00:00:00"/>
    <s v="Equita"/>
    <d v="1899-12-30T19:04:38"/>
  </r>
  <r>
    <d v="2019-02-28T00:00:00"/>
    <s v="BUY"/>
    <s v="SKM"/>
    <s v="US78440P1084"/>
    <s v="YES"/>
    <s v="SKM"/>
    <m/>
    <s v="SK Telecom Co Ltd"/>
    <s v="USD"/>
    <n v="25.6541"/>
    <m/>
    <n v="1700"/>
    <n v="-43611.97"/>
    <n v="-34.89"/>
    <n v="0"/>
    <n v="0"/>
    <n v="-43646.86"/>
    <n v="1.1369062507105663"/>
    <n v="-38390.905118800001"/>
    <d v="2019-03-04T00:00:00"/>
    <s v="Equita"/>
    <d v="1899-12-30T19:06:23"/>
  </r>
  <r>
    <d v="2019-02-28T00:00:00"/>
    <s v="BUY"/>
    <s v="CFP.TO"/>
    <s v="CA1375761048"/>
    <s v="YES"/>
    <s v="cfp.to"/>
    <m/>
    <s v="Canfor Corp"/>
    <s v="CAD"/>
    <n v="14.0526"/>
    <m/>
    <n v="1700"/>
    <n v="-23889.42"/>
    <n v="-19.11"/>
    <n v="0"/>
    <n v="0"/>
    <n v="-23908.53"/>
    <n v="1.4969699036963764"/>
    <n v="-15971.283017089472"/>
    <d v="2019-03-04T00:00:00"/>
    <s v="Equita"/>
    <d v="1899-12-30T19:07:32"/>
  </r>
  <r>
    <d v="2019-03-04T00:00:00"/>
    <s v="BUY"/>
    <s v="003555.KS"/>
    <s v="KR7003551009"/>
    <s v="YES"/>
    <s v="003555.ks"/>
    <m/>
    <s v="LG Corp"/>
    <s v="KRW"/>
    <n v="43298.841399999998"/>
    <m/>
    <n v="561"/>
    <n v="-24290650.025399998"/>
    <n v="-36436"/>
    <n v="0"/>
    <n v="0"/>
    <n v="-24327086.025399998"/>
    <n v="1279.1619479048707"/>
    <n v="-19017.987570100206"/>
    <d v="2019-03-06T00:00:00"/>
    <s v="Samsung"/>
    <d v="1899-12-30T19:09:10"/>
  </r>
  <r>
    <d v="2019-03-04T00:00:00"/>
    <s v="BUY"/>
    <s v="02826K.KS"/>
    <s v="KR702826K016"/>
    <s v="YES"/>
    <s v="02826k.ks"/>
    <m/>
    <s v="Samsung C&amp;T Corp"/>
    <s v="KRW"/>
    <n v="72368.720400000006"/>
    <m/>
    <n v="211"/>
    <n v="-15269800.004400002"/>
    <n v="-22905"/>
    <n v="0"/>
    <n v="0"/>
    <n v="-15292705.004400002"/>
    <n v="1279.1619479048693"/>
    <n v="-11955.253226104654"/>
    <d v="2019-03-06T00:00:00"/>
    <s v="Samsung"/>
    <d v="1899-12-30T11:47:23"/>
  </r>
  <r>
    <d v="2019-03-04T00:00:00"/>
    <s v="BUY"/>
    <s v="036830.KQ"/>
    <s v="KR7036830008"/>
    <s v="YES"/>
    <s v="036830.kq"/>
    <m/>
    <s v="SoulBrain Co Ltd"/>
    <s v="KRW"/>
    <n v="51816.190499999997"/>
    <m/>
    <n v="420"/>
    <n v="-21762800.009999998"/>
    <n v="-32644"/>
    <n v="0"/>
    <n v="0"/>
    <n v="-21795444.009999998"/>
    <n v="1279.1619479048711"/>
    <n v="-17038.84644606461"/>
    <d v="2019-03-06T00:00:00"/>
    <s v="Samsung"/>
    <d v="1899-12-30T11:49:01"/>
  </r>
  <r>
    <d v="2019-03-04T00:00:00"/>
    <s v="BUY"/>
    <s v="042600.kq"/>
    <s v="KR7042600007"/>
    <s v="YES"/>
    <s v="042600.kq"/>
    <m/>
    <s v="Seronics Co Ltd"/>
    <s v="KRW"/>
    <n v="5406.3040000000001"/>
    <m/>
    <n v="5000"/>
    <n v="-27031520"/>
    <n v="-40547"/>
    <n v="0"/>
    <n v="0"/>
    <n v="-27072067"/>
    <n v="1279.1619479048711"/>
    <n v="-21163.908951748537"/>
    <d v="2019-03-06T00:00:00"/>
    <s v="Samsung"/>
    <d v="1899-12-30T11:50:10"/>
  </r>
  <r>
    <d v="2019-03-04T00:00:00"/>
    <s v="BUY"/>
    <s v="105560.ks"/>
    <s v="KR7105560007"/>
    <s v="YES"/>
    <s v="105560.ks"/>
    <m/>
    <s v="KB Financial Group Inc"/>
    <s v="KRW"/>
    <n v="44700"/>
    <m/>
    <n v="690"/>
    <n v="-30843000"/>
    <n v="-46265"/>
    <n v="0"/>
    <n v="0"/>
    <n v="-30889265"/>
    <n v="1279.1619479048707"/>
    <n v="-24148.048689685686"/>
    <d v="2019-03-06T00:00:00"/>
    <s v="Samsung"/>
    <d v="1899-12-30T15:53:24"/>
  </r>
  <r>
    <d v="2019-03-04T00:00:00"/>
    <s v="BUY"/>
    <s v="NHY.OL"/>
    <s v="NO0005052605"/>
    <s v="YES"/>
    <s v="NHY.OL"/>
    <m/>
    <s v="Norsk Hydro ASA"/>
    <s v="NOK"/>
    <n v="34.398499999999999"/>
    <m/>
    <n v="4100"/>
    <n v="-141033.85"/>
    <n v="-113"/>
    <n v="0"/>
    <n v="0"/>
    <n v="-141146.85"/>
    <n v="9.6958097395243374"/>
    <n v="-14557.510284532922"/>
    <d v="2019-03-06T00:00:00"/>
    <s v="Equita"/>
    <d v="1899-12-30T15:55:25"/>
  </r>
  <r>
    <d v="2019-03-04T00:00:00"/>
    <s v="BUY"/>
    <s v="LAN.PA"/>
    <s v="FR0004027068"/>
    <s v="YES"/>
    <s v="LAN.PA"/>
    <m/>
    <s v="Lanson BCC SA"/>
    <s v="EUR"/>
    <n v="27.993400000000001"/>
    <m/>
    <n v="670"/>
    <n v="-18755.578000000001"/>
    <n v="-15"/>
    <n v="0"/>
    <n v="0"/>
    <n v="-18770.578000000001"/>
    <n v="1"/>
    <n v="-18770.578000000001"/>
    <d v="2019-03-06T00:00:00"/>
    <s v="Equita"/>
    <d v="1899-12-30T15:57:11"/>
  </r>
  <r>
    <d v="2019-03-04T00:00:00"/>
    <s v="BUY"/>
    <s v="VRKP.PA"/>
    <s v="FR0000062796"/>
    <s v="YES"/>
    <s v="VRKP.PA"/>
    <m/>
    <s v="Vranken Pommery Monopole SA"/>
    <s v="EUR"/>
    <n v="23.525400000000001"/>
    <m/>
    <n v="670"/>
    <n v="-15762.018"/>
    <n v="-13"/>
    <n v="0"/>
    <n v="0"/>
    <n v="-15775.018"/>
    <n v="1"/>
    <n v="-15775.018"/>
    <d v="2019-03-06T00:00:00"/>
    <s v="Equita"/>
    <d v="1899-12-30T15:58:56"/>
  </r>
  <r>
    <d v="2019-03-04T00:00:00"/>
    <s v="BUY"/>
    <s v="KB"/>
    <s v="US48241A1051"/>
    <s v="YES"/>
    <s v="KB"/>
    <m/>
    <s v="KB Financial Group Inc"/>
    <s v="USD"/>
    <n v="37.778399999999998"/>
    <m/>
    <n v="420"/>
    <n v="-15866.928"/>
    <n v="-13"/>
    <n v="0"/>
    <n v="0"/>
    <n v="-15879.928"/>
    <n v="1.1325028312570784"/>
    <n v="-14021.976423999997"/>
    <d v="2019-03-06T00:00:00"/>
    <s v="Equita"/>
    <d v="1899-12-30T16:00:05"/>
  </r>
  <r>
    <d v="2019-03-05T00:00:00"/>
    <s v="BUY"/>
    <s v="SYR.AX"/>
    <s v="AU000000SYR9"/>
    <s v="YES"/>
    <s v="SYR.AX"/>
    <m/>
    <s v="Syrah Resources Ltd"/>
    <s v="AUD"/>
    <n v="1.3353999999999999"/>
    <m/>
    <n v="22000"/>
    <n v="-29378.799999999999"/>
    <n v="-24"/>
    <n v="0"/>
    <n v="0"/>
    <n v="-29402.799999999999"/>
    <n v="1.5966477916194786"/>
    <n v="-18415.332520002274"/>
    <d v="2019-03-07T00:00:00"/>
    <s v="Equita"/>
    <d v="1899-12-30T16:01:43"/>
  </r>
  <r>
    <d v="2019-03-05T00:00:00"/>
    <s v="BUY"/>
    <s v="6617.T"/>
    <s v="JP3591600006"/>
    <s v="YES"/>
    <s v="6617.T"/>
    <m/>
    <s v="Takaoka Toko Co Ltd"/>
    <s v="JPY"/>
    <n v="1402.0454999999999"/>
    <m/>
    <n v="2200"/>
    <n v="-3084500.1"/>
    <n v="-2468"/>
    <n v="0"/>
    <n v="0"/>
    <n v="-3086968.1"/>
    <n v="125.87768969422424"/>
    <n v="-24523.552247413405"/>
    <d v="2019-03-08T00:00:00"/>
    <s v="Equita"/>
    <d v="1899-12-30T16:03:29"/>
  </r>
  <r>
    <d v="2019-03-05T00:00:00"/>
    <s v="BUY"/>
    <s v="5302.T"/>
    <s v="JP3690400001"/>
    <s v="YES"/>
    <s v="5302.t"/>
    <m/>
    <s v="Nippon Carbon Co Ltd"/>
    <s v="JPY"/>
    <n v="5480.9524000000001"/>
    <m/>
    <n v="420"/>
    <n v="-2302000.0079999999"/>
    <n v="-1842"/>
    <n v="0"/>
    <n v="0"/>
    <n v="-2303842.0079999999"/>
    <n v="125.87768969422439"/>
    <n v="-18302.226658245592"/>
    <d v="2019-03-08T00:00:00"/>
    <s v="Equita"/>
    <d v="1899-12-30T17:41:31"/>
  </r>
  <r>
    <d v="2019-03-05T00:00:00"/>
    <s v="BUY"/>
    <s v="5713.T"/>
    <s v="JP3402600005"/>
    <s v="YES"/>
    <s v="5713.T"/>
    <m/>
    <s v="Sumitomo Metal Mining Co Ltd"/>
    <s v="JPY"/>
    <n v="3307.4776000000002"/>
    <m/>
    <n v="670"/>
    <n v="-2216009.9920000001"/>
    <n v="-1773"/>
    <n v="0"/>
    <n v="0"/>
    <n v="-2217782.9920000001"/>
    <n v="125.87768969422436"/>
    <n v="-17618.554943193867"/>
    <d v="2019-03-08T00:00:00"/>
    <s v="Equita"/>
    <d v="1899-12-30T17:42:40"/>
  </r>
  <r>
    <d v="2019-03-05T00:00:00"/>
    <s v="BUY"/>
    <s v="2344.T"/>
    <s v="JP3834050001"/>
    <s v="YES"/>
    <s v="2344.t"/>
    <m/>
    <s v="Heian Ceremony Service Co Ltd"/>
    <s v="JPY"/>
    <n v="902"/>
    <m/>
    <n v="500"/>
    <n v="-451000"/>
    <n v="-361"/>
    <n v="0"/>
    <n v="0"/>
    <n v="-451361"/>
    <n v="125.87768969422432"/>
    <n v="-3585.710868196129"/>
    <d v="2019-03-08T00:00:00"/>
    <s v="Equita"/>
    <d v="1899-12-30T10:47:12"/>
  </r>
  <r>
    <d v="2019-03-05T00:00:00"/>
    <s v="BUY"/>
    <s v="8070.T"/>
    <s v="JP3576600005"/>
    <s v="YES"/>
    <s v="8070.T"/>
    <m/>
    <s v="Tokyo Sangyo Co Ltd"/>
    <s v="JPY"/>
    <n v="547.61189999999999"/>
    <m/>
    <n v="4200"/>
    <n v="-2299969.98"/>
    <n v="-1840"/>
    <n v="0"/>
    <n v="0"/>
    <n v="-2301809.98"/>
    <n v="125.8776896942242"/>
    <n v="-18286.083781736397"/>
    <d v="2019-03-08T00:00:00"/>
    <s v="Equita"/>
    <d v="1899-12-30T10:48:43"/>
  </r>
  <r>
    <d v="2019-03-05T00:00:00"/>
    <s v="BUY"/>
    <s v="1945.T"/>
    <s v="JP3585400009"/>
    <s v="YES"/>
    <s v="1945.T"/>
    <m/>
    <s v="Tokyo Energy &amp; Systems Inc"/>
    <s v="JPY"/>
    <n v="952.78330000000005"/>
    <m/>
    <n v="4200"/>
    <n v="-4001689.8600000003"/>
    <n v="-3201"/>
    <n v="0"/>
    <n v="0"/>
    <n v="-4004890.8600000003"/>
    <n v="125.8776896942243"/>
    <n v="-31815.732158164628"/>
    <d v="2019-03-08T00:00:00"/>
    <s v="Equita"/>
    <d v="1899-12-30T17:41:43"/>
  </r>
  <r>
    <d v="2019-03-07T00:00:00"/>
    <s v="BUY"/>
    <s v="RMG.L"/>
    <s v="GB00BDVZYZ77"/>
    <s v="YES"/>
    <s v="RMG.L"/>
    <m/>
    <s v="Royal Mail PLC"/>
    <s v="GBp"/>
    <n v="259.81"/>
    <m/>
    <n v="4650"/>
    <n v="-1208116.5"/>
    <n v="-10"/>
    <n v="0"/>
    <n v="-61"/>
    <n v="-1208187.5"/>
    <n v="0.84913929784824493"/>
    <n v="-1422837.8112538173"/>
    <d v="2019-03-09T00:00:00"/>
    <s v="Equita"/>
    <d v="1899-12-30T17:43:49"/>
  </r>
  <r>
    <d v="2019-03-08T00:00:00"/>
    <s v="BUY"/>
    <s v="IMTP.PA"/>
    <s v="FR0000120859"/>
    <s v="YES"/>
    <s v="IMTP.PA"/>
    <m/>
    <s v="Imerys SA"/>
    <s v="EUR"/>
    <n v="48.100900000000003"/>
    <m/>
    <n v="430"/>
    <n v="-20683.387000000002"/>
    <n v="-17"/>
    <n v="0"/>
    <n v="-62"/>
    <n v="-20762.387000000002"/>
    <n v="1"/>
    <n v="-20762.387000000002"/>
    <d v="2019-03-12T00:00:00"/>
    <s v="Equita"/>
    <d v="1899-12-30T17:45:27"/>
  </r>
  <r>
    <d v="2019-03-08T00:00:00"/>
    <s v="BUY"/>
    <s v="FCHA.MI"/>
    <s v="NL0010877643"/>
    <s v="YES"/>
    <s v="FCHA.MI"/>
    <m/>
    <s v="Fiat Chrysler Automobiles NV"/>
    <s v="EUR"/>
    <n v="12.8636"/>
    <m/>
    <n v="2100"/>
    <n v="-27013.56"/>
    <n v="-22"/>
    <n v="0"/>
    <n v="0"/>
    <n v="-27035.56"/>
    <n v="1"/>
    <n v="-27035.56"/>
    <d v="2019-03-12T00:00:00"/>
    <s v="Equita"/>
    <d v="1899-12-30T17:46:36"/>
  </r>
  <r>
    <d v="2019-03-11T00:00:00"/>
    <s v="BUY"/>
    <s v="2344.T"/>
    <s v="JP3834050001"/>
    <s v="YES"/>
    <s v="2344.T"/>
    <m/>
    <s v="Heian Ceremony Service Co Ltd"/>
    <s v="JPY"/>
    <n v="892.78949999999998"/>
    <m/>
    <n v="950"/>
    <n v="-848150.02500000002"/>
    <n v="-679"/>
    <n v="0"/>
    <n v="0"/>
    <n v="-848829.02500000002"/>
    <n v="125.87768969422432"/>
    <n v="-6743.2841122357131"/>
    <d v="2019-03-14T00:00:00"/>
    <s v="Equita"/>
    <d v="1899-12-30T17:48:39"/>
  </r>
  <r>
    <d v="2019-03-11T00:00:00"/>
    <s v="BUY"/>
    <s v="9055.T"/>
    <s v="JP3126450000"/>
    <s v="YES"/>
    <s v="9055.T"/>
    <m/>
    <s v="Alps Logistics Co Ltd"/>
    <s v="JPY"/>
    <n v="773.64189999999996"/>
    <m/>
    <n v="2150"/>
    <n v="-1663330.085"/>
    <n v="-1331"/>
    <n v="0"/>
    <n v="0"/>
    <n v="-1664661.085"/>
    <n v="125.87768969422419"/>
    <n v="-13224.433090913186"/>
    <d v="2019-03-14T00:00:00"/>
    <s v="Equita"/>
    <d v="1899-12-30T15:54:09"/>
  </r>
  <r>
    <d v="2019-03-11T00:00:00"/>
    <s v="BUY"/>
    <s v="1960.T"/>
    <s v="JP3335400002"/>
    <s v="YES"/>
    <s v="1960.t"/>
    <m/>
    <s v="Sanyo Engineering &amp; Construction Inc"/>
    <s v="JPY"/>
    <n v="709.24"/>
    <m/>
    <n v="2500"/>
    <n v="-1773100"/>
    <n v="-1418"/>
    <n v="0"/>
    <n v="0"/>
    <n v="-1774518"/>
    <n v="125.87768969422427"/>
    <n v="-14097.160539811062"/>
    <d v="2019-03-14T00:00:00"/>
    <s v="Equita"/>
    <d v="1899-12-30T15:55:55"/>
  </r>
  <r>
    <d v="2019-03-11T00:00:00"/>
    <s v="BUY"/>
    <s v="3891.T"/>
    <s v="JP3707000000"/>
    <s v="YES"/>
    <s v="3891.T"/>
    <m/>
    <s v="Nippon Kodoshi Corp"/>
    <s v="JPY"/>
    <n v="1543.8181999999999"/>
    <m/>
    <n v="1100"/>
    <n v="-1698200.02"/>
    <n v="-1359"/>
    <n v="0"/>
    <n v="0"/>
    <n v="-1699559.02"/>
    <n v="125.87768969422427"/>
    <n v="-13501.669947458386"/>
    <d v="2019-03-14T00:00:00"/>
    <s v="Equita"/>
    <d v="1899-12-30T15:40:02"/>
  </r>
  <r>
    <d v="2019-03-11T00:00:00"/>
    <s v="BUY"/>
    <s v="6501.T"/>
    <s v="JP3788600009"/>
    <s v="YES"/>
    <s v="6501.T"/>
    <m/>
    <s v="Hitachi Ltd"/>
    <s v="JPY"/>
    <n v="3164.5455000000002"/>
    <m/>
    <n v="550"/>
    <n v="-1740500.0250000001"/>
    <n v="-1392"/>
    <n v="0"/>
    <n v="0"/>
    <n v="-1741892.0250000001"/>
    <n v="125.8776896942242"/>
    <n v="-13837.972632253715"/>
    <d v="2019-03-14T00:00:00"/>
    <s v="Equita"/>
    <d v="1899-12-30T18:02:39"/>
  </r>
  <r>
    <d v="2019-03-11T00:00:00"/>
    <s v="BUY"/>
    <s v="003555.KS"/>
    <s v="KR7003551009"/>
    <s v="YES"/>
    <s v="003555.KS"/>
    <m/>
    <s v="LG Corp"/>
    <s v="KRW"/>
    <n v="43049.1463"/>
    <m/>
    <n v="410"/>
    <n v="-17650149.982999999"/>
    <n v="-26475"/>
    <n v="0"/>
    <n v="0"/>
    <n v="-17676624.982999999"/>
    <n v="1279.1619479048707"/>
    <n v="-13818.910898617962"/>
    <d v="2019-03-13T00:00:00"/>
    <s v="Samsung"/>
    <d v="1899-12-30T18:04:25"/>
  </r>
  <r>
    <d v="2019-03-11T00:00:00"/>
    <s v="BUY"/>
    <s v="006405.KS"/>
    <s v="KR7006401004"/>
    <s v="YES"/>
    <s v="006405.KS"/>
    <m/>
    <s v="Samsung SDI Co Ltd"/>
    <s v="KRW"/>
    <n v="93071.052599999995"/>
    <m/>
    <n v="190"/>
    <n v="-17683499.993999999"/>
    <n v="-26525"/>
    <n v="0"/>
    <n v="0"/>
    <n v="-17710024.993999999"/>
    <n v="1279.1619479048695"/>
    <n v="-13845.021752724217"/>
    <d v="2019-03-13T00:00:00"/>
    <s v="Samsung"/>
    <d v="1899-12-30T18:05:34"/>
  </r>
  <r>
    <d v="2019-03-11T00:00:00"/>
    <s v="BUY"/>
    <s v="02826K.KS"/>
    <s v="KR702826K016"/>
    <s v="YES"/>
    <s v="02826K.KS"/>
    <m/>
    <s v="Samsung C&amp;T Corp"/>
    <s v="KRW"/>
    <n v="72412.653099999996"/>
    <m/>
    <n v="245"/>
    <n v="-17741100.009500001"/>
    <n v="-26612"/>
    <n v="0"/>
    <n v="0"/>
    <n v="-17767712.009500001"/>
    <n v="1279.1619479048693"/>
    <n v="-13890.119260193454"/>
    <d v="2019-03-13T00:00:00"/>
    <s v="Samsung"/>
    <d v="1899-12-30T18:06:40"/>
  </r>
  <r>
    <d v="2019-03-14T00:00:00"/>
    <s v="BUY"/>
    <s v="WPP.L"/>
    <s v="Not Signed In"/>
    <s v="YES"/>
    <s v="WPP.L"/>
    <m/>
    <s v="Not Signed In"/>
    <s v="GBp"/>
    <n v="8.5595999999999997"/>
    <m/>
    <n v="2200"/>
    <n v="-18831.12"/>
    <n v="-15.06"/>
    <n v="0"/>
    <n v="-1"/>
    <n v="-18847.18"/>
    <n v="0.84913929784824116"/>
    <n v="-22195.628029181597"/>
    <d v="2019-03-18T00:00:00"/>
    <s v="Equita"/>
    <d v="1899-12-30T17:45:57"/>
  </r>
  <r>
    <d v="2019-03-15T00:00:00"/>
    <s v="BUY"/>
    <s v="WPP.L"/>
    <s v="JE00B8KF9B49"/>
    <s v="YES"/>
    <s v="wpp.l"/>
    <m/>
    <s v="WPP PLC"/>
    <s v="GBp"/>
    <n v="8.6150000000000002"/>
    <m/>
    <n v="2200"/>
    <n v="-18953"/>
    <n v="-15.16"/>
    <n v="0"/>
    <n v="-1"/>
    <n v="-18969.16"/>
    <n v="0.85368444846293212"/>
    <n v="-22220.34152567049"/>
    <d v="2019-03-19T00:00:00"/>
    <s v="Equita"/>
    <d v="1899-12-30T17:47:14"/>
  </r>
  <r>
    <d v="2019-03-15T00:00:00"/>
    <s v="BUY"/>
    <s v="SCAb.ST"/>
    <s v="SE0000112724"/>
    <s v="YES"/>
    <s v="SCAb.ST"/>
    <m/>
    <s v="Svenska Cellulosa SCA AB"/>
    <s v="SEK"/>
    <n v="82.797600000000003"/>
    <m/>
    <n v="2700"/>
    <n v="-223553.52000000002"/>
    <n v="-179"/>
    <n v="0"/>
    <n v="0"/>
    <n v="-223732.52000000002"/>
    <n v="10.512997287522607"/>
    <n v="-21281.516001677071"/>
    <d v="2019-03-19T00:00:00"/>
    <s v="Equita"/>
    <d v="1899-12-30T17:48:37"/>
  </r>
  <r>
    <d v="2019-03-15T00:00:00"/>
    <s v="BUY"/>
    <s v="KNL"/>
    <s v="US4989042001"/>
    <s v="YES"/>
    <s v="KNL"/>
    <m/>
    <s v="Knoll Inc"/>
    <s v="USD"/>
    <n v="20.192"/>
    <m/>
    <n v="1200"/>
    <n v="-24230.400000000001"/>
    <n v="-19"/>
    <n v="0"/>
    <n v="0"/>
    <n v="-24249.4"/>
    <n v="1.1325028312570784"/>
    <n v="-21412.220199999996"/>
    <d v="2019-03-19T00:00:00"/>
    <s v="Equita"/>
    <d v="1899-12-30T17:49:46"/>
  </r>
  <r>
    <d v="2019-03-18T00:00:00"/>
    <s v="BUY"/>
    <s v="003545.KS"/>
    <s v="KR7003541000"/>
    <s v="YES"/>
    <s v="003545.KS"/>
    <m/>
    <s v="DAISHIN SECURITIES CO LTD"/>
    <s v="KRW"/>
    <n v="8720"/>
    <m/>
    <n v="3500"/>
    <n v="-30520000"/>
    <n v="-45827"/>
    <n v="0"/>
    <n v="0"/>
    <n v="-30565827"/>
    <n v="1285.0509626274074"/>
    <n v="-23785.692465849988"/>
    <d v="2019-03-20T00:00:00"/>
    <s v="Samsung"/>
    <d v="1899-12-30T17:51:31"/>
  </r>
  <r>
    <d v="2019-03-18T00:00:00"/>
    <s v="BUY"/>
    <s v="003555.KS"/>
    <s v="KR7003551009"/>
    <s v="YES"/>
    <s v="003555.KS"/>
    <m/>
    <s v="LG Corp"/>
    <s v="KRW"/>
    <n v="44600"/>
    <m/>
    <n v="700"/>
    <n v="-31220000"/>
    <n v="-46711"/>
    <n v="0"/>
    <n v="0"/>
    <n v="-31266711"/>
    <n v="1285.0509626274049"/>
    <n v="-24331.105854410889"/>
    <d v="2019-03-20T00:00:00"/>
    <s v="Samsung"/>
    <d v="1899-12-30T17:52:37"/>
  </r>
  <r>
    <d v="2019-03-18T00:00:00"/>
    <s v="BUY"/>
    <s v="006405.KS"/>
    <s v="KR7006401004"/>
    <s v="YES"/>
    <s v="006405.KS"/>
    <m/>
    <s v="Samsung SDI Co Ltd"/>
    <s v="KRW"/>
    <n v="90600"/>
    <m/>
    <n v="300"/>
    <n v="-27180000"/>
    <n v="-40721"/>
    <n v="0"/>
    <n v="0"/>
    <n v="-27220721"/>
    <n v="1285.0509626274063"/>
    <n v="-21182.600372785764"/>
    <d v="2019-03-20T00:00:00"/>
    <s v="Samsung"/>
    <d v="1899-12-30T17:53:43"/>
  </r>
  <r>
    <d v="2019-03-18T00:00:00"/>
    <s v="BUY"/>
    <s v="02826K.KS"/>
    <s v="KR702826K016"/>
    <s v="YES"/>
    <s v="02826K.KS"/>
    <m/>
    <s v="Samsung C&amp;T Corp"/>
    <s v="KRW"/>
    <n v="72400"/>
    <m/>
    <n v="170"/>
    <n v="-12308000"/>
    <n v="-18405"/>
    <n v="0"/>
    <n v="0"/>
    <n v="-12326405"/>
    <n v="1285.0509626274065"/>
    <n v="-9592.1526526835296"/>
    <d v="2019-03-20T00:00:00"/>
    <s v="Samsung"/>
    <d v="1899-12-30T17:54:49"/>
  </r>
  <r>
    <d v="2019-03-18T00:00:00"/>
    <s v="BUY"/>
    <s v="096775.KS"/>
    <s v="KR7096771001"/>
    <s v="YES"/>
    <s v="096775.KS"/>
    <m/>
    <s v="SK Innovation Co Ltd"/>
    <s v="KRW"/>
    <n v="128000"/>
    <m/>
    <n v="220"/>
    <n v="-28160000"/>
    <n v="-42821"/>
    <n v="0"/>
    <n v="0"/>
    <n v="-28202821"/>
    <n v="1285.0509626274061"/>
    <n v="-21946.850218559979"/>
    <d v="2019-03-20T00:00:00"/>
    <s v="Samsung"/>
    <d v="1899-12-30T12:12:32"/>
  </r>
  <r>
    <d v="2019-03-18T00:00:00"/>
    <s v="BUY"/>
    <s v="SYR.AX"/>
    <s v="AU000000SYR9"/>
    <s v="YES"/>
    <s v="SYR.AX"/>
    <m/>
    <s v="Syrah Resources Ltd"/>
    <s v="AUD"/>
    <n v="1.06"/>
    <m/>
    <n v="22000"/>
    <n v="-23320"/>
    <n v="-19.25"/>
    <n v="0"/>
    <n v="0"/>
    <n v="-23339.25"/>
    <n v="1.5979954699886756"/>
    <n v="-14605.329263020625"/>
    <d v="2019-03-20T00:00:00"/>
    <s v="Equita"/>
    <d v="1899-12-30T12:14:18"/>
  </r>
  <r>
    <d v="2019-03-18T00:00:00"/>
    <s v="BUY"/>
    <s v="2344.T"/>
    <s v="JP3834050001"/>
    <s v="YES"/>
    <s v="2344.T"/>
    <m/>
    <s v="Heian Ceremony Service Co Ltd"/>
    <s v="JPY"/>
    <n v="892"/>
    <m/>
    <n v="1800"/>
    <n v="-1605600"/>
    <n v="-1273"/>
    <n v="0"/>
    <n v="0"/>
    <n v="-1606873"/>
    <n v="126.21744054360137"/>
    <n v="-12730.990210856886"/>
    <d v="2019-03-21T00:00:00"/>
    <s v="Equita"/>
    <d v="1899-12-30T14:23:13"/>
  </r>
  <r>
    <d v="2019-03-18T00:00:00"/>
    <s v="BUY"/>
    <s v="6752.t"/>
    <s v="JP3866800000"/>
    <s v="YES"/>
    <s v="6752.T"/>
    <m/>
    <s v="Panasonic Corp"/>
    <s v="JPY"/>
    <n v="969.7"/>
    <m/>
    <n v="3500"/>
    <n v="-3393950"/>
    <n v="-2711"/>
    <n v="0"/>
    <n v="0"/>
    <n v="-3396661"/>
    <n v="126.21744054360144"/>
    <n v="-26911.185850157002"/>
    <d v="2019-03-21T00:00:00"/>
    <s v="Equita"/>
    <d v="1899-12-30T14:24:36"/>
  </r>
  <r>
    <d v="2019-03-18T00:00:00"/>
    <s v="BUY"/>
    <s v="VRKP.PA"/>
    <s v="FR0000062796"/>
    <s v="YES"/>
    <s v="VRKP.PA"/>
    <m/>
    <s v="Vranken Pommery Monopole SA"/>
    <s v="EUR"/>
    <n v="23.4"/>
    <m/>
    <n v="460"/>
    <n v="-10764"/>
    <n v="-8.61"/>
    <n v="0"/>
    <n v="0"/>
    <n v="-10772.61"/>
    <n v="1"/>
    <n v="-10772.61"/>
    <d v="2019-03-20T00:00:00"/>
    <s v="Equita"/>
    <d v="1899-12-30T14:26:14"/>
  </r>
  <r>
    <d v="2019-03-18T00:00:00"/>
    <s v="BUY"/>
    <s v="LAN.PA"/>
    <s v="FR0004027068"/>
    <s v="YES"/>
    <s v="LAN.PA"/>
    <m/>
    <s v="Lanson BCC SA"/>
    <s v="EUR"/>
    <n v="27"/>
    <m/>
    <n v="670"/>
    <n v="-18090"/>
    <n v="-14.47"/>
    <n v="0"/>
    <n v="0"/>
    <n v="-18104.47"/>
    <n v="1"/>
    <n v="-18104.47"/>
    <d v="2019-03-20T00:00:00"/>
    <s v="Equita"/>
    <d v="1899-12-30T14:28:00"/>
  </r>
  <r>
    <d v="2019-03-18T00:00:00"/>
    <s v="BUY"/>
    <s v="INME.I"/>
    <s v="IE00B59HWB19"/>
    <s v="YES"/>
    <s v="INME.I"/>
    <m/>
    <s v="Independent News &amp; Media PLC"/>
    <s v="EUR"/>
    <n v="6.3299999999999995E-2"/>
    <m/>
    <n v="216000"/>
    <n v="-13672.8"/>
    <n v="-10.94"/>
    <n v="-136.72999999999999"/>
    <n v="0"/>
    <n v="-13820.47"/>
    <n v="1"/>
    <n v="-13820.47"/>
    <d v="2019-03-20T00:00:00"/>
    <s v="Equita"/>
    <d v="1899-12-30T15:38:11"/>
  </r>
  <r>
    <d v="2019-03-18T00:00:00"/>
    <s v="BUY"/>
    <s v="O2Dn.DE"/>
    <s v="DE000A1J5RX9"/>
    <s v="YES"/>
    <s v="O2Dn.DE"/>
    <m/>
    <s v="Telefonica Deutschland Holding AG"/>
    <s v="EUR"/>
    <n v="2.9552999999999998"/>
    <m/>
    <n v="4800"/>
    <n v="-14185.439999999999"/>
    <n v="-11.35"/>
    <n v="0"/>
    <n v="0"/>
    <n v="-14196.789999999999"/>
    <n v="1"/>
    <n v="-14196.789999999999"/>
    <d v="2019-03-20T00:00:00"/>
    <s v="Equita"/>
    <d v="1899-12-30T18:24:37"/>
  </r>
  <r>
    <d v="2019-03-18T00:00:00"/>
    <s v="BUY"/>
    <s v="JNPR.K"/>
    <s v="US48203R1041"/>
    <s v="YES"/>
    <s v="JNPR.K"/>
    <m/>
    <s v="Juniper Networks Inc"/>
    <s v="USD"/>
    <n v="26.834499999999998"/>
    <m/>
    <n v="600"/>
    <n v="-16100.699999999999"/>
    <n v="-12.88"/>
    <n v="0"/>
    <n v="0"/>
    <n v="-16113.579999999998"/>
    <n v="1.1325028312570782"/>
    <n v="-14228.291139999998"/>
    <d v="2019-03-20T00:00:00"/>
    <s v="Equita"/>
    <d v="1899-12-30T18:26:38"/>
  </r>
  <r>
    <d v="2019-03-19T00:00:00"/>
    <s v="BUY"/>
    <s v="02826K.KS"/>
    <s v="KR702826K016"/>
    <s v="YES"/>
    <s v="02826k.ks"/>
    <m/>
    <s v="Samsung C&amp;T Corp"/>
    <s v="KRW"/>
    <n v="72900"/>
    <m/>
    <n v="43"/>
    <n v="-3134700"/>
    <n v="-4681"/>
    <n v="0"/>
    <n v="0"/>
    <n v="-3139381"/>
    <n v="1282.3987379841794"/>
    <n v="-2448.0537191847498"/>
    <d v="2019-03-21T00:00:00"/>
    <s v="Samsung"/>
    <d v="1899-12-30T18:28:09"/>
  </r>
  <r>
    <d v="2019-03-19T00:00:00"/>
    <s v="BUY"/>
    <s v="RCH.L"/>
    <s v="GB0009039941"/>
    <s v="YES"/>
    <s v="RCH.L"/>
    <m/>
    <s v="Reach PLC"/>
    <s v="GBp"/>
    <n v="0.64"/>
    <m/>
    <n v="4195"/>
    <n v="-2684.8"/>
    <n v="-2.15"/>
    <n v="-13.42"/>
    <n v="0"/>
    <n v="-2700.3700000000003"/>
    <n v="0.85543563378843113"/>
    <n v="-3156.7190953233821"/>
    <d v="2019-03-21T00:00:00"/>
    <s v="Equita"/>
    <d v="1899-12-30T18:30:18"/>
  </r>
  <r>
    <d v="2019-03-19T00:00:00"/>
    <s v="BUY"/>
    <s v="RBBN.O"/>
    <s v="US7625441040"/>
    <s v="YES"/>
    <s v="RBBN.O"/>
    <m/>
    <s v="Ribbon Communications Inc"/>
    <s v="USD"/>
    <n v="5.3028000000000004"/>
    <m/>
    <n v="3200"/>
    <n v="-16968.960000000003"/>
    <n v="-13.58"/>
    <n v="0"/>
    <n v="0"/>
    <n v="-16982.540000000005"/>
    <n v="1.134906313483822"/>
    <n v="-14963.825470200003"/>
    <d v="2019-03-21T00:00:00"/>
    <s v="Equita"/>
    <d v="1899-12-30T11:56:13"/>
  </r>
  <r>
    <d v="2019-03-20T00:00:00"/>
    <s v="BUY"/>
    <s v="4005.T"/>
    <s v="JP3401400001"/>
    <s v="YES"/>
    <s v="4005.T"/>
    <m/>
    <s v="Sumitomo Chemical Co Ltd"/>
    <s v="JPY"/>
    <n v="537"/>
    <m/>
    <n v="3530"/>
    <n v="-1895610"/>
    <n v="-1516"/>
    <n v="0"/>
    <n v="0"/>
    <n v="-1897126"/>
    <n v="126.39451613269338"/>
    <n v="-15009.559417976099"/>
    <d v="2019-03-23T00:00:00"/>
    <s v="Equita"/>
    <d v="1899-12-30T11:57:51"/>
  </r>
  <r>
    <d v="2019-03-20T00:00:00"/>
    <s v="BUY"/>
    <s v="4092.T"/>
    <s v="Not Signed In"/>
    <s v="YES"/>
    <s v="4092.t"/>
    <m/>
    <s v="Nippon Chemical Industrial Co Ltd"/>
    <s v="JPY"/>
    <n v="2062"/>
    <m/>
    <n v="930"/>
    <n v="-1917660"/>
    <n v="-1534"/>
    <n v="0"/>
    <n v="0"/>
    <n v="-1919194"/>
    <n v="126.29657100473587"/>
    <n v="-15195.931170039716"/>
    <d v="2019-03-23T00:00:00"/>
    <s v="Equita"/>
    <d v="1899-12-30T11:59:37"/>
  </r>
  <r>
    <d v="2019-03-20T00:00:00"/>
    <s v="BUY"/>
    <s v="02826K.KS"/>
    <s v="Not Signed In"/>
    <s v="YES"/>
    <s v="02826k.ks"/>
    <m/>
    <s v="Samsung C&amp;T Corp"/>
    <s v="KRW"/>
    <n v="72838.164300000004"/>
    <m/>
    <n v="207"/>
    <n v="-15077500.010100001"/>
    <n v="-22616"/>
    <n v="0"/>
    <n v="0"/>
    <n v="-15100116.010100001"/>
    <n v="1283.7907228846932"/>
    <n v="-11762.132052309787"/>
    <d v="2019-03-22T00:00:00"/>
    <s v="Samsung"/>
    <d v="1899-12-30T17:23:54"/>
  </r>
  <r>
    <d v="2019-03-20T00:00:00"/>
    <s v="BUY"/>
    <s v="A3M.MC"/>
    <s v="Not Signed In"/>
    <s v="YES"/>
    <s v="A3M.MC"/>
    <m/>
    <s v="Atresmedia Corporacion de Medios de Comunicacion SA"/>
    <s v="EUR"/>
    <n v="4.5237999999999996"/>
    <m/>
    <n v="4800"/>
    <n v="-21714.239999999998"/>
    <n v="-17.37"/>
    <n v="0"/>
    <n v="0"/>
    <n v="-21731.609999999997"/>
    <n v="1"/>
    <n v="-21731.609999999997"/>
    <d v="2019-03-22T00:00:00"/>
    <s v="Equita"/>
    <d v="1899-12-30T17:25:55"/>
  </r>
  <r>
    <d v="2019-03-20T00:00:00"/>
    <s v="BUY"/>
    <s v="STERV.HE"/>
    <s v="Not Signed In"/>
    <s v="YES"/>
    <s v="STERV.HE"/>
    <m/>
    <s v="Stora Enso Oyj"/>
    <s v="EUR"/>
    <n v="11.569900000000001"/>
    <m/>
    <n v="1300"/>
    <n v="-15040.87"/>
    <n v="-12.03"/>
    <n v="0"/>
    <n v="0"/>
    <n v="-15052.900000000001"/>
    <n v="1"/>
    <n v="-15052.900000000001"/>
    <d v="2019-03-22T00:00:00"/>
    <s v="Equita"/>
    <d v="1899-12-30T17:27:41"/>
  </r>
  <r>
    <d v="2019-03-20T00:00:00"/>
    <s v="BUY"/>
    <s v="rtn.l"/>
    <s v="Not Signed In"/>
    <s v="YES"/>
    <s v="rtn.l"/>
    <m/>
    <s v="Restaurant Group PLC"/>
    <s v="GBp"/>
    <n v="1.2716000000000001"/>
    <m/>
    <n v="15000"/>
    <n v="-19074"/>
    <n v="-15.26"/>
    <n v="0"/>
    <n v="-96.37"/>
    <n v="-19185.629999999997"/>
    <n v="0.86473440976778737"/>
    <n v="-22186.73130534037"/>
    <d v="2019-03-22T00:00:00"/>
    <s v="Equita"/>
    <d v="1899-12-30T17:29:26"/>
  </r>
  <r>
    <d v="2019-03-20T00:00:00"/>
    <s v="BUY"/>
    <s v="RCH.L"/>
    <s v="Not Signed In"/>
    <s v="YES"/>
    <s v="rch.l"/>
    <m/>
    <s v="Reach PLC"/>
    <s v="GBp"/>
    <n v="0.64980000000000004"/>
    <m/>
    <n v="15500"/>
    <n v="-10071.900000000001"/>
    <n v="-8.06"/>
    <n v="0"/>
    <n v="-51.36"/>
    <n v="-10131.320000000002"/>
    <n v="0.86473440976778704"/>
    <n v="-11716.10599226719"/>
    <d v="2019-03-22T00:00:00"/>
    <s v="Equita"/>
    <d v="1899-12-30T09:19:58"/>
  </r>
  <r>
    <d v="2019-03-21T00:00:00"/>
    <s v="BUY"/>
    <s v="006405.KS"/>
    <s v="Not Signed In"/>
    <s v="YES"/>
    <s v="006405.KS"/>
    <m/>
    <s v="Samsung SDI Co Ltd"/>
    <s v="KRW"/>
    <n v="90924.583299999998"/>
    <m/>
    <n v="240"/>
    <n v="-21821899.991999999"/>
    <n v="-32733"/>
    <n v="0"/>
    <n v="0"/>
    <n v="-21854632.991999999"/>
    <n v="1283.7907228846925"/>
    <n v="-17023.51684150855"/>
    <d v="2019-03-25T00:00:00"/>
    <s v="Samsung"/>
    <d v="1899-12-30T16:58:13"/>
  </r>
  <r>
    <d v="2019-03-21T00:00:00"/>
    <s v="BUY"/>
    <s v="032830.KS"/>
    <s v="Not Signed In"/>
    <s v="YES"/>
    <s v="032830.KS"/>
    <m/>
    <s v="Samsung Life Insurance Co Ltd"/>
    <s v="KRW"/>
    <n v="87100"/>
    <m/>
    <n v="230"/>
    <n v="-20033000"/>
    <n v="-30050"/>
    <n v="0"/>
    <n v="0"/>
    <n v="-20063050"/>
    <n v="1283.7907228846921"/>
    <n v="-15627.975527754325"/>
    <d v="2019-03-25T00:00:00"/>
    <s v="Samsung"/>
    <d v="1899-12-30T16:59:59"/>
  </r>
  <r>
    <d v="2019-03-21T00:00:00"/>
    <s v="BUY"/>
    <s v="M"/>
    <s v="Not Signed In"/>
    <s v="YES"/>
    <s v="M"/>
    <m/>
    <s v="Macy's Inc"/>
    <s v="USD"/>
    <n v="23.915199999999999"/>
    <m/>
    <n v="740"/>
    <n v="-17697.248"/>
    <n v="-14.16"/>
    <n v="0"/>
    <n v="0"/>
    <n v="-17711.407999999999"/>
    <n v="1.1312985044233772"/>
    <n v="-15655.821987519999"/>
    <d v="2019-03-25T00:00:00"/>
    <s v="Equita"/>
    <d v="1899-12-30T17:01:05"/>
  </r>
  <r>
    <d v="2019-03-22T00:00:00"/>
    <s v="BUY"/>
    <s v="9433.T"/>
    <s v="Not Signed In"/>
    <s v="YES"/>
    <s v="9433.T"/>
    <m/>
    <s v="KDDI Corp"/>
    <s v="JPY"/>
    <n v="2471"/>
    <m/>
    <n v="1600"/>
    <n v="-3953600"/>
    <n v="-3163"/>
    <n v="0"/>
    <n v="0"/>
    <n v="-3956763"/>
    <n v="124.3410186211735"/>
    <n v="-31821.864127194945"/>
    <d v="2019-03-27T00:00:00"/>
    <s v="Equita"/>
    <d v="1899-12-30T16:32:45"/>
  </r>
  <r>
    <d v="2019-03-22T00:00:00"/>
    <s v="BUY"/>
    <s v="4188.T"/>
    <s v="Not Signed In"/>
    <s v="YES"/>
    <s v="4188.T"/>
    <m/>
    <s v="Mitsubishi Chemical Holdings Corp"/>
    <s v="JPY"/>
    <n v="820"/>
    <m/>
    <n v="2400"/>
    <n v="-1968000"/>
    <n v="-1574"/>
    <n v="0"/>
    <n v="0"/>
    <n v="-1969574"/>
    <n v="124.34101862117349"/>
    <n v="-15840.098640342085"/>
    <d v="2019-03-27T00:00:00"/>
    <s v="Equita"/>
    <d v="1899-12-30T17:28:24"/>
  </r>
  <r>
    <d v="2019-03-22T00:00:00"/>
    <s v="BUY"/>
    <s v="STERV.HE"/>
    <s v="Not Signed In"/>
    <s v="YES"/>
    <s v="STERV.HE"/>
    <m/>
    <s v="Stora Enso Oyj"/>
    <s v="EUR"/>
    <n v="11.049200000000001"/>
    <m/>
    <n v="1700"/>
    <n v="-18783.640000000003"/>
    <n v="-15.03"/>
    <n v="0"/>
    <n v="0"/>
    <n v="-18798.670000000002"/>
    <n v="1"/>
    <n v="-18798.670000000002"/>
    <d v="2019-03-26T00:00:00"/>
    <s v="Equita"/>
    <d v="1899-12-30T17:29:55"/>
  </r>
  <r>
    <d v="2019-03-22T00:00:00"/>
    <s v="BUY"/>
    <s v="STERV.HE"/>
    <s v="Not Signed In"/>
    <s v="YES"/>
    <s v="STERV.HE"/>
    <m/>
    <s v="Stora Enso Oyj"/>
    <s v="EUR"/>
    <n v="10.775"/>
    <m/>
    <n v="1700"/>
    <n v="-18317.5"/>
    <n v="-14.65"/>
    <n v="0"/>
    <n v="0"/>
    <n v="-18332.150000000001"/>
    <n v="1"/>
    <n v="-18332.150000000001"/>
    <d v="2019-03-26T00:00:00"/>
    <s v="Equita"/>
    <d v="1899-12-30T17:32:04"/>
  </r>
  <r>
    <d v="2019-03-22T00:00:00"/>
    <s v="BUY"/>
    <s v="PSMGn.DE"/>
    <s v="Not Signed In"/>
    <s v="YES"/>
    <s v="PSMGn.DE"/>
    <m/>
    <s v="Prosiebensat 1 Media SE"/>
    <s v="EUR"/>
    <n v="14"/>
    <m/>
    <n v="1700"/>
    <n v="-23800"/>
    <n v="-19.04"/>
    <n v="0"/>
    <n v="0"/>
    <n v="-23819.040000000001"/>
    <n v="1"/>
    <n v="-23819.040000000001"/>
    <d v="2019-03-26T00:00:00"/>
    <s v="Equita"/>
    <d v="1899-12-30T17:34:10"/>
  </r>
  <r>
    <d v="2019-03-22T00:00:00"/>
    <s v="BUY"/>
    <s v="AA"/>
    <s v="Not Signed In"/>
    <s v="YES"/>
    <s v="AA"/>
    <m/>
    <s v="Alcoa Corp"/>
    <s v="USD"/>
    <n v="27.908999999999999"/>
    <m/>
    <n v="1100"/>
    <n v="-30699.899999999998"/>
    <n v="-24.55"/>
    <n v="0"/>
    <n v="0"/>
    <n v="-30724.449999999997"/>
    <n v="1.1312985044233772"/>
    <n v="-27158.570332999996"/>
    <d v="2019-03-26T00:00:00"/>
    <s v="Equita"/>
    <d v="1899-12-30T14:01:32"/>
  </r>
  <r>
    <d v="2019-03-22T00:00:00"/>
    <s v="BUY"/>
    <s v="HOG"/>
    <s v="Not Signed In"/>
    <s v="YES"/>
    <s v="HOG"/>
    <m/>
    <s v="Harley-Davidson Inc"/>
    <s v="USD"/>
    <n v="34.000999999999998"/>
    <m/>
    <n v="690"/>
    <n v="-23460.69"/>
    <n v="-18.77"/>
    <n v="0"/>
    <n v="0"/>
    <n v="-23479.46"/>
    <n v="1.1312985044233772"/>
    <n v="-20754.433872399997"/>
    <d v="2019-03-26T00:00:00"/>
    <s v="Equita"/>
    <d v="1899-12-30T14:03:18"/>
  </r>
  <r>
    <d v="2019-03-22T00:00:00"/>
    <s v="BUY"/>
    <s v="VNE"/>
    <s v="Not Signed In"/>
    <s v="YES"/>
    <s v="VNE"/>
    <m/>
    <s v="Veoneer Inc"/>
    <s v="USD"/>
    <n v="23.2256"/>
    <m/>
    <n v="1100"/>
    <n v="-25548.16"/>
    <n v="-20.440000000000001"/>
    <n v="0"/>
    <n v="0"/>
    <n v="-25568.6"/>
    <n v="1.131298504423377"/>
    <n v="-22601.108284000002"/>
    <d v="2019-03-26T00:00:00"/>
    <s v="Equita"/>
    <d v="1899-12-30T17:36:29"/>
  </r>
  <r>
    <d v="2019-03-22T00:00:00"/>
    <s v="BUY"/>
    <s v="KT.N"/>
    <s v="Not Signed In"/>
    <s v="YES"/>
    <s v="KT.N"/>
    <m/>
    <s v="KT Corp"/>
    <s v="USD"/>
    <n v="12.9353"/>
    <m/>
    <n v="1700"/>
    <n v="-21990.01"/>
    <n v="-17.59"/>
    <n v="0"/>
    <n v="0"/>
    <n v="-22007.599999999999"/>
    <n v="1.1312985044233772"/>
    <n v="-19453.397943999997"/>
    <d v="2019-03-26T00:00:00"/>
    <s v="Equita"/>
    <d v="1899-12-30T17:38:30"/>
  </r>
  <r>
    <d v="2019-03-25T00:00:00"/>
    <s v="BUY"/>
    <s v="NOKIA.HE"/>
    <s v="Not Signed In"/>
    <s v="YES"/>
    <s v="NOKIA.HE"/>
    <m/>
    <s v="Nokia Oyj"/>
    <s v="EUR"/>
    <n v="5.2142999999999997"/>
    <m/>
    <n v="3000"/>
    <n v="-15642.9"/>
    <n v="-12.51"/>
    <n v="0"/>
    <n v="0"/>
    <n v="-15655.41"/>
    <n v="1"/>
    <n v="-15655.41"/>
    <d v="2019-03-27T00:00:00"/>
    <s v="Equita"/>
    <d v="1899-12-30T17:40:16"/>
  </r>
  <r>
    <d v="2019-03-25T00:00:00"/>
    <s v="BUY"/>
    <s v="IMTP.PA"/>
    <s v="Not Signed In"/>
    <s v="YES"/>
    <s v="IMTP.PA"/>
    <m/>
    <s v="Imerys SA"/>
    <s v="EUR"/>
    <n v="43.694400000000002"/>
    <m/>
    <n v="350"/>
    <n v="-15293.04"/>
    <n v="-12.23"/>
    <n v="0"/>
    <n v="-45.88"/>
    <n v="-15351.15"/>
    <n v="1"/>
    <n v="-15351.15"/>
    <d v="2019-03-27T00:00:00"/>
    <s v="Equita"/>
    <d v="1899-12-30T17:42:01"/>
  </r>
  <r>
    <d v="2019-03-26T00:00:00"/>
    <s v="BUY"/>
    <s v="006405.KS"/>
    <s v="Not Signed In"/>
    <s v="YES"/>
    <s v="006405.KS"/>
    <m/>
    <s v="Samsung SDI Co Ltd"/>
    <s v="KRW"/>
    <n v="86789.565199999997"/>
    <m/>
    <n v="230"/>
    <n v="-19961599.995999999"/>
    <n v="-29942"/>
    <n v="0"/>
    <n v="0"/>
    <n v="-19991541.995999999"/>
    <n v="1284.1482453560191"/>
    <n v="-15567.939346798326"/>
    <d v="2019-03-28T00:00:00"/>
    <s v="Samsung"/>
    <d v="1899-12-30T17:43:24"/>
  </r>
  <r>
    <d v="2019-03-26T00:00:00"/>
    <s v="BUY"/>
    <s v="02826K.KS"/>
    <s v="Not Signed In"/>
    <s v="YES"/>
    <s v="02826K.KS"/>
    <m/>
    <s v="Samsung C&amp;T Corp"/>
    <s v="KRW"/>
    <n v="72302.325599999996"/>
    <m/>
    <n v="215"/>
    <n v="-15545000.003999999"/>
    <n v="-23318"/>
    <n v="0"/>
    <n v="0"/>
    <n v="-15568318.003999999"/>
    <n v="1284.1482453560193"/>
    <n v="-12123.458533935709"/>
    <d v="2019-03-28T00:00:00"/>
    <s v="Samsung"/>
    <d v="1899-12-30T17:45:02"/>
  </r>
  <r>
    <d v="2019-03-26T00:00:00"/>
    <s v="BUY"/>
    <s v="003555.KS"/>
    <s v="Not Signed In"/>
    <s v="YES"/>
    <s v="003555.KS"/>
    <m/>
    <s v="LG Corp"/>
    <s v="KRW"/>
    <n v="43999.111100000002"/>
    <m/>
    <n v="450"/>
    <n v="-19799599.995000001"/>
    <n v="-29699"/>
    <n v="0"/>
    <n v="0"/>
    <n v="-19829298.995000001"/>
    <n v="1284.1482453560195"/>
    <n v="-15441.596456414183"/>
    <d v="2019-03-28T00:00:00"/>
    <s v="Samsung"/>
    <d v="1899-12-30T18:01:46"/>
  </r>
  <r>
    <d v="2019-03-26T00:00:00"/>
    <s v="BUY"/>
    <s v="316140.KS"/>
    <s v="Not Signed In"/>
    <s v="YES"/>
    <s v="316140.KS"/>
    <m/>
    <s v="Woori Financial Group Inc"/>
    <s v="KRW"/>
    <n v="13500"/>
    <m/>
    <n v="1480"/>
    <n v="-19980000"/>
    <n v="-29970"/>
    <n v="0"/>
    <n v="0"/>
    <n v="-20009970"/>
    <n v="1284.1482453560188"/>
    <n v="-15582.289718000908"/>
    <d v="2019-03-28T00:00:00"/>
    <s v="Samsung"/>
    <d v="1899-12-30T18:03:47"/>
  </r>
  <r>
    <d v="2019-03-25T00:00:00"/>
    <s v="BUY"/>
    <s v="4208.T"/>
    <s v="Not Signed In"/>
    <s v="YES"/>
    <s v="4208.T"/>
    <m/>
    <s v="Ube Industries Ltd"/>
    <s v="JPY"/>
    <n v="2358.0731999999998"/>
    <m/>
    <n v="820"/>
    <n v="-1933620.0239999997"/>
    <n v="-1547"/>
    <n v="0"/>
    <n v="0"/>
    <n v="-1935167.0239999997"/>
    <n v="124.36375975568401"/>
    <n v="-15560.538116583866"/>
    <d v="2019-03-29T00:00:00"/>
    <s v="Equita"/>
    <d v="1899-12-30T18:05:33"/>
  </r>
  <r>
    <d v="2019-03-26T00:00:00"/>
    <s v="BUY"/>
    <s v="4092.T"/>
    <s v="Not Signed In"/>
    <s v="YES"/>
    <s v="4092.T"/>
    <m/>
    <s v="Nippon Chemical Industrial Co Ltd"/>
    <s v="JPY"/>
    <n v="2041"/>
    <m/>
    <n v="950"/>
    <n v="-1938950"/>
    <n v="-1534"/>
    <n v="0"/>
    <n v="0"/>
    <n v="-1940484"/>
    <n v="124.36375975568349"/>
    <n v="-15603.291536152828"/>
    <d v="2019-03-29T00:00:00"/>
    <s v="Equita"/>
    <d v="1899-12-30T18:07:34"/>
  </r>
  <r>
    <d v="2019-03-26T00:00:00"/>
    <s v="BUY"/>
    <s v="6752.t"/>
    <s v="Not Signed In"/>
    <s v="YES"/>
    <s v="6752.t"/>
    <m/>
    <s v="Panasonic Corp"/>
    <s v="JPY"/>
    <n v="948.57560000000001"/>
    <m/>
    <n v="2050"/>
    <n v="-1944579.98"/>
    <n v="-1556"/>
    <n v="0"/>
    <n v="0"/>
    <n v="-1946135.98"/>
    <n v="124.36375975568373"/>
    <n v="-15648.73869866303"/>
    <d v="2019-03-29T00:00:00"/>
    <s v="Equita"/>
    <d v="1899-12-30T14:17:54"/>
  </r>
  <r>
    <d v="2019-03-26T00:00:00"/>
    <s v="BUY"/>
    <s v="4005.T"/>
    <s v="Not Signed In"/>
    <s v="YES"/>
    <s v="4005.t"/>
    <m/>
    <s v="Sumitomo Chemical Co Ltd"/>
    <s v="JPY"/>
    <n v="527.95889999999997"/>
    <m/>
    <n v="3650"/>
    <n v="-1927049.9849999999"/>
    <n v="-1542"/>
    <n v="0"/>
    <n v="0"/>
    <n v="-1928591.9849999999"/>
    <n v="124.36375975568366"/>
    <n v="-15507.668703397008"/>
    <d v="2019-03-29T00:00:00"/>
    <s v="Equita"/>
    <d v="1899-12-30T14:20:03"/>
  </r>
  <r>
    <d v="2019-03-26T00:00:00"/>
    <s v="BUY"/>
    <s v="8070.T"/>
    <s v="JP3576600005"/>
    <s v="YES"/>
    <s v="8070.t"/>
    <m/>
    <s v="Tokyo Sangyo Co Ltd"/>
    <s v="JPY"/>
    <n v="527.58920000000001"/>
    <m/>
    <n v="3700"/>
    <n v="-1952080.04"/>
    <n v="-1562"/>
    <n v="0"/>
    <n v="0"/>
    <n v="-1953642.04"/>
    <n v="124.3637597556837"/>
    <n v="-15709.094384392913"/>
    <d v="2019-03-29T00:00:00"/>
    <s v="Equita"/>
    <d v="1899-12-30T14:22:09"/>
  </r>
  <r>
    <d v="2019-03-26T00:00:00"/>
    <s v="BUY"/>
    <s v="2344.T"/>
    <s v="JP3834050001"/>
    <s v="YES"/>
    <s v="2344.t"/>
    <m/>
    <s v="Heian Ceremony Service Co Ltd"/>
    <s v="JPY"/>
    <n v="891.375"/>
    <m/>
    <n v="1600"/>
    <n v="-1426200"/>
    <n v="-1141"/>
    <n v="0"/>
    <n v="0"/>
    <n v="-1427341"/>
    <n v="124.36375975568382"/>
    <n v="-11477.14577626193"/>
    <d v="2019-03-29T00:00:00"/>
    <s v="Equita"/>
    <d v="1899-12-30T14:44:00"/>
  </r>
  <r>
    <d v="2019-03-26T00:00:00"/>
    <s v="BUY"/>
    <s v="CFP.TO"/>
    <s v="CA1375761048"/>
    <s v="YES"/>
    <s v="CFP.TO"/>
    <m/>
    <s v="Canfor Corp"/>
    <s v="CAD"/>
    <n v="13.19"/>
    <m/>
    <n v="1700"/>
    <n v="-22423"/>
    <n v="-17.940000000000001"/>
    <n v="0"/>
    <n v="0"/>
    <n v="-22440.94"/>
    <n v="1.5072427853747561"/>
    <n v="-14888.736053508695"/>
    <d v="2019-03-28T00:00:00"/>
    <s v="Equita"/>
    <d v="1899-12-30T16:11:00"/>
  </r>
  <r>
    <d v="2019-03-26T00:00:00"/>
    <s v="BUY"/>
    <s v="RRTL.DE"/>
    <s v="LU0061462528"/>
    <s v="YES"/>
    <s v="RRTL.DE"/>
    <m/>
    <s v="RTL Group SA"/>
    <s v="EUR"/>
    <n v="48.378500000000003"/>
    <m/>
    <n v="500"/>
    <n v="-24189.25"/>
    <n v="-19.350000000000001"/>
    <n v="0"/>
    <n v="0"/>
    <n v="-24208.6"/>
    <n v="1"/>
    <n v="-24208.6"/>
    <d v="2019-03-28T00:00:00"/>
    <s v="Equita"/>
    <d v="1899-12-30T17:46:13"/>
  </r>
  <r>
    <d v="2019-03-26T00:00:00"/>
    <s v="BUY"/>
    <s v="NHY.OL"/>
    <s v="NO0005052605"/>
    <s v="YES"/>
    <s v="NHY.OL"/>
    <m/>
    <s v="Norsk Hydro ASA"/>
    <s v="NOK"/>
    <n v="34.015799999999999"/>
    <m/>
    <n v="6700"/>
    <n v="-227905.86"/>
    <n v="-182.32"/>
    <n v="0"/>
    <n v="0"/>
    <n v="-228088.18"/>
    <n v="9.6228795422289188"/>
    <n v="-23702.695123539768"/>
    <d v="2019-03-28T00:00:00"/>
    <s v="Equita"/>
    <d v="1899-12-30T17:48:14"/>
  </r>
  <r>
    <d v="2019-03-26T00:00:00"/>
    <s v="BUY"/>
    <s v="KT.N"/>
    <s v="US48268K1016"/>
    <s v="YES"/>
    <s v="KT.N"/>
    <m/>
    <s v="KT Corp"/>
    <s v="USD"/>
    <n v="12.712400000000001"/>
    <m/>
    <n v="1700"/>
    <n v="-21611.08"/>
    <n v="-17.29"/>
    <n v="0"/>
    <n v="0"/>
    <n v="-21628.370000000003"/>
    <n v="1.1264051904751178"/>
    <n v="-19201.2343186"/>
    <d v="2019-03-28T00:00:00"/>
    <s v="Equita"/>
    <d v="1899-12-30T09:03:06"/>
  </r>
  <r>
    <d v="2019-03-27T00:00:00"/>
    <s v="BUY"/>
    <s v="VEON.O"/>
    <s v="US91822M1062"/>
    <s v="YES"/>
    <s v="VEON.O"/>
    <m/>
    <s v="VEON Ltd"/>
    <s v="USD"/>
    <n v="2.1850000000000001"/>
    <m/>
    <n v="11000"/>
    <n v="-24035"/>
    <n v="-19"/>
    <n v="0"/>
    <n v="0"/>
    <n v="-24054"/>
    <n v="1.1264051904751178"/>
    <n v="-21354.66012"/>
    <d v="2019-03-29T00:00:00"/>
    <s v="Equita"/>
    <d v="1899-12-30T11:02:21"/>
  </r>
  <r>
    <d v="2019-03-28T00:00:00"/>
    <s v="BUY"/>
    <s v="2344.T"/>
    <s v="JP3834050001"/>
    <s v="YES"/>
    <s v="2344.T"/>
    <m/>
    <s v="Heian Ceremony Service Co Ltd"/>
    <s v="JPY"/>
    <n v="885.29409999999996"/>
    <m/>
    <n v="340"/>
    <n v="-300999.99400000001"/>
    <n v="-241"/>
    <n v="0"/>
    <n v="0"/>
    <n v="-301240.99400000001"/>
    <n v="124.11502687176718"/>
    <n v="-2427.1113787956983"/>
    <d v="2019-04-02T00:00:00"/>
    <s v="Equita"/>
    <d v="1899-12-30T11:03:59"/>
  </r>
  <r>
    <d v="2019-03-28T00:00:00"/>
    <s v="BUY"/>
    <s v="1960.T"/>
    <s v="JP3335400002"/>
    <s v="YES"/>
    <s v="1960.t"/>
    <m/>
    <s v="Sanyo Engineering &amp; Construction Inc"/>
    <s v="JPY"/>
    <n v="675.39670000000001"/>
    <m/>
    <n v="3000"/>
    <n v="-2026190.1"/>
    <n v="-1621"/>
    <n v="0"/>
    <n v="0"/>
    <n v="-2027811.1"/>
    <n v="124.11502687176727"/>
    <n v="-16338.159456671487"/>
    <d v="2019-04-02T00:00:00"/>
    <s v="Equita"/>
    <d v="1899-12-30T11:05:45"/>
  </r>
  <r>
    <d v="2019-03-28T00:00:00"/>
    <s v="BUY"/>
    <s v="PNIN.JK"/>
    <s v="ID1000094907"/>
    <s v="YES"/>
    <s v="PNIN.JK"/>
    <m/>
    <s v="Paninvest Tbk PT"/>
    <s v="IDR"/>
    <n v="1160"/>
    <m/>
    <n v="170000"/>
    <n v="-197200000"/>
    <n v="-295800"/>
    <n v="-84796"/>
    <n v="-19720"/>
    <n v="-197600316"/>
    <n v="15973.835089254619"/>
    <n v="-12370.248903653892"/>
    <d v="2019-04-01T00:00:00"/>
    <s v="DBS"/>
    <d v="1899-12-30T11:07:48"/>
  </r>
  <r>
    <d v="2019-03-28T00:00:00"/>
    <s v="BUY"/>
    <s v="IMTP.PA"/>
    <s v="FR0000120859"/>
    <s v="YES"/>
    <s v="imtp.pa"/>
    <m/>
    <s v="Imerys SA"/>
    <s v="EUR"/>
    <n v="44.179299999999998"/>
    <m/>
    <n v="600"/>
    <n v="-26507.579999999998"/>
    <n v="-21"/>
    <n v="-79.52"/>
    <n v="0"/>
    <n v="-26608.1"/>
    <n v="1"/>
    <n v="-26608.1"/>
    <d v="2019-04-01T00:00:00"/>
    <s v="Equita"/>
    <d v="1899-12-30T11:09:49"/>
  </r>
  <r>
    <d v="2019-03-28T00:00:00"/>
    <s v="BUY"/>
    <s v="RENA.PA"/>
    <s v="FR0000131906"/>
    <s v="YES"/>
    <s v="RENA.PA"/>
    <m/>
    <s v="Renault SA"/>
    <s v="EUR"/>
    <n v="58.073099999999997"/>
    <m/>
    <n v="420"/>
    <n v="-24390.701999999997"/>
    <n v="-20"/>
    <n v="-73.17"/>
    <n v="0"/>
    <n v="-24483.871999999996"/>
    <n v="1"/>
    <n v="-24483.871999999996"/>
    <d v="2019-04-01T00:00:00"/>
    <s v="Equita"/>
    <d v="1899-12-30T17:43:12"/>
  </r>
  <r>
    <d v="2019-03-28T00:00:00"/>
    <s v="BUY"/>
    <s v="RMG.L"/>
    <s v="GB00BDVZYZ77"/>
    <s v="YES"/>
    <s v="RMG.L"/>
    <m/>
    <s v="Royal Mail PLC"/>
    <s v="GBp"/>
    <n v="2.3927"/>
    <m/>
    <n v="9350"/>
    <n v="-22371.744999999999"/>
    <n v="-18"/>
    <n v="-112.86"/>
    <n v="0"/>
    <n v="-22502.605"/>
    <n v="0.86022193050366191"/>
    <n v="-26159.069191394217"/>
    <d v="2019-04-01T00:00:00"/>
    <s v="Equita"/>
    <d v="1899-12-30T17:44:35"/>
  </r>
  <r>
    <d v="2019-03-28T00:00:00"/>
    <s v="BUY"/>
    <s v="TUIGn.DE"/>
    <s v="DE000TUAG000"/>
    <s v="YES"/>
    <s v="TUIGn.DE"/>
    <m/>
    <s v="Tui AG"/>
    <s v="EUR"/>
    <n v="9.1628000000000007"/>
    <m/>
    <n v="2200"/>
    <n v="-20158.16"/>
    <n v="-16.13"/>
    <n v="-86.34"/>
    <n v="0"/>
    <n v="-20260.63"/>
    <n v="1"/>
    <n v="-20260.63"/>
    <d v="2019-04-01T00:00:00"/>
    <s v="Equita"/>
    <d v="1899-12-30T17:46:13"/>
  </r>
  <r>
    <d v="2019-03-28T00:00:00"/>
    <s v="BUY"/>
    <s v="BARC.L"/>
    <s v="GB0031348658"/>
    <s v="YES"/>
    <s v="BARC.L"/>
    <m/>
    <s v="Barclays PLC"/>
    <s v="GBp"/>
    <n v="1.5516000000000001"/>
    <m/>
    <n v="11000"/>
    <n v="-17067.600000000002"/>
    <n v="-14"/>
    <n v="0"/>
    <n v="0"/>
    <n v="-17081.600000000002"/>
    <n v="0.86022193050366536"/>
    <n v="-19857.201257352994"/>
    <d v="2019-04-01T00:00:00"/>
    <s v="Equita"/>
    <d v="1899-12-30T17:47:59"/>
  </r>
  <r>
    <d v="2019-03-28T00:00:00"/>
    <s v="BUY"/>
    <s v="VNE"/>
    <s v="US92336X1090"/>
    <s v="YES"/>
    <s v="VNE"/>
    <m/>
    <s v="Veoneer Inc"/>
    <s v="USD"/>
    <n v="23.359000000000002"/>
    <m/>
    <n v="770"/>
    <n v="-17986.43"/>
    <n v="-14.39"/>
    <n v="0"/>
    <n v="0"/>
    <n v="-18000.82"/>
    <n v="1.1219944573473808"/>
    <n v="-16043.590841399999"/>
    <d v="2019-04-01T00:00:00"/>
    <s v="Equita"/>
    <d v="1899-12-30T17:50:00"/>
  </r>
  <r>
    <d v="2019-03-29T00:00:00"/>
    <s v="BUY"/>
    <s v="6674.T"/>
    <s v="JP3385820000"/>
    <s v="YES"/>
    <s v="6674.T"/>
    <m/>
    <s v="GS Yuasa Corp"/>
    <s v="JPY"/>
    <n v="2170.8798000000002"/>
    <m/>
    <n v="915"/>
    <n v="-1986355.0170000002"/>
    <n v="-1589"/>
    <n v="0"/>
    <n v="0"/>
    <n v="-1987944.0170000002"/>
    <n v="124.11502687176701"/>
    <n v="-16016.948689491897"/>
    <d v="2019-04-03T00:00:00"/>
    <s v="Equita"/>
    <d v="1899-12-30T17:51:46"/>
  </r>
  <r>
    <d v="2019-03-29T00:00:00"/>
    <s v="BUY"/>
    <s v="6826.T"/>
    <s v="JP3854650003"/>
    <s v="YES"/>
    <s v="6826.T"/>
    <m/>
    <s v="Honda Tsushin Kogyo Co Ltd"/>
    <s v="JPY"/>
    <n v="532.94399999999996"/>
    <m/>
    <n v="5180"/>
    <n v="-2760649.92"/>
    <n v="-2209"/>
    <n v="0"/>
    <n v="0"/>
    <n v="-2762858.92"/>
    <n v="124.1150268717671"/>
    <n v="-22260.470707181368"/>
    <d v="2019-04-03T00:00:00"/>
    <s v="Equita"/>
    <d v="1899-12-30T18:03:13"/>
  </r>
  <r>
    <d v="2019-03-29T00:00:00"/>
    <s v="BUY"/>
    <s v="2344.T"/>
    <s v="JP3834050001"/>
    <s v="YES"/>
    <s v="2344.T"/>
    <m/>
    <s v="Heian Ceremony Service Co Ltd"/>
    <s v="JPY"/>
    <n v="882.40909999999997"/>
    <m/>
    <n v="440"/>
    <n v="-388260.00399999996"/>
    <n v="-311"/>
    <n v="0"/>
    <n v="0"/>
    <n v="-388571.00399999996"/>
    <n v="124.11502687176718"/>
    <n v="-3130.7329482469731"/>
    <d v="2019-04-03T00:00:00"/>
    <s v="Equita"/>
    <d v="1899-12-30T18:04:59"/>
  </r>
  <r>
    <d v="2019-03-29T00:00:00"/>
    <s v="BUY"/>
    <s v="1945.T"/>
    <s v="JP3585400009"/>
    <s v="YES"/>
    <s v="1945.T"/>
    <m/>
    <s v="Tokyo Energy &amp; Systems Inc"/>
    <s v="JPY"/>
    <n v="983.61940000000004"/>
    <m/>
    <n v="2890"/>
    <n v="-2842660.0660000001"/>
    <n v="-2274"/>
    <n v="0"/>
    <n v="0"/>
    <n v="-2844934.0660000001"/>
    <n v="124.1150268717673"/>
    <n v="-22921.753616017169"/>
    <d v="2019-04-03T00:00:00"/>
    <s v="Equita"/>
    <d v="1899-12-30T18:07:00"/>
  </r>
  <r>
    <d v="2019-03-29T00:00:00"/>
    <s v="BUY"/>
    <s v="6997.T"/>
    <s v="JP3701200002"/>
    <s v="YES"/>
    <s v="6997.T"/>
    <m/>
    <s v="Nippon Chemi-Con Corp"/>
    <s v="JPY"/>
    <n v="1945.0388"/>
    <m/>
    <n v="1030"/>
    <n v="-2003389.9640000002"/>
    <n v="-1603"/>
    <n v="0"/>
    <n v="0"/>
    <n v="-2004992.9640000002"/>
    <n v="124.11502687176689"/>
    <n v="-16154.312773678226"/>
    <d v="2019-04-03T00:00:00"/>
    <s v="Equita"/>
    <d v="1899-12-30T18:08:46"/>
  </r>
  <r>
    <d v="2019-03-29T00:00:00"/>
    <s v="BUY"/>
    <s v="086520.KQ"/>
    <s v="KR7086520004"/>
    <s v="YES"/>
    <s v="086520.KQ"/>
    <m/>
    <s v="Ecopro Co Ltd"/>
    <s v="KRW"/>
    <n v="27600"/>
    <m/>
    <n v="690"/>
    <n v="-19044000"/>
    <n v="-28566"/>
    <n v="0"/>
    <n v="0"/>
    <n v="-19072566"/>
    <n v="1273.4076093664073"/>
    <n v="-14977.581302101442"/>
    <d v="2019-04-02T00:00:00"/>
    <s v="Samsung"/>
    <d v="1899-12-30T18:10:47"/>
  </r>
  <r>
    <d v="2019-03-29T00:00:00"/>
    <s v="BUY"/>
    <s v="086790.KS"/>
    <s v="KR7086790003"/>
    <s v="YES"/>
    <s v="086790.KS"/>
    <m/>
    <s v="Hana Financial Group Inc"/>
    <s v="KRW"/>
    <n v="36500"/>
    <m/>
    <n v="600"/>
    <n v="-21900000"/>
    <n v="-32850"/>
    <n v="0"/>
    <n v="0"/>
    <n v="-21932850"/>
    <n v="1273.4076093664098"/>
    <n v="-17223.746613947751"/>
    <d v="2019-04-02T00:00:00"/>
    <s v="Samsung"/>
    <d v="1899-12-30T18:12:18"/>
  </r>
  <r>
    <d v="2019-03-29T00:00:00"/>
    <s v="BUY"/>
    <s v="032830.KS"/>
    <s v="KR7032830002"/>
    <s v="YES"/>
    <s v="032830.KS"/>
    <m/>
    <s v="Samsung Life Insurance Co Ltd"/>
    <s v="KRW"/>
    <n v="84400"/>
    <m/>
    <n v="220"/>
    <n v="-18568000"/>
    <n v="-27852"/>
    <n v="0"/>
    <n v="0"/>
    <n v="-18595852"/>
    <n v="1273.4076093664105"/>
    <n v="-14603.220416793683"/>
    <d v="2019-04-02T00:00:00"/>
    <s v="Samsung"/>
    <d v="1899-12-30T18:13:56"/>
  </r>
  <r>
    <d v="2019-03-29T00:00:00"/>
    <s v="BUY"/>
    <s v="028260.KS"/>
    <s v="KR7028260008"/>
    <s v="YES"/>
    <s v="028260.KS"/>
    <m/>
    <s v="Samsung C&amp;T Corp"/>
    <s v="KRW"/>
    <n v="106500"/>
    <m/>
    <n v="300"/>
    <n v="-31950000"/>
    <n v="-47925"/>
    <n v="0"/>
    <n v="0"/>
    <n v="-31997925"/>
    <n v="1273.4076093664098"/>
    <n v="-25127.794717608704"/>
    <d v="2019-04-02T00:00:00"/>
    <s v="Samsung"/>
    <d v="1899-12-30T18:15:42"/>
  </r>
  <r>
    <d v="2019-03-29T00:00:00"/>
    <s v="BUY"/>
    <s v="003555.KS"/>
    <s v="KR7003551009"/>
    <s v="YES"/>
    <s v="003555.KS"/>
    <m/>
    <s v="Not Signed In"/>
    <s v="KRW"/>
    <n v="45041"/>
    <m/>
    <n v="450"/>
    <n v="-20268450"/>
    <n v="-30403"/>
    <n v="0"/>
    <n v="0"/>
    <n v="-20298853"/>
    <n v="1273.4076093664089"/>
    <n v="-15940.577746429368"/>
    <d v="2019-04-02T00:00:00"/>
    <s v="Samsung"/>
    <d v="1899-12-30T18:17:43"/>
  </r>
  <r>
    <d v="2019-03-29T00:00:00"/>
    <s v="BUY"/>
    <s v="02826K.KS"/>
    <s v="KR702826K016"/>
    <s v="YES"/>
    <s v="02826k.ks"/>
    <m/>
    <s v="Samsung C&amp;T Corp"/>
    <s v="KRW"/>
    <n v="72682.666700000002"/>
    <m/>
    <n v="300"/>
    <n v="-21804800.010000002"/>
    <n v="-32707"/>
    <n v="0"/>
    <n v="0"/>
    <n v="-21837507.010000002"/>
    <n v="1273.407609366411"/>
    <n v="-17148.874287680235"/>
    <d v="2019-04-02T00:00:00"/>
    <s v="Samsung"/>
    <d v="1899-12-30T15:32:52"/>
  </r>
  <r>
    <d v="2019-03-29T00:00:00"/>
    <s v="BUY"/>
    <s v="BBKP.JK"/>
    <s v="ID1000103609"/>
    <s v="YES"/>
    <s v="BBKP.JK"/>
    <m/>
    <s v="Not Signed In"/>
    <s v="IDR"/>
    <n v="339.84059999999999"/>
    <m/>
    <n v="670000"/>
    <n v="-227693202"/>
    <n v="-341540"/>
    <n v="0"/>
    <n v="0"/>
    <n v="-228034742"/>
    <n v="15973.835089254546"/>
    <n v="-14093.046456416479"/>
    <d v="2019-04-02T00:00:00"/>
    <s v="DBS"/>
    <d v="1899-12-30T15:34:53"/>
  </r>
  <r>
    <d v="2019-04-01T00:00:00"/>
    <s v="BUY"/>
    <s v="006405.KS"/>
    <s v="KR7006401004"/>
    <s v="YES"/>
    <s v="006405.KS"/>
    <m/>
    <s v="Samsung SDI Co Ltd"/>
    <s v="KRW"/>
    <n v="8449.1429000000007"/>
    <m/>
    <n v="350"/>
    <n v="-2957200.0150000001"/>
    <n v="-46436"/>
    <n v="0"/>
    <n v="0"/>
    <n v="-3003636.0150000001"/>
    <n v="1274.3690409422325"/>
    <n v="-24361.075169439308"/>
    <d v="2019-04-03T00:00:00"/>
    <s v="Samsung"/>
    <d v="1899-12-30T15:36:24"/>
  </r>
  <r>
    <d v="2019-04-01T00:00:00"/>
    <s v="BUY"/>
    <s v="028260.KS"/>
    <s v="KR7028260008"/>
    <s v="YES"/>
    <s v="028260.KS"/>
    <m/>
    <s v="Samsung C&amp;T Corp"/>
    <s v="KRW"/>
    <n v="107500"/>
    <m/>
    <n v="300"/>
    <n v="-32250000"/>
    <n v="-48375"/>
    <n v="0"/>
    <n v="0"/>
    <n v="-32298375"/>
    <n v="1274.3690409422329"/>
    <n v="-25424.346448376011"/>
    <d v="2019-04-03T00:00:00"/>
    <s v="Samsung"/>
    <d v="1899-12-30T16:52:48"/>
  </r>
  <r>
    <d v="2019-04-01T00:00:00"/>
    <s v="BUY"/>
    <s v="138930.KS"/>
    <s v="KR7138930003"/>
    <s v="YES"/>
    <s v="138930.KS"/>
    <m/>
    <s v="BNK Financial Group Inc"/>
    <s v="KRW"/>
    <n v="6719.7024000000001"/>
    <m/>
    <n v="4200"/>
    <n v="-28222750.080000002"/>
    <n v="-42334"/>
    <n v="0"/>
    <n v="0"/>
    <n v="-28265084.080000002"/>
    <n v="1274.3690409422311"/>
    <n v="-22740.665434380797"/>
    <d v="2019-04-03T00:00:00"/>
    <s v="Samsung"/>
    <d v="1899-12-30T16:54:54"/>
  </r>
  <r>
    <d v="2019-04-01T00:00:00"/>
    <s v="BUY"/>
    <s v="105560.ks"/>
    <s v="KR7105560007"/>
    <s v="YES"/>
    <s v="105560.KS"/>
    <m/>
    <s v="KB Financial Group Inc"/>
    <s v="KRW"/>
    <n v="42600"/>
    <m/>
    <n v="500"/>
    <n v="-21300000"/>
    <n v="-31950"/>
    <n v="0"/>
    <n v="0"/>
    <n v="-21331950"/>
    <n v="1274.3690409422306"/>
    <n v="-17263.44511926769"/>
    <d v="2019-04-03T00:00:00"/>
    <s v="Samsung"/>
    <d v="1899-12-30T16:56:32"/>
  </r>
  <r>
    <d v="2019-04-01T00:00:00"/>
    <s v="BUY"/>
    <s v="003545.KS"/>
    <s v="KR7003541000"/>
    <s v="YES"/>
    <s v="003545.KS"/>
    <m/>
    <s v="DAISHIN SECURITIES CO LTD"/>
    <s v="KRW"/>
    <n v="8699.9318000000003"/>
    <m/>
    <n v="2200"/>
    <n v="-19139849.960000001"/>
    <n v="-28710"/>
    <n v="0"/>
    <n v="0"/>
    <n v="-19168559.960000001"/>
    <n v="1274.369040942232"/>
    <n v="-15105.514479359214"/>
    <d v="2019-04-03T00:00:00"/>
    <s v="Samsung"/>
    <d v="1899-12-30T16:58:18"/>
  </r>
  <r>
    <d v="2019-04-01T00:00:00"/>
    <s v="BUY"/>
    <s v="KT.N"/>
    <s v="US48268K1016"/>
    <s v="YES"/>
    <s v="KT.N"/>
    <m/>
    <s v="KT Corp"/>
    <s v="USD"/>
    <n v="12.369"/>
    <m/>
    <n v="3000"/>
    <n v="-37107"/>
    <n v="-29.69"/>
    <n v="0"/>
    <n v="0"/>
    <n v="-37136.69"/>
    <n v="1.1212019284673171"/>
    <n v="-33178.679999999993"/>
    <d v="2019-04-03T00:00:00"/>
    <s v="Equita"/>
    <d v="1899-12-30T17:00:21"/>
  </r>
  <r>
    <d v="2019-04-01T00:00:00"/>
    <s v="BUY"/>
    <s v="GCI"/>
    <s v="US36473H1041"/>
    <s v="YES"/>
    <s v="GCI"/>
    <m/>
    <s v="Gannett Co Inc"/>
    <s v="USD"/>
    <n v="10.647500000000001"/>
    <m/>
    <n v="2000"/>
    <n v="-21295"/>
    <n v="-17.04"/>
    <n v="0"/>
    <n v="0"/>
    <n v="-21312.04"/>
    <n v="1.1212019284673171"/>
    <n v="-19104.497999999996"/>
    <d v="2019-04-03T00:00:00"/>
    <s v="Equita"/>
    <d v="1899-12-30T17:02:22"/>
  </r>
  <r>
    <d v="2019-04-01T00:00:00"/>
    <s v="BUY"/>
    <s v="VRKP.PA"/>
    <s v="FR0000062796"/>
    <s v="YES"/>
    <s v="VRKP.PA"/>
    <m/>
    <s v="Vranken Pommery Monopole SA"/>
    <s v="EUR"/>
    <n v="23.4"/>
    <m/>
    <n v="633"/>
    <n v="-14812.199999999999"/>
    <n v="-11.85"/>
    <n v="0"/>
    <n v="0"/>
    <n v="-14824.05"/>
    <n v="1"/>
    <n v="-23300"/>
    <d v="2019-04-03T00:00:00"/>
    <s v="Equita"/>
    <d v="1899-12-30T22:02:46"/>
  </r>
  <r>
    <d v="2019-04-02T00:00:00"/>
    <s v="BUY"/>
    <s v="2344.T"/>
    <s v="JP3834050001"/>
    <s v="YES"/>
    <s v="2344.T"/>
    <m/>
    <s v="Heian Ceremony Service Co Ltd"/>
    <s v="JPY"/>
    <n v="881.33330000000001"/>
    <m/>
    <n v="3000"/>
    <n v="-2643999.9"/>
    <n v="-2115"/>
    <n v="0"/>
    <n v="0"/>
    <n v="-2646114.9"/>
    <n v="124.83462271555115"/>
    <n v="-21123.947368421039"/>
    <d v="2019-04-05T00:00:00"/>
    <s v="Equita"/>
    <d v="1899-12-30T16:00:19"/>
  </r>
  <r>
    <d v="2019-04-02T00:00:00"/>
    <s v="BUY"/>
    <s v="8070.T"/>
    <s v="JP3576600005"/>
    <s v="YES"/>
    <s v="8070.T"/>
    <m/>
    <s v="Tokyo Sangyo Co Ltd"/>
    <s v="JPY"/>
    <n v="520.44860000000006"/>
    <m/>
    <n v="3700"/>
    <n v="-1925659.8200000003"/>
    <n v="-1541"/>
    <n v="0"/>
    <n v="0"/>
    <n v="-1927200.8200000003"/>
    <n v="124.83462271555103"/>
    <n v="-20907.661217891153"/>
    <d v="2019-04-05T00:00:00"/>
    <s v="Equita"/>
    <d v="1899-12-30T16:01:42"/>
  </r>
  <r>
    <d v="2019-04-02T00:00:00"/>
    <s v="BUY"/>
    <s v="1960.T"/>
    <s v="JP3335400002"/>
    <s v="YES"/>
    <s v="1960.T"/>
    <m/>
    <s v="Sanyo Engineering &amp; Construction Inc"/>
    <s v="JPY"/>
    <n v="662.8"/>
    <m/>
    <n v="1000"/>
    <n v="-662800"/>
    <n v="-530"/>
    <n v="0"/>
    <n v="0"/>
    <n v="-663330"/>
    <n v="124.83462271555101"/>
    <n v="-15933.07975570326"/>
    <d v="2019-04-05T00:00:00"/>
    <s v="Equita"/>
    <d v="1899-12-30T16:03:20"/>
  </r>
  <r>
    <d v="2019-04-02T00:00:00"/>
    <s v="BUY"/>
    <s v="BBKP.JK"/>
    <s v="ID1000103609"/>
    <s v="YES"/>
    <s v="BBKP.JK"/>
    <m/>
    <s v="Bank Bukopin Tbk PT"/>
    <s v="IDR"/>
    <n v="322.70150000000001"/>
    <m/>
    <n v="800000"/>
    <n v="-258161200"/>
    <n v="-387242"/>
    <n v="-111009"/>
    <n v="-25816"/>
    <n v="-258685267"/>
    <n v="15943.491422805504"/>
    <n v="-16357.772151898469"/>
    <d v="2019-04-04T00:00:00"/>
    <s v="DBS"/>
    <d v="1899-12-30T16:05:06"/>
  </r>
  <r>
    <d v="2019-04-02T00:00:00"/>
    <s v="BUY"/>
    <s v="JNPR.K"/>
    <s v="US48203R1041"/>
    <s v="YES"/>
    <s v="JNPR.K"/>
    <m/>
    <s v="Juniper Networks Inc"/>
    <s v="USD"/>
    <n v="27.235900000000001"/>
    <m/>
    <n v="690"/>
    <n v="-18792.771000000001"/>
    <n v="-15"/>
    <n v="0"/>
    <n v="0"/>
    <n v="-18807.771000000001"/>
    <n v="1.1201971546992271"/>
    <n v="-16711.076189999996"/>
    <d v="2019-04-04T00:00:00"/>
    <s v="Equita"/>
    <d v="1899-12-30T17:09:47"/>
  </r>
  <r>
    <d v="2019-04-02T00:00:00"/>
    <s v="BUY"/>
    <s v="SKM"/>
    <s v="US78440P1084"/>
    <s v="YES"/>
    <s v="SKM"/>
    <m/>
    <s v="SK Telecom Co Ltd"/>
    <s v="USD"/>
    <n v="24.728100000000001"/>
    <m/>
    <n v="1100"/>
    <n v="-27200.91"/>
    <n v="-22"/>
    <n v="0"/>
    <n v="0"/>
    <n v="-27222.91"/>
    <n v="1.1201971546992273"/>
    <n v="-24225.199899999996"/>
    <d v="2019-04-04T00:00:00"/>
    <s v="Equita"/>
    <d v="1899-12-30T17:26:41"/>
  </r>
  <r>
    <d v="2019-04-02T00:00:00"/>
    <s v="BUY"/>
    <s v="VEON.O"/>
    <s v="US91822M1062"/>
    <s v="YES"/>
    <s v="VEON.O"/>
    <m/>
    <s v="VEON Ltd"/>
    <s v="USD"/>
    <n v="2.1185999999999998"/>
    <m/>
    <n v="11000"/>
    <n v="-23304.6"/>
    <n v="-19"/>
    <n v="0"/>
    <n v="0"/>
    <n v="-23323.599999999999"/>
    <n v="1.1201971546992271"/>
    <n v="-20719.566999999995"/>
    <d v="2019-04-04T00:00:00"/>
    <s v="Equita"/>
    <d v="1899-12-30T17:32:12"/>
  </r>
  <r>
    <d v="2019-04-02T00:00:00"/>
    <s v="BUY"/>
    <s v="SWKS.O"/>
    <s v="US83088M1027"/>
    <s v="YES"/>
    <s v="SWKS.O"/>
    <m/>
    <s v="Skyworks Solutions Inc"/>
    <s v="USD"/>
    <n v="83.986599999999996"/>
    <m/>
    <n v="350"/>
    <n v="-29395.309999999998"/>
    <n v="-23.52"/>
    <n v="0"/>
    <n v="0"/>
    <n v="-29418.829999999998"/>
    <n v="1.1201971546992271"/>
    <n v="-26295.371200000001"/>
    <d v="2019-04-04T00:00:00"/>
    <s v="Equita"/>
    <d v="1899-12-30T17:33:43"/>
  </r>
  <r>
    <d v="2019-04-10T00:00:00"/>
    <s v="BUY"/>
    <s v="ODP.O"/>
    <s v="US6762201068"/>
    <s v="YES"/>
    <s v="ODP.O"/>
    <m/>
    <s v="Office Depot Inc"/>
    <s v="USD"/>
    <n v="2.6282999999999999"/>
    <m/>
    <n v="10300"/>
    <n v="-27071.489999999998"/>
    <n v="-21.66"/>
    <n v="0"/>
    <n v="0"/>
    <n v="-27093.149999999998"/>
    <n v="1.127294043378275"/>
    <n v="-24669.694799999994"/>
    <d v="2019-04-12T00:00:00"/>
    <s v="Equita"/>
    <d v="1899-12-30T17:35:52"/>
  </r>
  <r>
    <d v="2019-04-12T00:00:00"/>
    <s v="BUY"/>
    <s v="O2Dn.DE"/>
    <s v="DE000A1J5RX9"/>
    <s v="YES"/>
    <s v="O2Dn.DE"/>
    <m/>
    <s v="Telefonica Deutschland Holding AG"/>
    <s v="EUR"/>
    <n v="2.7092999999999998"/>
    <m/>
    <n v="6000"/>
    <n v="-16255.8"/>
    <n v="-13"/>
    <n v="0"/>
    <n v="0"/>
    <n v="0"/>
    <n v="1"/>
    <n v="-16320.000000000002"/>
    <d v="2019-04-16T00:00:00"/>
    <s v="Equita"/>
    <d v="1899-12-30T17:37:58"/>
  </r>
  <r>
    <d v="2019-04-12T00:00:00"/>
    <s v="BUY"/>
    <s v="KNL"/>
    <s v="US4989042001"/>
    <s v="YES"/>
    <s v="KNL"/>
    <m/>
    <s v="Knoll Inc"/>
    <s v="USD"/>
    <n v="19.432400000000001"/>
    <m/>
    <n v="930"/>
    <n v="-18072.132000000001"/>
    <n v="-14.46"/>
    <n v="0"/>
    <n v="0"/>
    <n v="-18086.592000000001"/>
    <n v="1.1299945760260353"/>
    <n v="-16032.289343999999"/>
    <d v="2019-04-16T00:00:00"/>
    <s v="Equita"/>
    <d v="1899-12-30T17:23:12"/>
  </r>
  <r>
    <d v="2019-04-12T00:00:00"/>
    <s v="BUY"/>
    <s v="SQM"/>
    <s v="US8336351056"/>
    <s v="YES"/>
    <s v="SQM"/>
    <m/>
    <s v="Sociedad Quimica y Minera de Chile SA"/>
    <s v="USD"/>
    <n v="37.494"/>
    <m/>
    <n v="300"/>
    <n v="-11248.2"/>
    <n v="-9"/>
    <n v="0"/>
    <n v="0"/>
    <n v="-11257.2"/>
    <n v="1.1299945760260353"/>
    <n v="-10027.481759999997"/>
    <d v="2019-04-16T00:00:00"/>
    <s v="Equita"/>
    <d v="1899-12-30T17:24:50"/>
  </r>
  <r>
    <d v="2019-04-12T00:00:00"/>
    <s v="BUY"/>
    <s v="ALB"/>
    <s v="US0126531013"/>
    <s v="YES"/>
    <s v="ALB"/>
    <m/>
    <s v="Albemarle Corp"/>
    <s v="USD"/>
    <n v="83.221999999999994"/>
    <m/>
    <n v="140"/>
    <n v="-11651.08"/>
    <n v="-9.32"/>
    <n v="0"/>
    <n v="0"/>
    <n v="-11660.4"/>
    <n v="1.129994576026035"/>
    <n v="-10365.005503999999"/>
    <d v="2019-04-16T00:00:00"/>
    <s v="Equita"/>
    <d v="1899-12-30T17:26:36"/>
  </r>
  <r>
    <d v="2019-04-15T00:00:00"/>
    <s v="BUY"/>
    <s v="6617.T"/>
    <s v="JP3591600006"/>
    <s v="YES"/>
    <s v="6617.T"/>
    <m/>
    <s v="Takaoka Toko Co Ltd"/>
    <s v="JPY"/>
    <n v="1403.64"/>
    <m/>
    <n v="2250"/>
    <n v="-3158190"/>
    <n v="-2527"/>
    <n v="0"/>
    <n v="0"/>
    <n v="-3160717"/>
    <n v="126.58199240643638"/>
    <n v="-25009.481521156951"/>
    <d v="2019-04-18T00:00:00"/>
    <s v="Equita"/>
    <d v="1899-12-30T08:48:23"/>
  </r>
  <r>
    <d v="2019-04-15T00:00:00"/>
    <s v="BUY"/>
    <s v="086520.KQ"/>
    <s v="KR7086520004"/>
    <s v="YES"/>
    <s v="086520.KQ"/>
    <m/>
    <s v="Ecopro Co Ltd"/>
    <s v="KRW"/>
    <n v="29002.400000000001"/>
    <m/>
    <n v="750"/>
    <n v="-21751800"/>
    <n v="-32628"/>
    <n v="0"/>
    <n v="0"/>
    <n v="-21784428"/>
    <n v="1281.0974507322383"/>
    <n v="-16772.728716085101"/>
    <d v="2019-04-17T00:00:00"/>
    <s v="Samsung"/>
    <d v="1899-12-30T08:49:29"/>
  </r>
  <r>
    <d v="2019-04-15T00:00:00"/>
    <s v="BUY"/>
    <s v="036830.KQ"/>
    <s v="KR7036830008"/>
    <s v="YES"/>
    <s v="036830.KQ"/>
    <m/>
    <s v="SoulBrain Co Ltd"/>
    <s v="KRW"/>
    <n v="53149.230799999998"/>
    <m/>
    <n v="390"/>
    <n v="-20728200.011999998"/>
    <n v="-31092"/>
    <n v="0"/>
    <n v="0"/>
    <n v="-20759292.011999998"/>
    <n v="1281.0974507322362"/>
    <n v="-15951.948064777904"/>
    <d v="2019-04-17T00:00:00"/>
    <s v="Samsung"/>
    <d v="1899-12-30T16:52:00"/>
  </r>
  <r>
    <d v="2019-04-15T00:00:00"/>
    <s v="BUY"/>
    <s v="BBKP.JK"/>
    <s v="ID1000103609"/>
    <s v="YES"/>
    <s v="BBKP.JK"/>
    <m/>
    <s v="Bank Bukopin Tbk PT"/>
    <s v="IDR"/>
    <n v="307.73570000000001"/>
    <m/>
    <n v="840000"/>
    <n v="-258497988"/>
    <n v="-387747"/>
    <n v="-111154"/>
    <n v="-25850"/>
    <n v="-259022739"/>
    <n v="15921.623576206874"/>
    <n v="-16144.082214336368"/>
    <d v="2019-04-18T00:00:00"/>
    <s v="DBS"/>
    <d v="1899-12-30T16:08:00"/>
  </r>
  <r>
    <d v="2019-04-15T00:00:00"/>
    <s v="BUY"/>
    <s v="VRKP.PA"/>
    <s v="FR0000062796"/>
    <s v="YES"/>
    <s v="VRKP.PA"/>
    <m/>
    <s v="Vranken Pommery Monopole SA"/>
    <s v="EUR"/>
    <n v="23"/>
    <m/>
    <n v="670"/>
    <n v="-15410"/>
    <n v="-12.33"/>
    <n v="0"/>
    <n v="0"/>
    <n v="-15422.33"/>
    <n v="1"/>
    <n v="-15410"/>
    <d v="2019-04-17T00:00:00"/>
    <s v="Equita"/>
    <d v="1899-12-30T15:52:00"/>
  </r>
  <r>
    <d v="2019-04-15T00:00:00"/>
    <s v="BUY"/>
    <s v="LAN.PA"/>
    <s v="FR0004027068"/>
    <s v="YES"/>
    <s v="LAN.PA"/>
    <m/>
    <s v="Lanson BCC SA"/>
    <s v="EUR"/>
    <n v="29.6614"/>
    <m/>
    <n v="267"/>
    <n v="-7919.5938000000006"/>
    <n v="-6.34"/>
    <n v="0"/>
    <n v="0"/>
    <n v="-7925.9338000000007"/>
    <n v="1"/>
    <n v="-19564.000000000004"/>
    <d v="2019-04-17T00:00:00"/>
    <s v="Equita"/>
    <d v="1899-12-30T17:20:34"/>
  </r>
  <r>
    <d v="2019-04-15T00:00:00"/>
    <s v="BUY"/>
    <s v="RBBN.O"/>
    <s v="US7625441040"/>
    <s v="YES"/>
    <s v="RBBN.O"/>
    <m/>
    <s v="Ribbon Communications Inc"/>
    <s v="USD"/>
    <n v="5.1757"/>
    <m/>
    <n v="5000"/>
    <n v="-25878.5"/>
    <n v="-20.7"/>
    <n v="0"/>
    <n v="0"/>
    <n v="-25899.200000000001"/>
    <n v="1.1299999999999999"/>
    <n v="-22919.646017699117"/>
    <d v="2019-04-17T00:00:00"/>
    <s v="Equita"/>
    <d v="1899-12-30T17:21:57"/>
  </r>
  <r>
    <d v="2019-04-17T00:00:00"/>
    <s v="BUY"/>
    <s v="IBM"/>
    <s v="US4592001014"/>
    <s v="YES"/>
    <s v="IBM"/>
    <m/>
    <s v="International Business Machines Corp"/>
    <s v="USD"/>
    <n v="140.06399999999999"/>
    <m/>
    <n v="220"/>
    <n v="-30814.079999999998"/>
    <n v="-24.65"/>
    <n v="0"/>
    <n v="0"/>
    <n v="-30838.73"/>
    <n v="1.1299999999999999"/>
    <n v="-27290.911504424781"/>
    <d v="2019-04-22T00:00:00"/>
    <s v="Equita"/>
    <d v="1899-12-30T17:23:35"/>
  </r>
  <r>
    <d v="2019-04-18T00:00:00"/>
    <s v="BUY"/>
    <s v="RFP"/>
    <s v="US76117W1099"/>
    <s v="YES"/>
    <s v="RFP"/>
    <m/>
    <s v="Resolute Forest Products Inc"/>
    <s v="USD"/>
    <n v="7.7965"/>
    <m/>
    <n v="2200"/>
    <n v="-17152.3"/>
    <n v="-13.72"/>
    <n v="0"/>
    <n v="0"/>
    <n v="-17166.02"/>
    <n v="1.1224982320652843"/>
    <n v="-14973.742960000003"/>
    <d v="2019-04-23T00:00:00"/>
    <s v="Equita"/>
    <d v="1899-12-30T17:45:23"/>
  </r>
  <r>
    <d v="2019-04-18T00:00:00"/>
    <s v="BUY"/>
    <s v="UPM.HE"/>
    <s v="FI0009005987"/>
    <s v="YES"/>
    <s v="UPM.HE"/>
    <m/>
    <s v="UPM-Kymmene Oyj"/>
    <s v="EUR"/>
    <n v="25.493600000000001"/>
    <m/>
    <n v="1400"/>
    <n v="-35691.040000000001"/>
    <n v="-28.55"/>
    <n v="0"/>
    <n v="0"/>
    <n v="-35719.590000000004"/>
    <n v="1"/>
    <n v="-35560"/>
    <d v="2019-04-24T00:00:00"/>
    <s v="Equita"/>
    <d v="1899-12-30T17:47:09"/>
  </r>
  <r>
    <d v="2019-04-19T00:00:00"/>
    <s v="BUY"/>
    <s v="042600.kq"/>
    <s v="KR7042600007"/>
    <s v="YES"/>
    <s v="042600.KQ"/>
    <m/>
    <s v="Seronics Co Ltd"/>
    <s v="KRW"/>
    <n v="5072.5"/>
    <m/>
    <n v="2300"/>
    <n v="-11666750"/>
    <n v="-17500"/>
    <n v="0"/>
    <n v="0"/>
    <n v="-11684250"/>
    <n v="1282.0164558240824"/>
    <n v="-9059.9461085184412"/>
    <d v="2019-04-23T00:00:00"/>
    <s v="Samsung"/>
    <d v="1899-12-30T17:49:10"/>
  </r>
  <r>
    <d v="2019-04-19T00:00:00"/>
    <s v="BUY"/>
    <s v="2344.T"/>
    <s v="JP3834050001"/>
    <s v="YES"/>
    <s v="2344.T"/>
    <m/>
    <s v="Heian Ceremony Service Co Ltd"/>
    <s v="JPY"/>
    <n v="843.88890000000004"/>
    <m/>
    <n v="900"/>
    <n v="-759500.01"/>
    <n v="-608"/>
    <n v="0"/>
    <n v="0"/>
    <n v="-760108.01"/>
    <n v="125.56265223882272"/>
    <n v="-6235.9307169676376"/>
    <d v="2019-04-24T00:00:00"/>
    <s v="Equita"/>
    <d v="1899-12-30T17:50:56"/>
  </r>
  <r>
    <d v="2019-04-19T00:00:00"/>
    <s v="BUY"/>
    <s v="1960.T"/>
    <s v="JP3335400002"/>
    <s v="YES"/>
    <s v="1960.T"/>
    <m/>
    <s v="Sanyo Engineering &amp; Construction Inc"/>
    <s v="JPY"/>
    <n v="660.71429999999998"/>
    <m/>
    <n v="700"/>
    <n v="-462500.01"/>
    <n v="-370"/>
    <n v="0"/>
    <n v="0"/>
    <n v="-462870.01"/>
    <n v="125.56265223882278"/>
    <n v="-3640.4137046307869"/>
    <d v="2019-04-24T00:00:00"/>
    <s v="Equita"/>
    <d v="1899-12-30T20:23:12"/>
  </r>
  <r>
    <d v="2019-04-19T00:00:00"/>
    <s v="BUY"/>
    <s v="4005.T"/>
    <s v="JP3401400001"/>
    <s v="YES"/>
    <s v="4005.T"/>
    <m/>
    <s v="Sumitomo Chemical Co Ltd"/>
    <s v="JPY"/>
    <n v="553"/>
    <m/>
    <n v="6700"/>
    <n v="-3705100"/>
    <n v="-2964"/>
    <n v="0"/>
    <n v="0"/>
    <n v="-3708064"/>
    <n v="125.56265223882271"/>
    <n v="-28867.660370105492"/>
    <d v="2019-04-24T00:00:00"/>
    <s v="Equita"/>
    <d v="1899-12-30T20:24:18"/>
  </r>
  <r>
    <d v="2019-04-19T00:00:00"/>
    <s v="BUY"/>
    <s v="3401.T"/>
    <s v="JP3544000007"/>
    <s v="YES"/>
    <s v="3401.T"/>
    <m/>
    <s v="Teijin Ltd"/>
    <s v="JPY"/>
    <n v="1925"/>
    <m/>
    <n v="2200"/>
    <n v="-4235000"/>
    <n v="-3388"/>
    <n v="0"/>
    <n v="0"/>
    <n v="-4238388"/>
    <n v="125.56265223882296"/>
    <n v="-33465.365099231123"/>
    <d v="2019-04-24T00:00:00"/>
    <s v="Equita"/>
    <d v="1899-12-30T20:25:24"/>
  </r>
  <r>
    <d v="2019-04-19T00:00:00"/>
    <s v="BUY"/>
    <s v="5301.T"/>
    <s v="JP3560800009"/>
    <s v="YES"/>
    <s v="5301.T"/>
    <m/>
    <s v="Tokai Carbon Co Ltd"/>
    <s v="JPY"/>
    <n v="1481"/>
    <m/>
    <n v="1700"/>
    <n v="-2517700"/>
    <n v="-2014"/>
    <n v="0"/>
    <n v="0"/>
    <n v="-2519714"/>
    <n v="125.56265223882302"/>
    <n v="-17682.00942249236"/>
    <d v="2019-04-24T00:00:00"/>
    <s v="Equita"/>
    <d v="1899-12-30T20:26:30"/>
  </r>
  <r>
    <d v="2019-04-19T00:00:00"/>
    <s v="BUY"/>
    <s v="3402.T"/>
    <s v="JP3621000003"/>
    <s v="YES"/>
    <s v="3402.T"/>
    <m/>
    <s v="Toray Industries Inc"/>
    <s v="JPY"/>
    <n v="795"/>
    <m/>
    <n v="3300"/>
    <n v="-2623500"/>
    <n v="2099"/>
    <n v="0"/>
    <n v="0"/>
    <n v="-2621401"/>
    <n v="125.56265223882266"/>
    <n v="-19834.799246379414"/>
    <d v="2019-04-24T00:00:00"/>
    <s v="Samsung"/>
    <d v="1899-12-30T20:36:04"/>
  </r>
  <r>
    <d v="2019-04-22T00:00:00"/>
    <s v="BUY"/>
    <s v="000155.KS"/>
    <s v="KR7000151001"/>
    <s v="YES"/>
    <s v="000155.KS"/>
    <m/>
    <s v="Doosan Co Ltd"/>
    <s v="KRW"/>
    <n v="77045.671600000001"/>
    <m/>
    <n v="670"/>
    <n v="-51620599.972000003"/>
    <n v="-77431"/>
    <n v="0"/>
    <n v="0"/>
    <n v="-51698030.972000003"/>
    <n v="1282.0164558240829"/>
    <n v="-40032.247454273209"/>
    <d v="2019-04-24T00:00:00"/>
    <s v="Samsung"/>
    <d v="1899-12-30T17:12:09"/>
  </r>
  <r>
    <d v="2019-04-22T00:00:00"/>
    <s v="BUY"/>
    <s v="005945.KS"/>
    <s v="KR7005941000"/>
    <s v="YES"/>
    <s v="005945.KS"/>
    <m/>
    <s v="NH Investment &amp; Securities Co Ltd"/>
    <s v="KRW"/>
    <n v="9200.8570999999993"/>
    <m/>
    <n v="3500"/>
    <n v="-32202999.849999998"/>
    <n v="-48305"/>
    <n v="0"/>
    <n v="0"/>
    <n v="-32251304.849999998"/>
    <n v="1282.0164558240826"/>
    <n v="-24761.772640113464"/>
    <d v="2019-04-24T00:00:00"/>
    <s v="Samsung"/>
    <d v="1899-12-30T17:13:55"/>
  </r>
  <r>
    <d v="2019-04-22T00:00:00"/>
    <s v="BUY"/>
    <s v="00680K.KS"/>
    <s v="KR700680K019"/>
    <s v="YES"/>
    <s v="00680K.KS"/>
    <m/>
    <s v="Mirae Asset Daewoo Co Ltd"/>
    <s v="KRW"/>
    <n v="4032.4893999999999"/>
    <m/>
    <n v="9000"/>
    <n v="-36292404.600000001"/>
    <n v="-54439"/>
    <n v="0"/>
    <n v="0"/>
    <n v="-36346843.600000001"/>
    <n v="1282.0164558240801"/>
    <n v="-27905.258031187928"/>
    <d v="2019-04-24T00:00:00"/>
    <s v="Samsung"/>
    <d v="1899-12-30T17:53:02"/>
  </r>
  <r>
    <d v="2019-04-22T00:00:00"/>
    <s v="BUY"/>
    <s v="042600.kq"/>
    <s v="KR7042600007"/>
    <s v="YES"/>
    <s v="042600.KQ"/>
    <m/>
    <s v="Seronics Co Ltd"/>
    <s v="KRW"/>
    <n v="5100.6666999999998"/>
    <m/>
    <n v="3000"/>
    <n v="-15302000.1"/>
    <n v="-22953"/>
    <n v="0"/>
    <n v="0"/>
    <n v="-15324953.1"/>
    <n v="1282.0164558240824"/>
    <n v="-11817.321011111011"/>
    <d v="2019-04-24T00:00:00"/>
    <s v="Samsung"/>
    <d v="1899-12-30T17:54:47"/>
  </r>
  <r>
    <d v="2019-05-07T00:00:00"/>
    <s v="BUY"/>
    <s v="NOKIA.HE"/>
    <s v="FI0009000681"/>
    <s v="YES"/>
    <s v="NOKIA.HE"/>
    <m/>
    <s v="Nokia Oyj"/>
    <s v="EUR"/>
    <n v="4.4654999999999996"/>
    <m/>
    <n v="6700"/>
    <n v="-29918.85"/>
    <n v="-23.94"/>
    <m/>
    <n v="0"/>
    <n v="-29942.789999999997"/>
    <m/>
    <m/>
    <d v="2019-05-09T00:00:00"/>
    <s v="Equita"/>
    <d v="1899-12-30T17:56:10"/>
  </r>
  <r>
    <d v="2019-05-07T00:00:00"/>
    <s v="BUY"/>
    <s v="IMTP.PA"/>
    <s v="FR0000120859"/>
    <s v="YES"/>
    <s v="IMTP.PA"/>
    <m/>
    <s v="Imerys SA"/>
    <s v="EUR"/>
    <n v="40.6633"/>
    <m/>
    <n v="670"/>
    <n v="-27244.411"/>
    <n v="-21.8"/>
    <n v="-81.73"/>
    <n v="0"/>
    <n v="-27347.940999999999"/>
    <m/>
    <m/>
    <d v="2019-05-09T00:00:00"/>
    <s v="Equita"/>
    <d v="1899-12-30T17:57:48"/>
  </r>
  <r>
    <d v="2019-05-13T00:00:00"/>
    <s v="BUY"/>
    <s v="M"/>
    <s v="US55616P1049"/>
    <s v="YES"/>
    <s v="M"/>
    <m/>
    <s v="Macy's Inc"/>
    <s v="USD"/>
    <n v="21.6648"/>
    <m/>
    <n v="850"/>
    <n v="-18415.079999999998"/>
    <n v="-14.73"/>
    <m/>
    <m/>
    <n v="-18429.809999999998"/>
    <m/>
    <m/>
    <d v="2019-05-15T00:00:00"/>
    <s v="Equita"/>
    <d v="1899-12-30T17:59:34"/>
  </r>
  <r>
    <d v="2019-05-13T00:00:00"/>
    <s v="BUY"/>
    <s v="ptnl.as"/>
    <s v="NL0009739416"/>
    <s v="YES"/>
    <s v="PTNL.AS"/>
    <m/>
    <s v="PostNL NV"/>
    <s v="EUR"/>
    <n v="1.7472000000000001"/>
    <m/>
    <n v="11000"/>
    <n v="-19219.2"/>
    <n v="-15.38"/>
    <m/>
    <m/>
    <n v="-19234.580000000002"/>
    <m/>
    <m/>
    <d v="2019-05-15T00:00:00"/>
    <s v="Equita"/>
    <d v="1899-12-30T18:01:35"/>
  </r>
  <r>
    <d v="2019-05-13T00:00:00"/>
    <s v="BUY"/>
    <s v="SOGN.PA"/>
    <s v="FR0000130809"/>
    <s v="YES"/>
    <s v="SOGN.PA"/>
    <m/>
    <s v="Societe Generale SA"/>
    <s v="EUR"/>
    <n v="25.627300000000002"/>
    <m/>
    <n v="690"/>
    <n v="-17682.837"/>
    <n v="-14.15"/>
    <n v="-53.05"/>
    <m/>
    <n v="-17750.037"/>
    <m/>
    <m/>
    <d v="2019-05-15T00:00:00"/>
    <s v="Equita"/>
    <d v="1899-12-30T18:03:21"/>
  </r>
  <r>
    <d v="2019-05-13T00:00:00"/>
    <s v="BUY"/>
    <s v="RENA.PA"/>
    <s v="FR0000131906"/>
    <s v="YES"/>
    <s v="RENA.PA"/>
    <m/>
    <s v="Renault SA"/>
    <s v="EUR"/>
    <n v="54.496000000000002"/>
    <m/>
    <n v="400"/>
    <n v="-21798.400000000001"/>
    <n v="-17.440000000000001"/>
    <m/>
    <m/>
    <n v="-21815.84"/>
    <m/>
    <m/>
    <d v="2019-05-15T00:00:00"/>
    <s v="Equita"/>
    <d v="1899-12-30T18:05:12"/>
  </r>
  <r>
    <d v="2019-05-13T00:00:00"/>
    <s v="BUY"/>
    <s v="UPM.HE"/>
    <s v="FI0009005987"/>
    <s v="YES"/>
    <s v="UPM.HE"/>
    <m/>
    <s v="UPM-Kymmene Oyj"/>
    <s v="EUR"/>
    <n v="23.53"/>
    <m/>
    <n v="690"/>
    <n v="-16235.7"/>
    <n v="-12.99"/>
    <m/>
    <m/>
    <n v="-16248.69"/>
    <m/>
    <m/>
    <d v="2019-05-15T00:00:00"/>
    <s v="Equita"/>
    <d v="1899-12-30T18:07:18"/>
  </r>
  <r>
    <d v="2019-05-14T00:00:00"/>
    <s v="BUY"/>
    <s v="5301.T"/>
    <s v="JP3560800009"/>
    <s v="YES"/>
    <s v="5301.T"/>
    <m/>
    <s v="Tokai Carbon Co Ltd"/>
    <s v="JPY"/>
    <n v="1044"/>
    <m/>
    <n v="1900"/>
    <n v="-1983600"/>
    <n v="-1587"/>
    <m/>
    <m/>
    <n v="-1985187"/>
    <m/>
    <m/>
    <d v="2019-05-17T00:00:00"/>
    <s v="Equita"/>
    <d v="1899-12-30T18:04:21"/>
  </r>
  <r>
    <d v="2019-05-14T00:00:00"/>
    <s v="BUY"/>
    <s v="6752.t"/>
    <s v="JP3866800000"/>
    <s v="YES"/>
    <s v="6752.T"/>
    <m/>
    <s v="Panasonic Corp"/>
    <s v="JPY"/>
    <n v="871.9"/>
    <m/>
    <n v="2400"/>
    <n v="-2092560"/>
    <n v="-1674"/>
    <m/>
    <m/>
    <n v="-2094234"/>
    <m/>
    <m/>
    <d v="2019-05-17T00:00:00"/>
    <s v="Equita"/>
    <d v="1899-12-30T18:05:59"/>
  </r>
  <r>
    <d v="2019-05-14T00:00:00"/>
    <s v="BUY"/>
    <s v="4080.T"/>
    <s v="JP3468810001"/>
    <s v="YES"/>
    <s v="4080.T"/>
    <m/>
    <s v="Tanaka Chemical Corp"/>
    <s v="JPY"/>
    <n v="717"/>
    <m/>
    <n v="2800"/>
    <n v="-2007600"/>
    <n v="-1606"/>
    <m/>
    <m/>
    <n v="-2009206"/>
    <m/>
    <m/>
    <d v="2019-05-17T00:00:00"/>
    <s v="Equita"/>
    <d v="1899-12-30T12:51:38"/>
  </r>
  <r>
    <d v="2019-05-14T00:00:00"/>
    <s v="BUY"/>
    <s v="6826.T"/>
    <s v="JP3854650003"/>
    <s v="YES"/>
    <s v="6826.T"/>
    <m/>
    <s v="Honda Tsushin Kogyo Co Ltd"/>
    <s v="JPY"/>
    <n v="499.9"/>
    <m/>
    <n v="4000"/>
    <n v="-1999600"/>
    <n v="-1600"/>
    <m/>
    <m/>
    <n v="-2001200"/>
    <m/>
    <m/>
    <d v="2019-05-17T00:00:00"/>
    <s v="Equita"/>
    <d v="1899-12-30T12:53:16"/>
  </r>
  <r>
    <d v="2019-05-14T00:00:00"/>
    <s v="BUY"/>
    <s v="4005.T"/>
    <s v="JP3401400001"/>
    <s v="YES"/>
    <s v="4005.T"/>
    <m/>
    <s v="Sumitomo Chemical Co Ltd"/>
    <s v="JPY"/>
    <n v="493"/>
    <m/>
    <n v="4000"/>
    <n v="-1972000"/>
    <n v="-1578"/>
    <m/>
    <m/>
    <n v="-1973578"/>
    <m/>
    <m/>
    <d v="2019-05-17T00:00:00"/>
    <s v="Equita"/>
    <d v="1899-12-30T16:16:41"/>
  </r>
  <r>
    <d v="2019-05-14T00:00:00"/>
    <s v="BUY"/>
    <s v="BBKP.JK"/>
    <s v="ID1000103609"/>
    <s v="YES"/>
    <s v="BBKP.JK"/>
    <m/>
    <s v="Bank Bukopin Tbk PT"/>
    <s v="IDR"/>
    <n v="275.06979999999999"/>
    <m/>
    <n v="925000"/>
    <n v="-254439565"/>
    <n v="-381659"/>
    <n v="-109409"/>
    <n v="-25444"/>
    <n v="-254956077"/>
    <m/>
    <m/>
    <d v="2019-05-16T00:00:00"/>
    <s v="DBS"/>
    <d v="1899-12-30T16:34:22"/>
  </r>
  <r>
    <d v="2019-05-14T00:00:00"/>
    <s v="BUY"/>
    <s v="086520.KQ"/>
    <s v="KR7086520004"/>
    <s v="YES"/>
    <s v="086520.KQ"/>
    <m/>
    <s v="Ecopro Co Ltd"/>
    <s v="KRW"/>
    <n v="23550"/>
    <m/>
    <n v="870"/>
    <n v="-20488500"/>
    <n v="-30733"/>
    <m/>
    <m/>
    <n v="-20519233"/>
    <m/>
    <m/>
    <d v="2019-05-16T00:00:00"/>
    <s v="Samsung"/>
    <d v="1899-12-30T17:41:53"/>
  </r>
  <r>
    <d v="2019-05-14T00:00:00"/>
    <s v="BUY"/>
    <s v="RENA.PA"/>
    <s v="FR0000131906"/>
    <s v="YES"/>
    <s v="RENA.PA"/>
    <m/>
    <s v="Renault SA"/>
    <s v="EUR"/>
    <n v="52.492100000000001"/>
    <m/>
    <n v="400"/>
    <n v="-20996.84"/>
    <n v="-16.8"/>
    <n v="-62.99"/>
    <m/>
    <n v="-21076.63"/>
    <m/>
    <m/>
    <d v="2019-05-16T00:00:00"/>
    <s v="Equita"/>
    <d v="1899-12-30T11:58:36"/>
  </r>
  <r>
    <d v="2019-05-14T00:00:00"/>
    <s v="BUY"/>
    <s v="CFP.TO"/>
    <s v="CA1375761048"/>
    <s v="YES"/>
    <s v="cfp.to"/>
    <m/>
    <s v="Canfor Corp"/>
    <s v="CAD"/>
    <n v="10.813000000000001"/>
    <m/>
    <n v="2300"/>
    <n v="-24869.9"/>
    <n v="-19.899999999999999"/>
    <m/>
    <m/>
    <n v="-24889.800000000003"/>
    <m/>
    <m/>
    <d v="2019-05-16T00:00:00"/>
    <s v="Equita"/>
    <d v="1899-12-30T12:48:03"/>
  </r>
  <r>
    <d v="2019-05-15T00:00:00"/>
    <s v="BUY"/>
    <s v="8070.T"/>
    <s v="JP3576600005"/>
    <s v="YES"/>
    <s v="8070.t"/>
    <m/>
    <s v="Tokyo Sangyo Co Ltd"/>
    <s v="JPY"/>
    <n v="470.8125"/>
    <m/>
    <n v="4000"/>
    <n v="-1883250"/>
    <n v="-1507"/>
    <m/>
    <m/>
    <n v="-1884757"/>
    <m/>
    <m/>
    <d v="2019-05-18T00:00:00"/>
    <s v="Equita"/>
    <d v="1899-12-30T12:49:49"/>
  </r>
  <r>
    <d v="2019-05-15T00:00:00"/>
    <s v="BUY"/>
    <s v="051915.KS"/>
    <s v="KR7051911006"/>
    <s v="YES"/>
    <s v="051915.KS"/>
    <m/>
    <s v="LG Chem Ltd"/>
    <s v="KRW"/>
    <n v="188735"/>
    <m/>
    <n v="200"/>
    <n v="-37747000"/>
    <n v="-56621"/>
    <m/>
    <m/>
    <n v="-37803621"/>
    <m/>
    <m/>
    <d v="2019-05-17T00:00:00"/>
    <s v="Samsung"/>
    <d v="1899-12-30T12:51:52"/>
  </r>
  <r>
    <d v="2019-05-15T00:00:00"/>
    <s v="BUY"/>
    <s v="VOD.L"/>
    <s v="GB00BH4HKS39"/>
    <s v="YES"/>
    <s v="VOD.L"/>
    <m/>
    <s v="Vodafone Group PLC"/>
    <s v="GBp"/>
    <n v="1.2655000000000001"/>
    <m/>
    <n v="11300"/>
    <n v="-14300.150000000001"/>
    <n v="-11.44"/>
    <n v="-72.5"/>
    <m/>
    <n v="-14384.090000000002"/>
    <m/>
    <m/>
    <d v="2019-05-17T00:00:00"/>
    <s v="Equita"/>
    <d v="1899-12-30T12:53:53"/>
  </r>
  <r>
    <d v="2019-05-15T00:00:00"/>
    <s v="BUY"/>
    <s v="BT.L"/>
    <s v="GB0030913577"/>
    <s v="YES"/>
    <s v="BT.L"/>
    <m/>
    <s v="BT Group PLC"/>
    <s v="GBp"/>
    <n v="2.0533000000000001"/>
    <m/>
    <n v="6800"/>
    <n v="-13962.44"/>
    <n v="-11.17"/>
    <n v="-70.81"/>
    <m/>
    <n v="-14044.42"/>
    <m/>
    <m/>
    <d v="2019-05-17T00:00:00"/>
    <s v="Equita"/>
    <d v="1899-12-30T16:08:56"/>
  </r>
  <r>
    <d v="2019-05-15T00:00:00"/>
    <s v="BUY"/>
    <s v="NOKIA.HE"/>
    <s v="FI0009000681"/>
    <s v="YES"/>
    <s v="NOKIA.HE"/>
    <m/>
    <s v="Nokia Oyj"/>
    <s v="EUR"/>
    <n v="4.2024999999999997"/>
    <m/>
    <n v="3900"/>
    <n v="-16389.75"/>
    <n v="-13.11"/>
    <m/>
    <m/>
    <n v="-16402.86"/>
    <m/>
    <m/>
    <d v="2019-05-17T00:00:00"/>
    <s v="Equita"/>
    <d v="1899-12-30T16:10:41"/>
  </r>
  <r>
    <d v="2019-05-15T00:00:00"/>
    <s v="BUY"/>
    <s v="0593q.L"/>
    <s v="US7960502018"/>
    <s v="YES"/>
    <s v="0593q.L"/>
    <m/>
    <s v="Samsung Electronics Co Ltd"/>
    <s v="USD"/>
    <n v="720.64"/>
    <m/>
    <n v="25"/>
    <n v="-18016"/>
    <n v="-14.41"/>
    <m/>
    <m/>
    <n v="-18030.41"/>
    <m/>
    <m/>
    <d v="2019-05-17T00:00:00"/>
    <s v="Equita"/>
    <d v="1899-12-30T16:12:04"/>
  </r>
  <r>
    <d v="2019-05-21T00:00:00"/>
    <s v="BUY"/>
    <s v="KT.N"/>
    <s v="US48268K1016"/>
    <s v="YES"/>
    <s v="KT.N"/>
    <m/>
    <s v="KT Corp"/>
    <s v="USD"/>
    <n v="11.798299999999999"/>
    <m/>
    <n v="2050"/>
    <n v="-24186.514999999999"/>
    <n v="-19.39"/>
    <m/>
    <m/>
    <n v="-24205.904999999999"/>
    <m/>
    <m/>
    <d v="2019-05-23T00:00:00"/>
    <s v="Equita"/>
    <d v="1899-12-30T16:13:42"/>
  </r>
  <r>
    <d v="2019-05-21T00:00:00"/>
    <s v="BUY"/>
    <s v="CONG.DE"/>
    <s v="DE0005439004"/>
    <s v="YES"/>
    <s v="CONG.DE"/>
    <m/>
    <s v="Continental AG"/>
    <s v="EUR"/>
    <n v="127.51390000000001"/>
    <m/>
    <n v="170"/>
    <n v="-21677.363000000001"/>
    <n v="-17.34"/>
    <m/>
    <m/>
    <n v="-21694.703000000001"/>
    <m/>
    <m/>
    <d v="2019-05-23T00:00:00"/>
    <s v="Equita"/>
    <d v="1899-12-30T16:15:28"/>
  </r>
  <r>
    <d v="2019-05-21T00:00:00"/>
    <s v="BUY"/>
    <s v="1COV.DE"/>
    <s v="DE0006062144"/>
    <s v="YES"/>
    <s v="1cov.de"/>
    <m/>
    <s v="Covestro AG"/>
    <s v="EUR"/>
    <n v="43.17"/>
    <m/>
    <n v="380"/>
    <n v="-16404.600000000002"/>
    <n v="-13.19"/>
    <m/>
    <m/>
    <n v="-16417.79"/>
    <m/>
    <m/>
    <d v="2019-05-23T00:00:00"/>
    <s v="Equita"/>
    <d v="1899-12-30T16:16:36"/>
  </r>
  <r>
    <d v="2019-05-21T00:00:00"/>
    <s v="BUY"/>
    <s v="ALB"/>
    <s v="US0126531013"/>
    <s v="YES"/>
    <s v="ALB"/>
    <m/>
    <s v="Albemarle Corp"/>
    <s v="USD"/>
    <n v="69.219899999999996"/>
    <m/>
    <n v="270"/>
    <n v="-18689.373"/>
    <n v="-14.95"/>
    <m/>
    <m/>
    <n v="-18704.323"/>
    <m/>
    <m/>
    <d v="2019-05-23T00:00:00"/>
    <s v="Equita"/>
    <d v="1899-12-30T15:34:27"/>
  </r>
  <r>
    <d v="2019-05-21T00:00:00"/>
    <s v="BUY"/>
    <s v="UPM.HE"/>
    <s v="FI0009005987"/>
    <s v="YES"/>
    <s v="UPM.HE"/>
    <m/>
    <s v="UPM-Kymmene Oyj"/>
    <s v="EUR"/>
    <n v="23.482099999999999"/>
    <m/>
    <n v="900"/>
    <n v="-21133.89"/>
    <n v="-16.91"/>
    <m/>
    <m/>
    <n v="-21150.799999999999"/>
    <m/>
    <m/>
    <d v="2019-05-23T00:00:00"/>
    <s v="Equita"/>
    <d v="1899-12-30T15:36:05"/>
  </r>
  <r>
    <d v="2019-05-22T00:00:00"/>
    <s v="BUY"/>
    <s v="032830.KS"/>
    <s v="KR7032830002"/>
    <s v="YES"/>
    <s v="032830.KS"/>
    <m/>
    <s v="Samsung Life Insurance Co Ltd"/>
    <s v="KRW"/>
    <n v="81000"/>
    <m/>
    <n v="265"/>
    <n v="-21465000"/>
    <n v="-32198"/>
    <m/>
    <m/>
    <n v="-21497198"/>
    <m/>
    <m/>
    <d v="2019-05-24T00:00:00"/>
    <s v="Samsung"/>
    <d v="1899-12-30T15:37:51"/>
  </r>
  <r>
    <d v="2019-05-24T00:00:00"/>
    <s v="BUY"/>
    <s v="ALB"/>
    <s v="US0126531013"/>
    <s v="YES"/>
    <s v="ALB"/>
    <m/>
    <s v="Albemarle Corp"/>
    <s v="USD"/>
    <n v="65.8"/>
    <m/>
    <n v="270"/>
    <n v="-17766"/>
    <n v="-14"/>
    <m/>
    <m/>
    <n v="-17780"/>
    <n v="1.1100000000000001"/>
    <n v="-15963.639299999997"/>
    <d v="2019-05-28T00:00:00"/>
    <s v="Equita"/>
    <d v="1899-12-30T15:20:48"/>
  </r>
  <r>
    <d v="2019-05-24T00:00:00"/>
    <s v="BUY"/>
    <s v="VNE"/>
    <s v="US92336X1090"/>
    <s v="YES"/>
    <s v="VNE"/>
    <m/>
    <s v="Veoneer Inc"/>
    <s v="USD"/>
    <n v="16.739999999999998"/>
    <m/>
    <n v="1000"/>
    <n v="-16740"/>
    <n v="-14"/>
    <m/>
    <m/>
    <n v="-16754"/>
    <n v="1.1129041233097767"/>
    <n v="-15041.726999999999"/>
    <d v="2019-05-28T00:00:00"/>
    <s v="Equita"/>
    <d v="1899-12-30T15:23:46"/>
  </r>
  <r>
    <d v="2019-05-24T00:00:00"/>
    <s v="BUY"/>
    <s v="CFP.TO"/>
    <s v="CA1375761048"/>
    <s v="YES"/>
    <s v="CFP.TO"/>
    <m/>
    <s v="Canfor Corp"/>
    <s v="CAD"/>
    <n v="9.14"/>
    <m/>
    <n v="2600"/>
    <n v="-23764"/>
    <n v="-19"/>
    <m/>
    <m/>
    <n v="-23783"/>
    <n v="1.5045350843024881"/>
    <n v="-15794.912493527621"/>
    <d v="2019-05-28T00:00:00"/>
    <s v="Equita"/>
    <d v="1899-12-30T15:25:24"/>
  </r>
  <r>
    <d v="2019-05-27T00:00:00"/>
    <s v="BUY"/>
    <s v="SQM"/>
    <s v="US8336351056"/>
    <s v="YES"/>
    <s v="SQM"/>
    <m/>
    <s v="Sociedad Quimica y Minera de Chile SA"/>
    <s v="USD"/>
    <n v="29.38"/>
    <m/>
    <m/>
    <n v="0"/>
    <m/>
    <m/>
    <m/>
    <n v="0"/>
    <n v="1.1129041233097769"/>
    <n v="-15575.645409999997"/>
    <d v="1899-12-30T00:00:00"/>
    <s v="Equita"/>
    <d v="1899-12-30T17:21:19"/>
  </r>
  <r>
    <d v="2019-05-27T00:00:00"/>
    <s v="BUY"/>
    <s v="STERV.HE"/>
    <s v="FI0009005961"/>
    <s v="YES"/>
    <s v="STERV.HE"/>
    <m/>
    <s v="Stora Enso Oyj"/>
    <s v="EUR"/>
    <n v="9.86"/>
    <m/>
    <n v="1600"/>
    <n v="-15776"/>
    <n v="-13"/>
    <m/>
    <m/>
    <n v="-15789"/>
    <n v="1"/>
    <n v="-5541.28"/>
    <d v="2019-05-29T00:00:00"/>
    <s v="Equita"/>
    <d v="1899-12-30T17:23:20"/>
  </r>
  <r>
    <d v="2019-05-27T00:00:00"/>
    <s v="BUY"/>
    <s v="DBKGn.DE"/>
    <s v="DE0005140008"/>
    <s v="YES"/>
    <s v="DBKGn.DE"/>
    <m/>
    <s v="Deutsche Bank AG"/>
    <s v="EUR"/>
    <n v="6.1520000000000001"/>
    <m/>
    <n v="2500"/>
    <n v="-15380"/>
    <n v="-13"/>
    <m/>
    <m/>
    <n v="-15393"/>
    <n v="1"/>
    <n v="-15380"/>
    <d v="2019-05-29T00:00:00"/>
    <s v="Equita"/>
    <d v="1899-12-30T17:24:21"/>
  </r>
  <r>
    <d v="2019-05-30T00:00:00"/>
    <s v="BUY"/>
    <s v="LTHM.K"/>
    <s v="US53814L1089"/>
    <s v="YES"/>
    <s v="LTHM.K"/>
    <m/>
    <s v="Livent Corp"/>
    <s v="USD"/>
    <n v="6.4399999999999995"/>
    <m/>
    <n v="4200"/>
    <n v="-27047.999999999996"/>
    <n v="-22"/>
    <m/>
    <m/>
    <n v="-27069.999999999996"/>
    <n v="1.1129041233097769"/>
    <n v="-17359.985999999997"/>
    <d v="2019-06-03T00:00:00"/>
    <s v="Equita"/>
    <d v="1899-12-30T17:26:22"/>
  </r>
  <r>
    <d v="2019-05-30T00:00:00"/>
    <s v="BUY"/>
    <s v="STERV.HE"/>
    <s v="FI0009005961"/>
    <s v="YES"/>
    <s v="STERV.HE"/>
    <m/>
    <s v="Stora Enso Oyj"/>
    <s v="EUR"/>
    <n v="9.3919999999999995"/>
    <m/>
    <m/>
    <n v="0"/>
    <m/>
    <m/>
    <m/>
    <n v="0"/>
    <n v="1.1171"/>
    <m/>
    <d v="1899-12-30T00:00:00"/>
    <m/>
    <d v="1899-12-30T17:27:53"/>
  </r>
  <r>
    <d v="2019-05-30T00:00:00"/>
    <s v="BUY"/>
    <s v="GCI"/>
    <s v="US36473H1041"/>
    <s v="YES"/>
    <s v="GCI"/>
    <m/>
    <s v="Gannett Co Inc"/>
    <s v="USD"/>
    <n v="7.56"/>
    <m/>
    <n v="2200"/>
    <n v="-16632"/>
    <n v="-14"/>
    <m/>
    <m/>
    <n v="-16646"/>
    <n v="1.1171"/>
    <n v="-14888.5507116641"/>
    <d v="2019-06-03T00:00:00"/>
    <s v="Equita"/>
    <d v="1899-12-30T17:26:00"/>
  </r>
  <r>
    <d v="2019-05-30T00:00:00"/>
    <s v="BUY"/>
    <s v="SHG"/>
    <s v="US8245961003"/>
    <s v="YES"/>
    <s v="SHG"/>
    <m/>
    <s v="Shinhan Financial Group Co Ltd"/>
    <s v="USD"/>
    <n v="37.772500000000001"/>
    <m/>
    <n v="670"/>
    <n v="-25307.575000000001"/>
    <n v="-20"/>
    <m/>
    <m/>
    <n v="-25327.575000000001"/>
    <n v="1.1171"/>
    <n v="-22587.234804404299"/>
    <d v="2019-06-03T00:00:00"/>
    <s v="Equita"/>
    <d v="1899-12-30T17:27:11"/>
  </r>
  <r>
    <d v="2019-05-30T00:00:00"/>
    <s v="BUY"/>
    <s v="SKM"/>
    <s v="US78440P1084"/>
    <s v="YES"/>
    <s v="SKM"/>
    <m/>
    <s v="SK Telecom Co Ltd"/>
    <s v="USD"/>
    <n v="23.608799999999999"/>
    <m/>
    <n v="690"/>
    <n v="-16290.071999999998"/>
    <n v="-13"/>
    <m/>
    <m/>
    <n v="-16303.071999999998"/>
    <n v="1.1171"/>
    <n v="-14552.3229791424"/>
    <d v="2019-06-03T00:00:00"/>
    <s v="Equita"/>
    <d v="1899-12-30T17:28:47"/>
  </r>
  <r>
    <d v="2019-06-06T00:00:00"/>
    <s v="SELL"/>
    <s v=""/>
    <s v="JP3785000005"/>
    <m/>
    <s v="4217.t"/>
    <m/>
    <s v="Hitachi Chemical Co Ltd"/>
    <s v="JPY"/>
    <n v="3025"/>
    <m/>
    <n v="-2500"/>
    <n v="7562500"/>
    <n v="-6050"/>
    <m/>
    <m/>
    <n v="7556450"/>
    <n v="121.66937790991186"/>
    <n v="61478.082065467999"/>
    <d v="2019-06-12T00:00:00"/>
    <s v="Equita"/>
    <d v="1899-12-30T16:14:12"/>
  </r>
  <r>
    <d v="2019-06-07T00:00:00"/>
    <s v="SELL"/>
    <s v=""/>
    <s v="US3453708600"/>
    <m/>
    <s v="F"/>
    <m/>
    <s v="Ford Motor Co"/>
    <s v="USD"/>
    <n v="9.76"/>
    <m/>
    <n v="-4200"/>
    <n v="40992"/>
    <n v="-32.9"/>
    <m/>
    <m/>
    <n v="40959.1"/>
    <n v="1.1331059567380146"/>
    <n v="36176.669759999997"/>
    <d v="2019-06-11T00:00:00"/>
    <s v="Equita"/>
    <d v="1899-12-30T16:03:54"/>
  </r>
  <r>
    <d v="2019-06-11T00:00:00"/>
    <s v="SELL"/>
    <s v=""/>
    <s v="JP3826800009"/>
    <m/>
    <s v="5715.T"/>
    <m/>
    <s v="Furukawa Co Ltd"/>
    <s v="JPY"/>
    <n v="1404.2727"/>
    <m/>
    <n v="-2200"/>
    <n v="3089399.94"/>
    <n v="-2472"/>
    <m/>
    <m/>
    <n v="3086927.94"/>
    <n v="122.57940239991878"/>
    <n v="24588.14401922714"/>
    <d v="2019-06-14T00:00:00"/>
    <s v="Equita"/>
    <d v="1899-12-30T16:07:34"/>
  </r>
  <r>
    <d v="2019-06-10T00:00:00"/>
    <s v="BUY"/>
    <s v="5801.t"/>
    <s v="Not Signed In"/>
    <s v="YES"/>
    <s v="5801.t"/>
    <m/>
    <s v="Furukawa Electric Co Ltd"/>
    <s v="JPY"/>
    <n v="2991.2620999999999"/>
    <m/>
    <n v="1030"/>
    <n v="-3080999.963"/>
    <n v="-2465"/>
    <m/>
    <m/>
    <n v="-3083464.963"/>
    <n v="122.91971133693605"/>
    <n v="-25180.257635944679"/>
    <d v="2019-06-13T00:00:00"/>
    <s v="Equita"/>
    <d v="2019-06-10T16:35:17"/>
  </r>
  <r>
    <d v="2019-06-24T00:00:00"/>
    <s v="BUY"/>
    <s v="CNAT.PA"/>
    <s v="Not Signed In"/>
    <s v="YES"/>
    <s v="CNAT.PA"/>
    <m/>
    <s v="Natixis SA"/>
    <s v="Not Signed In"/>
    <n v="3.4279999999999999"/>
    <m/>
    <n v="6700"/>
    <n v="-22967.599999999999"/>
    <n v="-18.37"/>
    <n v="-68.900000000000006"/>
    <m/>
    <n v="-23054.87"/>
    <n v="1"/>
    <n v="-23295.9"/>
    <d v="2019-06-26T00:00:00"/>
    <s v="Equita"/>
    <d v="2019-06-24T11:02:23"/>
  </r>
  <r>
    <d v="2019-06-27T00:00:00"/>
    <s v="BUY"/>
    <s v="CTT.LS"/>
    <s v="Not Signed In"/>
    <s v="YES"/>
    <s v="CTT.LS"/>
    <m/>
    <s v="CTT Correios de Portugal SA"/>
    <s v="Not Signed In"/>
    <n v="2.0726"/>
    <m/>
    <n v="8000"/>
    <n v="-16580.8"/>
    <n v="-13.26"/>
    <m/>
    <m/>
    <n v="-16594.059999999998"/>
    <n v="1"/>
    <n v="-16544"/>
    <d v="2019-07-01T00:00:00"/>
    <s v="Equita"/>
    <d v="2019-06-26T13:01:30"/>
  </r>
  <r>
    <d v="2019-06-27T00:00:00"/>
    <s v="SELL"/>
    <s v="VEON.O"/>
    <s v="Not Signed In"/>
    <s v="YES"/>
    <s v="VEON.O"/>
    <m/>
    <s v="VEON Ltd"/>
    <s v="Not Signed In"/>
    <n v="2.8471000000000002"/>
    <m/>
    <n v="-14520"/>
    <n v="41339.892"/>
    <n v="-33.07"/>
    <m/>
    <m/>
    <n v="41306.822"/>
    <n v="1.1365056995760834"/>
    <n v="35134.007699999995"/>
    <d v="2019-07-01T00:00:00"/>
    <s v="Equita"/>
    <d v="2019-06-26T17:16:52"/>
  </r>
  <r>
    <d v="2019-06-27T00:00:00"/>
    <s v="SELL"/>
    <s v="ARNC.K"/>
    <s v="Not Signed In"/>
    <s v="YES"/>
    <s v="ARNC.K"/>
    <m/>
    <s v="Arconic Inc"/>
    <s v="Not Signed In"/>
    <n v="24.991499999999998"/>
    <m/>
    <n v="-1680"/>
    <n v="41985.719999999994"/>
    <n v="-33.590000000000003"/>
    <m/>
    <m/>
    <n v="41952.13"/>
    <n v="1.1365056995760834"/>
    <n v="36053.668728000004"/>
    <d v="2019-07-01T00:00:00"/>
    <s v="Equita"/>
    <d v="2019-06-26T17:19:35"/>
  </r>
  <r>
    <d v="2019-06-27T00:00:00"/>
    <s v="BUY"/>
    <s v="TEL"/>
    <s v="Not Signed In"/>
    <s v="YES"/>
    <s v="TEL"/>
    <m/>
    <s v="TE Connectivity Ltd"/>
    <s v="Not Signed In"/>
    <n v="95.83"/>
    <m/>
    <n v="200"/>
    <n v="-19166"/>
    <n v="-15.33"/>
    <m/>
    <m/>
    <n v="-19181.330000000002"/>
    <n v="1.1365056995760834"/>
    <n v="-16746.066479999998"/>
    <d v="2019-07-01T00:00:00"/>
    <s v="Equita"/>
    <d v="2019-06-26T18:08:11"/>
  </r>
  <r>
    <d v="2019-06-27T00:00:00"/>
    <s v="BUY"/>
    <s v="SWKS.O"/>
    <s v="Not Signed In"/>
    <s v="YES"/>
    <s v="SWKS.O"/>
    <m/>
    <s v="Skyworks Solutions Inc"/>
    <s v="Not Signed In"/>
    <n v="77.424000000000007"/>
    <m/>
    <n v="250"/>
    <n v="-19356"/>
    <n v="-15.48"/>
    <m/>
    <m/>
    <n v="-19371.48"/>
    <n v="1.1365056995760832"/>
    <n v="-16801.499550000004"/>
    <d v="2019-07-01T00:00:00"/>
    <s v="Equita"/>
    <d v="2019-06-26T18:09:50"/>
  </r>
  <r>
    <d v="2019-06-27T00:00:00"/>
    <s v="BUY"/>
    <s v="NOKIA.HE"/>
    <s v="Not Signed In"/>
    <s v="YES"/>
    <s v="NOKIA.HE"/>
    <m/>
    <s v="Nokia Oyj"/>
    <s v="Not Signed In"/>
    <n v="4.3537999999999997"/>
    <m/>
    <n v="3800"/>
    <n v="-16544.439999999999"/>
    <n v="-13.24"/>
    <m/>
    <m/>
    <n v="-16557.68"/>
    <n v="1"/>
    <n v="-16701"/>
    <d v="2019-07-01T00:00:00"/>
    <s v="Equita"/>
    <d v="2019-06-26T18:11:27"/>
  </r>
  <r>
    <d v="2019-06-27T00:00:00"/>
    <s v="BUY"/>
    <s v="LPCK.JK"/>
    <s v="Not Signed In"/>
    <s v="YES"/>
    <s v="LPCK.JK"/>
    <m/>
    <s v="Lippo Cikarang Tbk PT"/>
    <s v="Not Signed In"/>
    <n v="1511.2333000000001"/>
    <m/>
    <n v="180000"/>
    <n v="-272021994"/>
    <n v="-116969"/>
    <m/>
    <m/>
    <n v="-272138963"/>
    <n v="16108.49646454309"/>
    <n v="-16761.34086097392"/>
    <d v="2019-07-02T00:00:00"/>
    <s v="DBS"/>
    <d v="2019-06-27T18:42:33"/>
  </r>
  <r>
    <d v="2019-07-03T00:00:00"/>
    <s v="SELL"/>
    <s v="6501.T"/>
    <s v="Not Signed In"/>
    <m/>
    <s v="6501.T"/>
    <m/>
    <s v="Not Signed In"/>
    <s v="Not Signed In"/>
    <n v="4150"/>
    <m/>
    <n v="-2050"/>
    <n v="8507500"/>
    <n v="-6846"/>
    <m/>
    <m/>
    <n v="8500654"/>
    <n v="121.72088142707253"/>
    <n v="69893.512931034405"/>
    <d v="2019-07-09T00:00:00"/>
    <s v="Equita"/>
    <d v="2019-07-03T18:19:44"/>
  </r>
  <r>
    <d v="2019-07-03T00:00:00"/>
    <s v="BUY"/>
    <s v="INDF.JK"/>
    <s v="Not Signed In"/>
    <s v="YES"/>
    <s v="INDF.JK"/>
    <m/>
    <s v="Not Signed In"/>
    <s v="Not Signed In"/>
    <n v="7068.8437999999996"/>
    <m/>
    <n v="80000"/>
    <n v="-565507504"/>
    <m/>
    <n v="-243168"/>
    <m/>
    <n v="-565750672"/>
    <n v="15948.504439856017"/>
    <n v="-35614.624690484641"/>
    <d v="2019-07-08T00:00:00"/>
    <s v="DBS"/>
    <d v="2019-07-03T18:28:39"/>
  </r>
  <r>
    <d v="2019-07-03T00:00:00"/>
    <s v="BUY"/>
    <s v="SRIL.JK"/>
    <s v="Not Signed In"/>
    <s v="YES"/>
    <s v="SRIL.JK"/>
    <m/>
    <s v="Not Signed In"/>
    <s v="Not Signed In"/>
    <n v="340"/>
    <m/>
    <n v="830000"/>
    <n v="-282200000"/>
    <m/>
    <n v="-121346"/>
    <m/>
    <n v="-282321346"/>
    <n v="15948.504439855695"/>
    <n v="-17486.279108596049"/>
    <d v="2019-07-08T00:00:00"/>
    <s v="DBS"/>
    <d v="2019-07-03T18:34:42"/>
  </r>
  <r>
    <d v="2019-07-03T00:00:00"/>
    <s v="SELL"/>
    <s v="071055.KS"/>
    <s v="Not Signed In"/>
    <s v="YES"/>
    <s v="071055.KS"/>
    <m/>
    <s v="Not Signed In"/>
    <s v="Not Signed In"/>
    <n v="47756.227299999999"/>
    <m/>
    <n v="-1100"/>
    <n v="52531850.030000001"/>
    <n v="-78798"/>
    <m/>
    <m/>
    <n v="52453052.030000001"/>
    <n v="1316.1267756603372"/>
    <n v="39616.244395483802"/>
    <d v="2019-07-08T00:00:00"/>
    <s v="Samsung"/>
    <d v="2019-07-03T18:47:46"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s v="No universe defined."/>
    <s v="YES"/>
    <m/>
    <m/>
    <s v="No universe defined."/>
    <s v="No universe defined."/>
    <m/>
    <m/>
    <m/>
    <n v="0"/>
    <m/>
    <m/>
    <m/>
    <n v="0"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s v="CHF"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s v=""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2">
  <r>
    <d v="2019-02-15T00:00:00"/>
    <s v="BUY"/>
    <s v="6752.t"/>
    <s v="JP3866800000"/>
    <s v="YES"/>
    <s v="6752.t"/>
    <m/>
    <s v="Panasonic Corp"/>
    <s v="JPY"/>
    <n v="1041.5"/>
    <n v="1041.5"/>
    <n v="12200"/>
    <n v="-12706300"/>
    <n v="-5294"/>
    <n v="-1059"/>
    <n v="0"/>
    <n v="-12712653"/>
    <n v="124.82062754934861"/>
    <n v="-101847.37290296008"/>
    <d v="2019-02-21T00:00:00"/>
  </r>
  <r>
    <d v="2019-02-15T00:00:00"/>
    <s v="BUY"/>
    <s v="SYR.AX"/>
    <s v="AU000000SYR9"/>
    <s v="YES"/>
    <s v="SYR.AX"/>
    <m/>
    <s v="Syrah Resources Ltd"/>
    <s v="AUD"/>
    <n v="1.3412999999999999"/>
    <n v="1.3412999999999999"/>
    <n v="35700"/>
    <n v="-47884.409999999996"/>
    <n v="-19.95"/>
    <n v="-3.99"/>
    <n v="0"/>
    <n v="-47908.349999999991"/>
    <n v="1.5902963741342107"/>
    <n v="-30125.422392465844"/>
    <d v="2019-02-20T00:00:00"/>
  </r>
  <r>
    <d v="2019-02-15T00:00:00"/>
    <s v="BUY"/>
    <s v="1958.HK"/>
    <s v="CNE100001TJ4"/>
    <s v="YES"/>
    <s v="1958.HK"/>
    <m/>
    <s v="BAIC Motor Corp Ltd"/>
    <s v="HKD"/>
    <n v="5.2645"/>
    <n v="5.2645"/>
    <n v="51546"/>
    <n v="-271363.91700000002"/>
    <n v="-407.04"/>
    <n v="-292.89999999999998"/>
    <n v="0"/>
    <n v="-272063.85700000002"/>
    <n v="8.8624505928853718"/>
    <n v="-30698.490688163427"/>
    <d v="2019-02-20T00:00:00"/>
  </r>
  <r>
    <d v="2019-02-15T00:00:00"/>
    <s v="BUY"/>
    <s v="006400.KS"/>
    <s v="KR7006400006"/>
    <s v="YES"/>
    <s v="006400.KS"/>
    <m/>
    <s v="Samsung SDI Co Ltd"/>
    <s v="KRW"/>
    <n v="238000"/>
    <n v="238000"/>
    <n v="320"/>
    <n v="-76160000"/>
    <n v="-114240"/>
    <n v="0"/>
    <n v="0"/>
    <n v="-76274240"/>
    <n v="1270.9655561829475"/>
    <n v="-60012.830110889961"/>
    <d v="2019-02-20T00:00:00"/>
  </r>
  <r>
    <d v="2019-02-15T00:00:00"/>
    <s v="BUY"/>
    <s v="BBKP.JK"/>
    <s v="ID1000103609"/>
    <s v="YES"/>
    <s v="BBKP.JK"/>
    <m/>
    <s v="Bank Bukopin Tbk PT"/>
    <s v="IDR"/>
    <n v="378.51679999999999"/>
    <n v="378.51679999999999"/>
    <n v="1073100"/>
    <n v="-406186378.07999998"/>
    <n v="-609280"/>
    <n v="-215279"/>
    <n v="0"/>
    <n v="-407010937.07999998"/>
    <n v="15968.379446640194"/>
    <n v="-25488.556208227918"/>
    <d v="2019-02-20T00:00:00"/>
  </r>
  <r>
    <d v="2019-02-18T00:00:00"/>
    <s v="BUY"/>
    <s v="DTEGn.DE"/>
    <s v="DE0005557508"/>
    <s v="YES"/>
    <s v="DTEGn.DE"/>
    <m/>
    <s v="Deutsche Telekom AG"/>
    <s v="EUR"/>
    <n v="14.319000000000001"/>
    <n v="14.319000000000001"/>
    <n v="2100"/>
    <n v="-30069.9"/>
    <n v="-24.06"/>
    <n v="0"/>
    <n v="0"/>
    <n v="-30093.960000000003"/>
    <n v="1"/>
    <n v="-30093.960000000003"/>
    <d v="2019-02-20T00:00:00"/>
  </r>
  <r>
    <d v="2019-02-18T00:00:00"/>
    <s v="BUY"/>
    <s v="ORAN.PA"/>
    <s v="FR0000133308"/>
    <s v="YES"/>
    <s v="ORAN.PA"/>
    <m/>
    <s v="Orange SA"/>
    <s v="EUR"/>
    <n v="13.4634"/>
    <n v="13.4634"/>
    <n v="2200"/>
    <n v="-29619.48"/>
    <n v="-23.7"/>
    <n v="0"/>
    <n v="-88.86"/>
    <n v="-29732.04"/>
    <n v="1"/>
    <n v="-29732.04"/>
    <d v="2019-02-20T00:00:00"/>
  </r>
  <r>
    <d v="2019-02-18T00:00:00"/>
    <s v="BUY"/>
    <s v="TLITn.MI"/>
    <s v="IT0003497176"/>
    <s v="YES"/>
    <s v="TLITn.MI"/>
    <m/>
    <s v="Telecom Italia SpA"/>
    <s v="EUR"/>
    <n v="0.44950000000000001"/>
    <n v="0.44950000000000001"/>
    <n v="67700"/>
    <n v="-30431.15"/>
    <n v="-24.34"/>
    <n v="0"/>
    <n v="0"/>
    <n v="-30455.49"/>
    <n v="1"/>
    <n v="-30455.49"/>
    <d v="2019-02-20T00:00:00"/>
  </r>
  <r>
    <d v="2019-02-18T00:00:00"/>
    <s v="BUY"/>
    <s v="TEF.MC"/>
    <s v="ES0178430E18"/>
    <s v="YES"/>
    <s v="TEF.MC"/>
    <m/>
    <s v="Telefonica SA"/>
    <s v="EUR"/>
    <n v="7.5347"/>
    <n v="7.5347"/>
    <n v="4000"/>
    <n v="-30138.799999999999"/>
    <n v="-24.11"/>
    <n v="0"/>
    <n v="0"/>
    <n v="-30162.91"/>
    <n v="1"/>
    <n v="-30162.91"/>
    <d v="2019-02-20T00:00:00"/>
  </r>
  <r>
    <d v="2019-02-18T00:00:00"/>
    <s v="BUY"/>
    <s v="BT.L"/>
    <s v="GB0030913577"/>
    <s v="YES"/>
    <s v="BT.L"/>
    <m/>
    <s v="BT Group PLC"/>
    <s v="GBp"/>
    <n v="2.3279999999999998"/>
    <n v="2.3279999999999999E-2"/>
    <n v="120"/>
    <n v="-279.35999999999996"/>
    <n v="-0.22"/>
    <n v="0"/>
    <n v="-1.4"/>
    <n v="-280.97999999999996"/>
    <n v="0.8761829474872953"/>
    <n v="-320.68645116386972"/>
    <d v="2019-02-20T00:00:00"/>
  </r>
  <r>
    <d v="2019-02-18T00:00:00"/>
    <s v="BUY"/>
    <s v="ERICb.ST"/>
    <s v="SE0000108656"/>
    <s v="YES"/>
    <s v="ERICb.ST"/>
    <m/>
    <s v="Telefonaktiebolaget LM Ericsson"/>
    <s v="SEK"/>
    <n v="86.6327"/>
    <n v="86.6327"/>
    <n v="3700"/>
    <n v="-320540.99"/>
    <n v="-256.43"/>
    <n v="0"/>
    <n v="0"/>
    <n v="-320797.42"/>
    <n v="10.469452286843586"/>
    <n v="-30641.280098590196"/>
    <d v="2019-02-20T00:00:00"/>
  </r>
  <r>
    <d v="2019-02-18T00:00:00"/>
    <s v="BUY"/>
    <s v="NOKIA.HE"/>
    <s v="FI0009000681"/>
    <s v="YES"/>
    <s v="NOKIA.HE"/>
    <m/>
    <s v="Nokia Oyj"/>
    <s v="EUR"/>
    <n v="5.5555000000000003"/>
    <n v="5.5555000000000003"/>
    <n v="7200"/>
    <n v="-39999.600000000006"/>
    <n v="-32"/>
    <n v="0"/>
    <n v="0"/>
    <n v="-40031.600000000006"/>
    <n v="1"/>
    <n v="-40031.600000000006"/>
    <d v="2019-02-20T00:00:00"/>
  </r>
  <r>
    <d v="2019-02-18T00:00:00"/>
    <s v="BUY"/>
    <s v="CTT.LS"/>
    <s v="PTCTT0AM0001"/>
    <s v="YES"/>
    <s v="CTT.LS"/>
    <m/>
    <s v="CTT Correios de Portugal SA"/>
    <s v="EUR"/>
    <n v="3.0947"/>
    <n v="3.0947"/>
    <n v="6500"/>
    <n v="-20115.55"/>
    <n v="-16.09"/>
    <n v="0"/>
    <n v="0"/>
    <n v="-20131.64"/>
    <n v="1"/>
    <n v="-20131.64"/>
    <d v="2019-02-20T00:00:00"/>
  </r>
  <r>
    <d v="2019-02-18T00:00:00"/>
    <s v="BUY"/>
    <s v="ptnl.as"/>
    <s v="NL0009739416"/>
    <s v="YES"/>
    <s v="ptnl.as"/>
    <m/>
    <s v="PostNL NV"/>
    <s v="EUR"/>
    <n v="2.2705000000000002"/>
    <n v="2.2705000000000002"/>
    <n v="22200"/>
    <n v="-50405.100000000006"/>
    <n v="-40.32"/>
    <n v="0"/>
    <n v="0"/>
    <n v="-50445.420000000006"/>
    <n v="1"/>
    <n v="-50445.420000000006"/>
    <d v="2019-02-20T00:00:00"/>
  </r>
  <r>
    <d v="2019-02-18T00:00:00"/>
    <s v="BUY"/>
    <s v="SOGN.PA"/>
    <s v="FR0000130809"/>
    <s v="YES"/>
    <s v="SOGN.PA"/>
    <m/>
    <s v="Societe Generale SA"/>
    <s v="EUR"/>
    <n v="25.175000000000001"/>
    <n v="25.175000000000001"/>
    <n v="2000"/>
    <n v="-50350"/>
    <n v="-40.28"/>
    <n v="0"/>
    <n v="-151.05000000000001"/>
    <n v="-50541.33"/>
    <n v="1"/>
    <n v="-50541.33"/>
    <d v="2019-02-20T00:00:00"/>
  </r>
  <r>
    <d v="2019-02-18T00:00:00"/>
    <s v="BUY"/>
    <s v="TUIGn.DE"/>
    <s v="DE000TUAG000"/>
    <s v="YES"/>
    <s v="TUIGn.DE"/>
    <m/>
    <s v="Tui AG"/>
    <s v="EUR"/>
    <n v="9.4779999999999998"/>
    <n v="9.4779999999999998"/>
    <n v="4200"/>
    <n v="-39807.599999999999"/>
    <n v="-31.85"/>
    <n v="0"/>
    <n v="0"/>
    <n v="-39839.449999999997"/>
    <n v="1"/>
    <n v="-39839.449999999997"/>
    <d v="2019-02-20T00:00:00"/>
  </r>
  <r>
    <d v="2019-02-18T00:00:00"/>
    <s v="BUY"/>
    <s v="WPP.L"/>
    <s v="JE00B8KF9B49"/>
    <s v="YES"/>
    <s v="WPP.L"/>
    <m/>
    <s v="WPP PLC"/>
    <s v="GBp"/>
    <n v="8.51"/>
    <n v="8.5099999999999995E-2"/>
    <n v="3100"/>
    <n v="-26381"/>
    <n v="-21.1"/>
    <n v="0"/>
    <n v="-1"/>
    <n v="-26403.1"/>
    <n v="0.87618294748729519"/>
    <n v="-30134.231755729128"/>
    <d v="2019-02-20T00:00:00"/>
  </r>
  <r>
    <d v="2019-02-18T00:00:00"/>
    <s v="BUY"/>
    <s v="BPOST.BR"/>
    <s v="BE0974268972"/>
    <s v="YES"/>
    <s v="BPOST.BR"/>
    <m/>
    <s v="Bpost SA"/>
    <s v="EUR"/>
    <n v="8.2050000000000001"/>
    <n v="8.2050000000000001"/>
    <n v="3650"/>
    <n v="-29948.25"/>
    <n v="-23.96"/>
    <n v="0"/>
    <n v="0"/>
    <n v="-29972.21"/>
    <n v="1"/>
    <n v="-29972.21"/>
    <d v="2019-02-20T00:00:00"/>
  </r>
  <r>
    <d v="2019-02-18T00:00:00"/>
    <s v="BUY"/>
    <s v="DC.L"/>
    <s v="GB00B4Y7R145"/>
    <s v="YES"/>
    <s v="DC.L"/>
    <m/>
    <s v="Dixons Carphone PLC"/>
    <s v="GBp"/>
    <n v="1.32"/>
    <n v="1.32E-2"/>
    <n v="20000"/>
    <n v="-26400"/>
    <n v="-21.12"/>
    <n v="0"/>
    <n v="-133"/>
    <n v="-26554.12"/>
    <n v="0.87618294748729408"/>
    <n v="-30306.593019359203"/>
    <d v="2019-02-20T00:00:00"/>
  </r>
  <r>
    <d v="2019-02-18T00:00:00"/>
    <s v="BUY"/>
    <s v="BT.L"/>
    <s v="GB0030913577"/>
    <s v="YES"/>
    <s v="BT.L"/>
    <m/>
    <s v="BT Group PLC"/>
    <s v="GBp"/>
    <n v="2.33"/>
    <n v="2.3300000000000001E-2"/>
    <n v="11000"/>
    <n v="-25630"/>
    <n v="-20.5"/>
    <n v="0"/>
    <n v="-129.15"/>
    <n v="-25779.65"/>
    <n v="0.8761829474872953"/>
    <n v="-29422.679446034079"/>
    <d v="2019-02-20T00:00:00"/>
  </r>
  <r>
    <d v="2019-02-19T00:00:00"/>
    <s v="BUY"/>
    <s v="BBKP.JK"/>
    <s v="ID1000103609"/>
    <s v="YES"/>
    <s v="BBKP.JK"/>
    <m/>
    <s v="Bank Bukopin Tbk PT"/>
    <s v="IDR"/>
    <n v="385.4787"/>
    <n v="385.4787"/>
    <n v="683190"/>
    <n v="-263355193.053"/>
    <n v="-395033"/>
    <n v="-113243"/>
    <n v="-26336"/>
    <n v="-263889805.053"/>
    <n v="15986.074413435652"/>
    <n v="-16507.480087244636"/>
    <d v="2019-02-21T00:00:00"/>
  </r>
  <r>
    <d v="2019-02-19T00:00:00"/>
    <s v="BUY"/>
    <s v=""/>
    <s v="US3453708600"/>
    <m/>
    <s v="F"/>
    <m/>
    <s v="Ford Motor Co"/>
    <s v="USD"/>
    <n v="8.65"/>
    <n v="8.65"/>
    <n v="4200"/>
    <n v="-36330"/>
    <n v="-15.05"/>
    <n v="-3.02"/>
    <n v="0"/>
    <n v="-36348.07"/>
    <n v="1.1340054205459102"/>
    <n v="-32052.8185681"/>
    <d v="2019-02-21T00:00:00"/>
  </r>
  <r>
    <d v="2019-02-19T00:00:00"/>
    <s v="BUY"/>
    <s v="VNE"/>
    <s v="US92336X1090"/>
    <s v="YES"/>
    <s v="VNE"/>
    <m/>
    <s v="Veoneer Inc"/>
    <s v="USD"/>
    <n v="29.134599999999999"/>
    <n v="29.134599999999999"/>
    <n v="1400"/>
    <n v="-40788.439999999995"/>
    <n v="-17"/>
    <n v="-3.39"/>
    <n v="0"/>
    <n v="-40808.829999999994"/>
    <n v="1.13400542054591"/>
    <n v="-35986.450558900004"/>
    <d v="2019-02-21T00:00:00"/>
  </r>
  <r>
    <d v="2019-02-19T00:00:00"/>
    <s v="BUY"/>
    <s v="SQM"/>
    <s v="US8336351056"/>
    <s v="YES"/>
    <s v="SQM"/>
    <m/>
    <s v="Sociedad Quimica y Minera de Chile SA"/>
    <s v="USD"/>
    <n v="41.2742"/>
    <n v="41.2742"/>
    <n v="700"/>
    <n v="-28891.94"/>
    <n v="-12.05"/>
    <n v="-2.4"/>
    <n v="0"/>
    <n v="-28906.39"/>
    <n v="1.1340054205459102"/>
    <n v="-25490.521893699999"/>
    <d v="2019-02-21T00:00:00"/>
  </r>
  <r>
    <d v="2019-02-19T00:00:00"/>
    <s v="BUY"/>
    <s v="ALB"/>
    <s v="US0126531013"/>
    <s v="YES"/>
    <s v="ALB"/>
    <m/>
    <s v="Albemarle Corp"/>
    <s v="USD"/>
    <n v="82.081400000000002"/>
    <n v="82.081400000000002"/>
    <n v="350"/>
    <n v="-28728.49"/>
    <n v="-11.97"/>
    <n v="-2.39"/>
    <n v="0"/>
    <n v="-28742.850000000002"/>
    <n v="1.13400542054591"/>
    <n v="-25346.307415500007"/>
    <d v="2019-02-21T00:00:00"/>
  </r>
  <r>
    <d v="2019-02-19T00:00:00"/>
    <s v="BUY"/>
    <s v="QCOM.O"/>
    <s v="US7475251036"/>
    <s v="YES"/>
    <s v="QCOM.O"/>
    <m/>
    <s v="Qualcomm Inc"/>
    <s v="USD"/>
    <n v="51.9071"/>
    <n v="51.9071"/>
    <n v="1400"/>
    <n v="-72669.94"/>
    <n v="-30.28"/>
    <n v="-6.0519999999999996"/>
    <n v="0"/>
    <n v="-72706.271999999997"/>
    <n v="1.1340054205459102"/>
    <n v="-64114.571837759999"/>
    <d v="2019-02-21T00:00:00"/>
  </r>
  <r>
    <d v="2019-02-19T00:00:00"/>
    <s v="BUY"/>
    <s v="IBM"/>
    <s v="US4592001014"/>
    <s v="YES"/>
    <s v="IBM"/>
    <m/>
    <s v="International Business Machines Corp"/>
    <s v="USD"/>
    <n v="137.87"/>
    <n v="137.87"/>
    <n v="220"/>
    <n v="-30331.4"/>
    <n v="-12.65"/>
    <n v="-2.52"/>
    <n v="0"/>
    <n v="-30346.570000000003"/>
    <n v="1.13400542054591"/>
    <n v="-26760.515823100006"/>
    <d v="2019-02-21T00:00:00"/>
  </r>
  <r>
    <d v="2019-02-19T00:00:00"/>
    <s v="BUY"/>
    <s v="JNPR.K"/>
    <s v="US48203R1041"/>
    <s v="YES"/>
    <s v="JNPR.K"/>
    <m/>
    <s v="Juniper Networks Inc"/>
    <s v="USD"/>
    <n v="27.083600000000001"/>
    <n v="27.083600000000001"/>
    <n v="1400"/>
    <n v="-37917.040000000001"/>
    <n v="-15.8"/>
    <n v="-3.16"/>
    <n v="0"/>
    <n v="-37936.000000000007"/>
    <n v="1.13400542054591"/>
    <n v="-33453.102880000013"/>
    <d v="2019-02-21T00:00:00"/>
  </r>
  <r>
    <d v="2019-02-19T00:00:00"/>
    <s v="BUY"/>
    <s v="COMM.O"/>
    <s v="US20337X1090"/>
    <s v="YES"/>
    <s v="COMM.O"/>
    <m/>
    <s v="CommScope Holding Company Inc"/>
    <s v="USD"/>
    <n v="22.6708"/>
    <n v="22.6708"/>
    <n v="1200"/>
    <n v="-27204.959999999999"/>
    <n v="-11.34"/>
    <n v="-2.2599999999999998"/>
    <n v="0"/>
    <n v="-27218.559999999998"/>
    <n v="1.1340054205459102"/>
    <n v="-24002.142764799995"/>
    <d v="2019-02-21T00:00:00"/>
  </r>
  <r>
    <d v="2019-02-19T00:00:00"/>
    <s v="BUY"/>
    <s v="AVT.O"/>
    <s v="US0538071038"/>
    <s v="YES"/>
    <s v="AVT.O"/>
    <m/>
    <s v="Avnet Inc"/>
    <s v="USD"/>
    <n v="44.15"/>
    <n v="44.15"/>
    <n v="700"/>
    <n v="-30905"/>
    <n v="-12.88"/>
    <n v="-2.57"/>
    <n v="0"/>
    <n v="-30920.45"/>
    <n v="1.13400542054591"/>
    <n v="-27266.580423500007"/>
    <d v="2019-02-21T00:00:00"/>
  </r>
  <r>
    <d v="2019-02-19T00:00:00"/>
    <s v="BUY"/>
    <s v="DOX.O"/>
    <s v="GB0022569080"/>
    <s v="YES"/>
    <s v="DOX.O"/>
    <m/>
    <s v="Amdocs Ltd"/>
    <s v="USD"/>
    <n v="56.03"/>
    <n v="56.03"/>
    <n v="1100"/>
    <n v="-61633"/>
    <n v="-25.69"/>
    <n v="-5.13"/>
    <n v="0"/>
    <n v="-61663.82"/>
    <n v="1.1340054205459102"/>
    <n v="-54377.0063906"/>
    <d v="2019-02-21T00:00:00"/>
  </r>
  <r>
    <d v="2019-02-19T00:00:00"/>
    <s v="BUY"/>
    <s v="AVYA.K"/>
    <s v="US05351X1019"/>
    <s v="YES"/>
    <s v="AVYA.K"/>
    <m/>
    <s v="Avaya Holdings Corp"/>
    <s v="USD"/>
    <n v="16.275300000000001"/>
    <n v="16.275300000000001"/>
    <n v="2700"/>
    <n v="-43943.310000000005"/>
    <n v="-18.309999999999999"/>
    <n v="-3.66"/>
    <n v="0"/>
    <n v="-43965.280000000006"/>
    <n v="1.1340054205459102"/>
    <n v="-38769.902862400006"/>
    <d v="2019-02-21T00:00:00"/>
  </r>
  <r>
    <d v="2019-02-19T00:00:00"/>
    <s v="BUY"/>
    <s v="KEM"/>
    <s v="US4883602074"/>
    <s v="YES"/>
    <s v="KEM"/>
    <m/>
    <s v="KEMET Corp"/>
    <s v="USD"/>
    <n v="18.671600000000002"/>
    <m/>
    <n v="2200"/>
    <n v="-41077.520000000004"/>
    <n v="-17.12"/>
    <n v="-3.42"/>
    <n v="0"/>
    <n v="-41098.060000000005"/>
    <n v="1.1357957384943893"/>
    <n v="-36184.375946400003"/>
    <d v="2019-02-21T00:00:00"/>
  </r>
  <r>
    <d v="2019-02-19T00:00:00"/>
    <s v="BUY"/>
    <s v="RBBN.O"/>
    <s v="US7625441040"/>
    <s v="YES"/>
    <s v="RBBN.O"/>
    <m/>
    <s v="Ribbon Communications Inc"/>
    <s v="USD"/>
    <n v="6.1555999999999997"/>
    <n v="6.1555999999999997"/>
    <n v="5000"/>
    <n v="-30778"/>
    <n v="-12.83"/>
    <n v="-2.56"/>
    <n v="0"/>
    <n v="-30793.390000000003"/>
    <n v="1.1340054205459102"/>
    <n v="-27154.5351037"/>
    <d v="2019-02-21T00:00:00"/>
  </r>
  <r>
    <d v="2019-02-19T00:00:00"/>
    <s v="BUY"/>
    <s v="HOG"/>
    <s v="US4128221086"/>
    <s v="YES"/>
    <s v="HOG"/>
    <m/>
    <s v="Harley-Davidson Inc"/>
    <s v="USD"/>
    <n v="37.011600000000001"/>
    <n v="37.011600000000001"/>
    <n v="1100"/>
    <n v="-40712.76"/>
    <n v="-16.97"/>
    <n v="-3.39"/>
    <n v="0"/>
    <n v="-40733.120000000003"/>
    <n v="1.13400542054591"/>
    <n v="-35919.687209600008"/>
    <d v="2019-02-21T00:00:00"/>
  </r>
  <r>
    <d v="2019-02-19T00:00:00"/>
    <s v="BUY"/>
    <s v="WY"/>
    <s v="US9621661043"/>
    <s v="YES"/>
    <s v="WY"/>
    <m/>
    <s v="Weyerhaeuser Co"/>
    <s v="USD"/>
    <n v="25.68"/>
    <n v="25.68"/>
    <n v="2200"/>
    <n v="-56496"/>
    <n v="-23.55"/>
    <n v="-4.7"/>
    <n v="0"/>
    <n v="-56524.25"/>
    <n v="1.13400542054591"/>
    <n v="-49844.77937750001"/>
    <d v="2019-02-21T00:00:00"/>
  </r>
  <r>
    <d v="2019-02-19T00:00:00"/>
    <s v="BUY"/>
    <s v="KBLT.V"/>
    <s v="CA19075M3093"/>
    <s v="YES"/>
    <s v="KBLT.V"/>
    <m/>
    <s v="Cobalt 27 Capital Corp"/>
    <s v="CAD"/>
    <n v="4.0095619999999998"/>
    <n v="4.0095619999999998"/>
    <n v="8000"/>
    <n v="-32076.495999999999"/>
    <n v="-13.37"/>
    <n v="-2.67"/>
    <n v="0"/>
    <n v="-32092.535999999996"/>
    <n v="1.49756755837293"/>
    <n v="-21429.77511803724"/>
    <d v="2019-02-21T00:00:00"/>
  </r>
  <r>
    <d v="2019-02-19T00:00:00"/>
    <s v="BUY"/>
    <s v="CFP.TO"/>
    <s v="CA1375761048"/>
    <s v="YES"/>
    <s v="CFP.TO"/>
    <m/>
    <s v="Canfor Corp"/>
    <s v="CAD"/>
    <n v="15.977"/>
    <n v="15.977"/>
    <n v="3700"/>
    <n v="-59114.9"/>
    <n v="-24.64"/>
    <n v="-4.92"/>
    <n v="0"/>
    <n v="-59144.46"/>
    <n v="1.49756755837293"/>
    <n v="-39493.684054066311"/>
    <d v="2019-02-21T00:00:00"/>
  </r>
  <r>
    <d v="2019-02-19T00:00:00"/>
    <s v="BUY"/>
    <s v="RFP"/>
    <s v="US76117W1099"/>
    <s v="YES"/>
    <s v="RFP"/>
    <m/>
    <s v="Resolute Forest"/>
    <s v="USD"/>
    <n v="8.5077999999999996"/>
    <n v="8.5077999999999996"/>
    <n v="4200"/>
    <n v="-35732.759999999995"/>
    <n v="-14.9"/>
    <n v="-2.97"/>
    <n v="0"/>
    <n v="-35750.629999999997"/>
    <n v="1.1299999999999999"/>
    <n v="-31637.725663716814"/>
    <d v="2019-02-21T00:00:00"/>
  </r>
  <r>
    <d v="2019-02-19T00:00:00"/>
    <s v="BUY"/>
    <s v="IFP.TO"/>
    <s v="CA45868C1095"/>
    <s v="YES"/>
    <s v="IFP.TO"/>
    <m/>
    <s v="Interfor Corp"/>
    <s v="CAD"/>
    <n v="16.015799999999999"/>
    <n v="16.015799999999999"/>
    <n v="4200"/>
    <n v="-67266.36"/>
    <n v="-53.81"/>
    <n v="0"/>
    <n v="0"/>
    <n v="-67320.17"/>
    <n v="1.4975675583729275"/>
    <n v="-44953.010382477703"/>
    <d v="2019-02-21T00:00:00"/>
  </r>
  <r>
    <d v="2019-02-19T00:00:00"/>
    <s v="BUY"/>
    <s v="ERMT.PA"/>
    <s v="FR0000131757"/>
    <s v="YES"/>
    <s v="ERMT.PA"/>
    <m/>
    <s v="Eramet SA"/>
    <s v="EUR"/>
    <n v="59.998600000000003"/>
    <n v="59.998600000000003"/>
    <n v="660"/>
    <n v="-39599.076000000001"/>
    <n v="-31.68"/>
    <n v="0"/>
    <n v="-118.8"/>
    <n v="-39749.556000000004"/>
    <n v="1"/>
    <n v="-39749.556000000004"/>
    <d v="2019-02-21T00:00:00"/>
  </r>
  <r>
    <d v="2019-02-19T00:00:00"/>
    <s v="BUY"/>
    <s v="SIEGn.DE"/>
    <s v="DE0007236101"/>
    <s v="YES"/>
    <s v="SIEGn.DE"/>
    <m/>
    <s v="Siemens AG"/>
    <s v="EUR"/>
    <n v="93.77"/>
    <n v="93.77"/>
    <n v="320"/>
    <n v="-30006.399999999998"/>
    <n v="-24.01"/>
    <n v="0"/>
    <n v="0"/>
    <n v="-30030.409999999996"/>
    <n v="1"/>
    <n v="-30030.409999999996"/>
    <d v="2019-02-21T00:00:00"/>
  </r>
  <r>
    <d v="2019-03-19T00:00:00"/>
    <s v="BUY"/>
    <s v="BARC.L"/>
    <s v="GB0031348658"/>
    <s v="YES"/>
    <s v="BARC.L"/>
    <m/>
    <s v="Barclays PLC"/>
    <s v="GBp"/>
    <n v="1.58"/>
    <m/>
    <n v="16600"/>
    <n v="-26228"/>
    <n v="-20.98"/>
    <n v="0"/>
    <n v="-132.13999999999999"/>
    <n v="-26381.119999999999"/>
    <n v="0.86153321201091759"/>
    <n v="-30621.129437858155"/>
    <d v="2019-02-21T00:00:00"/>
  </r>
  <r>
    <d v="2019-02-19T00:00:00"/>
    <s v="BUY"/>
    <s v="CONG.DE"/>
    <s v="DE0005439004"/>
    <s v="YES"/>
    <s v="CONG.DE"/>
    <m/>
    <s v="Continental AG"/>
    <s v="EUR"/>
    <n v="137.94999999999999"/>
    <n v="137.94999999999999"/>
    <n v="215"/>
    <n v="-29659.249999999996"/>
    <n v="-23.73"/>
    <n v="0"/>
    <n v="0"/>
    <n v="-29682.979999999996"/>
    <n v="1"/>
    <n v="-29682.979999999996"/>
    <d v="2019-02-21T00:00:00"/>
  </r>
  <r>
    <d v="2019-02-19T00:00:00"/>
    <s v="BUY"/>
    <s v="RENA.PA"/>
    <s v="FR0000131906"/>
    <s v="YES"/>
    <s v="RENA.PA"/>
    <m/>
    <s v="Renault SA"/>
    <s v="EUR"/>
    <n v="58.95"/>
    <n v="58.95"/>
    <n v="510"/>
    <n v="-30064.5"/>
    <n v="-24.05"/>
    <n v="0"/>
    <n v="-90.19"/>
    <n v="-30178.739999999998"/>
    <n v="1"/>
    <n v="-30178.739999999998"/>
    <d v="2019-02-21T00:00:00"/>
  </r>
  <r>
    <d v="2019-02-19T00:00:00"/>
    <s v="BUY"/>
    <s v="PSHG_p.DE"/>
    <s v="DE000PAH0038"/>
    <s v="YES"/>
    <s v="PSHG_p.DE"/>
    <m/>
    <s v="Porsche Automobil Holding SE"/>
    <s v="EUR"/>
    <n v="55.18"/>
    <n v="55.18"/>
    <n v="540"/>
    <n v="-29797.200000000001"/>
    <n v="-23.84"/>
    <n v="0"/>
    <n v="0"/>
    <n v="-29821.040000000001"/>
    <n v="1"/>
    <n v="-29821.040000000001"/>
    <d v="2019-02-21T00:00:00"/>
  </r>
  <r>
    <d v="2019-02-19T00:00:00"/>
    <s v="BUY"/>
    <s v="VOWG_p.DE"/>
    <s v="DE0007664039"/>
    <s v="YES"/>
    <s v="VOWG_p.DE"/>
    <m/>
    <s v="Volkswagen AG"/>
    <s v="EUR"/>
    <n v="141.80000000000001"/>
    <n v="141.80000000000001"/>
    <n v="280"/>
    <n v="-39704"/>
    <n v="-31.76"/>
    <n v="0"/>
    <n v="0"/>
    <n v="-39735.760000000002"/>
    <n v="1"/>
    <n v="-39735.760000000002"/>
    <d v="2019-02-21T00:00:00"/>
  </r>
  <r>
    <d v="2019-02-19T00:00:00"/>
    <s v="BUY"/>
    <s v="SOLB.BR"/>
    <s v="BE0003470755"/>
    <s v="YES"/>
    <s v="SOLB.BR"/>
    <m/>
    <s v="Solvay SA"/>
    <s v="EUR"/>
    <n v="99.352699999999999"/>
    <n v="99.352699999999999"/>
    <n v="400"/>
    <n v="-39741.08"/>
    <n v="-31.79"/>
    <n v="0"/>
    <n v="0"/>
    <n v="-39772.870000000003"/>
    <n v="1"/>
    <n v="-39772.870000000003"/>
    <d v="2019-02-21T00:00:00"/>
  </r>
  <r>
    <d v="2019-02-19T00:00:00"/>
    <s v="BUY"/>
    <s v="O2Dn.DE"/>
    <s v="DE000A1J5RX9"/>
    <s v="YES"/>
    <s v="O2Dn.DE"/>
    <m/>
    <s v="Telefonica Deutschland Holding AG"/>
    <s v="EUR"/>
    <n v="3.032"/>
    <n v="3.032"/>
    <n v="11000"/>
    <n v="-33352"/>
    <n v="-26.68"/>
    <n v="0"/>
    <n v="0"/>
    <n v="-33378.68"/>
    <n v="1"/>
    <n v="-33378.68"/>
    <d v="2019-02-21T00:00:00"/>
  </r>
  <r>
    <d v="2019-02-19T00:00:00"/>
    <s v="BUY"/>
    <s v="1COV.DE"/>
    <s v="DE0006062144"/>
    <s v="YES"/>
    <s v="1COV.DE"/>
    <m/>
    <s v="Covestro AG"/>
    <s v="EUR"/>
    <n v="50.32"/>
    <n v="50.32"/>
    <n v="500"/>
    <n v="-25160"/>
    <n v="-20.13"/>
    <n v="0"/>
    <n v="0"/>
    <n v="-25180.13"/>
    <n v="1"/>
    <n v="-25180.13"/>
    <d v="2019-02-21T00:00:00"/>
  </r>
  <r>
    <d v="2019-02-20T00:00:00"/>
    <s v="BUY"/>
    <s v="6501.T"/>
    <s v="JP3788600009"/>
    <s v="YES"/>
    <s v="6501.T"/>
    <m/>
    <s v="Hitachi Ltd"/>
    <s v="JPY"/>
    <n v="3500"/>
    <n v="3500"/>
    <n v="1500"/>
    <n v="-5250000"/>
    <n v="-3063"/>
    <n v="0"/>
    <n v="-613"/>
    <n v="-5253676"/>
    <n v="125.64893110562011"/>
    <n v="-41812.341368696369"/>
    <d v="2019-02-25T00:00:00"/>
  </r>
  <r>
    <d v="2019-02-20T00:00:00"/>
    <s v="BUY"/>
    <s v="5713.T"/>
    <s v="JP3402600005"/>
    <s v="YES"/>
    <s v="5713.T"/>
    <m/>
    <s v="Sumitomo Metal Mining Co Ltd"/>
    <s v="JPY"/>
    <n v="3184"/>
    <n v="3184"/>
    <n v="1400"/>
    <n v="-4457600"/>
    <n v="-2600"/>
    <n v="0"/>
    <n v="-520"/>
    <n v="-4460720"/>
    <n v="125.6489311056197"/>
    <n v="-35501.456007217021"/>
    <d v="2019-02-25T00:00:00"/>
  </r>
  <r>
    <d v="2019-02-20T00:00:00"/>
    <s v="BUY"/>
    <s v="5301.T"/>
    <s v="JP3560800009"/>
    <s v="YES"/>
    <s v="5301.T"/>
    <m/>
    <s v="Tokai Carbon Co Ltd"/>
    <s v="JPY"/>
    <n v="1530"/>
    <n v="1530"/>
    <n v="2000"/>
    <n v="-3060000"/>
    <n v="-1785"/>
    <n v="0"/>
    <n v="-357"/>
    <n v="-3062142"/>
    <n v="125.64893110561991"/>
    <n v="-24370.617187550746"/>
    <d v="2019-02-25T00:00:00"/>
  </r>
  <r>
    <d v="2019-02-20T00:00:00"/>
    <s v="BUY"/>
    <s v="4004.T"/>
    <s v="JP3368000000"/>
    <s v="YES"/>
    <s v="4004.T"/>
    <m/>
    <s v="Showa Denko KK"/>
    <s v="JPY"/>
    <n v="3890"/>
    <n v="3890"/>
    <n v="1000"/>
    <n v="-3890000"/>
    <n v="-2269"/>
    <n v="0"/>
    <n v="-454"/>
    <n v="-3892723"/>
    <n v="125.64893110561981"/>
    <n v="-30980.947993324338"/>
    <d v="2019-02-25T00:00:00"/>
  </r>
  <r>
    <d v="2019-02-20T00:00:00"/>
    <s v="BUY"/>
    <s v="4005.T"/>
    <s v="JP3401400001"/>
    <s v="YES"/>
    <s v="4005.T"/>
    <m/>
    <s v="Sumitomo Chemical Co Ltd"/>
    <s v="JPY"/>
    <n v="563"/>
    <n v="563"/>
    <n v="8900"/>
    <n v="-5010700"/>
    <n v="-2923"/>
    <n v="0"/>
    <n v="-585"/>
    <n v="-5014208"/>
    <n v="125.64893110561997"/>
    <n v="-39906.491490843466"/>
    <d v="2019-02-25T00:00:00"/>
  </r>
  <r>
    <d v="2019-02-20T00:00:00"/>
    <s v="BUY"/>
    <s v="3407.T"/>
    <s v="JP3111200006"/>
    <s v="YES"/>
    <s v="3407.T"/>
    <m/>
    <s v="Asahi Kasei Corp"/>
    <s v="JPY"/>
    <n v="1233.5"/>
    <n v="1233.5"/>
    <n v="4200"/>
    <n v="-5180700"/>
    <n v="-3022"/>
    <n v="0"/>
    <n v="-604"/>
    <n v="-5184326"/>
    <n v="125.64893110561988"/>
    <n v="-41260.406709246738"/>
    <d v="2019-02-25T00:00:00"/>
  </r>
  <r>
    <d v="2019-02-20T00:00:00"/>
    <s v="BUY"/>
    <s v="4188.T"/>
    <s v="JP3897700005"/>
    <s v="YES"/>
    <s v="4188.T"/>
    <m/>
    <s v="Mitsubishi Chemical Holdings Corp"/>
    <s v="JPY"/>
    <n v="830"/>
    <n v="830"/>
    <n v="7600"/>
    <n v="-6308000"/>
    <n v="-3680"/>
    <n v="0"/>
    <n v="-736"/>
    <n v="-6312416"/>
    <n v="125.64893110561992"/>
    <n v="-50238.517307352275"/>
    <d v="2019-02-25T00:00:00"/>
  </r>
  <r>
    <d v="2019-02-20T00:00:00"/>
    <s v="BUY"/>
    <s v="9433.T"/>
    <s v="JP3496400007"/>
    <s v="YES"/>
    <s v="9433.T"/>
    <m/>
    <s v="KDDI Corp"/>
    <s v="JPY"/>
    <n v="2719"/>
    <n v="2719"/>
    <n v="1400"/>
    <n v="-3806600"/>
    <n v="-2221"/>
    <n v="0"/>
    <n v="-444"/>
    <n v="-3809265"/>
    <n v="125.64893110561971"/>
    <n v="-30316.732235453364"/>
    <d v="2019-02-25T00:00:00"/>
  </r>
  <r>
    <d v="2019-02-20T00:00:00"/>
    <s v="BUY"/>
    <s v="5302.T"/>
    <s v="JP3690400001"/>
    <s v="YES"/>
    <s v="5302.T"/>
    <m/>
    <s v="Nippon Carbon Co Ltd"/>
    <s v="JPY"/>
    <n v="5290"/>
    <n v="5290"/>
    <n v="1000"/>
    <n v="-5290000"/>
    <n v="-3086"/>
    <n v="0"/>
    <n v="-617"/>
    <n v="-5293703"/>
    <n v="125.64893110562001"/>
    <n v="-42130.903569327886"/>
    <d v="2019-02-25T00:00:00"/>
  </r>
  <r>
    <d v="2019-02-20T00:00:00"/>
    <s v="BUY"/>
    <s v=""/>
    <s v="JP3785000005"/>
    <m/>
    <s v="4217.T"/>
    <m/>
    <s v="Hitachi Chemical Co Ltd"/>
    <s v="JPY"/>
    <n v="2062"/>
    <n v="2062"/>
    <n v="2500"/>
    <n v="-5155000"/>
    <n v="-3008"/>
    <n v="0"/>
    <n v="-602"/>
    <n v="-5158610"/>
    <n v="125.64893110561975"/>
    <n v="-41055.74121966627"/>
    <d v="2019-02-25T00:00:00"/>
  </r>
  <r>
    <d v="2019-02-20T00:00:00"/>
    <s v="BUY"/>
    <s v="VLOF.PA"/>
    <s v="FR0013176526"/>
    <s v="YES"/>
    <s v="VLOF.PA"/>
    <m/>
    <s v="Valeo SA"/>
    <s v="EUR"/>
    <n v="27.27"/>
    <n v="27.27"/>
    <n v="1700"/>
    <n v="-46359"/>
    <n v="-37.090000000000003"/>
    <n v="0"/>
    <n v="-139.08000000000001"/>
    <n v="-46535.17"/>
    <n v="1"/>
    <n v="-46535.17"/>
    <d v="2019-02-22T00:00:00"/>
  </r>
  <r>
    <d v="2019-02-20T00:00:00"/>
    <s v="BUY"/>
    <s v="VOD.L"/>
    <s v="GB00BH4HKS39"/>
    <s v="YES"/>
    <s v="VOD.L"/>
    <m/>
    <s v="Vodafone Group PLC"/>
    <s v="GBp"/>
    <n v="1.4117999999999999"/>
    <n v="1.4117999999999999E-2"/>
    <n v="22000"/>
    <n v="-31059.599999999999"/>
    <n v="-24.85"/>
    <n v="0"/>
    <n v="-156.30000000000001"/>
    <n v="-31240.749999999996"/>
    <n v="0.86864954319784293"/>
    <n v="-35964.734275908813"/>
    <d v="2019-02-22T00:00:00"/>
  </r>
  <r>
    <d v="2019-02-20T00:00:00"/>
    <s v="BUY"/>
    <s v="ITV.L"/>
    <s v="GB0033986497"/>
    <s v="YES"/>
    <s v="ITV.L"/>
    <m/>
    <s v="ITV PLC"/>
    <s v="GBp"/>
    <n v="1.3205"/>
    <n v="1.3205E-2"/>
    <n v="22000"/>
    <n v="-29051"/>
    <n v="-23.24"/>
    <n v="0"/>
    <n v="-146.26"/>
    <n v="-29220.5"/>
    <n v="0.86864954319783894"/>
    <n v="-33638.997716418409"/>
    <d v="2019-02-22T00:00:00"/>
  </r>
  <r>
    <d v="2019-02-20T00:00:00"/>
    <s v="BUY"/>
    <s v="PSMGn.DE"/>
    <s v="DE000PSM7770"/>
    <s v="YES"/>
    <s v="PSMGn.DE"/>
    <m/>
    <s v="Prosiebensat 1 Media SE"/>
    <s v="EUR"/>
    <n v="15.315"/>
    <n v="15.315"/>
    <n v="2200"/>
    <n v="-33693"/>
    <n v="-26.95"/>
    <n v="0"/>
    <n v="0"/>
    <n v="-33719.949999999997"/>
    <n v="1"/>
    <n v="-33719.949999999997"/>
    <d v="2019-02-22T00:00:00"/>
  </r>
  <r>
    <d v="2019-02-20T00:00:00"/>
    <s v="BUY"/>
    <s v="TL5.MC"/>
    <s v="ES0152503035"/>
    <s v="YES"/>
    <s v="TL5.MC"/>
    <m/>
    <s v="Mediaset Espana Comunicacion SA"/>
    <s v="EUR"/>
    <n v="6.4774000000000003"/>
    <n v="6.4774000000000003"/>
    <n v="4200"/>
    <n v="-27205.08"/>
    <n v="-21.76"/>
    <n v="0"/>
    <n v="0"/>
    <n v="-27226.84"/>
    <n v="1"/>
    <n v="-27226.84"/>
    <d v="2019-02-22T00:00:00"/>
  </r>
  <r>
    <d v="2019-02-20T00:00:00"/>
    <s v="BUY"/>
    <s v="MMTP.PA"/>
    <s v="FR0000053225"/>
    <s v="YES"/>
    <s v="MMTP.PA"/>
    <m/>
    <s v="Metropole Television SA"/>
    <s v="EUR"/>
    <n v="15.78"/>
    <n v="15.78"/>
    <n v="2200"/>
    <n v="-34716"/>
    <n v="-27.77"/>
    <n v="0"/>
    <n v="-104.15"/>
    <n v="-34847.919999999998"/>
    <n v="1"/>
    <n v="-34847.919999999998"/>
    <d v="2019-02-22T00:00:00"/>
  </r>
  <r>
    <d v="2019-02-20T00:00:00"/>
    <s v="BUY"/>
    <s v="TFFP.PA"/>
    <s v="FR0000054900"/>
    <s v="YES"/>
    <s v="TFFP.PA"/>
    <m/>
    <s v="Television Francaise 1 SA"/>
    <s v="EUR"/>
    <n v="8.0189000000000004"/>
    <n v="8.0189000000000004"/>
    <n v="2200"/>
    <n v="-17641.580000000002"/>
    <n v="-14.11"/>
    <n v="0"/>
    <n v="-52.92"/>
    <n v="-17708.61"/>
    <n v="1"/>
    <n v="-17708.61"/>
    <d v="2019-02-22T00:00:00"/>
  </r>
  <r>
    <d v="2019-02-20T00:00:00"/>
    <s v="BUY"/>
    <s v="STERV.HE"/>
    <s v="FI0009005961"/>
    <s v="YES"/>
    <s v="STERV.HE"/>
    <m/>
    <s v="Stora Enso Oyj"/>
    <s v="EUR"/>
    <n v="12.007400000000001"/>
    <n v="12.007400000000001"/>
    <n v="3000"/>
    <n v="-36022.200000000004"/>
    <n v="-28.82"/>
    <n v="0"/>
    <n v="0"/>
    <n v="-36051.020000000004"/>
    <n v="1"/>
    <n v="-36051.020000000004"/>
    <d v="2019-02-22T00:00:00"/>
  </r>
  <r>
    <d v="2019-02-20T00:00:00"/>
    <s v="BUY"/>
    <s v="GCI"/>
    <s v="US36473H1041"/>
    <s v="YES"/>
    <s v="GCI"/>
    <m/>
    <s v="Gannett Co Inc"/>
    <s v="USD"/>
    <n v="10.944100000000001"/>
    <n v="10.944100000000001"/>
    <n v="2200"/>
    <n v="-24077.02"/>
    <n v="-10.039999999999999"/>
    <n v="0"/>
    <n v="-2"/>
    <n v="-24089.06"/>
    <n v="1.1335041146199363"/>
    <n v="-21251.850513199999"/>
    <d v="2019-02-22T00:00:00"/>
  </r>
  <r>
    <d v="2019-02-20T00:00:00"/>
    <s v="BUY"/>
    <s v="GME"/>
    <s v="US36467W1099"/>
    <s v="YES"/>
    <s v="GME"/>
    <m/>
    <s v="GameStop Corp"/>
    <s v="USD"/>
    <n v="11.241300000000001"/>
    <n v="11.241300000000001"/>
    <n v="4200"/>
    <n v="-47213.460000000006"/>
    <n v="-19.68"/>
    <n v="0"/>
    <n v="-3.93"/>
    <n v="-47237.070000000007"/>
    <n v="1.1335041146199358"/>
    <n v="-41673.487895400016"/>
    <d v="2019-02-22T00:00:00"/>
  </r>
  <r>
    <d v="2019-02-20T00:00:00"/>
    <s v="BUY"/>
    <s v="BBBY.O"/>
    <s v="US0758961009"/>
    <s v="YES"/>
    <s v="BBBY.O"/>
    <m/>
    <s v="Bed Bath &amp; Beyond Inc"/>
    <s v="USD"/>
    <n v="16.850000000000001"/>
    <n v="16.850000000000001"/>
    <n v="1700"/>
    <n v="-28645.000000000004"/>
    <n v="-11.94"/>
    <n v="0"/>
    <n v="-2.38"/>
    <n v="-28659.320000000003"/>
    <n v="1.1335041146199361"/>
    <n v="-25283.825290400004"/>
    <d v="2019-02-22T00:00:00"/>
  </r>
  <r>
    <d v="2019-02-20T00:00:00"/>
    <s v="BUY"/>
    <s v="ODP.O"/>
    <s v="US6762201068"/>
    <s v="YES"/>
    <s v="ODP.O"/>
    <m/>
    <s v="Office Depot Inc"/>
    <s v="USD"/>
    <n v="3.31"/>
    <n v="3.31"/>
    <n v="6700"/>
    <n v="-22177"/>
    <n v="-9.25"/>
    <n v="0"/>
    <n v="-1.84"/>
    <n v="-22188.09"/>
    <n v="1.1335041146199361"/>
    <n v="-19574.776759799999"/>
    <d v="2019-02-22T00:00:00"/>
  </r>
  <r>
    <d v="2019-02-20T00:00:00"/>
    <s v="BUY"/>
    <s v="M"/>
    <s v="US55616P1049"/>
    <s v="YES"/>
    <s v="M"/>
    <m/>
    <s v="Macy's Inc"/>
    <s v="USD"/>
    <n v="25.16"/>
    <n v="25.16"/>
    <n v="1700"/>
    <n v="-42772"/>
    <n v="-17.829999999999998"/>
    <n v="0"/>
    <n v="-3.56"/>
    <n v="-42793.39"/>
    <n v="1.1335041146199361"/>
    <n v="-37753.184525800003"/>
    <d v="2019-02-22T00:00:00"/>
  </r>
  <r>
    <d v="2019-02-20T00:00:00"/>
    <s v="BUY"/>
    <s v="KT.N"/>
    <s v="US48268K1016"/>
    <s v="YES"/>
    <s v="KT.N"/>
    <m/>
    <s v="KT Corp"/>
    <s v="USD"/>
    <n v="13.5061"/>
    <n v="13.5061"/>
    <n v="6700"/>
    <n v="-90490.87"/>
    <n v="-37.71"/>
    <n v="0"/>
    <n v="-7.54"/>
    <n v="-90536.12"/>
    <n v="1.1335041146199361"/>
    <n v="-79872.775786400001"/>
    <d v="2019-02-22T00:00:00"/>
  </r>
  <r>
    <d v="2019-02-20T00:00:00"/>
    <s v="BUY"/>
    <s v="SKM"/>
    <s v="US78440P1084"/>
    <s v="YES"/>
    <s v="SKM"/>
    <m/>
    <s v="SK Telecom Co Ltd"/>
    <s v="USD"/>
    <n v="25.5564"/>
    <n v="25.5564"/>
    <n v="2200"/>
    <n v="-56224.08"/>
    <n v="-23.43"/>
    <n v="0"/>
    <n v="-4.68"/>
    <n v="-56252.19"/>
    <n v="1.1335041146199361"/>
    <n v="-49626.807061800006"/>
    <d v="2019-02-22T00:00:00"/>
  </r>
  <r>
    <d v="2019-02-20T00:00:00"/>
    <s v="BUY"/>
    <s v="VEON.O"/>
    <s v="US91822M1062"/>
    <s v="YES"/>
    <s v="VEON.O"/>
    <m/>
    <s v="VEON Ltd"/>
    <s v="USD"/>
    <n v="2.5097"/>
    <n v="2.5097"/>
    <n v="22000"/>
    <n v="-55213.4"/>
    <n v="-23.01"/>
    <n v="0"/>
    <n v="-4.5999999999999996"/>
    <n v="-55241.01"/>
    <n v="1.1335041146199361"/>
    <n v="-48734.723842200001"/>
    <d v="2019-02-22T00:00:00"/>
  </r>
  <r>
    <d v="2019-02-20T00:00:00"/>
    <s v="BUY"/>
    <s v="AA"/>
    <s v="US0138721065"/>
    <s v="YES"/>
    <s v="AA"/>
    <m/>
    <s v="Alcoa Corp"/>
    <s v="USD"/>
    <n v="29.35"/>
    <n v="29.35"/>
    <n v="1700"/>
    <n v="-49895"/>
    <n v="-20.8"/>
    <n v="0"/>
    <n v="-4.1500000000000004"/>
    <n v="-49919.950000000004"/>
    <n v="1.1335041146199361"/>
    <n v="-44040.378289000007"/>
    <d v="2019-02-22T00:00:00"/>
  </r>
  <r>
    <d v="2019-02-20T00:00:00"/>
    <s v="BUY"/>
    <s v="ARNC.K"/>
    <s v="US03965L1008"/>
    <s v="YES"/>
    <s v="ARNC.K"/>
    <m/>
    <s v="Arconic Inc"/>
    <s v="USD"/>
    <n v="18.293299999999999"/>
    <n v="18.293299999999999"/>
    <n v="4200"/>
    <n v="-76831.86"/>
    <n v="-32.020000000000003"/>
    <n v="0"/>
    <n v="-6.4"/>
    <n v="-76870.28"/>
    <n v="1.1335041146199361"/>
    <n v="-67816.498421600001"/>
    <d v="2019-02-22T00:00:00"/>
  </r>
  <r>
    <d v="2019-02-20T00:00:00"/>
    <s v="BUY"/>
    <s v="KNL"/>
    <s v="US4989042001"/>
    <s v="YES"/>
    <s v="KNL"/>
    <m/>
    <s v="Knoll Inc"/>
    <s v="USD"/>
    <n v="21.422499999999999"/>
    <n v="21.422499999999999"/>
    <n v="2200"/>
    <n v="-47129.5"/>
    <n v="-19.64"/>
    <n v="0"/>
    <n v="-3.92"/>
    <n v="-47153.06"/>
    <n v="1.1335041146199361"/>
    <n v="-41599.372593200002"/>
    <d v="2019-02-22T00:00:00"/>
  </r>
  <r>
    <d v="2019-02-20T00:00:00"/>
    <s v="BUY"/>
    <s v="PBI"/>
    <s v="US7244791007"/>
    <s v="YES"/>
    <s v="PBI"/>
    <m/>
    <s v="Pitney Bowes Inc"/>
    <s v="USD"/>
    <n v="7.0899000000000001"/>
    <n v="7.0899000000000001"/>
    <n v="3200"/>
    <n v="-22687.68"/>
    <n v="-9.4499999999999993"/>
    <n v="0"/>
    <n v="-1.89"/>
    <n v="-22699.02"/>
    <n v="1.1335041146199361"/>
    <n v="-20025.5294244"/>
    <d v="2019-02-22T00:00:00"/>
  </r>
  <r>
    <d v="2019-02-20T00:00:00"/>
    <s v="BUY"/>
    <s v="BMWG.DE"/>
    <s v="DE0005190003"/>
    <s v="YES"/>
    <s v="BMWG.DE"/>
    <m/>
    <s v="Bayerische Motoren Werke AG"/>
    <s v="EUR"/>
    <n v="72.510000000000005"/>
    <n v="72.510000000000005"/>
    <n v="345"/>
    <n v="-25015.95"/>
    <n v="-20.010000000000002"/>
    <n v="0"/>
    <n v="0"/>
    <n v="-25035.96"/>
    <n v="1"/>
    <n v="-25035.96"/>
    <d v="2019-02-22T00:00:00"/>
  </r>
  <r>
    <d v="2019-02-20T00:00:00"/>
    <s v="BUY"/>
    <s v="DAIGn.DE"/>
    <s v="DE0007100000"/>
    <s v="YES"/>
    <s v="DAIGn.DE"/>
    <m/>
    <s v="Daimler AG"/>
    <s v="EUR"/>
    <n v="51.76"/>
    <n v="51.76"/>
    <n v="500"/>
    <n v="-25880"/>
    <n v="-20.7"/>
    <n v="0"/>
    <n v="0"/>
    <n v="-25900.7"/>
    <n v="1"/>
    <n v="-25900.7"/>
    <d v="2019-02-22T00:00:00"/>
  </r>
  <r>
    <d v="2019-02-21T00:00:00"/>
    <s v="BUY"/>
    <s v="ALELIO.ST"/>
    <s v="SE0008348072"/>
    <s v="YES"/>
    <s v="ALELIO.ST"/>
    <m/>
    <s v="Alelion Energy Systems AB"/>
    <s v="SEK"/>
    <n v="3.6497000000000002"/>
    <n v="3.6497000000000002"/>
    <n v="30000"/>
    <n v="-109491"/>
    <n v="-87.59"/>
    <n v="0"/>
    <n v="0"/>
    <n v="-109578.59"/>
    <n v="10.564598399492175"/>
    <n v="-10372.243776466437"/>
    <d v="2019-02-23T00:00:00"/>
  </r>
  <r>
    <d v="2019-02-21T00:00:00"/>
    <s v="BUY"/>
    <s v="GEDI.MI"/>
    <s v="IT0001398541"/>
    <s v="YES"/>
    <s v="GEDI.MI"/>
    <m/>
    <s v="GEDI Gruppo Editoriale SpA"/>
    <s v="EUR"/>
    <n v="0.36380000000000001"/>
    <n v="0.36380000000000001"/>
    <n v="67000"/>
    <n v="-24374.600000000002"/>
    <n v="-19.5"/>
    <n v="0"/>
    <n v="0"/>
    <n v="-24394.100000000002"/>
    <n v="1"/>
    <n v="-24394.100000000002"/>
    <d v="2019-02-23T00:00:00"/>
  </r>
  <r>
    <d v="2019-02-21T00:00:00"/>
    <s v="BUY"/>
    <s v="RCH.L"/>
    <s v="GB0009039941"/>
    <s v="YES"/>
    <s v="RCH.L"/>
    <m/>
    <s v="Reach PLC"/>
    <s v="GBp"/>
    <n v="0.59340000000000004"/>
    <n v="5.934E-3"/>
    <n v="22000"/>
    <n v="-13054.800000000001"/>
    <n v="-10.44"/>
    <n v="-66.27"/>
    <n v="0"/>
    <n v="-13131.510000000002"/>
    <n v="0.86890990745781216"/>
    <n v="-15112.625471631616"/>
    <d v="2019-02-23T00:00:00"/>
  </r>
  <r>
    <d v="2019-02-21T00:00:00"/>
    <s v="BUY"/>
    <s v="INME.I"/>
    <s v="IE00B59HWB19"/>
    <s v="YES"/>
    <s v="INME.I"/>
    <m/>
    <s v="Independent News &amp; Media PLC"/>
    <s v="EUR"/>
    <n v="0.69"/>
    <n v="0.69"/>
    <n v="220000"/>
    <n v="-151800"/>
    <n v="-12.14"/>
    <n v="-151.80000000000001"/>
    <n v="0"/>
    <n v="-151963.94"/>
    <n v="1"/>
    <n v="-151963.94"/>
    <d v="2019-02-23T00:00:00"/>
  </r>
  <r>
    <d v="2019-02-21T00:00:00"/>
    <s v="BUY"/>
    <s v="DPWGn.DE"/>
    <s v="DE0005552004"/>
    <s v="YES"/>
    <s v="DPWGn.DE"/>
    <m/>
    <s v="Deutsche Post AG"/>
    <s v="EUR"/>
    <n v="26.73"/>
    <n v="26.73"/>
    <n v="1700"/>
    <n v="-45441"/>
    <n v="-36.35"/>
    <n v="0"/>
    <n v="0"/>
    <n v="-45477.35"/>
    <n v="1"/>
    <n v="-45477.35"/>
    <d v="2019-02-23T00:00:00"/>
  </r>
  <r>
    <d v="2019-02-21T00:00:00"/>
    <s v="BUY"/>
    <s v="DEB.L"/>
    <s v="GB00B126KH97"/>
    <s v="YES"/>
    <s v="DEB.L"/>
    <m/>
    <s v="Debenhams PLC"/>
    <s v="GBp"/>
    <n v="3.27E-2"/>
    <n v="3.2699999999999998E-4"/>
    <n v="300000"/>
    <n v="-9810"/>
    <n v="-7.85"/>
    <n v="-49.05"/>
    <n v="0"/>
    <n v="-9866.9"/>
    <n v="0.86890990745780561"/>
    <n v="-11355.492572144642"/>
    <d v="2019-02-23T00:00:00"/>
  </r>
  <r>
    <d v="2019-02-21T00:00:00"/>
    <s v="BUY"/>
    <s v="VRKP.PA"/>
    <s v="FR0000062796"/>
    <s v="YES"/>
    <s v="VRKP.PA"/>
    <m/>
    <s v="Vranken Pommery Monopole SA"/>
    <s v="EUR"/>
    <n v="23.917400000000001"/>
    <n v="23.917400000000001"/>
    <n v="690"/>
    <n v="-16503.006000000001"/>
    <n v="-13.2"/>
    <n v="0"/>
    <n v="0"/>
    <n v="-16516.206000000002"/>
    <n v="1"/>
    <n v="-16516.206000000002"/>
    <d v="2019-02-23T00:00:00"/>
  </r>
  <r>
    <d v="2019-02-21T00:00:00"/>
    <s v="BUY"/>
    <s v="LAN.PA"/>
    <s v="FR0004027068"/>
    <s v="YES"/>
    <s v="LAN.PA"/>
    <m/>
    <s v="Lanson BCC SA"/>
    <s v="EUR"/>
    <n v="28.7836"/>
    <n v="28.7836"/>
    <n v="670"/>
    <n v="-19285.011999999999"/>
    <n v="-15.43"/>
    <n v="0"/>
    <n v="0"/>
    <n v="-19300.441999999999"/>
    <n v="1"/>
    <n v="-19300.441999999999"/>
    <d v="2019-02-23T00:00:00"/>
  </r>
  <r>
    <d v="2019-02-21T00:00:00"/>
    <s v="BUY"/>
    <s v="LPER.PA"/>
    <s v="FR0006864484"/>
    <s v="YES"/>
    <s v="LPER.PA"/>
    <m/>
    <s v="Laurent Perrier SA"/>
    <s v="EUR"/>
    <n v="93.4"/>
    <n v="93.4"/>
    <n v="110"/>
    <n v="-10274"/>
    <n v="-8.2200000000000006"/>
    <n v="0"/>
    <n v="0"/>
    <n v="-10282.219999999999"/>
    <n v="1"/>
    <n v="-10282.219999999999"/>
    <d v="2019-02-23T00:00:00"/>
  </r>
  <r>
    <d v="2019-02-21T00:00:00"/>
    <s v="BUY"/>
    <s v="MASIA.MI"/>
    <s v="IT0004125677"/>
    <s v="YES"/>
    <s v="MASIA.MI"/>
    <m/>
    <s v="Masi Agricola SpA"/>
    <s v="EUR"/>
    <n v="3.8012999999999999"/>
    <n v="3.8012999999999999"/>
    <n v="4000"/>
    <n v="-15205.199999999999"/>
    <n v="-12.16"/>
    <n v="0"/>
    <n v="0"/>
    <n v="-15217.359999999999"/>
    <n v="1"/>
    <n v="-15217.359999999999"/>
    <d v="2019-02-23T00:00:00"/>
  </r>
  <r>
    <d v="2019-02-21T00:00:00"/>
    <s v="BUY"/>
    <s v="BNAB.BR"/>
    <s v="BE0003008019"/>
    <s v="YES"/>
    <s v="BNAB.BR"/>
    <m/>
    <s v="National Bank of Belgium"/>
    <s v="EUR"/>
    <n v="2447.0587999999998"/>
    <n v="2447.0587999999998"/>
    <n v="17"/>
    <n v="-41599.999599999996"/>
    <n v="-33.28"/>
    <n v="0"/>
    <n v="0"/>
    <n v="-41633.279599999994"/>
    <n v="1"/>
    <n v="-41633.279599999994"/>
    <d v="2019-02-23T00:00:00"/>
  </r>
  <r>
    <d v="2019-02-21T00:00:00"/>
    <s v="BUY"/>
    <s v="SGCG.DE"/>
    <s v="DE0007235301"/>
    <s v="YES"/>
    <s v="SGCG.DE"/>
    <m/>
    <s v="SGL Carbon SE"/>
    <s v="EUR"/>
    <n v="7.4358000000000004"/>
    <n v="7.4358000000000004"/>
    <n v="3500"/>
    <n v="-26025.300000000003"/>
    <n v="-20.82"/>
    <n v="0"/>
    <n v="0"/>
    <n v="-26046.120000000003"/>
    <n v="1"/>
    <n v="-26046.120000000003"/>
    <d v="2019-02-23T00:00:00"/>
  </r>
  <r>
    <d v="2019-02-21T00:00:00"/>
    <s v="BUY"/>
    <s v="CECG.DE"/>
    <s v="DE0007257503"/>
    <s v="YES"/>
    <s v="CECG.DE"/>
    <m/>
    <s v="Ceconomy AG"/>
    <s v="EUR"/>
    <n v="5.0316999999999998"/>
    <n v="5.0316999999999998"/>
    <n v="6900"/>
    <n v="-34718.729999999996"/>
    <n v="-27.77"/>
    <n v="0"/>
    <n v="0"/>
    <n v="-34746.499999999993"/>
    <n v="1"/>
    <n v="-34746.499999999993"/>
    <d v="2019-02-23T00:00:00"/>
  </r>
  <r>
    <d v="2019-02-21T00:00:00"/>
    <s v="BUY"/>
    <s v="GLEN.L"/>
    <s v="JE00B4T3BW64"/>
    <s v="YES"/>
    <s v="GLEN.L"/>
    <m/>
    <s v="Glencore PLC"/>
    <s v="GBp"/>
    <n v="3.0282"/>
    <n v="3.0282E-2"/>
    <n v="11000"/>
    <n v="-33310.199999999997"/>
    <n v="-26.65"/>
    <n v="-1"/>
    <n v="0"/>
    <n v="-33337.85"/>
    <n v="0.86890990745781094"/>
    <n v="-38367.441450330894"/>
    <d v="2019-02-23T00:00:00"/>
  </r>
  <r>
    <d v="2019-02-21T00:00:00"/>
    <s v="BUY"/>
    <s v="T"/>
    <s v="US00206R1023"/>
    <s v="YES"/>
    <s v="T"/>
    <m/>
    <s v="AT&amp;T Inc"/>
    <s v="USD"/>
    <n v="31.039899999999999"/>
    <n v="31.039899999999999"/>
    <n v="1700"/>
    <n v="-52767.83"/>
    <n v="-21.99"/>
    <n v="0"/>
    <n v="-4.3899999999999997"/>
    <n v="-52794.21"/>
    <n v="1.134095445472691"/>
    <n v="-46551.8226096"/>
    <d v="2019-02-23T00:00:00"/>
  </r>
  <r>
    <d v="2019-02-22T00:00:00"/>
    <s v="BUY"/>
    <s v="ERMT.PA"/>
    <s v="FR0000131757"/>
    <s v="YES"/>
    <s v="ERMT.PA"/>
    <m/>
    <s v="Eramet SA"/>
    <s v="EUR"/>
    <n v="48.2759"/>
    <m/>
    <n v="420"/>
    <n v="-20275.878000000001"/>
    <n v="-16.22"/>
    <n v="0"/>
    <n v="-60.83"/>
    <n v="-20352.928000000004"/>
    <n v="1"/>
    <n v="-20352.928000000004"/>
    <d v="2019-02-26T00:00:00"/>
  </r>
  <r>
    <d v="2019-02-22T00:00:00"/>
    <s v="BUY"/>
    <s v="ERMT.PA"/>
    <s v="FR0000131757"/>
    <s v="YES"/>
    <s v="ERMT.PA"/>
    <m/>
    <s v="Eramet SA"/>
    <s v="EUR"/>
    <n v="49.666200000000003"/>
    <m/>
    <n v="420"/>
    <n v="-20859.804"/>
    <n v="-16.690000000000001"/>
    <n v="0"/>
    <n v="-62.58"/>
    <n v="-20939.074000000001"/>
    <n v="1"/>
    <n v="-20939.074000000001"/>
    <d v="2019-02-26T00:00:00"/>
  </r>
  <r>
    <d v="2019-02-22T00:00:00"/>
    <s v="BUY"/>
    <s v="6674.T"/>
    <s v="JP3385820000"/>
    <s v="YES"/>
    <s v="6674.T"/>
    <m/>
    <s v="GS Yuasa Corp"/>
    <s v="JPY"/>
    <n v="2292.9090999999999"/>
    <n v="2292.9090999999999"/>
    <n v="2200"/>
    <n v="-5044400.0199999996"/>
    <n v="-4036"/>
    <n v="0"/>
    <n v="0"/>
    <n v="-5048436.0199999996"/>
    <n v="125.52168390491744"/>
    <n v="-40219.632679754242"/>
    <d v="2019-02-27T00:00:00"/>
  </r>
  <r>
    <d v="2019-02-22T00:00:00"/>
    <s v="BUY"/>
    <s v="4080.T"/>
    <s v="JP3468810001"/>
    <s v="YES"/>
    <s v="4080.T"/>
    <m/>
    <s v="Tanaka Chemical Corp"/>
    <s v="JPY"/>
    <n v="967.33330000000001"/>
    <n v="967.33330000000001"/>
    <n v="4200"/>
    <n v="-4062799.86"/>
    <n v="-3250"/>
    <n v="0"/>
    <n v="0"/>
    <n v="-4066049.86"/>
    <n v="125.52168390491738"/>
    <n v="-32393.206763223723"/>
    <d v="2019-02-27T00:00:00"/>
  </r>
  <r>
    <d v="2019-02-22T00:00:00"/>
    <s v="BUY"/>
    <s v="4092.T"/>
    <s v="JP3691600005"/>
    <s v="YES"/>
    <s v="4092.T"/>
    <m/>
    <s v="Nippon Chemical Industrial Co Ltd"/>
    <s v="JPY"/>
    <n v="2374.7199999999998"/>
    <n v="2374.7199999999998"/>
    <n v="2500"/>
    <n v="-5936799.9999999991"/>
    <n v="-4749"/>
    <n v="0"/>
    <n v="0"/>
    <n v="-5941548.9999999991"/>
    <n v="125.52168390491759"/>
    <n v="-47334.84140079502"/>
    <d v="2019-02-27T00:00:00"/>
  </r>
  <r>
    <d v="2019-02-22T00:00:00"/>
    <s v="BUY"/>
    <s v="4100.T"/>
    <s v="JP3627400009"/>
    <s v="YES"/>
    <s v="4100.T"/>
    <m/>
    <s v="Toda Kogyo Corp"/>
    <s v="JPY"/>
    <n v="2204.3332999999998"/>
    <n v="2204.3332999999998"/>
    <n v="2100"/>
    <n v="-4629099.93"/>
    <n v="-3703"/>
    <n v="0"/>
    <n v="0"/>
    <n v="-4632802.93"/>
    <n v="125.52168390491777"/>
    <n v="-36908.387346917138"/>
    <d v="2019-02-27T00:00:00"/>
  </r>
  <r>
    <d v="2019-02-22T00:00:00"/>
    <s v="BUY"/>
    <s v="6752.t"/>
    <s v="JP3866800000"/>
    <s v="YES"/>
    <s v="6752.T"/>
    <m/>
    <s v="Panasonic Corp"/>
    <s v="JPY"/>
    <n v="1038.5"/>
    <n v="1038.5"/>
    <n v="7800"/>
    <n v="-8100300"/>
    <n v="-6480"/>
    <n v="0"/>
    <n v="0"/>
    <n v="-8106780"/>
    <n v="125.52168390491745"/>
    <n v="-64584.697621973246"/>
    <d v="2019-02-27T00:00:00"/>
  </r>
  <r>
    <d v="2019-02-22T00:00:00"/>
    <s v="BUY"/>
    <s v="5310.T"/>
    <s v="JP3616000000"/>
    <s v="YES"/>
    <s v="5310.T"/>
    <m/>
    <s v="Toyo Tanso Co Ltd"/>
    <s v="JPY"/>
    <n v="2112.1333"/>
    <n v="2112.1333"/>
    <n v="3000"/>
    <n v="-6336399.8999999994"/>
    <n v="-5069"/>
    <n v="0"/>
    <n v="0"/>
    <n v="-6341468.8999999994"/>
    <n v="125.52168390491741"/>
    <n v="-50520.903661582946"/>
    <d v="2019-02-27T00:00:00"/>
  </r>
  <r>
    <d v="2019-02-22T00:00:00"/>
    <s v="BUY"/>
    <s v="3891.T"/>
    <s v="JP3707000000"/>
    <s v="YES"/>
    <s v="3891.T"/>
    <m/>
    <s v="Nippon Kodoshi Corp"/>
    <s v="JPY"/>
    <n v="1657.8181999999999"/>
    <n v="1657.8181999999999"/>
    <n v="2200"/>
    <n v="-3647200.04"/>
    <n v="-2918"/>
    <n v="0"/>
    <n v="0"/>
    <n v="-3650118.04"/>
    <n v="125.52168390491767"/>
    <n v="-29079.581522862252"/>
    <d v="2019-02-27T00:00:00"/>
  </r>
  <r>
    <d v="2019-02-22T00:00:00"/>
    <s v="BUY"/>
    <s v="4109.T"/>
    <s v="JP3399720006"/>
    <s v="YES"/>
    <s v="4109.T"/>
    <m/>
    <s v="Stella Chemifa Corp"/>
    <s v="JPY"/>
    <n v="3255.4454999999998"/>
    <n v="3255.4454999999998"/>
    <n v="1100"/>
    <n v="-3580990.05"/>
    <n v="-2865"/>
    <n v="0"/>
    <n v="0"/>
    <n v="-3583855.05"/>
    <n v="125.52168390491755"/>
    <n v="-28551.680781423896"/>
    <d v="2019-02-27T00:00:00"/>
  </r>
  <r>
    <d v="2019-02-22T00:00:00"/>
    <s v="BUY"/>
    <s v=""/>
    <s v="JP3826800009"/>
    <m/>
    <s v="5715.T"/>
    <m/>
    <s v="Furukawa Co Ltd"/>
    <s v="JPY"/>
    <n v="1442.0908999999999"/>
    <n v="1442.0908999999999"/>
    <n v="2200"/>
    <n v="-3172599.98"/>
    <n v="-2538"/>
    <n v="0"/>
    <n v="0"/>
    <n v="-3175137.98"/>
    <n v="125.52168390491745"/>
    <n v="-25295.533657795444"/>
    <d v="2019-02-27T00:00:00"/>
  </r>
  <r>
    <d v="2019-02-22T00:00:00"/>
    <s v="BUY"/>
    <s v="4208.T"/>
    <s v="JP3158800007"/>
    <s v="YES"/>
    <s v="4208.T"/>
    <m/>
    <s v="Ube Industries Ltd"/>
    <s v="JPY"/>
    <n v="2572"/>
    <n v="2572"/>
    <n v="1100"/>
    <n v="-2829200"/>
    <n v="-2263"/>
    <n v="0"/>
    <n v="0"/>
    <n v="-2831463"/>
    <n v="125.52168390491732"/>
    <n v="-22557.560669316968"/>
    <d v="2019-02-27T00:00:00"/>
  </r>
  <r>
    <d v="2019-02-22T00:00:00"/>
    <s v="BUY"/>
    <s v="2344.T"/>
    <s v="JP3834050001"/>
    <s v="YES"/>
    <s v="2344.T"/>
    <m/>
    <s v="Heian Ceremony Service Co Ltd"/>
    <s v="JPY"/>
    <n v="922.5"/>
    <n v="922.5"/>
    <n v="800"/>
    <n v="-738000"/>
    <n v="-590"/>
    <n v="0"/>
    <n v="0"/>
    <n v="-738590"/>
    <n v="125.52168390491738"/>
    <n v="-5884.1626165522257"/>
    <d v="2019-02-27T00:00:00"/>
  </r>
  <r>
    <d v="2019-02-22T00:00:00"/>
    <s v="BUY"/>
    <s v="9055.T"/>
    <s v="JP3126450000"/>
    <s v="YES"/>
    <s v="9055.T"/>
    <m/>
    <s v="Alps Logistics Co Ltd"/>
    <s v="JPY"/>
    <n v="811"/>
    <n v="811"/>
    <n v="800"/>
    <n v="-648800"/>
    <n v="-519"/>
    <n v="0"/>
    <n v="0"/>
    <n v="-649319"/>
    <n v="125.52168390491745"/>
    <n v="-5172.962788579689"/>
    <d v="2019-02-27T00:00:00"/>
  </r>
  <r>
    <d v="2019-02-22T00:00:00"/>
    <s v="BUY"/>
    <s v="6210.T"/>
    <s v="JP3609000009"/>
    <s v="YES"/>
    <s v="6210.T"/>
    <m/>
    <s v="Toyo Machinery &amp; Metal Co Ltd"/>
    <s v="JPY"/>
    <n v="608.30949999999996"/>
    <n v="608.30949999999996"/>
    <n v="4200"/>
    <n v="-2554899.9"/>
    <n v="-2044"/>
    <n v="0"/>
    <n v="0"/>
    <n v="-2556943.9"/>
    <n v="125.5216839049174"/>
    <n v="-20370.535356559456"/>
    <d v="2019-02-27T00:00:00"/>
  </r>
  <r>
    <d v="2019-02-22T00:00:00"/>
    <s v="BUY"/>
    <s v="1960.T"/>
    <s v="JP3335400002"/>
    <s v="YES"/>
    <s v="1960.T"/>
    <m/>
    <s v="Sanyo Engineering &amp; Construction Inc"/>
    <s v="JPY"/>
    <n v="672.47500000000002"/>
    <n v="672.47500000000002"/>
    <n v="400"/>
    <n v="-268990"/>
    <n v="-215"/>
    <n v="0"/>
    <n v="0"/>
    <n v="-269205"/>
    <n v="125.52168390491741"/>
    <n v="-2144.6892013010483"/>
    <d v="2019-02-27T00:00:00"/>
  </r>
  <r>
    <d v="2019-02-22T00:00:00"/>
    <s v="BUY"/>
    <s v="LPCK.JK"/>
    <s v="ID1000080302"/>
    <s v="YES"/>
    <s v="LPCK.JK"/>
    <m/>
    <s v="Lippo Cikarang Tbk PT"/>
    <s v="IDR"/>
    <n v="2724.8"/>
    <n v="2724.8"/>
    <n v="170000"/>
    <n v="-463216000.00000006"/>
    <n v="-694824"/>
    <n v="-199183"/>
    <n v="-46322"/>
    <n v="-464156329.00000006"/>
    <n v="15939.711486118647"/>
    <n v="-29119.493750198555"/>
    <d v="2019-02-26T00:00:00"/>
  </r>
  <r>
    <d v="2019-02-22T00:00:00"/>
    <s v="BUY"/>
    <s v="LPKR.JK"/>
    <s v="ID1000108905"/>
    <s v="YES"/>
    <s v="LPKR.JK"/>
    <m/>
    <s v="Lippo Karawaci Tbk PT"/>
    <s v="IDR"/>
    <n v="284.46120000000002"/>
    <n v="284.46120000000002"/>
    <n v="1700000"/>
    <n v="-483584040.00000006"/>
    <n v="-725376"/>
    <n v="-207941"/>
    <n v="-48358"/>
    <n v="-484565715.00000006"/>
    <n v="15939.711486118236"/>
    <n v="-30399.905005934666"/>
    <d v="2019-02-26T00:00:00"/>
  </r>
  <r>
    <d v="2019-02-22T00:00:00"/>
    <s v="BUY"/>
    <s v="SRIL.JK"/>
    <s v="ID1000127400"/>
    <s v="YES"/>
    <s v="SRIL.JK"/>
    <m/>
    <s v="Sri Rejeki Isman Tbk PT"/>
    <s v="IDR"/>
    <n v="336.76089999999999"/>
    <n v="336.76089999999999"/>
    <n v="1100000"/>
    <n v="-370436990"/>
    <n v="-555655"/>
    <n v="-159288"/>
    <n v="-37044"/>
    <n v="-371188977"/>
    <n v="15939.711486118607"/>
    <n v="-23287.057442868823"/>
    <d v="2019-02-26T00:00:00"/>
  </r>
  <r>
    <d v="2019-02-22T00:00:00"/>
    <s v="BUY"/>
    <s v="PNIN.JK"/>
    <s v="ID1000094907"/>
    <s v="YES"/>
    <s v="PNIN.JK"/>
    <m/>
    <s v="Paninvest Tbk PT"/>
    <s v="IDR"/>
    <n v="1308.8543"/>
    <n v="1308.8543"/>
    <n v="350000"/>
    <n v="-458099005"/>
    <n v="-687149"/>
    <n v="-196983"/>
    <n v="-45810"/>
    <n v="-459028947"/>
    <n v="15939.711486118602"/>
    <n v="-28797.820299304287"/>
    <d v="2019-02-26T00:00:00"/>
  </r>
  <r>
    <d v="2019-02-22T00:00:00"/>
    <s v="BUY"/>
    <s v="EXCL.JK"/>
    <s v="ID1000102502"/>
    <s v="YES"/>
    <s v="EXCL.JK"/>
    <m/>
    <s v="XL Axiata Tbk PT"/>
    <s v="IDR"/>
    <n v="2610.3182000000002"/>
    <n v="2610.3182000000002"/>
    <n v="110000"/>
    <n v="-287135002"/>
    <n v="-430703"/>
    <n v="-123468"/>
    <n v="-28714"/>
    <n v="-287717887"/>
    <n v="15939.711486118658"/>
    <n v="-18050.382357959461"/>
    <d v="2019-02-26T00:00:00"/>
  </r>
  <r>
    <d v="2019-02-22T00:00:00"/>
    <s v="BUY"/>
    <s v="ISAT.JK"/>
    <s v="ID1000097405"/>
    <s v="YES"/>
    <s v="ISAT.JK"/>
    <m/>
    <s v="Indosat Tbk PT"/>
    <s v="IDR"/>
    <n v="3629.0145000000002"/>
    <n v="3629.0145000000002"/>
    <n v="69000"/>
    <n v="-250402000.50000003"/>
    <n v="-375603"/>
    <n v="-107673"/>
    <n v="-25040"/>
    <n v="-250910316.50000003"/>
    <n v="15939.711486118658"/>
    <n v="-15741.208159163301"/>
    <d v="2019-02-26T00:00:00"/>
  </r>
  <r>
    <d v="2019-02-22T00:00:00"/>
    <s v="BUY"/>
    <s v="051915.KS"/>
    <s v="KR7051911006"/>
    <s v="YES"/>
    <s v="051915.KS"/>
    <m/>
    <s v="LG Chem Ltd"/>
    <s v="KRW"/>
    <n v="216579.54550000001"/>
    <n v="216579.54550000001"/>
    <n v="220"/>
    <n v="-47647500.010000005"/>
    <n v="-71471"/>
    <n v="0"/>
    <n v="0"/>
    <n v="-47718971.010000005"/>
    <n v="1272.4437488659071"/>
    <n v="-37501.831458192602"/>
    <d v="2019-02-26T00:00:00"/>
  </r>
  <r>
    <d v="2019-02-22T00:00:00"/>
    <s v="BUY"/>
    <s v="086520.KQ"/>
    <s v="KR7086520004"/>
    <s v="YES"/>
    <s v="086520.KQ"/>
    <m/>
    <s v="Ecopro Co Ltd"/>
    <s v="KRW"/>
    <n v="34594.9545"/>
    <n v="34594.9545"/>
    <n v="1100"/>
    <n v="-38054449.950000003"/>
    <n v="-57082"/>
    <n v="0"/>
    <n v="0"/>
    <n v="-38111531.950000003"/>
    <n v="1272.443748865903"/>
    <n v="-29951.447350004943"/>
    <d v="2019-02-26T00:00:00"/>
  </r>
  <r>
    <d v="2019-02-22T00:00:00"/>
    <s v="BUY"/>
    <s v="066970.KQ"/>
    <s v="KR7066970005"/>
    <s v="YES"/>
    <s v="066970.KQ"/>
    <m/>
    <s v="L&amp;F Co Ltd"/>
    <s v="KRW"/>
    <n v="36202.608699999997"/>
    <n v="36202.608699999997"/>
    <n v="690"/>
    <n v="-24979800.002999999"/>
    <n v="-37470"/>
    <n v="0"/>
    <n v="0"/>
    <n v="-25017270.002999999"/>
    <n v="1272.4437488659037"/>
    <n v="-19660.806244124542"/>
    <d v="2019-02-26T00:00:00"/>
  </r>
  <r>
    <d v="2019-02-22T00:00:00"/>
    <s v="BUY"/>
    <s v="005070.KS"/>
    <s v="KR7005070008"/>
    <s v="YES"/>
    <s v="005070.KS"/>
    <m/>
    <s v="Cosmo Advanced Materials &amp; Technology Co Ltd"/>
    <s v="KRW"/>
    <n v="16559.441200000001"/>
    <n v="16559.441200000001"/>
    <n v="1700"/>
    <n v="-28151050.040000003"/>
    <n v="-42227"/>
    <n v="0"/>
    <n v="0"/>
    <n v="-28193277.040000003"/>
    <n v="1272.4437488659039"/>
    <n v="-22156.796373221165"/>
    <d v="2019-02-26T00:00:00"/>
  </r>
  <r>
    <d v="2019-02-22T00:00:00"/>
    <s v="BUY"/>
    <s v="005490.KS"/>
    <s v="KR7005490008"/>
    <s v="YES"/>
    <s v="005490.KS"/>
    <m/>
    <s v="Posco"/>
    <s v="KRW"/>
    <n v="274000"/>
    <n v="274000"/>
    <n v="170"/>
    <n v="-46580000"/>
    <n v="-69870"/>
    <n v="0"/>
    <n v="0"/>
    <n v="-46649870"/>
    <n v="1272.4437488659069"/>
    <n v="-36661.636352552094"/>
    <d v="2019-02-26T00:00:00"/>
  </r>
  <r>
    <d v="2019-02-22T00:00:00"/>
    <s v="BUY"/>
    <s v="066575.KS"/>
    <s v="KR7066571001"/>
    <s v="YES"/>
    <s v="066575.KS"/>
    <m/>
    <s v="LG Electronics Inc"/>
    <s v="KRW"/>
    <n v="29005.0455"/>
    <n v="29005.0455"/>
    <n v="1100"/>
    <n v="-31905550.050000001"/>
    <n v="-47858"/>
    <n v="0"/>
    <n v="0"/>
    <n v="-31953408.050000001"/>
    <n v="1272.4437488659053"/>
    <n v="-25111.8433160438"/>
    <d v="2019-02-26T00:00:00"/>
  </r>
  <r>
    <d v="2019-02-22T00:00:00"/>
    <s v="BUY"/>
    <s v="036830.KQ"/>
    <s v="KR7036830008"/>
    <s v="YES"/>
    <s v="036830.KQ"/>
    <m/>
    <s v="SoulBrain Co Ltd"/>
    <s v="KRW"/>
    <n v="52980.6"/>
    <n v="52980.6"/>
    <n v="1000"/>
    <n v="-52980600"/>
    <n v="-79471"/>
    <n v="0"/>
    <n v="0"/>
    <n v="-53060071"/>
    <n v="1272.443748865905"/>
    <n v="-41699.34509662295"/>
    <d v="2019-02-26T00:00:00"/>
  </r>
  <r>
    <d v="2019-02-22T00:00:00"/>
    <s v="BUY"/>
    <s v="086790.KS"/>
    <s v="KR7086790003"/>
    <s v="YES"/>
    <s v="086790.KS"/>
    <m/>
    <s v="Hana Financial Group Inc"/>
    <s v="KRW"/>
    <n v="39800"/>
    <n v="39800"/>
    <n v="1100"/>
    <n v="-43780000"/>
    <n v="-65670"/>
    <n v="0"/>
    <n v="0"/>
    <n v="-43845670"/>
    <n v="1272.4437488659032"/>
    <n v="-34457.845416804106"/>
    <d v="2019-02-26T00:00:00"/>
  </r>
  <r>
    <d v="2019-02-22T00:00:00"/>
    <s v="BUY"/>
    <s v="316140.KS"/>
    <s v="KR7316140003"/>
    <s v="YES"/>
    <s v="316140.KS"/>
    <m/>
    <s v="Woori Financial Group Inc"/>
    <s v="KRW"/>
    <n v="14950"/>
    <n v="14950"/>
    <n v="3000"/>
    <n v="-44850000"/>
    <n v="-67275"/>
    <n v="0"/>
    <n v="0"/>
    <n v="-44917275"/>
    <n v="1272.44374886591"/>
    <n v="-35300.008381536223"/>
    <d v="2019-02-26T00:00:00"/>
  </r>
  <r>
    <d v="2019-02-22T00:00:00"/>
    <s v="BUY"/>
    <s v="003540.KS"/>
    <s v="KR7003540002"/>
    <s v="YES"/>
    <s v="003540.KS"/>
    <m/>
    <s v="DAISHIN SECURITIES CO LTD"/>
    <s v="KRW"/>
    <n v="11412.424199999999"/>
    <n v="11412.424199999999"/>
    <n v="3300"/>
    <n v="-37660999.859999999"/>
    <n v="-56492"/>
    <n v="0"/>
    <n v="0"/>
    <n v="-37717491.859999999"/>
    <n v="1272.4437488659041"/>
    <n v="-29641.775436923333"/>
    <d v="2019-02-26T00:00:00"/>
  </r>
  <r>
    <d v="2019-02-22T00:00:00"/>
    <s v="BUY"/>
    <s v="138930.KS"/>
    <s v="KR7138930003"/>
    <s v="YES"/>
    <s v="138930.KS"/>
    <m/>
    <s v="BNK Financial Group Inc"/>
    <s v="KRW"/>
    <n v="7205.3690999999999"/>
    <n v="7205.3690999999999"/>
    <n v="5500"/>
    <n v="-39629530.049999997"/>
    <n v="-59444"/>
    <n v="0"/>
    <n v="0"/>
    <n v="-39688974.049999997"/>
    <n v="1272.4437488659059"/>
    <n v="-31191.142308156006"/>
    <d v="2019-02-26T00:00:00"/>
  </r>
  <r>
    <d v="2019-02-22T00:00:00"/>
    <s v="BUY"/>
    <s v="028260.KS"/>
    <s v="KR7028260008"/>
    <s v="YES"/>
    <s v="028260.KS"/>
    <m/>
    <s v="Samsung C&amp;T Corp"/>
    <s v="KRW"/>
    <n v="116483.75"/>
    <n v="116483.75"/>
    <n v="400"/>
    <n v="-46593500"/>
    <n v="-69890"/>
    <n v="0"/>
    <n v="0"/>
    <n v="-46663390"/>
    <n v="1272.4437488659053"/>
    <n v="-36672.261576662873"/>
    <d v="2019-02-26T00:00:00"/>
  </r>
  <r>
    <d v="2019-02-22T00:00:00"/>
    <s v="BUY"/>
    <s v="032830.KS"/>
    <s v="KR7032830002"/>
    <s v="YES"/>
    <s v="032830.KS"/>
    <m/>
    <s v="Samsung Life Insurance Co Ltd"/>
    <s v="KRW"/>
    <n v="91206.2"/>
    <n v="91206.2"/>
    <n v="500"/>
    <n v="-45603100"/>
    <n v="-68405"/>
    <n v="0"/>
    <n v="0"/>
    <n v="-45671505"/>
    <n v="1272.4437488659046"/>
    <n v="-35892.749711494755"/>
    <d v="2019-02-26T00:00:00"/>
  </r>
  <r>
    <d v="2019-02-22T00:00:00"/>
    <s v="BUY"/>
    <s v="000060.KS"/>
    <s v="KR7000060004"/>
    <s v="YES"/>
    <s v="000060.KS"/>
    <m/>
    <s v="Meritz Fire &amp; Marine Insurance Co Ltd"/>
    <s v="KRW"/>
    <n v="23016.382399999999"/>
    <n v="23016.382399999999"/>
    <n v="1700"/>
    <n v="-39127850.079999998"/>
    <n v="-58692"/>
    <n v="0"/>
    <n v="0"/>
    <n v="-39186542.079999998"/>
    <n v="1272.4437488659075"/>
    <n v="-30796.286370164366"/>
    <d v="2019-02-26T00:00:00"/>
  </r>
  <r>
    <d v="2019-02-22T00:00:00"/>
    <s v="BUY"/>
    <s v="031440.KS"/>
    <s v="KR7031440001"/>
    <s v="YES"/>
    <s v="031440.KS"/>
    <m/>
    <s v="Shinsegae Food Co Ltd"/>
    <s v="KRW"/>
    <n v="93752.857099999994"/>
    <n v="93752.857099999994"/>
    <n v="420"/>
    <n v="-39376199.982000001"/>
    <n v="-59064"/>
    <n v="0"/>
    <n v="0"/>
    <n v="-39435263.982000001"/>
    <n v="1272.4437488659055"/>
    <n v="-30991.75426587429"/>
    <d v="2019-02-26T00:00:00"/>
  </r>
  <r>
    <d v="2019-02-22T00:00:00"/>
    <s v="BUY"/>
    <s v="139480.KS"/>
    <s v="KR7139480008"/>
    <s v="YES"/>
    <s v="139480.KS"/>
    <m/>
    <s v="E-Mart Inc"/>
    <s v="KRW"/>
    <n v="178000"/>
    <n v="178000"/>
    <n v="170"/>
    <n v="-30260000"/>
    <n v="-45390"/>
    <n v="0"/>
    <n v="0"/>
    <n v="-30305390"/>
    <n v="1272.4437488659012"/>
    <n v="-23816.683469906213"/>
    <d v="2019-02-26T00:00:00"/>
  </r>
  <r>
    <d v="2019-02-22T00:00:00"/>
    <s v="BUY"/>
    <s v="003555.KS"/>
    <s v="KR7003551009"/>
    <s v="YES"/>
    <s v="003555.KS"/>
    <m/>
    <s v="LG Corp"/>
    <s v="KRW"/>
    <n v="43977.981699999997"/>
    <n v="43977.981699999997"/>
    <n v="109"/>
    <n v="-4793600.0052999994"/>
    <n v="-7190"/>
    <n v="0"/>
    <n v="0"/>
    <n v="-4800790.0052999994"/>
    <n v="1272.4437488659041"/>
    <n v="-3772.8897718102021"/>
    <d v="2019-02-26T00:00:00"/>
  </r>
  <r>
    <d v="2019-02-22T00:00:00"/>
    <s v="BUY"/>
    <s v="003545.KS"/>
    <s v="KR7003541000"/>
    <s v="YES"/>
    <s v="003545.KS"/>
    <m/>
    <s v="DAISHIN SECURITIES CO LTD"/>
    <s v="KRW"/>
    <n v="8725.9675999999999"/>
    <n v="8725.9675999999999"/>
    <n v="2899"/>
    <n v="-25296580.0724"/>
    <n v="-37945"/>
    <n v="0"/>
    <n v="0"/>
    <n v="-25334525.0724"/>
    <n v="1272.443748865905"/>
    <n v="-19910.133626716295"/>
    <d v="2019-02-26T00:00:00"/>
  </r>
  <r>
    <d v="2019-02-22T00:00:00"/>
    <s v="BUY"/>
    <s v="02826K.KS"/>
    <s v="KR702826K016"/>
    <s v="YES"/>
    <s v="02826K.KS"/>
    <m/>
    <s v="Samsung C&amp;T Corp"/>
    <s v="KRW"/>
    <n v="73053.8462"/>
    <n v="73053.8462"/>
    <n v="91"/>
    <n v="-6647900.0042000003"/>
    <n v="-9972"/>
    <n v="0"/>
    <n v="0"/>
    <n v="-6657872.0042000003"/>
    <n v="1272.4437488659053"/>
    <n v="-5232.3507503840401"/>
    <d v="2019-02-26T00:00:00"/>
  </r>
  <r>
    <d v="2019-02-22T00:00:00"/>
    <s v="BUY"/>
    <s v="006405.KS"/>
    <s v="KR7006401004"/>
    <s v="YES"/>
    <s v="006405.KS"/>
    <m/>
    <s v="Samsung SDI Co Ltd"/>
    <s v="KRW"/>
    <n v="95397.826100000006"/>
    <n v="95397.826100000006"/>
    <n v="690"/>
    <n v="-65824500.009000003"/>
    <n v="-98737"/>
    <n v="0"/>
    <n v="0"/>
    <n v="-65923237.009000003"/>
    <n v="1272.4437488659039"/>
    <n v="-51808.370364313298"/>
    <d v="2019-02-26T00:00:00"/>
  </r>
  <r>
    <d v="2019-02-22T00:00:00"/>
    <s v="BUY"/>
    <s v="096775.KS"/>
    <s v="KR7096771001"/>
    <s v="YES"/>
    <s v="096775.KS"/>
    <m/>
    <s v="SK Innovation Co Ltd"/>
    <s v="KRW"/>
    <n v="125522.85709999999"/>
    <n v="125522.85709999999"/>
    <n v="350"/>
    <n v="-43932999.984999999"/>
    <n v="-65900"/>
    <n v="0"/>
    <n v="0"/>
    <n v="-43998899.984999999"/>
    <n v="1272.4437488659046"/>
    <n v="-34578.267231235215"/>
    <d v="2019-02-26T00:00:00"/>
  </r>
  <r>
    <d v="2019-02-22T00:00:00"/>
    <s v="BUY"/>
    <s v="071055.KS"/>
    <s v="KR7071051007"/>
    <s v="YES"/>
    <s v="071055.KS"/>
    <m/>
    <s v="Korea Investment Holdings Co Ltd"/>
    <s v="KRW"/>
    <n v="36740.681799999998"/>
    <m/>
    <n v="1100"/>
    <n v="-40414749.979999997"/>
    <n v="-60622"/>
    <n v="0"/>
    <n v="0"/>
    <n v="-40475371.979999997"/>
    <n v="1272.4437488659066"/>
    <n v="-31809.164071947824"/>
    <d v="2019-02-26T00:00:00"/>
  </r>
  <r>
    <d v="2019-02-25T00:00:00"/>
    <s v="BUY"/>
    <s v="003555.KS"/>
    <s v="KR7003551009"/>
    <s v="YES"/>
    <s v="003555.KS"/>
    <m/>
    <s v="LG Corp"/>
    <s v="KRW"/>
    <n v="44022.202499999999"/>
    <m/>
    <n v="563"/>
    <n v="-24784500.0075"/>
    <n v="-44022.202499999999"/>
    <n v="0"/>
    <n v="0"/>
    <n v="-24828522.210000001"/>
    <n v="1272.443748865903"/>
    <n v="-19512.47136239149"/>
    <d v="2019-02-27T00:00:00"/>
  </r>
  <r>
    <d v="2019-02-25T00:00:00"/>
    <s v="BUY"/>
    <s v="003545.KS"/>
    <s v="KR7003541000"/>
    <s v="YES"/>
    <s v="003545.KS"/>
    <m/>
    <s v="DAISHIN SECURITIES CO LTD"/>
    <s v="KRW"/>
    <n v="8747.7528999999995"/>
    <m/>
    <n v="1700"/>
    <n v="-14871179.93"/>
    <n v="-8747.7528999999995"/>
    <n v="0"/>
    <n v="0"/>
    <n v="-14879927.6829"/>
    <n v="1272.443748865905"/>
    <n v="-11693.976803424182"/>
    <d v="2019-02-27T00:00:00"/>
  </r>
  <r>
    <d v="2019-02-25T00:00:00"/>
    <s v="BUY"/>
    <s v="02826K.KS"/>
    <s v="KR702826K016"/>
    <s v="YES"/>
    <s v="02826K.KS"/>
    <m/>
    <s v="Samsung C&amp;T Corp"/>
    <s v="KRW"/>
    <n v="73063.696400000001"/>
    <m/>
    <n v="303"/>
    <n v="-22138300.009199999"/>
    <n v="-73063.696400000001"/>
    <n v="0"/>
    <n v="0"/>
    <n v="-22211363.705600001"/>
    <n v="1272.4437488659046"/>
    <n v="-17455.674347409386"/>
    <d v="2019-02-27T00:00:00"/>
  </r>
  <r>
    <d v="2019-02-25T00:00:00"/>
    <s v="BUY"/>
    <s v="2344.T"/>
    <s v="JP3834050001"/>
    <s v="YES"/>
    <s v="2344.T"/>
    <m/>
    <s v="Heian Ceremony Service Co Ltd"/>
    <s v="JPY"/>
    <n v="932.11109999999996"/>
    <m/>
    <n v="900"/>
    <n v="-838899.99"/>
    <n v="-671"/>
    <n v="0"/>
    <n v="0"/>
    <n v="-839570.99"/>
    <n v="125.52168390491737"/>
    <n v="-6688.6530189953055"/>
    <d v="2019-02-28T00:00:00"/>
  </r>
  <r>
    <d v="2019-02-25T00:00:00"/>
    <s v="BUY"/>
    <s v="1960.T"/>
    <s v="JP3335400002"/>
    <s v="YES"/>
    <s v="1960.t"/>
    <m/>
    <s v="Sanyo Engineering &amp; Construction Inc"/>
    <s v="JPY"/>
    <n v="703.15380000000005"/>
    <m/>
    <n v="1300"/>
    <n v="-914099.94000000006"/>
    <n v="-731"/>
    <n v="0"/>
    <n v="0"/>
    <n v="-914830.94000000006"/>
    <n v="125.52168390491751"/>
    <n v="-7288.2303004553632"/>
    <d v="2019-02-28T00:00:00"/>
  </r>
  <r>
    <d v="2019-02-25T00:00:00"/>
    <s v="BUY"/>
    <s v="4100.T"/>
    <s v="JP3627400009"/>
    <s v="YES"/>
    <s v="4100.T"/>
    <m/>
    <s v="Toda Kogyo Corp"/>
    <s v="JPY"/>
    <n v="2220.6"/>
    <m/>
    <n v="500"/>
    <n v="-1110300"/>
    <n v="-888"/>
    <n v="0"/>
    <n v="0"/>
    <n v="-1111188"/>
    <n v="125.52168390491734"/>
    <n v="-8852.558103361047"/>
    <d v="2019-02-28T00:00:00"/>
  </r>
  <r>
    <d v="2019-02-25T00:00:00"/>
    <s v="BUY"/>
    <s v="NHY.OL"/>
    <s v="NO0005052605"/>
    <s v="YES"/>
    <s v="NHY.OL"/>
    <m/>
    <s v="Norsk Hydro ASA"/>
    <s v="NOK"/>
    <n v="35.918700000000001"/>
    <m/>
    <n v="6900"/>
    <n v="-247839.03"/>
    <n v="-198.27"/>
    <n v="0"/>
    <n v="0"/>
    <n v="-248037.3"/>
    <n v="9.7580974414806771"/>
    <n v="-25418.612745720155"/>
    <d v="2019-02-28T00:00:00"/>
  </r>
  <r>
    <d v="2019-02-25T00:00:00"/>
    <s v="BUY"/>
    <s v="2344.T"/>
    <s v="JP3834050001"/>
    <s v="YES"/>
    <s v="2344.T"/>
    <m/>
    <s v="Heian Ceremony Service Co Ltd"/>
    <s v="JPY"/>
    <n v="931.29229999999995"/>
    <m/>
    <n v="1300"/>
    <n v="-1210679.99"/>
    <n v="-969"/>
    <n v="0"/>
    <n v="0"/>
    <n v="-1211648.99"/>
    <n v="125.52168390491737"/>
    <n v="-9652.9057952873209"/>
    <d v="2019-02-28T00:00:00"/>
  </r>
  <r>
    <d v="2019-02-25T00:00:00"/>
    <s v="BUY"/>
    <s v="9055.T"/>
    <s v="JP3126450000"/>
    <s v="YES"/>
    <s v="9055.T"/>
    <m/>
    <s v="Alps Logistics Co Ltd"/>
    <s v="JPY"/>
    <n v="817"/>
    <m/>
    <n v="2600"/>
    <n v="-2124200"/>
    <n v="-1699"/>
    <n v="0"/>
    <n v="0"/>
    <n v="-2125899"/>
    <n v="125.52168390491747"/>
    <n v="-16936.507971087816"/>
    <d v="2019-02-28T00:00:00"/>
  </r>
  <r>
    <d v="2019-02-25T00:00:00"/>
    <s v="BUY"/>
    <s v="1960.T"/>
    <s v="JP3335400002"/>
    <s v="YES"/>
    <s v="1960.T"/>
    <m/>
    <s v="Sanyo Engineering &amp; Construction Inc"/>
    <s v="JPY"/>
    <n v="700.05290000000002"/>
    <m/>
    <n v="1700"/>
    <n v="-1190089.93"/>
    <n v="-952"/>
    <n v="0"/>
    <n v="0"/>
    <n v="-1191041.93"/>
    <n v="125.52168390491751"/>
    <n v="-9488.7344795518547"/>
    <d v="2019-02-28T00:00:00"/>
  </r>
  <r>
    <d v="2019-02-25T00:00:00"/>
    <s v="BUY"/>
    <s v="3402.T"/>
    <s v="JP3621000003"/>
    <s v="YES"/>
    <s v="3402.T"/>
    <m/>
    <s v="Toray Industries Inc"/>
    <s v="JPY"/>
    <n v="788"/>
    <m/>
    <n v="5000"/>
    <n v="-3940000"/>
    <n v="-3152"/>
    <n v="0"/>
    <n v="0"/>
    <n v="-3943152"/>
    <n v="125.52168390491752"/>
    <n v="-31414.11011492589"/>
    <d v="2019-02-28T00:00:00"/>
  </r>
  <r>
    <d v="2019-02-25T00:00:00"/>
    <s v="BUY"/>
    <s v="3401.T"/>
    <s v="JP3544000007"/>
    <s v="YES"/>
    <s v="3401.T"/>
    <m/>
    <s v="Teijin Ltd"/>
    <s v="JPY"/>
    <n v="1881.8810000000001"/>
    <m/>
    <n v="4200"/>
    <n v="-7903900.2000000002"/>
    <n v="-6323"/>
    <n v="0"/>
    <n v="0"/>
    <n v="-7910223.2000000002"/>
    <n v="125.52168390491737"/>
    <n v="-63018.778540224106"/>
    <d v="2019-02-28T00:00:00"/>
  </r>
  <r>
    <d v="2019-02-25T00:00:00"/>
    <s v="BUY"/>
    <s v="6701.T"/>
    <s v="JP3733000008"/>
    <s v="YES"/>
    <s v="6701.T"/>
    <m/>
    <s v="NEC Corp"/>
    <s v="JPY"/>
    <n v="3770"/>
    <m/>
    <n v="1100"/>
    <n v="-4147000"/>
    <n v="-3318"/>
    <n v="0"/>
    <n v="0"/>
    <n v="-4150318"/>
    <n v="125.52168390491757"/>
    <n v="-33064.550051319085"/>
    <d v="2019-02-28T00:00:00"/>
  </r>
  <r>
    <d v="2019-02-25T00:00:00"/>
    <s v="BUY"/>
    <s v="1973.T"/>
    <s v="JP3733800001"/>
    <s v="YES"/>
    <s v="1973.T"/>
    <m/>
    <s v="NEC Networks &amp; System Integration Corp"/>
    <s v="JPY"/>
    <n v="2616.2136"/>
    <m/>
    <n v="2200"/>
    <n v="-5755669.9199999999"/>
    <n v="-4605"/>
    <n v="0"/>
    <n v="0"/>
    <n v="-5760274.9199999999"/>
    <n v="125.52168390491759"/>
    <n v="-45890.675943794668"/>
    <d v="2019-02-28T00:00:00"/>
  </r>
  <r>
    <d v="2019-02-25T00:00:00"/>
    <s v="BUY"/>
    <s v="QCOM.O"/>
    <s v="US7475251036"/>
    <s v="YES"/>
    <s v="QCOM.O"/>
    <m/>
    <s v="Qualcomm Inc"/>
    <s v="USD"/>
    <n v="53.479900000000001"/>
    <m/>
    <n v="670"/>
    <n v="-35831.533000000003"/>
    <n v="-14.94"/>
    <n v="-2.98"/>
    <n v="0"/>
    <n v="-35849.453000000009"/>
    <n v="1.134095445472691"/>
    <n v="-31610.613677280006"/>
    <d v="2019-02-27T00:00:00"/>
  </r>
  <r>
    <d v="2019-02-25T00:00:00"/>
    <s v="BUY"/>
    <s v="0593q.L"/>
    <s v="US7960502018"/>
    <s v="YES"/>
    <s v="0593q.L"/>
    <m/>
    <s v="Samsung Electronics Co Ltd"/>
    <s v="USD"/>
    <n v="845"/>
    <m/>
    <n v="42"/>
    <n v="-35490"/>
    <n v="-14.8"/>
    <n v="-2.95"/>
    <n v="0"/>
    <n v="-35507.75"/>
    <n v="1.134095445472691"/>
    <n v="-31309.31364"/>
    <d v="2019-02-27T00:00:00"/>
  </r>
  <r>
    <d v="2019-02-26T00:00:00"/>
    <s v="BUY"/>
    <s v="8151.T"/>
    <s v="JP3616600007"/>
    <s v="YES"/>
    <s v="8151.T"/>
    <m/>
    <s v="Toyo Corp"/>
    <s v="JPY"/>
    <n v="919"/>
    <m/>
    <n v="2200"/>
    <n v="-2021800"/>
    <n v="-1179"/>
    <n v="0"/>
    <n v="-236"/>
    <n v="-2023215"/>
    <n v="125.52168390491738"/>
    <n v="-16118.450112034701"/>
    <d v="2019-03-01T00:00:00"/>
  </r>
  <r>
    <d v="2019-02-25T00:00:00"/>
    <s v="BUY"/>
    <s v="6997.T"/>
    <s v="JP3701200002"/>
    <s v="YES"/>
    <s v="6997.T"/>
    <m/>
    <s v="Nippon Chemi-Con Corp"/>
    <s v="JPY"/>
    <n v="2154"/>
    <m/>
    <n v="1100"/>
    <n v="-2369400"/>
    <n v="-1383"/>
    <n v="0"/>
    <n v="-277"/>
    <n v="-2371060"/>
    <n v="125.52168390491781"/>
    <n v="-18889.644611492535"/>
    <d v="2019-03-01T00:00:00"/>
  </r>
  <r>
    <d v="2019-02-26T00:00:00"/>
    <s v="BUY"/>
    <s v="6762.T"/>
    <s v="JP3538800008"/>
    <s v="YES"/>
    <s v="6762.T"/>
    <m/>
    <s v="TDK Corp"/>
    <s v="JPY"/>
    <n v="8940"/>
    <m/>
    <n v="420"/>
    <n v="-3754800"/>
    <n v="-2190"/>
    <n v="0"/>
    <n v="-438"/>
    <n v="-3757428"/>
    <n v="125.5216839049175"/>
    <n v="-29934.493253342956"/>
    <d v="2019-03-01T00:00:00"/>
  </r>
  <r>
    <d v="2019-02-26T00:00:00"/>
    <s v="BUY"/>
    <s v="8070.T"/>
    <s v="JP3576600005"/>
    <s v="YES"/>
    <s v="8070.T"/>
    <m/>
    <s v="Tokyo Sangyo Co Ltd"/>
    <s v="JPY"/>
    <n v="557"/>
    <m/>
    <n v="4200"/>
    <n v="-2339400"/>
    <n v="-1365"/>
    <n v="0"/>
    <n v="-273"/>
    <n v="-2341038"/>
    <n v="125.52168390491741"/>
    <n v="-18650.466813155046"/>
    <d v="2019-03-01T00:00:00"/>
  </r>
  <r>
    <d v="2019-02-25T00:00:00"/>
    <s v="BUY"/>
    <s v="6309.T"/>
    <s v="JP3631600008"/>
    <s v="YES"/>
    <s v="6309.T"/>
    <m/>
    <s v="Tomoe Engineering Co Ltd"/>
    <s v="JPY"/>
    <n v="2366"/>
    <m/>
    <n v="1100"/>
    <n v="-2602600"/>
    <n v="-1518"/>
    <n v="0"/>
    <n v="-304"/>
    <n v="-2604422"/>
    <n v="125.52168390491735"/>
    <n v="-20748.781556920869"/>
    <d v="2019-03-01T00:00:00"/>
  </r>
  <r>
    <d v="2019-02-25T00:00:00"/>
    <s v="BUY"/>
    <s v="6826.T"/>
    <s v="JP3854650003"/>
    <s v="YES"/>
    <s v="6826.T"/>
    <m/>
    <s v="Honda Tsushin Kogyo Co Ltd"/>
    <s v="JPY"/>
    <n v="580"/>
    <m/>
    <n v="6700"/>
    <n v="-3886000"/>
    <n v="-2267"/>
    <n v="0"/>
    <n v="-453"/>
    <n v="-3888720"/>
    <n v="125.52168390491751"/>
    <n v="-30980.463924828317"/>
    <d v="2019-03-01T00:00:00"/>
  </r>
  <r>
    <d v="2019-02-25T00:00:00"/>
    <s v="BUY"/>
    <s v="7004.T"/>
    <s v="JP3789000001"/>
    <s v="YES"/>
    <s v="7004.T"/>
    <m/>
    <s v="Hitachi Zosen Corp"/>
    <s v="JPY"/>
    <n v="354"/>
    <m/>
    <n v="6700"/>
    <n v="-2371800"/>
    <n v="-1383"/>
    <n v="0"/>
    <n v="-277"/>
    <n v="-2373460"/>
    <n v="125.52168390491728"/>
    <n v="-18908.764813877871"/>
    <d v="2019-03-01T00:00:00"/>
  </r>
  <r>
    <d v="2019-02-27T00:00:00"/>
    <s v="BUY"/>
    <s v="6702.T"/>
    <s v="JP3818000006"/>
    <s v="YES"/>
    <s v="6702.T"/>
    <m/>
    <s v="Fujitsu Ltd"/>
    <s v="JPY"/>
    <n v="7604.4627"/>
    <m/>
    <n v="670"/>
    <n v="-5094990.0089999996"/>
    <n v="-4076"/>
    <n v="0"/>
    <n v="0"/>
    <n v="-5099066.0089999996"/>
    <n v="126.17385570385872"/>
    <n v="-40413.015680268676"/>
    <d v="2019-03-02T00:00:00"/>
  </r>
  <r>
    <d v="2019-02-27T00:00:00"/>
    <s v="BUY"/>
    <s v="LPKR.JK"/>
    <s v="ID1000108905"/>
    <s v="YES"/>
    <s v="LPKR.JK"/>
    <m/>
    <s v="Lippo Karawaci Tbk PT"/>
    <s v="IDR"/>
    <n v="289.03269999999998"/>
    <m/>
    <n v="1100000"/>
    <n v="-317935970"/>
    <n v="-476904"/>
    <n v="-136712"/>
    <n v="-31794"/>
    <n v="-318581380"/>
    <n v="15945.110166215642"/>
    <n v="-19979.879516606125"/>
    <d v="2019-03-01T00:00:00"/>
  </r>
  <r>
    <d v="2019-02-27T00:00:00"/>
    <s v="BUY"/>
    <s v="EXCL.JK"/>
    <s v="ID1000102502"/>
    <s v="YES"/>
    <s v="EXCL.JK"/>
    <m/>
    <s v="XL Axiata Tbk PT"/>
    <s v="IDR"/>
    <n v="2402.8544999999999"/>
    <m/>
    <n v="110000"/>
    <n v="-264313995"/>
    <n v="-396471"/>
    <n v="-113655"/>
    <n v="-26431"/>
    <n v="-264850552"/>
    <n v="15945.110166215654"/>
    <n v="-16610.142497551555"/>
    <d v="2019-03-01T00:00:00"/>
  </r>
  <r>
    <d v="2019-02-27T00:00:00"/>
    <s v="BUY"/>
    <s v="003555.KS"/>
    <s v="KR7003551009"/>
    <s v="YES"/>
    <s v="003555.KS"/>
    <m/>
    <s v="LG Corp"/>
    <s v="KRW"/>
    <n v="43758.0092"/>
    <m/>
    <n v="437"/>
    <n v="-19122250.020399999"/>
    <n v="-28683"/>
    <n v="0"/>
    <n v="0"/>
    <n v="-19150933.020399999"/>
    <n v="1270.1744014188573"/>
    <n v="-15077.404330466205"/>
    <d v="2019-03-01T00:00:00"/>
  </r>
  <r>
    <d v="2019-02-27T00:00:00"/>
    <s v="BUY"/>
    <s v="02826K.KS"/>
    <s v="KR702826K016"/>
    <s v="YES"/>
    <s v="02826K.KS"/>
    <m/>
    <s v="Samsung C&amp;T Corp"/>
    <s v="KRW"/>
    <n v="72996.470600000001"/>
    <m/>
    <n v="85"/>
    <n v="-6204700.0010000002"/>
    <n v="-9307"/>
    <n v="0"/>
    <n v="0"/>
    <n v="-6214007.0010000002"/>
    <n v="1270.1744014188591"/>
    <n v="-4892.247075723295"/>
    <d v="2019-03-01T00:00:00"/>
  </r>
  <r>
    <d v="2019-02-27T00:00:00"/>
    <s v="BUY"/>
    <s v="BT.L"/>
    <s v="GB0030913577"/>
    <s v="YES"/>
    <s v="BT.L"/>
    <m/>
    <s v="BT Group PLC"/>
    <s v="GBp"/>
    <n v="2.1884999999999999"/>
    <m/>
    <n v="11000"/>
    <n v="-24073.5"/>
    <n v="-19.260000000000002"/>
    <n v="-121.37"/>
    <n v="0"/>
    <n v="-24214.129999999997"/>
    <n v="0.85430546397144136"/>
    <n v="-28343.644072501746"/>
    <d v="2019-03-01T00:00:00"/>
  </r>
  <r>
    <d v="2019-02-27T00:00:00"/>
    <s v="BUY"/>
    <s v="VOD.L"/>
    <s v="GB00BH4HKS39"/>
    <s v="YES"/>
    <s v="VOD.L"/>
    <m/>
    <s v="Vodafone Group PLC"/>
    <s v="GBp"/>
    <n v="1.3418000000000001"/>
    <m/>
    <n v="11000"/>
    <n v="-14759.800000000001"/>
    <n v="-11.81"/>
    <n v="-74.8"/>
    <n v="0"/>
    <n v="-14846.41"/>
    <n v="0.85430546397144258"/>
    <n v="-17378.339043956155"/>
    <d v="2019-03-01T00:00:00"/>
  </r>
  <r>
    <d v="2019-02-27T00:00:00"/>
    <s v="BUY"/>
    <s v="ORAN.PA"/>
    <s v="FR0000133308"/>
    <s v="YES"/>
    <s v="ORAN.PA"/>
    <m/>
    <s v="Orange SA"/>
    <s v="EUR"/>
    <n v="13.4009"/>
    <m/>
    <n v="1100"/>
    <n v="-14740.99"/>
    <n v="-11.79"/>
    <n v="-44.22"/>
    <n v="0"/>
    <n v="-14797"/>
    <n v="1"/>
    <n v="-14797"/>
    <d v="2019-03-01T00:00:00"/>
  </r>
  <r>
    <d v="2019-02-27T00:00:00"/>
    <s v="BUY"/>
    <s v="RMG.L"/>
    <s v="GB00BDVZYZ77"/>
    <s v="YES"/>
    <s v="RMG.L"/>
    <m/>
    <s v="Royal Mail PLC"/>
    <s v="GBp"/>
    <n v="2.7734000000000001"/>
    <m/>
    <n v="17000"/>
    <n v="-47147.8"/>
    <n v="-37.72"/>
    <n v="-236.74"/>
    <n v="0"/>
    <n v="-47422.26"/>
    <n v="0.85430546397144125"/>
    <n v="-55509.723395126603"/>
    <d v="2019-03-01T00:00:00"/>
  </r>
  <r>
    <d v="2019-02-27T00:00:00"/>
    <s v="BUY"/>
    <s v="INME.I"/>
    <s v="IE00B59HWB19"/>
    <s v="YES"/>
    <s v="INME.I"/>
    <m/>
    <s v="Independent News &amp; Media PLC"/>
    <s v="EUR"/>
    <n v="6.7900000000000002E-2"/>
    <m/>
    <n v="170000"/>
    <n v="-11543"/>
    <n v="-9.23"/>
    <n v="-115.43"/>
    <n v="0"/>
    <n v="-11667.66"/>
    <n v="1"/>
    <n v="-11667.66"/>
    <d v="2019-03-01T00:00:00"/>
  </r>
  <r>
    <d v="2019-02-27T00:00:00"/>
    <s v="BUY"/>
    <s v="RCH.L"/>
    <s v="GB0009039941"/>
    <s v="YES"/>
    <s v="RCH.L"/>
    <m/>
    <s v="Reach PLC"/>
    <s v="GBp"/>
    <n v="0.61509999999999998"/>
    <m/>
    <n v="7467"/>
    <n v="-4592.9516999999996"/>
    <n v="-3.67"/>
    <n v="-22.96"/>
    <n v="0"/>
    <n v="-4619.5816999999997"/>
    <n v="0.85430546397144025"/>
    <n v="-5407.4120965173106"/>
    <d v="2019-03-01T00:00:00"/>
  </r>
  <r>
    <d v="2019-02-27T00:00:00"/>
    <s v="BUY"/>
    <s v="KT.N"/>
    <s v="US48268K1016"/>
    <s v="YES"/>
    <s v="KT.N"/>
    <m/>
    <s v="KT Corp"/>
    <s v="USD"/>
    <n v="13.6812"/>
    <m/>
    <n v="5000"/>
    <n v="-68406"/>
    <n v="-54.72"/>
    <n v="0"/>
    <n v="0"/>
    <n v="-68460.72"/>
    <n v="1.1369062507105665"/>
    <n v="-60216.680097599994"/>
    <d v="2019-03-01T00:00:00"/>
  </r>
  <r>
    <d v="2019-02-27T00:00:00"/>
    <s v="BUY"/>
    <s v="SKM"/>
    <s v="US78440P1084"/>
    <s v="YES"/>
    <s v="SKM"/>
    <m/>
    <s v="SK Telecom Co Ltd"/>
    <s v="USD"/>
    <n v="26.040500000000002"/>
    <m/>
    <n v="2700"/>
    <n v="-70309.350000000006"/>
    <n v="-56.25"/>
    <n v="0"/>
    <n v="0"/>
    <n v="-70365.600000000006"/>
    <n v="1.1369062507105663"/>
    <n v="-61892.174448000012"/>
    <d v="2019-03-01T00:00:00"/>
  </r>
  <r>
    <d v="2019-02-27T00:00:00"/>
    <s v="BUY"/>
    <s v="QCOM.O"/>
    <s v="US7475251036"/>
    <s v="YES"/>
    <s v="QCOM.O"/>
    <m/>
    <s v="Qualcomm Inc"/>
    <s v="USD"/>
    <n v="52.6462"/>
    <m/>
    <n v="420"/>
    <n v="-22111.403999999999"/>
    <n v="-17.690000000000001"/>
    <n v="0"/>
    <n v="0"/>
    <n v="-22129.093999999997"/>
    <n v="1.1369062507105665"/>
    <n v="-19464.308500519997"/>
    <d v="2019-03-01T00:00:00"/>
  </r>
  <r>
    <d v="2019-02-27T00:00:00"/>
    <s v="BUY"/>
    <s v="KB"/>
    <s v="US48241A1051"/>
    <s v="YES"/>
    <s v="KB"/>
    <m/>
    <s v="KB Financial Group Inc"/>
    <s v="USD"/>
    <n v="39.9041"/>
    <m/>
    <n v="1100"/>
    <n v="-43894.51"/>
    <n v="-35.119999999999997"/>
    <n v="0"/>
    <n v="0"/>
    <n v="-43929.630000000005"/>
    <n v="1.1369062507105663"/>
    <n v="-38639.623955400006"/>
    <d v="2019-03-01T00:00:00"/>
  </r>
  <r>
    <d v="2019-02-27T00:00:00"/>
    <s v="BUY"/>
    <s v="SHG"/>
    <s v="US8245961003"/>
    <s v="YES"/>
    <s v="SHG"/>
    <m/>
    <s v="Shinhan Financial Group Co Ltd"/>
    <s v="USD"/>
    <n v="38.643000000000001"/>
    <m/>
    <n v="1100"/>
    <n v="-42507.3"/>
    <n v="-34.01"/>
    <n v="0"/>
    <n v="0"/>
    <n v="-42541.310000000005"/>
    <n v="1.1369062507105663"/>
    <n v="-37418.485449800006"/>
    <d v="2019-03-01T00:00:00"/>
  </r>
  <r>
    <d v="2019-02-28T00:00:00"/>
    <s v="BUY"/>
    <s v="KT.N"/>
    <s v="US48268K1016"/>
    <s v="YES"/>
    <s v="KT.N"/>
    <m/>
    <s v="KT Corp"/>
    <s v="USD"/>
    <n v="13.5021"/>
    <m/>
    <n v="1700"/>
    <n v="-22953.57"/>
    <n v="-18.36"/>
    <n v="0"/>
    <n v="0"/>
    <n v="-22971.93"/>
    <n v="1.1369062507105663"/>
    <n v="-20205.650189400003"/>
    <d v="2019-03-04T00:00:00"/>
  </r>
  <r>
    <d v="2019-02-28T00:00:00"/>
    <s v="BUY"/>
    <s v="SKM"/>
    <s v="US78440P1084"/>
    <s v="YES"/>
    <s v="SKM"/>
    <m/>
    <s v="SK Telecom Co Ltd"/>
    <s v="USD"/>
    <n v="25.6541"/>
    <m/>
    <n v="1700"/>
    <n v="-43611.97"/>
    <n v="-34.89"/>
    <n v="0"/>
    <n v="0"/>
    <n v="-43646.86"/>
    <n v="1.1369062507105663"/>
    <n v="-38390.905118800001"/>
    <d v="2019-03-04T00:00:00"/>
  </r>
  <r>
    <d v="2019-02-28T00:00:00"/>
    <s v="BUY"/>
    <s v="CFP.TO"/>
    <s v="CA1375761048"/>
    <s v="YES"/>
    <s v="cfp.to"/>
    <m/>
    <s v="Canfor Corp"/>
    <s v="CAD"/>
    <n v="14.0526"/>
    <m/>
    <n v="1700"/>
    <n v="-23889.42"/>
    <n v="-19.11"/>
    <n v="0"/>
    <n v="0"/>
    <n v="-23908.53"/>
    <n v="1.4969699036963764"/>
    <n v="-15971.283017089472"/>
    <d v="2019-03-04T00:00:00"/>
  </r>
  <r>
    <d v="2019-03-04T00:00:00"/>
    <s v="BUY"/>
    <s v="003555.KS"/>
    <s v="KR7003551009"/>
    <s v="YES"/>
    <s v="003555.ks"/>
    <m/>
    <s v="LG Corp"/>
    <s v="KRW"/>
    <n v="43298.841399999998"/>
    <m/>
    <n v="561"/>
    <n v="-24290650.025399998"/>
    <n v="-36436"/>
    <n v="0"/>
    <n v="0"/>
    <n v="-24327086.025399998"/>
    <n v="1279.1619479048707"/>
    <n v="-19017.987570100206"/>
    <d v="2019-03-06T00:00:00"/>
  </r>
  <r>
    <d v="2019-03-04T00:00:00"/>
    <s v="BUY"/>
    <s v="02826K.KS"/>
    <s v="KR702826K016"/>
    <s v="YES"/>
    <s v="02826k.ks"/>
    <m/>
    <s v="Samsung C&amp;T Corp"/>
    <s v="KRW"/>
    <n v="72368.720400000006"/>
    <m/>
    <n v="211"/>
    <n v="-15269800.004400002"/>
    <n v="-22905"/>
    <n v="0"/>
    <n v="0"/>
    <n v="-15292705.004400002"/>
    <n v="1279.1619479048693"/>
    <n v="-11955.253226104654"/>
    <d v="2019-03-06T00:00:00"/>
  </r>
  <r>
    <d v="2019-03-04T00:00:00"/>
    <s v="BUY"/>
    <s v="036830.KQ"/>
    <s v="KR7036830008"/>
    <s v="YES"/>
    <s v="036830.kq"/>
    <m/>
    <s v="SoulBrain Co Ltd"/>
    <s v="KRW"/>
    <n v="51816.190499999997"/>
    <m/>
    <n v="420"/>
    <n v="-21762800.009999998"/>
    <n v="-32644"/>
    <n v="0"/>
    <n v="0"/>
    <n v="-21795444.009999998"/>
    <n v="1279.1619479048711"/>
    <n v="-17038.84644606461"/>
    <d v="2019-03-06T00:00:00"/>
  </r>
  <r>
    <d v="2019-03-04T00:00:00"/>
    <s v="BUY"/>
    <s v="042600.kq"/>
    <s v="KR7042600007"/>
    <s v="YES"/>
    <s v="042600.kq"/>
    <m/>
    <s v="Seronics Co Ltd"/>
    <s v="KRW"/>
    <n v="5406.3040000000001"/>
    <m/>
    <n v="5000"/>
    <n v="-27031520"/>
    <n v="-40547"/>
    <n v="0"/>
    <n v="0"/>
    <n v="-27072067"/>
    <n v="1279.1619479048711"/>
    <n v="-21163.908951748537"/>
    <d v="2019-03-06T00:00:00"/>
  </r>
  <r>
    <d v="2019-03-04T00:00:00"/>
    <s v="BUY"/>
    <s v="105560.ks"/>
    <s v="KR7105560007"/>
    <s v="YES"/>
    <s v="105560.ks"/>
    <m/>
    <s v="KB Financial Group Inc"/>
    <s v="KRW"/>
    <n v="44700"/>
    <m/>
    <n v="690"/>
    <n v="-30843000"/>
    <n v="-46265"/>
    <n v="0"/>
    <n v="0"/>
    <n v="-30889265"/>
    <n v="1279.1619479048707"/>
    <n v="-24148.048689685686"/>
    <d v="2019-03-06T00:00:00"/>
  </r>
  <r>
    <d v="2019-03-04T00:00:00"/>
    <s v="BUY"/>
    <s v="NHY.OL"/>
    <s v="NO0005052605"/>
    <s v="YES"/>
    <s v="NHY.OL"/>
    <m/>
    <s v="Norsk Hydro ASA"/>
    <s v="NOK"/>
    <n v="34.398499999999999"/>
    <m/>
    <n v="4100"/>
    <n v="-141033.85"/>
    <n v="-113"/>
    <n v="0"/>
    <n v="0"/>
    <n v="-141146.85"/>
    <n v="9.6958097395243374"/>
    <n v="-14557.510284532922"/>
    <d v="2019-03-06T00:00:00"/>
  </r>
  <r>
    <d v="2019-03-04T00:00:00"/>
    <s v="BUY"/>
    <s v="LAN.PA"/>
    <s v="FR0004027068"/>
    <s v="YES"/>
    <s v="LAN.PA"/>
    <m/>
    <s v="Lanson BCC SA"/>
    <s v="EUR"/>
    <n v="27.993400000000001"/>
    <m/>
    <n v="670"/>
    <n v="-18755.578000000001"/>
    <n v="-15"/>
    <n v="0"/>
    <n v="0"/>
    <n v="-18770.578000000001"/>
    <n v="1"/>
    <n v="-18770.578000000001"/>
    <d v="2019-03-06T00:00:00"/>
  </r>
  <r>
    <d v="2019-03-04T00:00:00"/>
    <s v="BUY"/>
    <s v="VRKP.PA"/>
    <s v="FR0000062796"/>
    <s v="YES"/>
    <s v="VRKP.PA"/>
    <m/>
    <s v="Vranken Pommery Monopole SA"/>
    <s v="EUR"/>
    <n v="23.525400000000001"/>
    <m/>
    <n v="670"/>
    <n v="-15762.018"/>
    <n v="-13"/>
    <n v="0"/>
    <n v="0"/>
    <n v="-15775.018"/>
    <n v="1"/>
    <n v="-15775.018"/>
    <d v="2019-03-06T00:00:00"/>
  </r>
  <r>
    <d v="2019-03-04T00:00:00"/>
    <s v="BUY"/>
    <s v="KB"/>
    <s v="US48241A1051"/>
    <s v="YES"/>
    <s v="KB"/>
    <m/>
    <s v="KB Financial Group Inc"/>
    <s v="USD"/>
    <n v="37.778399999999998"/>
    <m/>
    <n v="420"/>
    <n v="-15866.928"/>
    <n v="-13"/>
    <n v="0"/>
    <n v="0"/>
    <n v="-15879.928"/>
    <n v="1.1325028312570784"/>
    <n v="-14021.976423999997"/>
    <d v="2019-03-06T00:00:00"/>
  </r>
  <r>
    <d v="2019-03-05T00:00:00"/>
    <s v="BUY"/>
    <s v="SYR.AX"/>
    <s v="AU000000SYR9"/>
    <s v="YES"/>
    <s v="SYR.AX"/>
    <m/>
    <s v="Syrah Resources Ltd"/>
    <s v="AUD"/>
    <n v="1.3353999999999999"/>
    <m/>
    <n v="22000"/>
    <n v="-29378.799999999999"/>
    <n v="-24"/>
    <n v="0"/>
    <n v="0"/>
    <n v="-29402.799999999999"/>
    <n v="1.5966477916194786"/>
    <n v="-18415.332520002274"/>
    <d v="2019-03-07T00:00:00"/>
  </r>
  <r>
    <d v="2019-03-05T00:00:00"/>
    <s v="BUY"/>
    <s v="6617.T"/>
    <s v="JP3591600006"/>
    <s v="YES"/>
    <s v="6617.T"/>
    <m/>
    <s v="Takaoka Toko Co Ltd"/>
    <s v="JPY"/>
    <n v="1402.0454999999999"/>
    <m/>
    <n v="2200"/>
    <n v="-3084500.1"/>
    <n v="-2468"/>
    <n v="0"/>
    <n v="0"/>
    <n v="-3086968.1"/>
    <n v="125.87768969422424"/>
    <n v="-24523.552247413405"/>
    <d v="2019-03-08T00:00:00"/>
  </r>
  <r>
    <d v="2019-03-05T00:00:00"/>
    <s v="BUY"/>
    <s v="5302.T"/>
    <s v="JP3690400001"/>
    <s v="YES"/>
    <s v="5302.t"/>
    <m/>
    <s v="Nippon Carbon Co Ltd"/>
    <s v="JPY"/>
    <n v="5480.9524000000001"/>
    <m/>
    <n v="420"/>
    <n v="-2302000.0079999999"/>
    <n v="-1842"/>
    <n v="0"/>
    <n v="0"/>
    <n v="-2303842.0079999999"/>
    <n v="125.87768969422439"/>
    <n v="-18302.226658245592"/>
    <d v="2019-03-08T00:00:00"/>
  </r>
  <r>
    <d v="2019-03-05T00:00:00"/>
    <s v="BUY"/>
    <s v="5713.T"/>
    <s v="JP3402600005"/>
    <s v="YES"/>
    <s v="5713.T"/>
    <m/>
    <s v="Sumitomo Metal Mining Co Ltd"/>
    <s v="JPY"/>
    <n v="3307.4776000000002"/>
    <m/>
    <n v="670"/>
    <n v="-2216009.9920000001"/>
    <n v="-1773"/>
    <n v="0"/>
    <n v="0"/>
    <n v="-2217782.9920000001"/>
    <n v="125.87768969422436"/>
    <n v="-17618.554943193867"/>
    <d v="2019-03-08T00:00:00"/>
  </r>
  <r>
    <d v="2019-03-05T00:00:00"/>
    <s v="BUY"/>
    <s v="2344.T"/>
    <s v="JP3834050001"/>
    <s v="YES"/>
    <s v="2344.t"/>
    <m/>
    <s v="Heian Ceremony Service Co Ltd"/>
    <s v="JPY"/>
    <n v="902"/>
    <m/>
    <n v="500"/>
    <n v="-451000"/>
    <n v="-361"/>
    <n v="0"/>
    <n v="0"/>
    <n v="-451361"/>
    <n v="125.87768969422432"/>
    <n v="-3585.710868196129"/>
    <d v="2019-03-08T00:00:00"/>
  </r>
  <r>
    <d v="2019-03-05T00:00:00"/>
    <s v="BUY"/>
    <s v="8070.T"/>
    <s v="JP3576600005"/>
    <s v="YES"/>
    <s v="8070.T"/>
    <m/>
    <s v="Tokyo Sangyo Co Ltd"/>
    <s v="JPY"/>
    <n v="547.61189999999999"/>
    <m/>
    <n v="4200"/>
    <n v="-2299969.98"/>
    <n v="-1840"/>
    <n v="0"/>
    <n v="0"/>
    <n v="-2301809.98"/>
    <n v="125.8776896942242"/>
    <n v="-18286.083781736397"/>
    <d v="2019-03-08T00:00:00"/>
  </r>
  <r>
    <d v="2019-03-05T00:00:00"/>
    <s v="BUY"/>
    <s v="1945.T"/>
    <s v="JP3585400009"/>
    <s v="YES"/>
    <s v="1945.T"/>
    <m/>
    <s v="Tokyo Energy &amp; Systems Inc"/>
    <s v="JPY"/>
    <n v="952.78330000000005"/>
    <m/>
    <n v="4200"/>
    <n v="-4001689.8600000003"/>
    <n v="-3201"/>
    <n v="0"/>
    <n v="0"/>
    <n v="-4004890.8600000003"/>
    <n v="125.8776896942243"/>
    <n v="-31815.732158164628"/>
    <d v="2019-03-08T00:00:00"/>
  </r>
  <r>
    <d v="2019-03-07T00:00:00"/>
    <s v="BUY"/>
    <s v="RMG.L"/>
    <s v="GB00BDVZYZ77"/>
    <s v="YES"/>
    <s v="RMG.L"/>
    <m/>
    <s v="Royal Mail PLC"/>
    <s v="GBp"/>
    <n v="259.81"/>
    <m/>
    <n v="4650"/>
    <n v="-1208116.5"/>
    <n v="-10"/>
    <n v="0"/>
    <n v="-61"/>
    <n v="-1208187.5"/>
    <n v="0.84913929784824493"/>
    <n v="-1422837.8112538173"/>
    <d v="2019-03-09T00:00:00"/>
  </r>
  <r>
    <d v="2019-03-08T00:00:00"/>
    <s v="BUY"/>
    <s v="IMTP.PA"/>
    <s v="FR0000120859"/>
    <s v="YES"/>
    <s v="IMTP.PA"/>
    <m/>
    <s v="Imerys SA"/>
    <s v="EUR"/>
    <n v="48.100900000000003"/>
    <m/>
    <n v="430"/>
    <n v="-20683.387000000002"/>
    <n v="-17"/>
    <n v="0"/>
    <n v="-62"/>
    <n v="-20762.387000000002"/>
    <n v="1"/>
    <n v="-20762.387000000002"/>
    <d v="2019-03-12T00:00:00"/>
  </r>
  <r>
    <d v="2019-03-08T00:00:00"/>
    <s v="BUY"/>
    <s v="FCHA.MI"/>
    <s v="NL0010877643"/>
    <s v="YES"/>
    <s v="FCHA.MI"/>
    <m/>
    <s v="Fiat Chrysler Automobiles NV"/>
    <s v="EUR"/>
    <n v="12.8636"/>
    <m/>
    <n v="2100"/>
    <n v="-27013.56"/>
    <n v="-22"/>
    <n v="0"/>
    <n v="0"/>
    <n v="-27035.56"/>
    <n v="1"/>
    <n v="-27035.56"/>
    <d v="2019-03-12T00:00:00"/>
  </r>
  <r>
    <d v="2019-03-11T00:00:00"/>
    <s v="BUY"/>
    <s v="2344.T"/>
    <s v="JP3834050001"/>
    <s v="YES"/>
    <s v="2344.T"/>
    <m/>
    <s v="Heian Ceremony Service Co Ltd"/>
    <s v="JPY"/>
    <n v="892.78949999999998"/>
    <m/>
    <n v="950"/>
    <n v="-848150.02500000002"/>
    <n v="-679"/>
    <n v="0"/>
    <n v="0"/>
    <n v="-848829.02500000002"/>
    <n v="125.87768969422432"/>
    <n v="-6743.2841122357131"/>
    <d v="2019-03-14T00:00:00"/>
  </r>
  <r>
    <d v="2019-03-11T00:00:00"/>
    <s v="BUY"/>
    <s v="9055.T"/>
    <s v="JP3126450000"/>
    <s v="YES"/>
    <s v="9055.T"/>
    <m/>
    <s v="Alps Logistics Co Ltd"/>
    <s v="JPY"/>
    <n v="773.64189999999996"/>
    <m/>
    <n v="2150"/>
    <n v="-1663330.085"/>
    <n v="-1331"/>
    <n v="0"/>
    <n v="0"/>
    <n v="-1664661.085"/>
    <n v="125.87768969422419"/>
    <n v="-13224.433090913186"/>
    <d v="2019-03-14T00:00:00"/>
  </r>
  <r>
    <d v="2019-03-11T00:00:00"/>
    <s v="BUY"/>
    <s v="1960.T"/>
    <s v="JP3335400002"/>
    <s v="YES"/>
    <s v="1960.t"/>
    <m/>
    <s v="Sanyo Engineering &amp; Construction Inc"/>
    <s v="JPY"/>
    <n v="709.24"/>
    <m/>
    <n v="2500"/>
    <n v="-1773100"/>
    <n v="-1418"/>
    <n v="0"/>
    <n v="0"/>
    <n v="-1774518"/>
    <n v="125.87768969422427"/>
    <n v="-14097.160539811062"/>
    <d v="2019-03-14T00:00:00"/>
  </r>
  <r>
    <d v="2019-03-11T00:00:00"/>
    <s v="BUY"/>
    <s v="3891.T"/>
    <s v="JP3707000000"/>
    <s v="YES"/>
    <s v="3891.T"/>
    <m/>
    <s v="Nippon Kodoshi Corp"/>
    <s v="JPY"/>
    <n v="1543.8181999999999"/>
    <m/>
    <n v="1100"/>
    <n v="-1698200.02"/>
    <n v="-1359"/>
    <n v="0"/>
    <n v="0"/>
    <n v="-1699559.02"/>
    <n v="125.87768969422427"/>
    <n v="-13501.669947458386"/>
    <d v="2019-03-14T00:00:00"/>
  </r>
  <r>
    <d v="2019-03-11T00:00:00"/>
    <s v="BUY"/>
    <s v="6501.T"/>
    <s v="JP3788600009"/>
    <s v="YES"/>
    <s v="6501.T"/>
    <m/>
    <s v="Hitachi Ltd"/>
    <s v="JPY"/>
    <n v="3164.5455000000002"/>
    <m/>
    <n v="550"/>
    <n v="-1740500.0250000001"/>
    <n v="-1392"/>
    <n v="0"/>
    <n v="0"/>
    <n v="-1741892.0250000001"/>
    <n v="125.8776896942242"/>
    <n v="-13837.972632253715"/>
    <d v="2019-03-14T00:00:00"/>
  </r>
  <r>
    <d v="2019-03-11T00:00:00"/>
    <s v="BUY"/>
    <s v="003555.KS"/>
    <s v="KR7003551009"/>
    <s v="YES"/>
    <s v="003555.KS"/>
    <m/>
    <s v="LG Corp"/>
    <s v="KRW"/>
    <n v="43049.1463"/>
    <m/>
    <n v="410"/>
    <n v="-17650149.982999999"/>
    <n v="-26475"/>
    <n v="0"/>
    <n v="0"/>
    <n v="-17676624.982999999"/>
    <n v="1279.1619479048707"/>
    <n v="-13818.910898617962"/>
    <d v="2019-03-13T00:00:00"/>
  </r>
  <r>
    <d v="2019-03-11T00:00:00"/>
    <s v="BUY"/>
    <s v="006405.KS"/>
    <s v="KR7006401004"/>
    <s v="YES"/>
    <s v="006405.KS"/>
    <m/>
    <s v="Samsung SDI Co Ltd"/>
    <s v="KRW"/>
    <n v="93071.052599999995"/>
    <m/>
    <n v="190"/>
    <n v="-17683499.993999999"/>
    <n v="-26525"/>
    <n v="0"/>
    <n v="0"/>
    <n v="-17710024.993999999"/>
    <n v="1279.1619479048695"/>
    <n v="-13845.021752724217"/>
    <d v="2019-03-13T00:00:00"/>
  </r>
  <r>
    <d v="2019-03-11T00:00:00"/>
    <s v="BUY"/>
    <s v="02826K.KS"/>
    <s v="KR702826K016"/>
    <s v="YES"/>
    <s v="02826K.KS"/>
    <m/>
    <s v="Samsung C&amp;T Corp"/>
    <s v="KRW"/>
    <n v="72412.653099999996"/>
    <m/>
    <n v="245"/>
    <n v="-17741100.009500001"/>
    <n v="-26612"/>
    <n v="0"/>
    <n v="0"/>
    <n v="-17767712.009500001"/>
    <n v="1279.1619479048693"/>
    <n v="-13890.119260193454"/>
    <d v="2019-03-13T00:00:00"/>
  </r>
  <r>
    <d v="2019-03-14T00:00:00"/>
    <s v="BUY"/>
    <s v="WPP.L"/>
    <s v="Not Signed In"/>
    <s v="YES"/>
    <s v="WPP.L"/>
    <m/>
    <s v="Not Signed In"/>
    <s v="GBp"/>
    <n v="8.5595999999999997"/>
    <m/>
    <n v="2200"/>
    <n v="-18831.12"/>
    <n v="-15.06"/>
    <n v="0"/>
    <n v="-1"/>
    <n v="-18847.18"/>
    <n v="0.84913929784824116"/>
    <n v="-22195.628029181597"/>
    <d v="2019-03-18T00:00:00"/>
  </r>
  <r>
    <d v="2019-03-15T00:00:00"/>
    <s v="BUY"/>
    <s v="WPP.L"/>
    <s v="JE00B8KF9B49"/>
    <s v="YES"/>
    <s v="wpp.l"/>
    <m/>
    <s v="WPP PLC"/>
    <s v="GBp"/>
    <n v="8.6150000000000002"/>
    <m/>
    <n v="2200"/>
    <n v="-18953"/>
    <n v="-15.16"/>
    <n v="0"/>
    <n v="-1"/>
    <n v="-18969.16"/>
    <n v="0.85368444846293212"/>
    <n v="-22220.34152567049"/>
    <d v="2019-03-19T00:00:00"/>
  </r>
  <r>
    <d v="2019-03-15T00:00:00"/>
    <s v="BUY"/>
    <s v="SCAb.ST"/>
    <s v="SE0000112724"/>
    <s v="YES"/>
    <s v="SCAb.ST"/>
    <m/>
    <s v="Svenska Cellulosa SCA AB"/>
    <s v="SEK"/>
    <n v="82.797600000000003"/>
    <m/>
    <n v="2700"/>
    <n v="-223553.52000000002"/>
    <n v="-179"/>
    <n v="0"/>
    <n v="0"/>
    <n v="-223732.52000000002"/>
    <n v="10.512997287522607"/>
    <n v="-21281.516001677071"/>
    <d v="2019-03-19T00:00:00"/>
  </r>
  <r>
    <d v="2019-03-15T00:00:00"/>
    <s v="BUY"/>
    <s v="KNL"/>
    <s v="US4989042001"/>
    <s v="YES"/>
    <s v="KNL"/>
    <m/>
    <s v="Knoll Inc"/>
    <s v="USD"/>
    <n v="20.192"/>
    <m/>
    <n v="1200"/>
    <n v="-24230.400000000001"/>
    <n v="-19"/>
    <n v="0"/>
    <n v="0"/>
    <n v="-24249.4"/>
    <n v="1.1325028312570784"/>
    <n v="-21412.220199999996"/>
    <d v="2019-03-19T00:00:00"/>
  </r>
  <r>
    <d v="2019-03-18T00:00:00"/>
    <s v="BUY"/>
    <s v="003545.KS"/>
    <s v="KR7003541000"/>
    <s v="YES"/>
    <s v="003545.KS"/>
    <m/>
    <s v="DAISHIN SECURITIES CO LTD"/>
    <s v="KRW"/>
    <n v="8720"/>
    <m/>
    <n v="3500"/>
    <n v="-30520000"/>
    <n v="-45827"/>
    <n v="0"/>
    <n v="0"/>
    <n v="-30565827"/>
    <n v="1285.0509626274074"/>
    <n v="-23785.692465849988"/>
    <d v="2019-03-20T00:00:00"/>
  </r>
  <r>
    <d v="2019-03-18T00:00:00"/>
    <s v="BUY"/>
    <s v="003555.KS"/>
    <s v="KR7003551009"/>
    <s v="YES"/>
    <s v="003555.KS"/>
    <m/>
    <s v="LG Corp"/>
    <s v="KRW"/>
    <n v="44600"/>
    <m/>
    <n v="700"/>
    <n v="-31220000"/>
    <n v="-46711"/>
    <n v="0"/>
    <n v="0"/>
    <n v="-31266711"/>
    <n v="1285.0509626274049"/>
    <n v="-24331.105854410889"/>
    <d v="2019-03-20T00:00:00"/>
  </r>
  <r>
    <d v="2019-03-18T00:00:00"/>
    <s v="BUY"/>
    <s v="006405.KS"/>
    <s v="KR7006401004"/>
    <s v="YES"/>
    <s v="006405.KS"/>
    <m/>
    <s v="Samsung SDI Co Ltd"/>
    <s v="KRW"/>
    <n v="90600"/>
    <m/>
    <n v="300"/>
    <n v="-27180000"/>
    <n v="-40721"/>
    <n v="0"/>
    <n v="0"/>
    <n v="-27220721"/>
    <n v="1285.0509626274063"/>
    <n v="-21182.600372785764"/>
    <d v="2019-03-20T00:00:00"/>
  </r>
  <r>
    <d v="2019-03-18T00:00:00"/>
    <s v="BUY"/>
    <s v="02826K.KS"/>
    <s v="KR702826K016"/>
    <s v="YES"/>
    <s v="02826K.KS"/>
    <m/>
    <s v="Samsung C&amp;T Corp"/>
    <s v="KRW"/>
    <n v="72400"/>
    <m/>
    <n v="170"/>
    <n v="-12308000"/>
    <n v="-18405"/>
    <n v="0"/>
    <n v="0"/>
    <n v="-12326405"/>
    <n v="1285.0509626274065"/>
    <n v="-9592.1526526835296"/>
    <d v="2019-03-20T00:00:00"/>
  </r>
  <r>
    <d v="2019-03-18T00:00:00"/>
    <s v="BUY"/>
    <s v="096775.KS"/>
    <s v="KR7096771001"/>
    <s v="YES"/>
    <s v="096775.KS"/>
    <m/>
    <s v="SK Innovation Co Ltd"/>
    <s v="KRW"/>
    <n v="128000"/>
    <m/>
    <n v="220"/>
    <n v="-28160000"/>
    <n v="-42821"/>
    <n v="0"/>
    <n v="0"/>
    <n v="-28202821"/>
    <n v="1285.0509626274061"/>
    <n v="-21946.850218559979"/>
    <d v="2019-03-20T00:00:00"/>
  </r>
  <r>
    <d v="2019-03-18T00:00:00"/>
    <s v="BUY"/>
    <s v="SYR.AX"/>
    <s v="AU000000SYR9"/>
    <s v="YES"/>
    <s v="SYR.AX"/>
    <m/>
    <s v="Syrah Resources Ltd"/>
    <s v="AUD"/>
    <n v="1.06"/>
    <m/>
    <n v="22000"/>
    <n v="-23320"/>
    <n v="-19.25"/>
    <n v="0"/>
    <n v="0"/>
    <n v="-23339.25"/>
    <n v="1.5979954699886756"/>
    <n v="-14605.329263020625"/>
    <d v="2019-03-20T00:00:00"/>
  </r>
  <r>
    <d v="2019-03-18T00:00:00"/>
    <s v="BUY"/>
    <s v="2344.T"/>
    <s v="JP3834050001"/>
    <s v="YES"/>
    <s v="2344.T"/>
    <m/>
    <s v="Heian Ceremony Service Co Ltd"/>
    <s v="JPY"/>
    <n v="892"/>
    <m/>
    <n v="1800"/>
    <n v="-1605600"/>
    <n v="-1273"/>
    <n v="0"/>
    <n v="0"/>
    <n v="-1606873"/>
    <n v="126.21744054360137"/>
    <n v="-12730.990210856886"/>
    <d v="2019-03-21T00:00:00"/>
  </r>
  <r>
    <d v="2019-03-18T00:00:00"/>
    <s v="BUY"/>
    <s v="6752.t"/>
    <s v="JP3866800000"/>
    <s v="YES"/>
    <s v="6752.T"/>
    <m/>
    <s v="Panasonic Corp"/>
    <s v="JPY"/>
    <n v="969.7"/>
    <m/>
    <n v="3500"/>
    <n v="-3393950"/>
    <n v="-2711"/>
    <n v="0"/>
    <n v="0"/>
    <n v="-3396661"/>
    <n v="126.21744054360144"/>
    <n v="-26911.185850157002"/>
    <d v="2019-03-21T00:00:00"/>
  </r>
  <r>
    <d v="2019-03-18T00:00:00"/>
    <s v="BUY"/>
    <s v="VRKP.PA"/>
    <s v="FR0000062796"/>
    <s v="YES"/>
    <s v="VRKP.PA"/>
    <m/>
    <s v="Vranken Pommery Monopole SA"/>
    <s v="EUR"/>
    <n v="23.4"/>
    <m/>
    <n v="460"/>
    <n v="-10764"/>
    <n v="-8.61"/>
    <n v="0"/>
    <n v="0"/>
    <n v="-10772.61"/>
    <n v="1"/>
    <n v="-10772.61"/>
    <d v="2019-03-20T00:00:00"/>
  </r>
  <r>
    <d v="2019-03-18T00:00:00"/>
    <s v="BUY"/>
    <s v="LAN.PA"/>
    <s v="FR0004027068"/>
    <s v="YES"/>
    <s v="LAN.PA"/>
    <m/>
    <s v="Lanson BCC SA"/>
    <s v="EUR"/>
    <n v="27"/>
    <m/>
    <n v="670"/>
    <n v="-18090"/>
    <n v="-14.47"/>
    <n v="0"/>
    <n v="0"/>
    <n v="-18104.47"/>
    <n v="1"/>
    <n v="-18104.47"/>
    <d v="2019-03-20T00:00:00"/>
  </r>
  <r>
    <d v="2019-03-18T00:00:00"/>
    <s v="BUY"/>
    <s v="INME.I"/>
    <s v="IE00B59HWB19"/>
    <s v="YES"/>
    <s v="INME.I"/>
    <m/>
    <s v="Independent News &amp; Media PLC"/>
    <s v="EUR"/>
    <n v="6.3299999999999995E-2"/>
    <m/>
    <n v="216000"/>
    <n v="-13672.8"/>
    <n v="-10.94"/>
    <n v="-136.72999999999999"/>
    <n v="0"/>
    <n v="-13820.47"/>
    <n v="1"/>
    <n v="-13820.47"/>
    <d v="2019-03-20T00:00:00"/>
  </r>
  <r>
    <d v="2019-03-18T00:00:00"/>
    <s v="BUY"/>
    <s v="O2Dn.DE"/>
    <s v="DE000A1J5RX9"/>
    <s v="YES"/>
    <s v="O2Dn.DE"/>
    <m/>
    <s v="Telefonica Deutschland Holding AG"/>
    <s v="EUR"/>
    <n v="2.9552999999999998"/>
    <m/>
    <n v="4800"/>
    <n v="-14185.439999999999"/>
    <n v="-11.35"/>
    <n v="0"/>
    <n v="0"/>
    <n v="-14196.789999999999"/>
    <n v="1"/>
    <n v="-14196.789999999999"/>
    <d v="2019-03-20T00:00:00"/>
  </r>
  <r>
    <d v="2019-03-18T00:00:00"/>
    <s v="BUY"/>
    <s v="JNPR.K"/>
    <s v="US48203R1041"/>
    <s v="YES"/>
    <s v="JNPR.K"/>
    <m/>
    <s v="Juniper Networks Inc"/>
    <s v="USD"/>
    <n v="26.834499999999998"/>
    <m/>
    <n v="600"/>
    <n v="-16100.699999999999"/>
    <n v="-12.88"/>
    <n v="0"/>
    <n v="0"/>
    <n v="-16113.579999999998"/>
    <n v="1.1325028312570782"/>
    <n v="-14228.291139999998"/>
    <d v="2019-03-20T00:00:00"/>
  </r>
  <r>
    <d v="2019-03-19T00:00:00"/>
    <s v="BUY"/>
    <s v="02826K.KS"/>
    <s v="KR702826K016"/>
    <s v="YES"/>
    <s v="02826k.ks"/>
    <m/>
    <s v="Samsung C&amp;T Corp"/>
    <s v="KRW"/>
    <n v="72900"/>
    <m/>
    <n v="43"/>
    <n v="-3134700"/>
    <n v="-4681"/>
    <n v="0"/>
    <n v="0"/>
    <n v="-3139381"/>
    <n v="1282.3987379841794"/>
    <n v="-2448.0537191847498"/>
    <d v="2019-03-21T00:00:00"/>
  </r>
  <r>
    <d v="2019-03-19T00:00:00"/>
    <s v="BUY"/>
    <s v="RCH.L"/>
    <s v="GB0009039941"/>
    <s v="YES"/>
    <s v="RCH.L"/>
    <m/>
    <s v="Reach PLC"/>
    <s v="GBp"/>
    <n v="0.64"/>
    <m/>
    <n v="4195"/>
    <n v="-2684.8"/>
    <n v="-2.15"/>
    <n v="-13.42"/>
    <n v="0"/>
    <n v="-2700.3700000000003"/>
    <n v="0.85543563378843113"/>
    <n v="-3156.7190953233821"/>
    <d v="2019-03-21T00:00:00"/>
  </r>
  <r>
    <d v="2019-03-19T00:00:00"/>
    <s v="BUY"/>
    <s v="RBBN.O"/>
    <s v="US7625441040"/>
    <s v="YES"/>
    <s v="RBBN.O"/>
    <m/>
    <s v="Ribbon Communications Inc"/>
    <s v="USD"/>
    <n v="5.3028000000000004"/>
    <m/>
    <n v="3200"/>
    <n v="-16968.960000000003"/>
    <n v="-13.58"/>
    <n v="0"/>
    <n v="0"/>
    <n v="-16982.540000000005"/>
    <n v="1.134906313483822"/>
    <n v="-14963.825470200003"/>
    <d v="2019-03-21T00:00:00"/>
  </r>
  <r>
    <d v="2019-03-20T00:00:00"/>
    <s v="BUY"/>
    <s v="4005.T"/>
    <s v="JP3401400001"/>
    <s v="YES"/>
    <s v="4005.T"/>
    <m/>
    <s v="Sumitomo Chemical Co Ltd"/>
    <s v="JPY"/>
    <n v="537"/>
    <m/>
    <n v="3530"/>
    <n v="-1895610"/>
    <n v="-1516"/>
    <n v="0"/>
    <n v="0"/>
    <n v="-1897126"/>
    <n v="126.39451613269338"/>
    <n v="-15009.559417976099"/>
    <d v="2019-03-23T00:00:00"/>
  </r>
  <r>
    <d v="2019-03-20T00:00:00"/>
    <s v="BUY"/>
    <s v="4092.T"/>
    <s v="Not Signed In"/>
    <s v="YES"/>
    <s v="4092.t"/>
    <m/>
    <s v="Nippon Chemical Industrial Co Ltd"/>
    <s v="JPY"/>
    <n v="2062"/>
    <m/>
    <n v="930"/>
    <n v="-1917660"/>
    <n v="-1534"/>
    <n v="0"/>
    <n v="0"/>
    <n v="-1919194"/>
    <n v="126.29657100473587"/>
    <n v="-15195.931170039716"/>
    <d v="2019-03-23T00:00:00"/>
  </r>
  <r>
    <d v="2019-03-20T00:00:00"/>
    <s v="BUY"/>
    <s v="02826K.KS"/>
    <s v="Not Signed In"/>
    <s v="YES"/>
    <s v="02826k.ks"/>
    <m/>
    <s v="Samsung C&amp;T Corp"/>
    <s v="KRW"/>
    <n v="72838.164300000004"/>
    <m/>
    <n v="207"/>
    <n v="-15077500.010100001"/>
    <n v="-22616"/>
    <n v="0"/>
    <n v="0"/>
    <n v="-15100116.010100001"/>
    <n v="1283.7907228846932"/>
    <n v="-11762.132052309787"/>
    <d v="2019-03-22T00:00:00"/>
  </r>
  <r>
    <d v="2019-03-20T00:00:00"/>
    <s v="BUY"/>
    <s v="A3M.MC"/>
    <s v="Not Signed In"/>
    <s v="YES"/>
    <s v="A3M.MC"/>
    <m/>
    <s v="Atresmedia Corporacion de Medios de Comunicacion SA"/>
    <s v="EUR"/>
    <n v="4.5237999999999996"/>
    <m/>
    <n v="4800"/>
    <n v="-21714.239999999998"/>
    <n v="-17.37"/>
    <n v="0"/>
    <n v="0"/>
    <n v="-21731.609999999997"/>
    <n v="1"/>
    <n v="-21731.609999999997"/>
    <d v="2019-03-22T00:00:00"/>
  </r>
  <r>
    <d v="2019-03-20T00:00:00"/>
    <s v="BUY"/>
    <s v="STERV.HE"/>
    <s v="Not Signed In"/>
    <s v="YES"/>
    <s v="STERV.HE"/>
    <m/>
    <s v="Stora Enso Oyj"/>
    <s v="EUR"/>
    <n v="11.569900000000001"/>
    <m/>
    <n v="1300"/>
    <n v="-15040.87"/>
    <n v="-12.03"/>
    <n v="0"/>
    <n v="0"/>
    <n v="-15052.900000000001"/>
    <n v="1"/>
    <n v="-15052.900000000001"/>
    <d v="2019-03-22T00:00:00"/>
  </r>
  <r>
    <d v="2019-03-20T00:00:00"/>
    <s v="BUY"/>
    <s v="rtn.l"/>
    <s v="Not Signed In"/>
    <s v="YES"/>
    <s v="rtn.l"/>
    <m/>
    <s v="Restaurant Group PLC"/>
    <s v="GBp"/>
    <n v="1.2716000000000001"/>
    <m/>
    <n v="15000"/>
    <n v="-19074"/>
    <n v="-15.26"/>
    <n v="0"/>
    <n v="-96.37"/>
    <n v="-19185.629999999997"/>
    <n v="0.86473440976778737"/>
    <n v="-22186.73130534037"/>
    <d v="2019-03-22T00:00:00"/>
  </r>
  <r>
    <d v="2019-03-20T00:00:00"/>
    <s v="BUY"/>
    <s v="RCH.L"/>
    <s v="Not Signed In"/>
    <s v="YES"/>
    <s v="rch.l"/>
    <m/>
    <s v="Reach PLC"/>
    <s v="GBp"/>
    <n v="0.64980000000000004"/>
    <m/>
    <n v="15500"/>
    <n v="-10071.900000000001"/>
    <n v="-8.06"/>
    <n v="0"/>
    <n v="-51.36"/>
    <n v="-10131.320000000002"/>
    <n v="0.86473440976778704"/>
    <n v="-11716.10599226719"/>
    <d v="2019-03-22T00:00:00"/>
  </r>
  <r>
    <d v="2019-03-21T00:00:00"/>
    <s v="BUY"/>
    <s v="006405.KS"/>
    <s v="Not Signed In"/>
    <s v="YES"/>
    <s v="006405.KS"/>
    <m/>
    <s v="Samsung SDI Co Ltd"/>
    <s v="KRW"/>
    <n v="90924.583299999998"/>
    <m/>
    <n v="240"/>
    <n v="-21821899.991999999"/>
    <n v="-32733"/>
    <n v="0"/>
    <n v="0"/>
    <n v="-21854632.991999999"/>
    <n v="1283.7907228846925"/>
    <n v="-17023.51684150855"/>
    <d v="2019-03-25T00:00:00"/>
  </r>
  <r>
    <d v="2019-03-21T00:00:00"/>
    <s v="BUY"/>
    <s v="032830.KS"/>
    <s v="Not Signed In"/>
    <s v="YES"/>
    <s v="032830.KS"/>
    <m/>
    <s v="Samsung Life Insurance Co Ltd"/>
    <s v="KRW"/>
    <n v="87100"/>
    <m/>
    <n v="230"/>
    <n v="-20033000"/>
    <n v="-30050"/>
    <n v="0"/>
    <n v="0"/>
    <n v="-20063050"/>
    <n v="1283.7907228846921"/>
    <n v="-15627.975527754325"/>
    <d v="2019-03-25T00:00:00"/>
  </r>
  <r>
    <d v="2019-03-21T00:00:00"/>
    <s v="BUY"/>
    <s v="M"/>
    <s v="Not Signed In"/>
    <s v="YES"/>
    <s v="M"/>
    <m/>
    <s v="Macy's Inc"/>
    <s v="USD"/>
    <n v="23.915199999999999"/>
    <m/>
    <n v="740"/>
    <n v="-17697.248"/>
    <n v="-14.16"/>
    <n v="0"/>
    <n v="0"/>
    <n v="-17711.407999999999"/>
    <n v="1.1312985044233772"/>
    <n v="-15655.821987519999"/>
    <d v="2019-03-25T00:00:00"/>
  </r>
  <r>
    <d v="2019-03-22T00:00:00"/>
    <s v="BUY"/>
    <s v="9433.T"/>
    <s v="Not Signed In"/>
    <s v="YES"/>
    <s v="9433.T"/>
    <m/>
    <s v="KDDI Corp"/>
    <s v="JPY"/>
    <n v="2471"/>
    <m/>
    <n v="1600"/>
    <n v="-3953600"/>
    <n v="-3163"/>
    <n v="0"/>
    <n v="0"/>
    <n v="-3956763"/>
    <n v="124.3410186211735"/>
    <n v="-31821.864127194945"/>
    <d v="2019-03-27T00:00:00"/>
  </r>
  <r>
    <d v="2019-03-22T00:00:00"/>
    <s v="BUY"/>
    <s v="4188.T"/>
    <s v="Not Signed In"/>
    <s v="YES"/>
    <s v="4188.T"/>
    <m/>
    <s v="Mitsubishi Chemical Holdings Corp"/>
    <s v="JPY"/>
    <n v="820"/>
    <m/>
    <n v="2400"/>
    <n v="-1968000"/>
    <n v="-1574"/>
    <n v="0"/>
    <n v="0"/>
    <n v="-1969574"/>
    <n v="124.34101862117349"/>
    <n v="-15840.098640342085"/>
    <d v="2019-03-27T00:00:00"/>
  </r>
  <r>
    <d v="2019-03-22T00:00:00"/>
    <s v="BUY"/>
    <s v="STERV.HE"/>
    <s v="Not Signed In"/>
    <s v="YES"/>
    <s v="STERV.HE"/>
    <m/>
    <s v="Stora Enso Oyj"/>
    <s v="EUR"/>
    <n v="11.049200000000001"/>
    <m/>
    <n v="1700"/>
    <n v="-18783.640000000003"/>
    <n v="-15.03"/>
    <n v="0"/>
    <n v="0"/>
    <n v="-18798.670000000002"/>
    <n v="1"/>
    <n v="-18798.670000000002"/>
    <d v="2019-03-26T00:00:00"/>
  </r>
  <r>
    <d v="2019-03-22T00:00:00"/>
    <s v="BUY"/>
    <s v="STERV.HE"/>
    <s v="Not Signed In"/>
    <s v="YES"/>
    <s v="STERV.HE"/>
    <m/>
    <s v="Stora Enso Oyj"/>
    <s v="EUR"/>
    <n v="10.775"/>
    <m/>
    <n v="1700"/>
    <n v="-18317.5"/>
    <n v="-14.65"/>
    <n v="0"/>
    <n v="0"/>
    <n v="-18332.150000000001"/>
    <n v="1"/>
    <n v="-18332.150000000001"/>
    <d v="2019-03-26T00:00:00"/>
  </r>
  <r>
    <d v="2019-03-22T00:00:00"/>
    <s v="BUY"/>
    <s v="PSMGn.DE"/>
    <s v="Not Signed In"/>
    <s v="YES"/>
    <s v="PSMGn.DE"/>
    <m/>
    <s v="Prosiebensat 1 Media SE"/>
    <s v="EUR"/>
    <n v="14"/>
    <m/>
    <n v="1700"/>
    <n v="-23800"/>
    <n v="-19.04"/>
    <n v="0"/>
    <n v="0"/>
    <n v="-23819.040000000001"/>
    <n v="1"/>
    <n v="-23819.040000000001"/>
    <d v="2019-03-26T00:00:00"/>
  </r>
  <r>
    <d v="2019-03-22T00:00:00"/>
    <s v="BUY"/>
    <s v="AA"/>
    <s v="Not Signed In"/>
    <s v="YES"/>
    <s v="AA"/>
    <m/>
    <s v="Alcoa Corp"/>
    <s v="USD"/>
    <n v="27.908999999999999"/>
    <m/>
    <n v="1100"/>
    <n v="-30699.899999999998"/>
    <n v="-24.55"/>
    <n v="0"/>
    <n v="0"/>
    <n v="-30724.449999999997"/>
    <n v="1.1312985044233772"/>
    <n v="-27158.570332999996"/>
    <d v="2019-03-26T00:00:00"/>
  </r>
  <r>
    <d v="2019-03-22T00:00:00"/>
    <s v="BUY"/>
    <s v="HOG"/>
    <s v="Not Signed In"/>
    <s v="YES"/>
    <s v="HOG"/>
    <m/>
    <s v="Harley-Davidson Inc"/>
    <s v="USD"/>
    <n v="34.000999999999998"/>
    <m/>
    <n v="690"/>
    <n v="-23460.69"/>
    <n v="-18.77"/>
    <n v="0"/>
    <n v="0"/>
    <n v="-23479.46"/>
    <n v="1.1312985044233772"/>
    <n v="-20754.433872399997"/>
    <d v="2019-03-26T00:00:00"/>
  </r>
  <r>
    <d v="2019-03-22T00:00:00"/>
    <s v="BUY"/>
    <s v="VNE"/>
    <s v="Not Signed In"/>
    <s v="YES"/>
    <s v="VNE"/>
    <m/>
    <s v="Veoneer Inc"/>
    <s v="USD"/>
    <n v="23.2256"/>
    <m/>
    <n v="1100"/>
    <n v="-25548.16"/>
    <n v="-20.440000000000001"/>
    <n v="0"/>
    <n v="0"/>
    <n v="-25568.6"/>
    <n v="1.131298504423377"/>
    <n v="-22601.108284000002"/>
    <d v="2019-03-26T00:00:00"/>
  </r>
  <r>
    <d v="2019-03-22T00:00:00"/>
    <s v="BUY"/>
    <s v="KT.N"/>
    <s v="Not Signed In"/>
    <s v="YES"/>
    <s v="KT.N"/>
    <m/>
    <s v="KT Corp"/>
    <s v="USD"/>
    <n v="12.9353"/>
    <m/>
    <n v="1700"/>
    <n v="-21990.01"/>
    <n v="-17.59"/>
    <n v="0"/>
    <n v="0"/>
    <n v="-22007.599999999999"/>
    <n v="1.1312985044233772"/>
    <n v="-19453.397943999997"/>
    <d v="2019-03-26T00:00:00"/>
  </r>
  <r>
    <d v="2019-03-25T00:00:00"/>
    <s v="BUY"/>
    <s v="NOKIA.HE"/>
    <s v="Not Signed In"/>
    <s v="YES"/>
    <s v="NOKIA.HE"/>
    <m/>
    <s v="Nokia Oyj"/>
    <s v="EUR"/>
    <n v="5.2142999999999997"/>
    <m/>
    <n v="3000"/>
    <n v="-15642.9"/>
    <n v="-12.51"/>
    <n v="0"/>
    <n v="0"/>
    <n v="-15655.41"/>
    <n v="1"/>
    <n v="-15655.41"/>
    <d v="2019-03-27T00:00:00"/>
  </r>
  <r>
    <d v="2019-03-25T00:00:00"/>
    <s v="BUY"/>
    <s v="IMTP.PA"/>
    <s v="Not Signed In"/>
    <s v="YES"/>
    <s v="IMTP.PA"/>
    <m/>
    <s v="Imerys SA"/>
    <s v="EUR"/>
    <n v="43.694400000000002"/>
    <m/>
    <n v="350"/>
    <n v="-15293.04"/>
    <n v="-12.23"/>
    <n v="0"/>
    <n v="-45.88"/>
    <n v="-15351.15"/>
    <n v="1"/>
    <n v="-15351.15"/>
    <d v="2019-03-27T00:00:00"/>
  </r>
  <r>
    <d v="2019-03-26T00:00:00"/>
    <s v="BUY"/>
    <s v="006405.KS"/>
    <s v="Not Signed In"/>
    <s v="YES"/>
    <s v="006405.KS"/>
    <m/>
    <s v="Samsung SDI Co Ltd"/>
    <s v="KRW"/>
    <n v="86789.565199999997"/>
    <m/>
    <n v="230"/>
    <n v="-19961599.995999999"/>
    <n v="-29942"/>
    <n v="0"/>
    <n v="0"/>
    <n v="-19991541.995999999"/>
    <n v="1284.1482453560191"/>
    <n v="-15567.939346798326"/>
    <d v="2019-03-28T00:00:00"/>
  </r>
  <r>
    <d v="2019-03-26T00:00:00"/>
    <s v="BUY"/>
    <s v="02826K.KS"/>
    <s v="Not Signed In"/>
    <s v="YES"/>
    <s v="02826K.KS"/>
    <m/>
    <s v="Samsung C&amp;T Corp"/>
    <s v="KRW"/>
    <n v="72302.325599999996"/>
    <m/>
    <n v="215"/>
    <n v="-15545000.003999999"/>
    <n v="-23318"/>
    <n v="0"/>
    <n v="0"/>
    <n v="-15568318.003999999"/>
    <n v="1284.1482453560193"/>
    <n v="-12123.458533935709"/>
    <d v="2019-03-28T00:00:00"/>
  </r>
  <r>
    <d v="2019-03-26T00:00:00"/>
    <s v="BUY"/>
    <s v="003555.KS"/>
    <s v="Not Signed In"/>
    <s v="YES"/>
    <s v="003555.KS"/>
    <m/>
    <s v="LG Corp"/>
    <s v="KRW"/>
    <n v="43999.111100000002"/>
    <m/>
    <n v="450"/>
    <n v="-19799599.995000001"/>
    <n v="-29699"/>
    <n v="0"/>
    <n v="0"/>
    <n v="-19829298.995000001"/>
    <n v="1284.1482453560195"/>
    <n v="-15441.596456414183"/>
    <d v="2019-03-28T00:00:00"/>
  </r>
  <r>
    <d v="2019-03-26T00:00:00"/>
    <s v="BUY"/>
    <s v="316140.KS"/>
    <s v="Not Signed In"/>
    <s v="YES"/>
    <s v="316140.KS"/>
    <m/>
    <s v="Woori Financial Group Inc"/>
    <s v="KRW"/>
    <n v="13500"/>
    <m/>
    <n v="1480"/>
    <n v="-19980000"/>
    <n v="-29970"/>
    <n v="0"/>
    <n v="0"/>
    <n v="-20009970"/>
    <n v="1284.1482453560188"/>
    <n v="-15582.289718000908"/>
    <d v="2019-03-28T00:00:00"/>
  </r>
  <r>
    <d v="2019-03-25T00:00:00"/>
    <s v="BUY"/>
    <s v="4208.T"/>
    <s v="Not Signed In"/>
    <s v="YES"/>
    <s v="4208.T"/>
    <m/>
    <s v="Ube Industries Ltd"/>
    <s v="JPY"/>
    <n v="2358.0731999999998"/>
    <m/>
    <n v="820"/>
    <n v="-1933620.0239999997"/>
    <n v="-1547"/>
    <n v="0"/>
    <n v="0"/>
    <n v="-1935167.0239999997"/>
    <n v="124.36375975568401"/>
    <n v="-15560.538116583866"/>
    <d v="2019-03-29T00:00:00"/>
  </r>
  <r>
    <d v="2019-03-26T00:00:00"/>
    <s v="BUY"/>
    <s v="4092.T"/>
    <s v="Not Signed In"/>
    <s v="YES"/>
    <s v="4092.T"/>
    <m/>
    <s v="Nippon Chemical Industrial Co Ltd"/>
    <s v="JPY"/>
    <n v="2041"/>
    <m/>
    <n v="950"/>
    <n v="-1938950"/>
    <n v="-1534"/>
    <n v="0"/>
    <n v="0"/>
    <n v="-1940484"/>
    <n v="124.36375975568349"/>
    <n v="-15603.291536152828"/>
    <d v="2019-03-29T00:00:00"/>
  </r>
  <r>
    <d v="2019-03-26T00:00:00"/>
    <s v="BUY"/>
    <s v="6752.t"/>
    <s v="Not Signed In"/>
    <s v="YES"/>
    <s v="6752.t"/>
    <m/>
    <s v="Panasonic Corp"/>
    <s v="JPY"/>
    <n v="948.57560000000001"/>
    <m/>
    <n v="2050"/>
    <n v="-1944579.98"/>
    <n v="-1556"/>
    <n v="0"/>
    <n v="0"/>
    <n v="-1946135.98"/>
    <n v="124.36375975568373"/>
    <n v="-15648.73869866303"/>
    <d v="2019-03-29T00:00:00"/>
  </r>
  <r>
    <d v="2019-03-26T00:00:00"/>
    <s v="BUY"/>
    <s v="4005.T"/>
    <s v="Not Signed In"/>
    <s v="YES"/>
    <s v="4005.t"/>
    <m/>
    <s v="Sumitomo Chemical Co Ltd"/>
    <s v="JPY"/>
    <n v="527.95889999999997"/>
    <m/>
    <n v="3650"/>
    <n v="-1927049.9849999999"/>
    <n v="-1542"/>
    <n v="0"/>
    <n v="0"/>
    <n v="-1928591.9849999999"/>
    <n v="124.36375975568366"/>
    <n v="-15507.668703397008"/>
    <d v="2019-03-29T00:00:00"/>
  </r>
  <r>
    <d v="2019-03-26T00:00:00"/>
    <s v="BUY"/>
    <s v="8070.T"/>
    <s v="JP3576600005"/>
    <s v="YES"/>
    <s v="8070.t"/>
    <m/>
    <s v="Tokyo Sangyo Co Ltd"/>
    <s v="JPY"/>
    <n v="527.58920000000001"/>
    <m/>
    <n v="3700"/>
    <n v="-1952080.04"/>
    <n v="-1562"/>
    <n v="0"/>
    <n v="0"/>
    <n v="-1953642.04"/>
    <n v="124.3637597556837"/>
    <n v="-15709.094384392913"/>
    <d v="2019-03-29T00:00:00"/>
  </r>
  <r>
    <d v="2019-03-26T00:00:00"/>
    <s v="BUY"/>
    <s v="2344.T"/>
    <s v="JP3834050001"/>
    <s v="YES"/>
    <s v="2344.t"/>
    <m/>
    <s v="Heian Ceremony Service Co Ltd"/>
    <s v="JPY"/>
    <n v="891.375"/>
    <m/>
    <n v="1600"/>
    <n v="-1426200"/>
    <n v="-1141"/>
    <n v="0"/>
    <n v="0"/>
    <n v="-1427341"/>
    <n v="124.36375975568382"/>
    <n v="-11477.14577626193"/>
    <d v="2019-03-29T00:00:00"/>
  </r>
  <r>
    <d v="2019-03-26T00:00:00"/>
    <s v="BUY"/>
    <s v="CFP.TO"/>
    <s v="CA1375761048"/>
    <s v="YES"/>
    <s v="CFP.TO"/>
    <m/>
    <s v="Canfor Corp"/>
    <s v="CAD"/>
    <n v="13.19"/>
    <m/>
    <n v="1700"/>
    <n v="-22423"/>
    <n v="-17.940000000000001"/>
    <n v="0"/>
    <n v="0"/>
    <n v="-22440.94"/>
    <n v="1.5072427853747561"/>
    <n v="-14888.736053508695"/>
    <d v="2019-03-28T00:00:00"/>
  </r>
  <r>
    <d v="2019-03-26T00:00:00"/>
    <s v="BUY"/>
    <s v="RRTL.DE"/>
    <s v="LU0061462528"/>
    <s v="YES"/>
    <s v="RRTL.DE"/>
    <m/>
    <s v="RTL Group SA"/>
    <s v="EUR"/>
    <n v="48.378500000000003"/>
    <m/>
    <n v="500"/>
    <n v="-24189.25"/>
    <n v="-19.350000000000001"/>
    <n v="0"/>
    <n v="0"/>
    <n v="-24208.6"/>
    <n v="1"/>
    <n v="-24208.6"/>
    <d v="2019-03-28T00:00:00"/>
  </r>
  <r>
    <d v="2019-03-26T00:00:00"/>
    <s v="BUY"/>
    <s v="NHY.OL"/>
    <s v="NO0005052605"/>
    <s v="YES"/>
    <s v="NHY.OL"/>
    <m/>
    <s v="Norsk Hydro ASA"/>
    <s v="NOK"/>
    <n v="34.015799999999999"/>
    <m/>
    <n v="6700"/>
    <n v="-227905.86"/>
    <n v="-182.32"/>
    <n v="0"/>
    <n v="0"/>
    <n v="-228088.18"/>
    <n v="9.6228795422289188"/>
    <n v="-23702.695123539768"/>
    <d v="2019-03-28T00:00:00"/>
  </r>
  <r>
    <d v="2019-03-26T00:00:00"/>
    <s v="BUY"/>
    <s v="KT.N"/>
    <s v="US48268K1016"/>
    <s v="YES"/>
    <s v="KT.N"/>
    <m/>
    <s v="KT Corp"/>
    <s v="USD"/>
    <n v="12.712400000000001"/>
    <m/>
    <n v="1700"/>
    <n v="-21611.08"/>
    <n v="-17.29"/>
    <n v="0"/>
    <n v="0"/>
    <n v="-21628.370000000003"/>
    <n v="1.1264051904751178"/>
    <n v="-19201.2343186"/>
    <d v="2019-03-28T00:00:00"/>
  </r>
  <r>
    <d v="2019-03-27T00:00:00"/>
    <s v="BUY"/>
    <s v="VEON.O"/>
    <s v="US91822M1062"/>
    <s v="YES"/>
    <s v="VEON.O"/>
    <m/>
    <s v="VEON Ltd"/>
    <s v="USD"/>
    <n v="2.1850000000000001"/>
    <m/>
    <n v="11000"/>
    <n v="-24035"/>
    <n v="-19"/>
    <n v="0"/>
    <n v="0"/>
    <n v="-24054"/>
    <n v="1.1264051904751178"/>
    <n v="-21354.66012"/>
    <d v="2019-03-29T00:00:00"/>
  </r>
  <r>
    <d v="2019-03-28T00:00:00"/>
    <s v="BUY"/>
    <s v="2344.T"/>
    <s v="JP3834050001"/>
    <s v="YES"/>
    <s v="2344.T"/>
    <m/>
    <s v="Heian Ceremony Service Co Ltd"/>
    <s v="JPY"/>
    <n v="885.29409999999996"/>
    <m/>
    <n v="340"/>
    <n v="-300999.99400000001"/>
    <n v="-241"/>
    <n v="0"/>
    <n v="0"/>
    <n v="-301240.99400000001"/>
    <n v="124.11502687176718"/>
    <n v="-2427.1113787956983"/>
    <d v="2019-04-02T00:00:00"/>
  </r>
  <r>
    <d v="2019-03-28T00:00:00"/>
    <s v="BUY"/>
    <s v="1960.T"/>
    <s v="JP3335400002"/>
    <s v="YES"/>
    <s v="1960.t"/>
    <m/>
    <s v="Sanyo Engineering &amp; Construction Inc"/>
    <s v="JPY"/>
    <n v="675.39670000000001"/>
    <m/>
    <n v="3000"/>
    <n v="-2026190.1"/>
    <n v="-1621"/>
    <n v="0"/>
    <n v="0"/>
    <n v="-2027811.1"/>
    <n v="124.11502687176727"/>
    <n v="-16338.159456671487"/>
    <d v="2019-04-02T00:00:00"/>
  </r>
  <r>
    <d v="2019-03-28T00:00:00"/>
    <s v="BUY"/>
    <s v="PNIN.JK"/>
    <s v="ID1000094907"/>
    <s v="YES"/>
    <s v="PNIN.JK"/>
    <m/>
    <s v="Paninvest Tbk PT"/>
    <s v="IDR"/>
    <n v="1160"/>
    <m/>
    <n v="170000"/>
    <n v="-197200000"/>
    <n v="-295800"/>
    <n v="-84796"/>
    <n v="-19720"/>
    <n v="-197600316"/>
    <n v="15973.835089254619"/>
    <n v="-12370.248903653892"/>
    <d v="2019-04-01T00:00:00"/>
  </r>
  <r>
    <d v="2019-03-28T00:00:00"/>
    <s v="BUY"/>
    <s v="IMTP.PA"/>
    <s v="FR0000120859"/>
    <s v="YES"/>
    <s v="imtp.pa"/>
    <m/>
    <s v="Imerys SA"/>
    <s v="EUR"/>
    <n v="44.179299999999998"/>
    <m/>
    <n v="600"/>
    <n v="-26507.579999999998"/>
    <n v="-21"/>
    <n v="-79.52"/>
    <n v="0"/>
    <n v="-26608.1"/>
    <n v="1"/>
    <n v="-26608.1"/>
    <d v="2019-04-01T00:00:00"/>
  </r>
  <r>
    <d v="2019-03-28T00:00:00"/>
    <s v="BUY"/>
    <s v="RENA.PA"/>
    <s v="FR0000131906"/>
    <s v="YES"/>
    <s v="RENA.PA"/>
    <m/>
    <s v="Renault SA"/>
    <s v="EUR"/>
    <n v="58.073099999999997"/>
    <m/>
    <n v="420"/>
    <n v="-24390.701999999997"/>
    <n v="-20"/>
    <n v="-73.17"/>
    <n v="0"/>
    <n v="-24483.871999999996"/>
    <n v="1"/>
    <n v="-24483.871999999996"/>
    <d v="2019-04-01T00:00:00"/>
  </r>
  <r>
    <d v="2019-03-28T00:00:00"/>
    <s v="BUY"/>
    <s v="RMG.L"/>
    <s v="GB00BDVZYZ77"/>
    <s v="YES"/>
    <s v="RMG.L"/>
    <m/>
    <s v="Royal Mail PLC"/>
    <s v="GBp"/>
    <n v="2.3927"/>
    <m/>
    <n v="9350"/>
    <n v="-22371.744999999999"/>
    <n v="-18"/>
    <n v="-112.86"/>
    <n v="0"/>
    <n v="-22502.605"/>
    <n v="0.86022193050366191"/>
    <n v="-26159.069191394217"/>
    <d v="2019-04-01T00:00:00"/>
  </r>
  <r>
    <d v="2019-03-28T00:00:00"/>
    <s v="BUY"/>
    <s v="TUIGn.DE"/>
    <s v="DE000TUAG000"/>
    <s v="YES"/>
    <s v="TUIGn.DE"/>
    <m/>
    <s v="Tui AG"/>
    <s v="EUR"/>
    <n v="9.1628000000000007"/>
    <m/>
    <n v="2200"/>
    <n v="-20158.16"/>
    <n v="-16.13"/>
    <n v="-86.34"/>
    <n v="0"/>
    <n v="-20260.63"/>
    <n v="1"/>
    <n v="-20260.63"/>
    <d v="2019-04-01T00:00:00"/>
  </r>
  <r>
    <d v="2019-03-28T00:00:00"/>
    <s v="BUY"/>
    <s v="BARC.L"/>
    <s v="GB0031348658"/>
    <s v="YES"/>
    <s v="BARC.L"/>
    <m/>
    <s v="Barclays PLC"/>
    <s v="GBp"/>
    <n v="1.5516000000000001"/>
    <m/>
    <n v="11000"/>
    <n v="-17067.600000000002"/>
    <n v="-14"/>
    <n v="0"/>
    <n v="0"/>
    <n v="-17081.600000000002"/>
    <n v="0.86022193050366536"/>
    <n v="-19857.201257352994"/>
    <d v="2019-04-01T00:00:00"/>
  </r>
  <r>
    <d v="2019-03-28T00:00:00"/>
    <s v="BUY"/>
    <s v="VNE"/>
    <s v="US92336X1090"/>
    <s v="YES"/>
    <s v="VNE"/>
    <m/>
    <s v="Veoneer Inc"/>
    <s v="USD"/>
    <n v="23.359000000000002"/>
    <m/>
    <n v="770"/>
    <n v="-17986.43"/>
    <n v="-14.39"/>
    <n v="0"/>
    <n v="0"/>
    <n v="-18000.82"/>
    <n v="1.1219944573473808"/>
    <n v="-16043.590841399999"/>
    <d v="2019-04-01T00:00:00"/>
  </r>
  <r>
    <d v="2019-03-29T00:00:00"/>
    <s v="BUY"/>
    <s v="6674.T"/>
    <s v="JP3385820000"/>
    <s v="YES"/>
    <s v="6674.T"/>
    <m/>
    <s v="GS Yuasa Corp"/>
    <s v="JPY"/>
    <n v="2170.8798000000002"/>
    <m/>
    <n v="915"/>
    <n v="-1986355.0170000002"/>
    <n v="-1589"/>
    <n v="0"/>
    <n v="0"/>
    <n v="-1987944.0170000002"/>
    <n v="124.11502687176701"/>
    <n v="-16016.948689491897"/>
    <d v="2019-04-03T00:00:00"/>
  </r>
  <r>
    <d v="2019-03-29T00:00:00"/>
    <s v="BUY"/>
    <s v="6826.T"/>
    <s v="JP3854650003"/>
    <s v="YES"/>
    <s v="6826.T"/>
    <m/>
    <s v="Honda Tsushin Kogyo Co Ltd"/>
    <s v="JPY"/>
    <n v="532.94399999999996"/>
    <m/>
    <n v="5180"/>
    <n v="-2760649.92"/>
    <n v="-2209"/>
    <n v="0"/>
    <n v="0"/>
    <n v="-2762858.92"/>
    <n v="124.1150268717671"/>
    <n v="-22260.470707181368"/>
    <d v="2019-04-03T00:00:00"/>
  </r>
  <r>
    <d v="2019-03-29T00:00:00"/>
    <s v="BUY"/>
    <s v="2344.T"/>
    <s v="JP3834050001"/>
    <s v="YES"/>
    <s v="2344.T"/>
    <m/>
    <s v="Heian Ceremony Service Co Ltd"/>
    <s v="JPY"/>
    <n v="882.40909999999997"/>
    <m/>
    <n v="440"/>
    <n v="-388260.00399999996"/>
    <n v="-311"/>
    <n v="0"/>
    <n v="0"/>
    <n v="-388571.00399999996"/>
    <n v="124.11502687176718"/>
    <n v="-3130.7329482469731"/>
    <d v="2019-04-03T00:00:00"/>
  </r>
  <r>
    <d v="2019-03-29T00:00:00"/>
    <s v="BUY"/>
    <s v="1945.T"/>
    <s v="JP3585400009"/>
    <s v="YES"/>
    <s v="1945.T"/>
    <m/>
    <s v="Tokyo Energy &amp; Systems Inc"/>
    <s v="JPY"/>
    <n v="983.61940000000004"/>
    <m/>
    <n v="2890"/>
    <n v="-2842660.0660000001"/>
    <n v="-2274"/>
    <n v="0"/>
    <n v="0"/>
    <n v="-2844934.0660000001"/>
    <n v="124.1150268717673"/>
    <n v="-22921.753616017169"/>
    <d v="2019-04-03T00:00:00"/>
  </r>
  <r>
    <d v="2019-03-29T00:00:00"/>
    <s v="BUY"/>
    <s v="6997.T"/>
    <s v="JP3701200002"/>
    <s v="YES"/>
    <s v="6997.T"/>
    <m/>
    <s v="Nippon Chemi-Con Corp"/>
    <s v="JPY"/>
    <n v="1945.0388"/>
    <m/>
    <n v="1030"/>
    <n v="-2003389.9640000002"/>
    <n v="-1603"/>
    <n v="0"/>
    <n v="0"/>
    <n v="-2004992.9640000002"/>
    <n v="124.11502687176689"/>
    <n v="-16154.312773678226"/>
    <d v="2019-04-03T00:00:00"/>
  </r>
  <r>
    <d v="2019-03-29T00:00:00"/>
    <s v="BUY"/>
    <s v="086520.KQ"/>
    <s v="KR7086520004"/>
    <s v="YES"/>
    <s v="086520.KQ"/>
    <m/>
    <s v="Ecopro Co Ltd"/>
    <s v="KRW"/>
    <n v="27600"/>
    <m/>
    <n v="690"/>
    <n v="-19044000"/>
    <n v="-28566"/>
    <n v="0"/>
    <n v="0"/>
    <n v="-19072566"/>
    <n v="1273.4076093664073"/>
    <n v="-14977.581302101442"/>
    <d v="2019-04-02T00:00:00"/>
  </r>
  <r>
    <d v="2019-03-29T00:00:00"/>
    <s v="BUY"/>
    <s v="086790.KS"/>
    <s v="KR7086790003"/>
    <s v="YES"/>
    <s v="086790.KS"/>
    <m/>
    <s v="Hana Financial Group Inc"/>
    <s v="KRW"/>
    <n v="36500"/>
    <m/>
    <n v="600"/>
    <n v="-21900000"/>
    <n v="-32850"/>
    <n v="0"/>
    <n v="0"/>
    <n v="-21932850"/>
    <n v="1273.4076093664098"/>
    <n v="-17223.746613947751"/>
    <d v="2019-04-02T00:00:00"/>
  </r>
  <r>
    <d v="2019-03-29T00:00:00"/>
    <s v="BUY"/>
    <s v="032830.KS"/>
    <s v="KR7032830002"/>
    <s v="YES"/>
    <s v="032830.KS"/>
    <m/>
    <s v="Samsung Life Insurance Co Ltd"/>
    <s v="KRW"/>
    <n v="84400"/>
    <m/>
    <n v="220"/>
    <n v="-18568000"/>
    <n v="-27852"/>
    <n v="0"/>
    <n v="0"/>
    <n v="-18595852"/>
    <n v="1273.4076093664105"/>
    <n v="-14603.220416793683"/>
    <d v="2019-04-02T00:00:00"/>
  </r>
  <r>
    <d v="2019-03-29T00:00:00"/>
    <s v="BUY"/>
    <s v="028260.KS"/>
    <s v="KR7028260008"/>
    <s v="YES"/>
    <s v="028260.KS"/>
    <m/>
    <s v="Samsung C&amp;T Corp"/>
    <s v="KRW"/>
    <n v="106500"/>
    <m/>
    <n v="300"/>
    <n v="-31950000"/>
    <n v="-47925"/>
    <n v="0"/>
    <n v="0"/>
    <n v="-31997925"/>
    <n v="1273.4076093664098"/>
    <n v="-25127.794717608704"/>
    <d v="2019-04-02T00:00:00"/>
  </r>
  <r>
    <d v="2019-03-29T00:00:00"/>
    <s v="BUY"/>
    <s v="003555.KS"/>
    <s v="KR7003551009"/>
    <s v="YES"/>
    <s v="003555.KS"/>
    <m/>
    <s v="Not Signed In"/>
    <s v="KRW"/>
    <n v="45041"/>
    <m/>
    <n v="450"/>
    <n v="-20268450"/>
    <n v="-30403"/>
    <n v="0"/>
    <n v="0"/>
    <n v="-20298853"/>
    <n v="1273.4076093664089"/>
    <n v="-15940.577746429368"/>
    <d v="2019-04-02T00:00:00"/>
  </r>
  <r>
    <d v="2019-03-29T00:00:00"/>
    <s v="BUY"/>
    <s v="02826K.KS"/>
    <s v="KR702826K016"/>
    <s v="YES"/>
    <s v="02826k.ks"/>
    <m/>
    <s v="Samsung C&amp;T Corp"/>
    <s v="KRW"/>
    <n v="72682.666700000002"/>
    <m/>
    <n v="300"/>
    <n v="-21804800.010000002"/>
    <n v="-32707"/>
    <n v="0"/>
    <n v="0"/>
    <n v="-21837507.010000002"/>
    <n v="1273.407609366411"/>
    <n v="-17148.874287680235"/>
    <d v="2019-04-02T00:00:00"/>
  </r>
  <r>
    <d v="2019-03-29T00:00:00"/>
    <s v="BUY"/>
    <s v="BBKP.JK"/>
    <s v="ID1000103609"/>
    <s v="YES"/>
    <s v="BBKP.JK"/>
    <m/>
    <s v="Not Signed In"/>
    <s v="IDR"/>
    <n v="339.84059999999999"/>
    <m/>
    <n v="670000"/>
    <n v="-227693202"/>
    <n v="-341540"/>
    <n v="0"/>
    <n v="0"/>
    <n v="-228034742"/>
    <n v="15973.835089254546"/>
    <n v="-14093.046456416479"/>
    <d v="2019-04-02T00:00:00"/>
  </r>
  <r>
    <d v="2019-04-01T00:00:00"/>
    <s v="BUY"/>
    <s v="006405.KS"/>
    <s v="KR7006401004"/>
    <s v="YES"/>
    <s v="006405.KS"/>
    <m/>
    <s v="Samsung SDI Co Ltd"/>
    <s v="KRW"/>
    <n v="8449.1429000000007"/>
    <m/>
    <n v="350"/>
    <n v="-2957200.0150000001"/>
    <n v="-46436"/>
    <n v="0"/>
    <n v="0"/>
    <n v="-3003636.0150000001"/>
    <n v="1274.3690409422325"/>
    <n v="-24361.075169439308"/>
    <d v="2019-04-03T00:00:00"/>
  </r>
  <r>
    <d v="2019-04-01T00:00:00"/>
    <s v="BUY"/>
    <s v="028260.KS"/>
    <s v="KR7028260008"/>
    <s v="YES"/>
    <s v="028260.KS"/>
    <m/>
    <s v="Samsung C&amp;T Corp"/>
    <s v="KRW"/>
    <n v="107500"/>
    <m/>
    <n v="300"/>
    <n v="-32250000"/>
    <n v="-48375"/>
    <n v="0"/>
    <n v="0"/>
    <n v="-32298375"/>
    <n v="1274.3690409422329"/>
    <n v="-25424.346448376011"/>
    <d v="2019-04-03T00:00:00"/>
  </r>
  <r>
    <d v="2019-04-01T00:00:00"/>
    <s v="BUY"/>
    <s v="138930.KS"/>
    <s v="KR7138930003"/>
    <s v="YES"/>
    <s v="138930.KS"/>
    <m/>
    <s v="BNK Financial Group Inc"/>
    <s v="KRW"/>
    <n v="6719.7024000000001"/>
    <m/>
    <n v="4200"/>
    <n v="-28222750.080000002"/>
    <n v="-42334"/>
    <n v="0"/>
    <n v="0"/>
    <n v="-28265084.080000002"/>
    <n v="1274.3690409422311"/>
    <n v="-22740.665434380797"/>
    <d v="2019-04-03T00:00:00"/>
  </r>
  <r>
    <d v="2019-04-01T00:00:00"/>
    <s v="BUY"/>
    <s v="105560.ks"/>
    <s v="KR7105560007"/>
    <s v="YES"/>
    <s v="105560.KS"/>
    <m/>
    <s v="KB Financial Group Inc"/>
    <s v="KRW"/>
    <n v="42600"/>
    <m/>
    <n v="500"/>
    <n v="-21300000"/>
    <n v="-31950"/>
    <n v="0"/>
    <n v="0"/>
    <n v="-21331950"/>
    <n v="1274.3690409422306"/>
    <n v="-17263.44511926769"/>
    <d v="2019-04-03T00:00:00"/>
  </r>
  <r>
    <d v="2019-04-01T00:00:00"/>
    <s v="BUY"/>
    <s v="003545.KS"/>
    <s v="KR7003541000"/>
    <s v="YES"/>
    <s v="003545.KS"/>
    <m/>
    <s v="DAISHIN SECURITIES CO LTD"/>
    <s v="KRW"/>
    <n v="8699.9318000000003"/>
    <m/>
    <n v="2200"/>
    <n v="-19139849.960000001"/>
    <n v="-28710"/>
    <n v="0"/>
    <n v="0"/>
    <n v="-19168559.960000001"/>
    <n v="1274.369040942232"/>
    <n v="-15105.514479359214"/>
    <d v="2019-04-03T00:00:00"/>
  </r>
  <r>
    <d v="2019-04-01T00:00:00"/>
    <s v="BUY"/>
    <s v="KT.N"/>
    <s v="US48268K1016"/>
    <s v="YES"/>
    <s v="KT.N"/>
    <m/>
    <s v="KT Corp"/>
    <s v="USD"/>
    <n v="12.369"/>
    <m/>
    <n v="3000"/>
    <n v="-37107"/>
    <n v="-29.69"/>
    <n v="0"/>
    <n v="0"/>
    <n v="-37136.69"/>
    <n v="1.1212019284673171"/>
    <n v="-33178.679999999993"/>
    <d v="2019-04-03T00:00:00"/>
  </r>
  <r>
    <d v="2019-04-01T00:00:00"/>
    <s v="BUY"/>
    <s v="GCI"/>
    <s v="US36473H1041"/>
    <s v="YES"/>
    <s v="GCI"/>
    <m/>
    <s v="Gannett Co Inc"/>
    <s v="USD"/>
    <n v="10.647500000000001"/>
    <m/>
    <n v="2000"/>
    <n v="-21295"/>
    <n v="-17.04"/>
    <n v="0"/>
    <n v="0"/>
    <n v="-21312.04"/>
    <n v="1.1212019284673171"/>
    <n v="-19104.497999999996"/>
    <d v="2019-04-03T00:00:00"/>
  </r>
  <r>
    <d v="2019-04-01T00:00:00"/>
    <s v="BUY"/>
    <s v="VRKP.PA"/>
    <s v="FR0000062796"/>
    <s v="YES"/>
    <s v="VRKP.PA"/>
    <m/>
    <s v="Vranken Pommery Monopole SA"/>
    <s v="EUR"/>
    <n v="23.4"/>
    <m/>
    <n v="633"/>
    <n v="-14812.199999999999"/>
    <n v="-11.85"/>
    <n v="0"/>
    <n v="0"/>
    <n v="-14824.05"/>
    <n v="1"/>
    <n v="-23300"/>
    <d v="2019-04-03T00:00:00"/>
  </r>
  <r>
    <d v="2019-04-02T00:00:00"/>
    <s v="BUY"/>
    <s v="2344.T"/>
    <s v="JP3834050001"/>
    <s v="YES"/>
    <s v="2344.T"/>
    <m/>
    <s v="Heian Ceremony Service Co Ltd"/>
    <s v="JPY"/>
    <n v="881.33330000000001"/>
    <m/>
    <n v="3000"/>
    <n v="-2643999.9"/>
    <n v="-2115"/>
    <n v="0"/>
    <n v="0"/>
    <n v="-2646114.9"/>
    <n v="124.83462271555115"/>
    <n v="-21123.947368421039"/>
    <d v="2019-04-05T00:00:00"/>
  </r>
  <r>
    <d v="2019-04-02T00:00:00"/>
    <s v="BUY"/>
    <s v="8070.T"/>
    <s v="JP3576600005"/>
    <s v="YES"/>
    <s v="8070.T"/>
    <m/>
    <s v="Tokyo Sangyo Co Ltd"/>
    <s v="JPY"/>
    <n v="520.44860000000006"/>
    <m/>
    <n v="3700"/>
    <n v="-1925659.8200000003"/>
    <n v="-1541"/>
    <n v="0"/>
    <n v="0"/>
    <n v="-1927200.8200000003"/>
    <n v="124.83462271555103"/>
    <n v="-20907.661217891153"/>
    <d v="2019-04-05T00:00:00"/>
  </r>
  <r>
    <d v="2019-04-02T00:00:00"/>
    <s v="BUY"/>
    <s v="1960.T"/>
    <s v="JP3335400002"/>
    <s v="YES"/>
    <s v="1960.T"/>
    <m/>
    <s v="Sanyo Engineering &amp; Construction Inc"/>
    <s v="JPY"/>
    <n v="662.8"/>
    <m/>
    <n v="1000"/>
    <n v="-662800"/>
    <n v="-530"/>
    <n v="0"/>
    <n v="0"/>
    <n v="-663330"/>
    <n v="124.83462271555101"/>
    <n v="-15933.07975570326"/>
    <d v="2019-04-05T00:00:00"/>
  </r>
  <r>
    <d v="2019-04-02T00:00:00"/>
    <s v="BUY"/>
    <s v="BBKP.JK"/>
    <s v="ID1000103609"/>
    <s v="YES"/>
    <s v="BBKP.JK"/>
    <m/>
    <s v="Bank Bukopin Tbk PT"/>
    <s v="IDR"/>
    <n v="322.70150000000001"/>
    <m/>
    <n v="800000"/>
    <n v="-258161200"/>
    <n v="-387242"/>
    <n v="-111009"/>
    <n v="-25816"/>
    <n v="-258685267"/>
    <n v="15943.491422805504"/>
    <n v="-16357.772151898469"/>
    <d v="2019-04-04T00:00:00"/>
  </r>
  <r>
    <d v="2019-04-02T00:00:00"/>
    <s v="BUY"/>
    <s v="JNPR.K"/>
    <s v="US48203R1041"/>
    <s v="YES"/>
    <s v="JNPR.K"/>
    <m/>
    <s v="Juniper Networks Inc"/>
    <s v="USD"/>
    <n v="27.235900000000001"/>
    <m/>
    <n v="690"/>
    <n v="-18792.771000000001"/>
    <n v="-15"/>
    <n v="0"/>
    <n v="0"/>
    <n v="-18807.771000000001"/>
    <n v="1.1201971546992271"/>
    <n v="-16711.076189999996"/>
    <d v="2019-04-04T00:00:00"/>
  </r>
  <r>
    <d v="2019-04-02T00:00:00"/>
    <s v="BUY"/>
    <s v="SKM"/>
    <s v="US78440P1084"/>
    <s v="YES"/>
    <s v="SKM"/>
    <m/>
    <s v="SK Telecom Co Ltd"/>
    <s v="USD"/>
    <n v="24.728100000000001"/>
    <m/>
    <n v="1100"/>
    <n v="-27200.91"/>
    <n v="-22"/>
    <n v="0"/>
    <n v="0"/>
    <n v="-27222.91"/>
    <n v="1.1201971546992273"/>
    <n v="-24225.199899999996"/>
    <d v="2019-04-04T00:00:00"/>
  </r>
  <r>
    <d v="2019-04-02T00:00:00"/>
    <s v="BUY"/>
    <s v="VEON.O"/>
    <s v="US91822M1062"/>
    <s v="YES"/>
    <s v="VEON.O"/>
    <m/>
    <s v="VEON Ltd"/>
    <s v="USD"/>
    <n v="2.1185999999999998"/>
    <m/>
    <n v="11000"/>
    <n v="-23304.6"/>
    <n v="-19"/>
    <n v="0"/>
    <n v="0"/>
    <n v="-23323.599999999999"/>
    <n v="1.1201971546992271"/>
    <n v="-20719.566999999995"/>
    <d v="2019-04-04T00:00:00"/>
  </r>
  <r>
    <d v="2019-04-02T00:00:00"/>
    <s v="BUY"/>
    <s v="SWKS.O"/>
    <s v="US83088M1027"/>
    <s v="YES"/>
    <s v="SWKS.O"/>
    <m/>
    <s v="Skyworks Solutions Inc"/>
    <s v="USD"/>
    <n v="83.986599999999996"/>
    <m/>
    <n v="350"/>
    <n v="-29395.309999999998"/>
    <n v="-23.52"/>
    <n v="0"/>
    <n v="0"/>
    <n v="-29418.829999999998"/>
    <n v="1.1201971546992271"/>
    <n v="-26295.371200000001"/>
    <d v="2019-04-04T00:00:00"/>
  </r>
  <r>
    <d v="2019-04-10T00:00:00"/>
    <s v="BUY"/>
    <s v="ODP.O"/>
    <s v="US6762201068"/>
    <s v="YES"/>
    <s v="ODP.O"/>
    <m/>
    <s v="Office Depot Inc"/>
    <s v="USD"/>
    <n v="2.6282999999999999"/>
    <m/>
    <n v="10300"/>
    <n v="-27071.489999999998"/>
    <n v="-21.66"/>
    <n v="0"/>
    <n v="0"/>
    <n v="-27093.149999999998"/>
    <n v="1.127294043378275"/>
    <n v="-24669.694799999994"/>
    <d v="2019-04-12T00:00:00"/>
  </r>
  <r>
    <d v="2019-04-12T00:00:00"/>
    <s v="BUY"/>
    <s v="O2Dn.DE"/>
    <s v="DE000A1J5RX9"/>
    <s v="YES"/>
    <s v="O2Dn.DE"/>
    <m/>
    <s v="Telefonica Deutschland Holding AG"/>
    <s v="EUR"/>
    <n v="2.7092999999999998"/>
    <m/>
    <n v="6000"/>
    <n v="-16255.8"/>
    <n v="-13"/>
    <n v="0"/>
    <n v="0"/>
    <n v="0"/>
    <n v="1"/>
    <n v="-16320.000000000002"/>
    <d v="2019-04-16T00:00:00"/>
  </r>
  <r>
    <d v="2019-04-12T00:00:00"/>
    <s v="BUY"/>
    <s v="KNL"/>
    <s v="US4989042001"/>
    <s v="YES"/>
    <s v="KNL"/>
    <m/>
    <s v="Knoll Inc"/>
    <s v="USD"/>
    <n v="19.432400000000001"/>
    <m/>
    <n v="930"/>
    <n v="-18072.132000000001"/>
    <n v="-14.46"/>
    <n v="0"/>
    <n v="0"/>
    <n v="-18086.592000000001"/>
    <n v="1.1299945760260353"/>
    <n v="-16032.289343999999"/>
    <d v="2019-04-16T00:00:00"/>
  </r>
  <r>
    <d v="2019-04-12T00:00:00"/>
    <s v="BUY"/>
    <s v="SQM"/>
    <s v="US8336351056"/>
    <s v="YES"/>
    <s v="SQM"/>
    <m/>
    <s v="Sociedad Quimica y Minera de Chile SA"/>
    <s v="USD"/>
    <n v="37.494"/>
    <m/>
    <n v="300"/>
    <n v="-11248.2"/>
    <n v="-9"/>
    <n v="0"/>
    <n v="0"/>
    <n v="-11257.2"/>
    <n v="1.1299945760260353"/>
    <n v="-10027.481759999997"/>
    <d v="2019-04-16T00:00:00"/>
  </r>
  <r>
    <d v="2019-04-12T00:00:00"/>
    <s v="BUY"/>
    <s v="ALB"/>
    <s v="US0126531013"/>
    <s v="YES"/>
    <s v="ALB"/>
    <m/>
    <s v="Albemarle Corp"/>
    <s v="USD"/>
    <n v="83.221999999999994"/>
    <m/>
    <n v="140"/>
    <n v="-11651.08"/>
    <n v="-9.32"/>
    <n v="0"/>
    <n v="0"/>
    <n v="-11660.4"/>
    <n v="1.129994576026035"/>
    <n v="-10365.005503999999"/>
    <d v="2019-04-16T00:00:00"/>
  </r>
  <r>
    <d v="2019-04-15T00:00:00"/>
    <s v="BUY"/>
    <s v="6617.T"/>
    <s v="JP3591600006"/>
    <s v="YES"/>
    <s v="6617.T"/>
    <m/>
    <s v="Takaoka Toko Co Ltd"/>
    <s v="JPY"/>
    <n v="1403.64"/>
    <m/>
    <n v="2250"/>
    <n v="-3158190"/>
    <n v="-2527"/>
    <n v="0"/>
    <n v="0"/>
    <n v="-3160717"/>
    <n v="126.58199240643638"/>
    <n v="-25009.481521156951"/>
    <d v="2019-04-18T00:00:00"/>
  </r>
  <r>
    <d v="2019-04-15T00:00:00"/>
    <s v="BUY"/>
    <s v="086520.KQ"/>
    <s v="KR7086520004"/>
    <s v="YES"/>
    <s v="086520.KQ"/>
    <m/>
    <s v="Ecopro Co Ltd"/>
    <s v="KRW"/>
    <n v="29002.400000000001"/>
    <m/>
    <n v="750"/>
    <n v="-21751800"/>
    <n v="-32628"/>
    <n v="0"/>
    <n v="0"/>
    <n v="-21784428"/>
    <n v="1281.0974507322383"/>
    <n v="-16772.728716085101"/>
    <d v="2019-04-17T00:00:00"/>
  </r>
  <r>
    <d v="2019-04-15T00:00:00"/>
    <s v="BUY"/>
    <s v="036830.KQ"/>
    <s v="KR7036830008"/>
    <s v="YES"/>
    <s v="036830.KQ"/>
    <m/>
    <s v="SoulBrain Co Ltd"/>
    <s v="KRW"/>
    <n v="53149.230799999998"/>
    <m/>
    <n v="390"/>
    <n v="-20728200.011999998"/>
    <n v="-31092"/>
    <n v="0"/>
    <n v="0"/>
    <n v="-20759292.011999998"/>
    <n v="1281.0974507322362"/>
    <n v="-15951.948064777904"/>
    <d v="2019-04-17T00:00:00"/>
  </r>
  <r>
    <d v="2019-04-15T00:00:00"/>
    <s v="BUY"/>
    <s v="BBKP.JK"/>
    <s v="ID1000103609"/>
    <s v="YES"/>
    <s v="BBKP.JK"/>
    <m/>
    <s v="Bank Bukopin Tbk PT"/>
    <s v="IDR"/>
    <n v="307.73570000000001"/>
    <m/>
    <n v="840000"/>
    <n v="-258497988"/>
    <n v="-387747"/>
    <n v="-111154"/>
    <n v="-25850"/>
    <n v="-259022739"/>
    <n v="15921.623576206874"/>
    <n v="-16144.082214336368"/>
    <d v="2019-04-18T00:00:00"/>
  </r>
  <r>
    <d v="2019-04-15T00:00:00"/>
    <s v="BUY"/>
    <s v="VRKP.PA"/>
    <s v="FR0000062796"/>
    <s v="YES"/>
    <s v="VRKP.PA"/>
    <m/>
    <s v="Vranken Pommery Monopole SA"/>
    <s v="EUR"/>
    <n v="23"/>
    <m/>
    <n v="670"/>
    <n v="-15410"/>
    <n v="-12.33"/>
    <n v="0"/>
    <n v="0"/>
    <n v="-15422.33"/>
    <n v="1"/>
    <n v="-15410"/>
    <d v="2019-04-17T00:00:00"/>
  </r>
  <r>
    <d v="2019-04-15T00:00:00"/>
    <s v="BUY"/>
    <s v="LAN.PA"/>
    <s v="FR0004027068"/>
    <s v="YES"/>
    <s v="LAN.PA"/>
    <m/>
    <s v="Lanson BCC SA"/>
    <s v="EUR"/>
    <n v="29.6614"/>
    <m/>
    <n v="267"/>
    <n v="-7919.5938000000006"/>
    <n v="-6.34"/>
    <n v="0"/>
    <n v="0"/>
    <n v="-7925.9338000000007"/>
    <n v="1"/>
    <n v="-19564.000000000004"/>
    <d v="2019-04-17T00:00:00"/>
  </r>
  <r>
    <d v="2019-04-15T00:00:00"/>
    <s v="BUY"/>
    <s v="RBBN.O"/>
    <s v="US7625441040"/>
    <s v="YES"/>
    <s v="RBBN.O"/>
    <m/>
    <s v="Ribbon Communications Inc"/>
    <s v="USD"/>
    <n v="5.1757"/>
    <m/>
    <n v="5000"/>
    <n v="-25878.5"/>
    <n v="-20.7"/>
    <n v="0"/>
    <n v="0"/>
    <n v="-25899.200000000001"/>
    <n v="1.1299999999999999"/>
    <n v="-22919.646017699117"/>
    <d v="2019-04-17T00:00:00"/>
  </r>
  <r>
    <d v="2019-04-17T00:00:00"/>
    <s v="BUY"/>
    <s v="IBM"/>
    <s v="US4592001014"/>
    <s v="YES"/>
    <s v="IBM"/>
    <m/>
    <s v="International Business Machines Corp"/>
    <s v="USD"/>
    <n v="140.06399999999999"/>
    <m/>
    <n v="220"/>
    <n v="-30814.079999999998"/>
    <n v="-24.65"/>
    <n v="0"/>
    <n v="0"/>
    <n v="-30838.73"/>
    <n v="1.1299999999999999"/>
    <n v="-27290.911504424781"/>
    <d v="2019-04-22T00:00:00"/>
  </r>
  <r>
    <d v="2019-04-18T00:00:00"/>
    <s v="BUY"/>
    <s v="RFP"/>
    <s v="US76117W1099"/>
    <s v="YES"/>
    <s v="RFP"/>
    <m/>
    <s v="Resolute Forest Products Inc"/>
    <s v="USD"/>
    <n v="7.7965"/>
    <m/>
    <n v="2200"/>
    <n v="-17152.3"/>
    <n v="-13.72"/>
    <n v="0"/>
    <n v="0"/>
    <n v="-17166.02"/>
    <n v="1.1224982320652843"/>
    <n v="-14973.742960000003"/>
    <d v="2019-04-23T00:00:00"/>
  </r>
  <r>
    <d v="2019-04-18T00:00:00"/>
    <s v="BUY"/>
    <s v="UPM.HE"/>
    <s v="FI0009005987"/>
    <s v="YES"/>
    <s v="UPM.HE"/>
    <m/>
    <s v="UPM-Kymmene Oyj"/>
    <s v="EUR"/>
    <n v="25.493600000000001"/>
    <m/>
    <n v="1400"/>
    <n v="-35691.040000000001"/>
    <n v="-28.55"/>
    <n v="0"/>
    <n v="0"/>
    <n v="-35719.590000000004"/>
    <n v="1"/>
    <n v="-35560"/>
    <d v="2019-04-24T00:00:00"/>
  </r>
  <r>
    <d v="2019-04-19T00:00:00"/>
    <s v="BUY"/>
    <s v="042600.kq"/>
    <s v="KR7042600007"/>
    <s v="YES"/>
    <s v="042600.KQ"/>
    <m/>
    <s v="Seronics Co Ltd"/>
    <s v="KRW"/>
    <n v="5072.5"/>
    <m/>
    <n v="2300"/>
    <n v="-11666750"/>
    <n v="-17500"/>
    <n v="0"/>
    <n v="0"/>
    <n v="-11684250"/>
    <n v="1282.0164558240824"/>
    <n v="-9059.9461085184412"/>
    <d v="2019-04-23T00:00:00"/>
  </r>
  <r>
    <d v="2019-04-19T00:00:00"/>
    <s v="BUY"/>
    <s v="2344.T"/>
    <s v="JP3834050001"/>
    <s v="YES"/>
    <s v="2344.T"/>
    <m/>
    <s v="Heian Ceremony Service Co Ltd"/>
    <s v="JPY"/>
    <n v="843.88890000000004"/>
    <m/>
    <n v="900"/>
    <n v="-759500.01"/>
    <n v="-608"/>
    <n v="0"/>
    <n v="0"/>
    <n v="-760108.01"/>
    <n v="125.56265223882272"/>
    <n v="-6235.9307169676376"/>
    <d v="2019-04-24T00:00:00"/>
  </r>
  <r>
    <d v="2019-04-19T00:00:00"/>
    <s v="BUY"/>
    <s v="1960.T"/>
    <s v="JP3335400002"/>
    <s v="YES"/>
    <s v="1960.T"/>
    <m/>
    <s v="Sanyo Engineering &amp; Construction Inc"/>
    <s v="JPY"/>
    <n v="660.71429999999998"/>
    <m/>
    <n v="700"/>
    <n v="-462500.01"/>
    <n v="-370"/>
    <n v="0"/>
    <n v="0"/>
    <n v="-462870.01"/>
    <n v="125.56265223882278"/>
    <n v="-3640.4137046307869"/>
    <d v="2019-04-24T00:00:00"/>
  </r>
  <r>
    <d v="2019-04-19T00:00:00"/>
    <s v="BUY"/>
    <s v="4005.T"/>
    <s v="JP3401400001"/>
    <s v="YES"/>
    <s v="4005.T"/>
    <m/>
    <s v="Sumitomo Chemical Co Ltd"/>
    <s v="JPY"/>
    <n v="553"/>
    <m/>
    <n v="6700"/>
    <n v="-3705100"/>
    <n v="-2964"/>
    <n v="0"/>
    <n v="0"/>
    <n v="-3708064"/>
    <n v="125.56265223882271"/>
    <n v="-28867.660370105492"/>
    <d v="2019-04-24T00:00:00"/>
  </r>
  <r>
    <d v="2019-04-19T00:00:00"/>
    <s v="BUY"/>
    <s v="3401.T"/>
    <s v="JP3544000007"/>
    <s v="YES"/>
    <s v="3401.T"/>
    <m/>
    <s v="Teijin Ltd"/>
    <s v="JPY"/>
    <n v="1925"/>
    <m/>
    <n v="2200"/>
    <n v="-4235000"/>
    <n v="-3388"/>
    <n v="0"/>
    <n v="0"/>
    <n v="-4238388"/>
    <n v="125.56265223882296"/>
    <n v="-33465.365099231123"/>
    <d v="2019-04-24T00:00:00"/>
  </r>
  <r>
    <d v="2019-04-19T00:00:00"/>
    <s v="BUY"/>
    <s v="5301.T"/>
    <s v="JP3560800009"/>
    <s v="YES"/>
    <s v="5301.T"/>
    <m/>
    <s v="Tokai Carbon Co Ltd"/>
    <s v="JPY"/>
    <n v="1481"/>
    <m/>
    <n v="1700"/>
    <n v="-2517700"/>
    <n v="-2014"/>
    <n v="0"/>
    <n v="0"/>
    <n v="-2519714"/>
    <n v="125.56265223882302"/>
    <n v="-17682.00942249236"/>
    <d v="2019-04-24T00:00:00"/>
  </r>
  <r>
    <d v="2019-04-19T00:00:00"/>
    <s v="BUY"/>
    <s v="3402.T"/>
    <s v="JP3621000003"/>
    <s v="YES"/>
    <s v="3402.T"/>
    <m/>
    <s v="Toray Industries Inc"/>
    <s v="JPY"/>
    <n v="795"/>
    <m/>
    <n v="3300"/>
    <n v="-2623500"/>
    <n v="2099"/>
    <n v="0"/>
    <n v="0"/>
    <n v="-2621401"/>
    <n v="125.56265223882266"/>
    <n v="-19834.799246379414"/>
    <d v="2019-04-24T00:00:00"/>
  </r>
  <r>
    <d v="2019-04-22T00:00:00"/>
    <s v="BUY"/>
    <s v="000155.KS"/>
    <s v="KR7000151001"/>
    <s v="YES"/>
    <s v="000155.KS"/>
    <m/>
    <s v="Doosan Co Ltd"/>
    <s v="KRW"/>
    <n v="77045.671600000001"/>
    <m/>
    <n v="670"/>
    <n v="-51620599.972000003"/>
    <n v="-77431"/>
    <n v="0"/>
    <n v="0"/>
    <n v="-51698030.972000003"/>
    <n v="1282.0164558240829"/>
    <n v="-40032.247454273209"/>
    <d v="2019-04-24T00:00:00"/>
  </r>
  <r>
    <d v="2019-04-22T00:00:00"/>
    <s v="BUY"/>
    <s v="005945.KS"/>
    <s v="KR7005941000"/>
    <s v="YES"/>
    <s v="005945.KS"/>
    <m/>
    <s v="NH Investment &amp; Securities Co Ltd"/>
    <s v="KRW"/>
    <n v="9200.8570999999993"/>
    <m/>
    <n v="3500"/>
    <n v="-32202999.849999998"/>
    <n v="-48305"/>
    <n v="0"/>
    <n v="0"/>
    <n v="-32251304.849999998"/>
    <n v="1282.0164558240826"/>
    <n v="-24761.772640113464"/>
    <d v="2019-04-24T00:00:00"/>
  </r>
  <r>
    <d v="2019-04-22T00:00:00"/>
    <s v="BUY"/>
    <s v="00680K.KS"/>
    <s v="KR700680K019"/>
    <s v="YES"/>
    <s v="00680K.KS"/>
    <m/>
    <s v="Mirae Asset Daewoo Co Ltd"/>
    <s v="KRW"/>
    <n v="4032.4893999999999"/>
    <m/>
    <n v="9000"/>
    <n v="-36292404.600000001"/>
    <n v="-54439"/>
    <n v="0"/>
    <n v="0"/>
    <n v="-36346843.600000001"/>
    <n v="1282.0164558240801"/>
    <n v="-27905.258031187928"/>
    <d v="2019-04-24T00:00:00"/>
  </r>
  <r>
    <d v="2019-04-22T00:00:00"/>
    <s v="BUY"/>
    <s v="042600.kq"/>
    <s v="KR7042600007"/>
    <s v="YES"/>
    <s v="042600.KQ"/>
    <m/>
    <s v="Seronics Co Ltd"/>
    <s v="KRW"/>
    <n v="5100.6666999999998"/>
    <m/>
    <n v="3000"/>
    <n v="-15302000.1"/>
    <n v="-22953"/>
    <n v="0"/>
    <n v="0"/>
    <n v="-15324953.1"/>
    <n v="1282.0164558240824"/>
    <n v="-11817.321011111011"/>
    <d v="2019-04-24T00:00:00"/>
  </r>
  <r>
    <d v="2019-05-07T00:00:00"/>
    <s v="BUY"/>
    <s v="NOKIA.HE"/>
    <s v="FI0009000681"/>
    <s v="YES"/>
    <s v="NOKIA.HE"/>
    <m/>
    <s v="Nokia Oyj"/>
    <s v="EUR"/>
    <n v="4.4654999999999996"/>
    <m/>
    <n v="6700"/>
    <n v="-29918.85"/>
    <n v="-23.94"/>
    <m/>
    <n v="0"/>
    <n v="-29942.789999999997"/>
    <m/>
    <m/>
    <d v="2019-05-09T00:00:00"/>
  </r>
  <r>
    <d v="2019-05-07T00:00:00"/>
    <s v="BUY"/>
    <s v="IMTP.PA"/>
    <s v="FR0000120859"/>
    <s v="YES"/>
    <s v="IMTP.PA"/>
    <m/>
    <s v="Imerys SA"/>
    <s v="EUR"/>
    <n v="40.6633"/>
    <m/>
    <n v="670"/>
    <n v="-27244.411"/>
    <n v="-21.8"/>
    <n v="-81.73"/>
    <n v="0"/>
    <n v="-27347.940999999999"/>
    <m/>
    <m/>
    <d v="2019-05-09T00:00:00"/>
  </r>
  <r>
    <d v="2019-05-13T00:00:00"/>
    <s v="BUY"/>
    <s v="M"/>
    <s v="US55616P1049"/>
    <s v="YES"/>
    <s v="M"/>
    <m/>
    <s v="Macy's Inc"/>
    <s v="USD"/>
    <n v="21.6648"/>
    <m/>
    <n v="850"/>
    <n v="-18415.079999999998"/>
    <n v="-14.73"/>
    <m/>
    <m/>
    <n v="-18429.809999999998"/>
    <m/>
    <m/>
    <d v="2019-05-15T00:00:00"/>
  </r>
  <r>
    <d v="2019-05-13T00:00:00"/>
    <s v="BUY"/>
    <s v="ptnl.as"/>
    <s v="NL0009739416"/>
    <s v="YES"/>
    <s v="PTNL.AS"/>
    <m/>
    <s v="PostNL NV"/>
    <s v="EUR"/>
    <n v="1.7472000000000001"/>
    <m/>
    <n v="11000"/>
    <n v="-19219.2"/>
    <n v="-15.38"/>
    <m/>
    <m/>
    <n v="-19234.580000000002"/>
    <m/>
    <m/>
    <d v="2019-05-15T00:00:00"/>
  </r>
  <r>
    <d v="2019-05-13T00:00:00"/>
    <s v="BUY"/>
    <s v="SOGN.PA"/>
    <s v="FR0000130809"/>
    <s v="YES"/>
    <s v="SOGN.PA"/>
    <m/>
    <s v="Societe Generale SA"/>
    <s v="EUR"/>
    <n v="25.627300000000002"/>
    <m/>
    <n v="690"/>
    <n v="-17682.837"/>
    <n v="-14.15"/>
    <n v="-53.05"/>
    <m/>
    <n v="-17750.037"/>
    <m/>
    <m/>
    <d v="2019-05-15T00:00:00"/>
  </r>
  <r>
    <d v="2019-05-13T00:00:00"/>
    <s v="BUY"/>
    <s v="RENA.PA"/>
    <s v="FR0000131906"/>
    <s v="YES"/>
    <s v="RENA.PA"/>
    <m/>
    <s v="Renault SA"/>
    <s v="EUR"/>
    <n v="54.496000000000002"/>
    <m/>
    <n v="400"/>
    <n v="-21798.400000000001"/>
    <n v="-17.440000000000001"/>
    <m/>
    <m/>
    <n v="-21815.84"/>
    <m/>
    <m/>
    <d v="2019-05-15T00:00:00"/>
  </r>
  <r>
    <d v="2019-05-13T00:00:00"/>
    <s v="BUY"/>
    <s v="UPM.HE"/>
    <s v="FI0009005987"/>
    <s v="YES"/>
    <s v="UPM.HE"/>
    <m/>
    <s v="UPM-Kymmene Oyj"/>
    <s v="EUR"/>
    <n v="23.53"/>
    <m/>
    <n v="690"/>
    <n v="-16235.7"/>
    <n v="-12.99"/>
    <m/>
    <m/>
    <n v="-16248.69"/>
    <m/>
    <m/>
    <d v="2019-05-15T00:00:00"/>
  </r>
  <r>
    <d v="2019-05-14T00:00:00"/>
    <s v="BUY"/>
    <s v="5301.T"/>
    <s v="JP3560800009"/>
    <s v="YES"/>
    <s v="5301.T"/>
    <m/>
    <s v="Tokai Carbon Co Ltd"/>
    <s v="JPY"/>
    <n v="1044"/>
    <m/>
    <n v="1900"/>
    <n v="-1983600"/>
    <n v="-1587"/>
    <m/>
    <m/>
    <n v="-1985187"/>
    <m/>
    <m/>
    <d v="2019-05-17T00:00:00"/>
  </r>
  <r>
    <d v="2019-05-14T00:00:00"/>
    <s v="BUY"/>
    <s v="6752.t"/>
    <s v="JP3866800000"/>
    <s v="YES"/>
    <s v="6752.T"/>
    <m/>
    <s v="Panasonic Corp"/>
    <s v="JPY"/>
    <n v="871.9"/>
    <m/>
    <n v="2400"/>
    <n v="-2092560"/>
    <n v="-1674"/>
    <m/>
    <m/>
    <n v="-2094234"/>
    <m/>
    <m/>
    <d v="2019-05-17T00:00:00"/>
  </r>
  <r>
    <d v="2019-05-14T00:00:00"/>
    <s v="BUY"/>
    <s v="4080.T"/>
    <s v="JP3468810001"/>
    <s v="YES"/>
    <s v="4080.T"/>
    <m/>
    <s v="Tanaka Chemical Corp"/>
    <s v="JPY"/>
    <n v="717"/>
    <m/>
    <n v="2800"/>
    <n v="-2007600"/>
    <n v="-1606"/>
    <m/>
    <m/>
    <n v="-2009206"/>
    <m/>
    <m/>
    <d v="2019-05-17T00:00:00"/>
  </r>
  <r>
    <d v="2019-05-14T00:00:00"/>
    <s v="BUY"/>
    <s v="6826.T"/>
    <s v="JP3854650003"/>
    <s v="YES"/>
    <s v="6826.T"/>
    <m/>
    <s v="Honda Tsushin Kogyo Co Ltd"/>
    <s v="JPY"/>
    <n v="499.9"/>
    <m/>
    <n v="4000"/>
    <n v="-1999600"/>
    <n v="-1600"/>
    <m/>
    <m/>
    <n v="-2001200"/>
    <m/>
    <m/>
    <d v="2019-05-17T00:00:00"/>
  </r>
  <r>
    <d v="2019-05-14T00:00:00"/>
    <s v="BUY"/>
    <s v="4005.T"/>
    <s v="JP3401400001"/>
    <s v="YES"/>
    <s v="4005.T"/>
    <m/>
    <s v="Sumitomo Chemical Co Ltd"/>
    <s v="JPY"/>
    <n v="493"/>
    <m/>
    <n v="4000"/>
    <n v="-1972000"/>
    <n v="-1578"/>
    <m/>
    <m/>
    <n v="-1973578"/>
    <m/>
    <m/>
    <d v="2019-05-17T00:00:00"/>
  </r>
  <r>
    <d v="2019-05-14T00:00:00"/>
    <s v="BUY"/>
    <s v="BBKP.JK"/>
    <s v="ID1000103609"/>
    <s v="YES"/>
    <s v="BBKP.JK"/>
    <m/>
    <s v="Bank Bukopin Tbk PT"/>
    <s v="IDR"/>
    <n v="275.06979999999999"/>
    <m/>
    <n v="925000"/>
    <n v="-254439565"/>
    <n v="-381659"/>
    <n v="-109409"/>
    <n v="-25444"/>
    <n v="-254956077"/>
    <m/>
    <m/>
    <d v="2019-05-16T00:00:00"/>
  </r>
  <r>
    <d v="2019-05-14T00:00:00"/>
    <s v="BUY"/>
    <s v="086520.KQ"/>
    <s v="KR7086520004"/>
    <s v="YES"/>
    <s v="086520.KQ"/>
    <m/>
    <s v="Ecopro Co Ltd"/>
    <s v="KRW"/>
    <n v="23550"/>
    <m/>
    <n v="870"/>
    <n v="-20488500"/>
    <n v="-30733"/>
    <m/>
    <m/>
    <n v="-20519233"/>
    <m/>
    <m/>
    <d v="2019-05-16T00:00:00"/>
  </r>
  <r>
    <d v="2019-05-14T00:00:00"/>
    <s v="BUY"/>
    <s v="RENA.PA"/>
    <s v="FR0000131906"/>
    <s v="YES"/>
    <s v="RENA.PA"/>
    <m/>
    <s v="Renault SA"/>
    <s v="EUR"/>
    <n v="52.492100000000001"/>
    <m/>
    <n v="400"/>
    <n v="-20996.84"/>
    <n v="-16.8"/>
    <n v="-62.99"/>
    <m/>
    <n v="-21076.63"/>
    <m/>
    <m/>
    <d v="2019-05-16T00:00:00"/>
  </r>
  <r>
    <d v="2019-05-14T00:00:00"/>
    <s v="BUY"/>
    <s v="CFP.TO"/>
    <s v="CA1375761048"/>
    <s v="YES"/>
    <s v="cfp.to"/>
    <m/>
    <s v="Canfor Corp"/>
    <s v="CAD"/>
    <n v="10.813000000000001"/>
    <m/>
    <n v="2300"/>
    <n v="-24869.9"/>
    <n v="-19.899999999999999"/>
    <m/>
    <m/>
    <n v="-24889.800000000003"/>
    <m/>
    <m/>
    <d v="2019-05-16T00:00:00"/>
  </r>
  <r>
    <d v="2019-05-15T00:00:00"/>
    <s v="BUY"/>
    <s v="8070.T"/>
    <s v="JP3576600005"/>
    <s v="YES"/>
    <s v="8070.t"/>
    <m/>
    <s v="Tokyo Sangyo Co Ltd"/>
    <s v="JPY"/>
    <n v="470.8125"/>
    <m/>
    <n v="4000"/>
    <n v="-1883250"/>
    <n v="-1507"/>
    <m/>
    <m/>
    <n v="-1884757"/>
    <m/>
    <m/>
    <d v="2019-05-18T00:00:00"/>
  </r>
  <r>
    <d v="2019-05-15T00:00:00"/>
    <s v="BUY"/>
    <s v="051915.KS"/>
    <s v="KR7051911006"/>
    <s v="YES"/>
    <s v="051915.KS"/>
    <m/>
    <s v="LG Chem Ltd"/>
    <s v="KRW"/>
    <n v="188735"/>
    <m/>
    <n v="200"/>
    <n v="-37747000"/>
    <n v="-56621"/>
    <m/>
    <m/>
    <n v="-37803621"/>
    <m/>
    <m/>
    <d v="2019-05-17T00:00:00"/>
  </r>
  <r>
    <d v="2019-05-15T00:00:00"/>
    <s v="BUY"/>
    <s v="VOD.L"/>
    <s v="GB00BH4HKS39"/>
    <s v="YES"/>
    <s v="VOD.L"/>
    <m/>
    <s v="Vodafone Group PLC"/>
    <s v="GBp"/>
    <n v="1.2655000000000001"/>
    <m/>
    <n v="11300"/>
    <n v="-14300.150000000001"/>
    <n v="-11.44"/>
    <n v="-72.5"/>
    <m/>
    <n v="-14384.090000000002"/>
    <m/>
    <m/>
    <d v="2019-05-17T00:00:00"/>
  </r>
  <r>
    <d v="2019-05-15T00:00:00"/>
    <s v="BUY"/>
    <s v="BT.L"/>
    <s v="GB0030913577"/>
    <s v="YES"/>
    <s v="BT.L"/>
    <m/>
    <s v="BT Group PLC"/>
    <s v="GBp"/>
    <n v="2.0533000000000001"/>
    <m/>
    <n v="6800"/>
    <n v="-13962.44"/>
    <n v="-11.17"/>
    <n v="-70.81"/>
    <m/>
    <n v="-14044.42"/>
    <m/>
    <m/>
    <d v="2019-05-17T00:00:00"/>
  </r>
  <r>
    <d v="2019-05-15T00:00:00"/>
    <s v="BUY"/>
    <s v="NOKIA.HE"/>
    <s v="FI0009000681"/>
    <s v="YES"/>
    <s v="NOKIA.HE"/>
    <m/>
    <s v="Nokia Oyj"/>
    <s v="EUR"/>
    <n v="4.2024999999999997"/>
    <m/>
    <n v="3900"/>
    <n v="-16389.75"/>
    <n v="-13.11"/>
    <m/>
    <m/>
    <n v="-16402.86"/>
    <m/>
    <m/>
    <d v="2019-05-17T00:00:00"/>
  </r>
  <r>
    <d v="2019-05-15T00:00:00"/>
    <s v="BUY"/>
    <s v="0593q.L"/>
    <s v="US7960502018"/>
    <s v="YES"/>
    <s v="0593q.L"/>
    <m/>
    <s v="Samsung Electronics Co Ltd"/>
    <s v="USD"/>
    <n v="720.64"/>
    <m/>
    <n v="25"/>
    <n v="-18016"/>
    <n v="-14.41"/>
    <m/>
    <m/>
    <n v="-18030.41"/>
    <m/>
    <m/>
    <d v="2019-05-17T00:00:00"/>
  </r>
  <r>
    <d v="2019-05-21T00:00:00"/>
    <s v="BUY"/>
    <s v="KT.N"/>
    <s v="US48268K1016"/>
    <s v="YES"/>
    <s v="KT.N"/>
    <m/>
    <s v="KT Corp"/>
    <s v="USD"/>
    <n v="11.798299999999999"/>
    <m/>
    <n v="2050"/>
    <n v="-24186.514999999999"/>
    <n v="-19.39"/>
    <m/>
    <m/>
    <n v="-24205.904999999999"/>
    <m/>
    <m/>
    <d v="2019-05-23T00:00:00"/>
  </r>
  <r>
    <d v="2019-05-21T00:00:00"/>
    <s v="BUY"/>
    <s v="CONG.DE"/>
    <s v="DE0005439004"/>
    <s v="YES"/>
    <s v="CONG.DE"/>
    <m/>
    <s v="Continental AG"/>
    <s v="EUR"/>
    <n v="127.51390000000001"/>
    <m/>
    <n v="170"/>
    <n v="-21677.363000000001"/>
    <n v="-17.34"/>
    <m/>
    <m/>
    <n v="-21694.703000000001"/>
    <m/>
    <m/>
    <d v="2019-05-23T00:00:00"/>
  </r>
  <r>
    <d v="2019-05-21T00:00:00"/>
    <s v="BUY"/>
    <s v="1COV.DE"/>
    <s v="DE0006062144"/>
    <s v="YES"/>
    <s v="1cov.de"/>
    <m/>
    <s v="Covestro AG"/>
    <s v="EUR"/>
    <n v="43.17"/>
    <m/>
    <n v="380"/>
    <n v="-16404.600000000002"/>
    <n v="-13.19"/>
    <m/>
    <m/>
    <n v="-16417.79"/>
    <m/>
    <m/>
    <d v="2019-05-23T00:00:00"/>
  </r>
  <r>
    <d v="2019-05-21T00:00:00"/>
    <s v="BUY"/>
    <s v="ALB"/>
    <s v="US0126531013"/>
    <s v="YES"/>
    <s v="ALB"/>
    <m/>
    <s v="Albemarle Corp"/>
    <s v="USD"/>
    <n v="69.219899999999996"/>
    <m/>
    <n v="270"/>
    <n v="-18689.373"/>
    <n v="-14.95"/>
    <m/>
    <m/>
    <n v="-18704.323"/>
    <m/>
    <m/>
    <d v="2019-05-23T00:00:00"/>
  </r>
  <r>
    <d v="2019-05-21T00:00:00"/>
    <s v="BUY"/>
    <s v="UPM.HE"/>
    <s v="FI0009005987"/>
    <s v="YES"/>
    <s v="UPM.HE"/>
    <m/>
    <s v="UPM-Kymmene Oyj"/>
    <s v="EUR"/>
    <n v="23.482099999999999"/>
    <m/>
    <n v="900"/>
    <n v="-21133.89"/>
    <n v="-16.91"/>
    <m/>
    <m/>
    <n v="-21150.799999999999"/>
    <m/>
    <m/>
    <d v="2019-05-23T00:00:00"/>
  </r>
  <r>
    <d v="2019-05-22T00:00:00"/>
    <s v="BUY"/>
    <s v="032830.KS"/>
    <s v="KR7032830002"/>
    <s v="YES"/>
    <s v="032830.KS"/>
    <m/>
    <s v="Samsung Life Insurance Co Ltd"/>
    <s v="KRW"/>
    <n v="81000"/>
    <m/>
    <n v="265"/>
    <n v="-21465000"/>
    <n v="-32198"/>
    <m/>
    <m/>
    <n v="-21497198"/>
    <m/>
    <m/>
    <d v="2019-05-24T00:00:00"/>
  </r>
  <r>
    <d v="2019-05-24T00:00:00"/>
    <s v="BUY"/>
    <s v="ALB"/>
    <s v="US0126531013"/>
    <s v="YES"/>
    <s v="ALB"/>
    <m/>
    <s v="Albemarle Corp"/>
    <s v="USD"/>
    <n v="65.8"/>
    <m/>
    <n v="270"/>
    <n v="-17766"/>
    <n v="-14"/>
    <m/>
    <m/>
    <n v="-17780"/>
    <n v="1.1100000000000001"/>
    <n v="-15963.639299999997"/>
    <d v="2019-05-28T00:00:00"/>
  </r>
  <r>
    <d v="2019-05-24T00:00:00"/>
    <s v="BUY"/>
    <s v="VNE"/>
    <s v="US92336X1090"/>
    <s v="YES"/>
    <s v="VNE"/>
    <m/>
    <s v="Veoneer Inc"/>
    <s v="USD"/>
    <n v="16.739999999999998"/>
    <m/>
    <n v="1000"/>
    <n v="-16740"/>
    <n v="-14"/>
    <m/>
    <m/>
    <n v="-16754"/>
    <n v="1.1129041233097767"/>
    <n v="-15041.726999999999"/>
    <d v="2019-05-28T00:00:00"/>
  </r>
  <r>
    <d v="2019-05-24T00:00:00"/>
    <s v="BUY"/>
    <s v="CFP.TO"/>
    <s v="CA1375761048"/>
    <s v="YES"/>
    <s v="CFP.TO"/>
    <m/>
    <s v="Canfor Corp"/>
    <s v="CAD"/>
    <n v="9.14"/>
    <m/>
    <n v="2600"/>
    <n v="-23764"/>
    <n v="-19"/>
    <m/>
    <m/>
    <n v="-23783"/>
    <n v="1.5045350843024881"/>
    <n v="-15794.912493527621"/>
    <d v="2019-05-28T00:00:00"/>
  </r>
  <r>
    <d v="2019-05-27T00:00:00"/>
    <s v="BUY"/>
    <s v="SQM"/>
    <s v="US8336351056"/>
    <s v="YES"/>
    <s v="SQM"/>
    <m/>
    <s v="Sociedad Quimica y Minera de Chile SA"/>
    <s v="USD"/>
    <n v="29.38"/>
    <m/>
    <m/>
    <n v="0"/>
    <m/>
    <m/>
    <m/>
    <n v="0"/>
    <n v="1.1129041233097769"/>
    <n v="-15575.645409999997"/>
    <d v="1899-12-30T00:00:00"/>
  </r>
  <r>
    <d v="2019-05-27T00:00:00"/>
    <s v="BUY"/>
    <s v="STERV.HE"/>
    <s v="FI0009005961"/>
    <s v="YES"/>
    <s v="STERV.HE"/>
    <m/>
    <s v="Stora Enso Oyj"/>
    <s v="EUR"/>
    <n v="9.86"/>
    <m/>
    <n v="1600"/>
    <n v="-15776"/>
    <n v="-13"/>
    <m/>
    <m/>
    <n v="-15789"/>
    <n v="1"/>
    <n v="-5541.28"/>
    <d v="2019-05-29T00:00:00"/>
  </r>
  <r>
    <d v="2019-05-27T00:00:00"/>
    <s v="BUY"/>
    <s v="DBKGn.DE"/>
    <s v="DE0005140008"/>
    <s v="YES"/>
    <s v="DBKGn.DE"/>
    <m/>
    <s v="Deutsche Bank AG"/>
    <s v="EUR"/>
    <n v="6.1520000000000001"/>
    <m/>
    <n v="2500"/>
    <n v="-15380"/>
    <n v="-13"/>
    <m/>
    <m/>
    <n v="-15393"/>
    <n v="1"/>
    <n v="-15380"/>
    <d v="2019-05-29T00:00:00"/>
  </r>
  <r>
    <d v="2019-05-30T00:00:00"/>
    <s v="BUY"/>
    <s v="LTHM.K"/>
    <s v="US53814L1089"/>
    <s v="YES"/>
    <s v="LTHM.K"/>
    <m/>
    <s v="Livent Corp"/>
    <s v="USD"/>
    <n v="6.4399999999999995"/>
    <m/>
    <n v="4200"/>
    <n v="-27047.999999999996"/>
    <n v="-22"/>
    <m/>
    <m/>
    <n v="-27069.999999999996"/>
    <n v="1.1129041233097769"/>
    <n v="-17359.985999999997"/>
    <d v="2019-06-03T00:00:00"/>
  </r>
  <r>
    <d v="2019-05-30T00:00:00"/>
    <s v="BUY"/>
    <s v="STERV.HE"/>
    <s v="FI0009005961"/>
    <s v="YES"/>
    <s v="STERV.HE"/>
    <m/>
    <s v="Stora Enso Oyj"/>
    <s v="EUR"/>
    <n v="9.3919999999999995"/>
    <m/>
    <m/>
    <n v="0"/>
    <m/>
    <m/>
    <m/>
    <n v="0"/>
    <n v="1.1171"/>
    <m/>
    <d v="1899-12-30T00:00:00"/>
  </r>
  <r>
    <d v="2019-05-30T00:00:00"/>
    <s v="BUY"/>
    <s v="GCI"/>
    <s v="US36473H1041"/>
    <s v="YES"/>
    <s v="GCI"/>
    <m/>
    <s v="Gannett Co Inc"/>
    <s v="USD"/>
    <n v="7.56"/>
    <m/>
    <n v="2200"/>
    <n v="-16632"/>
    <n v="-14"/>
    <m/>
    <m/>
    <n v="-16646"/>
    <n v="1.1171"/>
    <n v="-14888.5507116641"/>
    <d v="2019-06-03T00:00:00"/>
  </r>
  <r>
    <d v="2019-05-30T00:00:00"/>
    <s v="BUY"/>
    <s v="SHG"/>
    <s v="US8245961003"/>
    <s v="YES"/>
    <s v="SHG"/>
    <m/>
    <s v="Shinhan Financial Group Co Ltd"/>
    <s v="USD"/>
    <n v="37.772500000000001"/>
    <m/>
    <n v="670"/>
    <n v="-25307.575000000001"/>
    <n v="-20"/>
    <m/>
    <m/>
    <n v="-25327.575000000001"/>
    <n v="1.1171"/>
    <n v="-22587.234804404299"/>
    <d v="2019-06-03T00:00:00"/>
  </r>
  <r>
    <d v="2019-05-30T00:00:00"/>
    <s v="BUY"/>
    <s v="SKM"/>
    <s v="US78440P1084"/>
    <s v="YES"/>
    <s v="SKM"/>
    <m/>
    <s v="SK Telecom Co Ltd"/>
    <s v="USD"/>
    <n v="23.608799999999999"/>
    <m/>
    <n v="690"/>
    <n v="-16290.071999999998"/>
    <n v="-13"/>
    <m/>
    <m/>
    <n v="-16303.071999999998"/>
    <n v="1.1171"/>
    <n v="-14552.3229791424"/>
    <d v="2019-06-03T00:00:00"/>
  </r>
  <r>
    <d v="2019-06-06T00:00:00"/>
    <s v="SELL"/>
    <s v=""/>
    <s v="JP3785000005"/>
    <m/>
    <s v="4217.t"/>
    <m/>
    <s v="Hitachi Chemical Co Ltd"/>
    <s v="JPY"/>
    <n v="3025"/>
    <m/>
    <n v="-2500"/>
    <n v="7562500"/>
    <n v="-6050"/>
    <m/>
    <m/>
    <n v="7556450"/>
    <n v="121.66937790991186"/>
    <n v="61478.082065467999"/>
    <d v="2019-06-12T00:00:00"/>
  </r>
  <r>
    <d v="2019-06-07T00:00:00"/>
    <s v="SELL"/>
    <s v=""/>
    <s v="US3453708600"/>
    <m/>
    <s v="F"/>
    <m/>
    <s v="Ford Motor Co"/>
    <s v="USD"/>
    <n v="9.76"/>
    <m/>
    <n v="-4200"/>
    <n v="40992"/>
    <n v="-32.9"/>
    <m/>
    <m/>
    <n v="40959.1"/>
    <n v="1.1331059567380146"/>
    <n v="36176.669759999997"/>
    <d v="2019-06-11T00:00:00"/>
  </r>
  <r>
    <d v="2019-06-11T00:00:00"/>
    <s v="SELL"/>
    <s v=""/>
    <s v="JP3826800009"/>
    <m/>
    <s v="5715.T"/>
    <m/>
    <s v="Furukawa Co Ltd"/>
    <s v="JPY"/>
    <n v="1404.2727"/>
    <m/>
    <n v="-2200"/>
    <n v="3089399.94"/>
    <n v="-2472"/>
    <m/>
    <m/>
    <n v="3086927.94"/>
    <n v="122.57940239991878"/>
    <n v="24588.14401922714"/>
    <d v="2019-06-14T00:00:00"/>
  </r>
  <r>
    <d v="2019-06-10T00:00:00"/>
    <s v="BUY"/>
    <s v="5801.t"/>
    <s v="Not Signed In"/>
    <s v="YES"/>
    <s v="5801.t"/>
    <m/>
    <s v="Furukawa Electric Co Ltd"/>
    <s v="JPY"/>
    <n v="2991.2620999999999"/>
    <m/>
    <n v="1030"/>
    <n v="-3080999.963"/>
    <n v="-2465"/>
    <m/>
    <m/>
    <n v="-3083464.963"/>
    <n v="122.91971133693605"/>
    <n v="-25180.257635944679"/>
    <d v="2019-06-13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0">
  <r>
    <d v="2019-02-18T00:00:00"/>
    <s v="BUY"/>
    <s v="XS1435297202"/>
    <s v="XS1435297202"/>
    <s v="YES"/>
    <s v="Salini Impregilo SpA"/>
    <s v="EUR"/>
    <n v="92.25"/>
    <n v="100000"/>
    <n v="-92250"/>
    <m/>
    <m/>
    <m/>
    <n v="-2476.0300000000002"/>
    <n v="-94726.03"/>
    <n v="1"/>
    <n v="-94726.03"/>
    <d v="2019-02-20T00:00:00"/>
    <s v="GMSA"/>
    <d v="1899-12-30T17:21:00"/>
  </r>
  <r>
    <d v="2019-02-19T00:00:00"/>
    <s v="BUY"/>
    <s v="XS1708450561"/>
    <s v="XS1708450561"/>
    <s v="YES"/>
    <s v="Wind Tre SpA"/>
    <s v="EUR"/>
    <n v="90.25"/>
    <n v="200000"/>
    <n v="-180500"/>
    <m/>
    <m/>
    <m/>
    <n v="-538.19000000000005"/>
    <n v="-181038.19"/>
    <n v="1"/>
    <n v="-181038.19"/>
    <d v="2019-02-21T00:00:00"/>
    <s v="GMSA"/>
    <d v="1899-12-30T15:51:00"/>
  </r>
  <r>
    <d v="2019-02-20T00:00:00"/>
    <s v="BUY"/>
    <s v="XS1590496987"/>
    <s v="XS1590496987"/>
    <s v="YES"/>
    <s v="Banca Piccolo Credito Valtellinese SpA"/>
    <s v="EUR"/>
    <n v="98"/>
    <n v="200000"/>
    <n v="-196000"/>
    <m/>
    <m/>
    <m/>
    <n v="-14284.93"/>
    <n v="-210284.93"/>
    <n v="1"/>
    <n v="-210284.93"/>
    <d v="2019-02-22T00:00:00"/>
    <s v="GMSA"/>
    <d v="1899-12-30T09:49:00"/>
  </r>
  <r>
    <d v="2019-02-20T00:00:00"/>
    <s v="BUY"/>
    <s v="XS1619015719"/>
    <s v="XS1619015719"/>
    <s v="YES"/>
    <s v="UniCredit SpA"/>
    <s v="EUR"/>
    <n v="96.125"/>
    <n v="200000"/>
    <n v="-192250"/>
    <m/>
    <m/>
    <m/>
    <n v="-2948.49"/>
    <n v="-195198.49"/>
    <n v="1"/>
    <n v="-195198.49"/>
    <d v="2019-02-22T00:00:00"/>
    <s v="GMSA"/>
    <d v="1899-12-30T09:55:00"/>
  </r>
  <r>
    <d v="2019-02-20T00:00:00"/>
    <s v="BUY"/>
    <s v="XS1642816554"/>
    <s v="XS1642816554"/>
    <s v="YES"/>
    <s v="Rekeep SpA"/>
    <s v="EUR"/>
    <n v="86"/>
    <n v="160000"/>
    <n v="-137600"/>
    <m/>
    <m/>
    <m/>
    <n v="-2680"/>
    <n v="-140280"/>
    <n v="1"/>
    <n v="-140280"/>
    <d v="2019-02-22T00:00:00"/>
    <s v="GMSA"/>
    <d v="1899-12-30T10:20:00"/>
  </r>
  <r>
    <d v="2019-02-20T00:00:00"/>
    <s v="BUY"/>
    <s v="XS1935256369"/>
    <s v="XS1935256369"/>
    <s v="YES"/>
    <s v="Telecom Italia SpA"/>
    <s v="EUR"/>
    <n v="101.125"/>
    <n v="200000"/>
    <n v="-202250"/>
    <m/>
    <m/>
    <m/>
    <n v="-920.55"/>
    <n v="-203170.55"/>
    <n v="1"/>
    <n v="-203170.55"/>
    <d v="2019-02-22T00:00:00"/>
    <s v="GMSA"/>
    <d v="1899-12-30T15:26:00"/>
  </r>
  <r>
    <d v="2019-02-21T00:00:00"/>
    <s v="BUY"/>
    <s v="FR0011615699"/>
    <s v="FR0011615699"/>
    <s v="YES"/>
    <s v="Eramet SA"/>
    <s v="EUR"/>
    <n v="101.75"/>
    <n v="200000"/>
    <n v="-203500"/>
    <m/>
    <m/>
    <m/>
    <n v="-2736.69"/>
    <n v="-206236.69"/>
    <n v="1"/>
    <n v="-206236.69"/>
    <d v="2019-02-25T00:00:00"/>
    <s v="GMSA"/>
    <d v="1899-12-30T13:35:00"/>
  </r>
  <r>
    <d v="2019-02-21T00:00:00"/>
    <s v="BUY"/>
    <s v="XS1210352784"/>
    <s v="XS1210352784"/>
    <s v="YES"/>
    <s v="Aabar Investment PJS"/>
    <s v="EUR"/>
    <n v="94.75"/>
    <n v="200000"/>
    <n v="-189500"/>
    <m/>
    <m/>
    <m/>
    <n v="-820.66"/>
    <n v="-190320.66"/>
    <n v="1"/>
    <n v="-190320.66"/>
    <d v="2019-02-25T00:00:00"/>
    <s v="Equita"/>
    <d v="1899-12-30T17:18:00"/>
  </r>
  <r>
    <d v="2019-02-25T00:00:00"/>
    <s v="BUY"/>
    <s v="XS1706202592"/>
    <s v="XS1706202592"/>
    <s v="YES"/>
    <s v="Europcar Mobility Group SA"/>
    <s v="EUR"/>
    <n v="100.45"/>
    <n v="200000"/>
    <n v="-200900"/>
    <m/>
    <m/>
    <m/>
    <n v="-2337.5"/>
    <n v="-203237.5"/>
    <n v="1"/>
    <n v="-203237.5"/>
    <d v="2019-02-27T00:00:00"/>
    <s v="GMSA"/>
    <d v="1899-12-30T15:30:00"/>
  </r>
  <r>
    <d v="2019-02-27T00:00:00"/>
    <s v="BUY"/>
    <s v="XS0519942139 "/>
    <s v="XS0519942139 "/>
    <s v="YES"/>
    <s v="Deutsche Bank Ag (London Branch)"/>
    <s v="EUR"/>
    <n v="98.3"/>
    <n v="250000"/>
    <n v="-245750"/>
    <m/>
    <m/>
    <m/>
    <n v="0"/>
    <n v="-245750"/>
    <n v="1"/>
    <n v="-245750"/>
    <d v="2019-02-27T00:00:00"/>
    <s v="Equita"/>
    <d v="1899-12-30T17:03:00"/>
  </r>
  <r>
    <d v="2019-02-26T00:00:00"/>
    <s v="BUY"/>
    <s v="DE000DB7XHP3"/>
    <s v="DE000DB7XHP3"/>
    <s v="YES"/>
    <s v="Deutsche Bank AG"/>
    <s v="EUR"/>
    <n v="92.5"/>
    <n v="100000"/>
    <n v="-92500"/>
    <m/>
    <m/>
    <m/>
    <n v="-4997.26"/>
    <n v="-97497.26"/>
    <n v="1"/>
    <n v="-97497.26"/>
    <d v="2019-02-28T00:00:00"/>
    <s v="GMSA"/>
    <d v="1899-12-30T15:27:00"/>
  </r>
  <r>
    <d v="2019-02-26T00:00:00"/>
    <s v="BUY"/>
    <s v="XS1715303340"/>
    <s v="XS1715303340"/>
    <s v="YES"/>
    <s v="Argentina, Republic of (Government)"/>
    <s v="EUR"/>
    <n v="85.5"/>
    <n v="120000"/>
    <n v="-102600"/>
    <m/>
    <m/>
    <m/>
    <n v="-488.22"/>
    <n v="-103088.22"/>
    <n v="1"/>
    <n v="-103088.22"/>
    <d v="2019-02-28T00:00:00"/>
    <s v="GMSA"/>
    <d v="1899-12-30T18:01:00"/>
  </r>
  <r>
    <d v="2019-02-27T00:00:00"/>
    <s v="SELL"/>
    <s v="XS1590496987"/>
    <s v="XS1590496987"/>
    <s v="YES"/>
    <s v="Banca Piccolo Credito Valtellinese SpA"/>
    <s v="EUR"/>
    <n v="99"/>
    <n v="-100000"/>
    <n v="99000"/>
    <m/>
    <m/>
    <m/>
    <n v="7300.68"/>
    <n v="106300.68"/>
    <n v="1"/>
    <n v="106300.68"/>
    <d v="2019-03-01T00:00:00"/>
    <s v="Equita"/>
    <d v="1899-12-30T13:34:00"/>
  </r>
  <r>
    <d v="2019-02-28T00:00:00"/>
    <s v="SELL"/>
    <s v="XS1935256369"/>
    <s v="XS1935256369"/>
    <s v="YES"/>
    <s v="Telecom Italia SpA"/>
    <s v="EUR"/>
    <n v="101.95"/>
    <n v="-100000"/>
    <n v="101950"/>
    <m/>
    <m/>
    <m/>
    <m/>
    <n v="101950"/>
    <n v="1"/>
    <n v="101509.01369863001"/>
    <d v="2019-03-04T00:00:00"/>
    <s v="Equita"/>
    <d v="1899-12-30T13:55:00"/>
  </r>
  <r>
    <d v="2019-02-28T00:00:00"/>
    <s v="BUY"/>
    <s v="XS0543111768"/>
    <s v="XS0543111768"/>
    <s v="YES"/>
    <s v="Macquarie Bank Ltd"/>
    <s v="EUR"/>
    <n v="108.5"/>
    <n v="200000"/>
    <n v="-217000"/>
    <m/>
    <m/>
    <m/>
    <m/>
    <n v="-217000"/>
    <n v="1"/>
    <n v="-217000"/>
    <d v="2019-03-04T00:00:00"/>
    <s v="GMSA"/>
    <d v="1899-12-30T09:20:00"/>
  </r>
  <r>
    <d v="2019-03-01T00:00:00"/>
    <s v="BUY"/>
    <s v="XS1757690992"/>
    <s v="XS1757690992"/>
    <s v="YES"/>
    <s v="European Investment Bank"/>
    <s v="IDR"/>
    <n v="92.450999999999993"/>
    <n v="2900000000"/>
    <n v="-2681078999.9999995"/>
    <m/>
    <m/>
    <m/>
    <n v="-1294.19"/>
    <n v="-189878.11"/>
    <n v="14120"/>
    <n v="-191172.3"/>
    <d v="2019-03-05T00:00:00"/>
    <s v="GMSA"/>
    <d v="1899-12-30T14:47:00"/>
  </r>
  <r>
    <d v="2019-03-04T00:00:00"/>
    <s v="BUY"/>
    <s v="XS1069853247"/>
    <s v="XS1069853247"/>
    <s v="YES"/>
    <s v="Sogefi SpA"/>
    <s v="EUR"/>
    <n v="94.25"/>
    <n v="100000"/>
    <n v="-94250"/>
    <m/>
    <m/>
    <m/>
    <n v="-580"/>
    <n v="-94830"/>
    <n v="1"/>
    <n v="-94429.83"/>
    <d v="2019-03-06T00:00:00"/>
    <s v="Equita"/>
    <d v="1899-12-30T10:33:00"/>
  </r>
  <r>
    <d v="2019-03-14T00:00:00"/>
    <s v="BUY"/>
    <s v="XS1109959467"/>
    <s v="XS1109959467"/>
    <s v="YES"/>
    <s v="Arcelik AS"/>
    <s v="EUR"/>
    <n v="103"/>
    <n v="100000"/>
    <n v="-103000"/>
    <m/>
    <m/>
    <m/>
    <n v="-1942.81"/>
    <n v="-104942.81"/>
    <n v="1"/>
    <n v="-103664.80821918001"/>
    <d v="2019-03-18T00:00:00"/>
    <s v="GMSA"/>
    <d v="1899-12-30T10:22:00"/>
  </r>
  <r>
    <d v="2019-03-19T00:00:00"/>
    <s v="BUY"/>
    <s v="GR0004115417"/>
    <s v="GR0004115417"/>
    <s v="YES"/>
    <s v="Greece, Republic of (Government)"/>
    <s v="EUR"/>
    <n v="99.5"/>
    <n v="100000"/>
    <n v="-99500"/>
    <m/>
    <m/>
    <m/>
    <n v="0"/>
    <n v="-99500"/>
    <n v="1"/>
    <n v="-99030"/>
    <d v="2019-03-21T00:00:00"/>
    <s v="Equita"/>
    <d v="1899-12-30T15:53:00"/>
  </r>
  <r>
    <d v="2019-03-21T00:00:00"/>
    <s v="BUY"/>
    <s v="XS1708450561"/>
    <s v="XS1708450561"/>
    <s v="YES"/>
    <s v="Wind Tre SpA"/>
    <s v="EUR"/>
    <n v="93.6"/>
    <n v="100000"/>
    <n v="-93600"/>
    <m/>
    <m/>
    <m/>
    <n v="-552.49000000000524"/>
    <n v="-94152.49"/>
    <n v="1"/>
    <n v="-93444.236111110004"/>
    <d v="2019-03-25T00:00:00"/>
    <s v="Equita"/>
    <d v="1899-12-30T17:47:00"/>
  </r>
  <r>
    <d v="2019-03-22T00:00:00"/>
    <s v="BUY"/>
    <s v="XS1849464323"/>
    <s v="XS1849464323"/>
    <s v="YES"/>
    <s v="Playtech PLC"/>
    <s v="EUR"/>
    <n v="101.46"/>
    <n v="160000"/>
    <n v="-162335.99999999997"/>
    <m/>
    <m/>
    <m/>
    <n v="-2733.33"/>
    <n v="-165069.32999999996"/>
    <n v="1"/>
    <n v="-165039.29670329596"/>
    <d v="2019-03-26T00:00:00"/>
    <s v="GMSA"/>
    <d v="1899-12-30T11:42:00"/>
  </r>
  <r>
    <d v="2019-03-29T00:00:00"/>
    <s v="BUY"/>
    <s v="XS1109959467"/>
    <s v="XS1109959467"/>
    <s v="YES"/>
    <s v="Arcelik AS"/>
    <s v="Not Signed In"/>
    <n v="101"/>
    <n v="100000"/>
    <n v="-101000"/>
    <m/>
    <m/>
    <m/>
    <n v="-2102.0500000000002"/>
    <n v="-103102.05"/>
    <n v="1"/>
    <n v="-101293.43835616"/>
    <d v="2019-04-02T00:00:00"/>
    <s v="GMSA"/>
    <d v="1899-12-30T10:22:00"/>
  </r>
  <r>
    <d v="2019-04-29T00:00:00"/>
    <s v="BUY"/>
    <s v="XS1551933010"/>
    <s v="XS1551933010"/>
    <s v="YES"/>
    <s v="Not Signed In"/>
    <s v="Not Signed In"/>
    <n v="94.95"/>
    <n v="100000"/>
    <n v="-94950"/>
    <m/>
    <m/>
    <m/>
    <n v="0"/>
    <n v="-94950"/>
    <n v="1"/>
    <n v="-94800"/>
    <d v="2019-05-02T00:00:00"/>
    <s v="Equita"/>
    <d v="1899-12-30T11:01:00"/>
  </r>
  <r>
    <d v="2019-04-29T00:00:00"/>
    <s v="BUY"/>
    <s v="XS1716821779"/>
    <s v="XS1716821779"/>
    <s v="YES"/>
    <s v="Not Signed In"/>
    <s v="Not Signed In"/>
    <n v="88"/>
    <n v="100000"/>
    <n v="-88000"/>
    <m/>
    <m/>
    <m/>
    <n v="-2435.42"/>
    <n v="-90435.42"/>
    <n v="1"/>
    <n v="-88394.916666670004"/>
    <d v="2019-05-02T00:00:00"/>
    <s v="GMSA"/>
    <d v="1899-12-30T09:03:54"/>
  </r>
  <r>
    <m/>
    <m/>
    <s v=""/>
    <m/>
    <s v="YES"/>
    <s v="No universe defined."/>
    <s v="No universe defined."/>
    <m/>
    <m/>
    <n v="0"/>
    <m/>
    <m/>
    <m/>
    <m/>
    <n v="0"/>
    <m/>
    <n v="50000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s v="No universe defined."/>
    <s v="No universe defined."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s v="USD"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s v=""/>
    <m/>
    <s v="YES"/>
    <m/>
    <m/>
    <m/>
    <m/>
    <n v="0"/>
    <m/>
    <m/>
    <m/>
    <m/>
    <n v="0"/>
    <m/>
    <e v="#DIV/0!"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s v="YES"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d v="2019-02-26T00:00:00"/>
    <s v="BUY"/>
    <s v="IE00B5M4WH52"/>
    <s v="IE00B5M4WH52"/>
    <s v="YES"/>
    <s v="iShares Emer Mrkts Local Govt Bd UCITS ETF"/>
    <s v="USDollar"/>
    <n v="45.35"/>
    <n v="2200"/>
    <n v="-99770"/>
    <n v="-41.58"/>
    <m/>
    <n v="-8.31"/>
    <n v="-99819.89"/>
    <n v="0.85924745261000746"/>
    <n v="-115473.13838244646"/>
    <d v="2019-02-28T00:00:00"/>
    <s v="Kepler"/>
    <d v="2019-02-27T10:05:46"/>
  </r>
  <r>
    <d v="2019-02-26T00:00:00"/>
    <s v="BUY"/>
    <s v="IE00B4613386"/>
    <s v="IE00B4613386"/>
    <s v="YES"/>
    <s v="SPDR Barclays Emerging Mkts Loc Bd UCITS ETF"/>
    <s v="EUR"/>
    <n v="61.65"/>
    <n v="2200"/>
    <n v="-135630"/>
    <n v="-56.52"/>
    <m/>
    <n v="-11.3"/>
    <n v="-135697.81999999998"/>
    <n v="1"/>
    <n v="-135660.80000000002"/>
    <d v="2019-02-28T00:00:00"/>
    <s v="Kepler"/>
    <d v="2019-02-27T10:06:22"/>
  </r>
  <r>
    <d v="2019-06-06T00:00:00"/>
    <s v="BUY"/>
    <s v="LU1867072222"/>
    <s v="LU1867072222"/>
    <s v="YES"/>
    <s v="Pharus SICAV - Electric Mobility Niches A Cap"/>
    <s v="Not Signed In"/>
    <n v="100"/>
    <n v="5000"/>
    <n v="-500000"/>
    <m/>
    <m/>
    <m/>
    <n v="-500000"/>
    <n v="1"/>
    <n v="100"/>
    <d v="2019-06-12T00:00:00"/>
    <s v="Rotschild"/>
    <d v="1899-12-30T17:42:13"/>
  </r>
  <r>
    <d v="2019-06-10T00:00:00"/>
    <s v="BUY"/>
    <s v="LU1867072222"/>
    <s v="LU1867072222"/>
    <s v="YES"/>
    <s v="Pharus SICAV - Electric Mobility Niches A Cap"/>
    <s v="Not Signed In"/>
    <n v="100"/>
    <n v="1000"/>
    <n v="-100000"/>
    <m/>
    <m/>
    <m/>
    <n v="-100000"/>
    <n v="1"/>
    <n v="-100000"/>
    <d v="2019-06-13T00:00:00"/>
    <s v="Rotschild"/>
    <d v="1899-12-30T10:11:03"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d v="1899-12-30T00:00:00"/>
    <m/>
    <s v="YES"/>
    <s v="No universe defined."/>
    <s v="No universe defined."/>
    <m/>
    <m/>
    <n v="0"/>
    <m/>
    <m/>
    <m/>
    <n v="0"/>
    <m/>
    <e v="#DIV/0!"/>
    <d v="1900-01-01T00:00:00"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Panasonic Corp"/>
    <x v="0"/>
    <n v="0"/>
  </r>
  <r>
    <s v="Sumitomo Metal Mining Co Ltd"/>
    <x v="0"/>
    <s v="-"/>
  </r>
  <r>
    <s v="Tanaka Chemical Corp"/>
    <x v="1"/>
    <n v="23053.730189408583"/>
  </r>
  <r>
    <s v="Nippon Chemical Industrial Co"/>
    <x v="0"/>
    <s v="-"/>
  </r>
  <r>
    <s v="Toda Kogyo Corp"/>
    <x v="0"/>
    <n v="4599.9226903749523"/>
  </r>
  <r>
    <s v="Showa Denko KK"/>
    <x v="2"/>
    <s v="-"/>
  </r>
  <r>
    <s v="Nippon Carbon Co Ltd"/>
    <x v="2"/>
    <n v="21105.527638190957"/>
  </r>
  <r>
    <s v="Toyo Tanso Co Ltd"/>
    <x v="2"/>
    <n v="2937.7657518361038"/>
  </r>
  <r>
    <s v="Sumitomo Chemical Co Ltd"/>
    <x v="0"/>
    <n v="2087.3598763046002"/>
  </r>
  <r>
    <s v="Teijin Ltd"/>
    <x v="0"/>
    <n v="3355.2377270970237"/>
  </r>
  <r>
    <s v="LG Chem Ltd"/>
    <x v="3"/>
    <n v="18921.530730575956"/>
  </r>
  <r>
    <s v="Samsung SDI Co Ltd"/>
    <x v="3"/>
    <n v="16577.81676676339"/>
  </r>
  <r>
    <s v="SK Innovation Co Ltd"/>
    <x v="4"/>
    <n v="543.22153991497396"/>
  </r>
  <r>
    <s v="Ecopro Co Ltd"/>
    <x v="3"/>
    <n v="4378.1256794955425"/>
  </r>
  <r>
    <s v="Soulbrain Holdings Co Ltd"/>
    <x v="3"/>
    <n v="0"/>
  </r>
  <r>
    <s v="Imerys SA"/>
    <x v="5"/>
    <s v="-"/>
  </r>
  <r>
    <s v="Eramet SA"/>
    <x v="6"/>
    <n v="8021.2499999999991"/>
  </r>
  <r>
    <s v="Valeo"/>
    <x v="6"/>
    <s v="-"/>
  </r>
  <r>
    <s v="Continental AG"/>
    <x v="7"/>
    <n v="10200"/>
  </r>
  <r>
    <s v="Renault SA"/>
    <x v="8"/>
    <s v="-"/>
  </r>
  <r>
    <s v="Nickel 28 Capital Corp"/>
    <x v="9"/>
    <s v="-"/>
  </r>
  <r>
    <s v="Syrah Resources Ltd"/>
    <x v="9"/>
    <s v="-"/>
  </r>
  <r>
    <s v="Alelion Energy Systems AB"/>
    <x v="9"/>
    <s v="-"/>
  </r>
  <r>
    <s v="GrafTech International Ltd"/>
    <x v="10"/>
    <s v="-"/>
  </r>
  <r>
    <s v="Sumitomo Corp"/>
    <x v="0"/>
    <n v="128.41091492776886"/>
  </r>
  <r>
    <s v="BAIC Motor Corp Ltd"/>
    <x v="11"/>
    <n v="2226.5172013915735"/>
  </r>
  <r>
    <s v="Nihon Kagaku Sangyo Co Ltd"/>
    <x v="0"/>
    <n v="22347.929324673511"/>
  </r>
  <r>
    <s v="MMC Norilsk Nickel PJSC"/>
    <x v="12"/>
    <n v="1971.3954387321221"/>
  </r>
  <r>
    <s v="Stella Chemifa Corp"/>
    <x v="0"/>
    <n v="10935.298582129481"/>
  </r>
  <r>
    <s v="Western Areas Ltd"/>
    <x v="13"/>
    <n v="2854.2713567839196"/>
  </r>
  <r>
    <s v="Volkswagen AG"/>
    <x v="14"/>
    <s v="-"/>
  </r>
  <r>
    <s v="Glencore PLC"/>
    <x v="15"/>
    <n v="11032.2"/>
  </r>
  <r>
    <s v="SNT Motiv Co Ltd"/>
    <x v="16"/>
    <n v="2086.6773675762438"/>
  </r>
  <r>
    <s v="POSCO"/>
    <x v="17"/>
    <n v="4948.6020199293698"/>
  </r>
  <r>
    <s v="SFA Engineering Corp"/>
    <x v="3"/>
    <n v="4086.345607365919"/>
  </r>
  <r>
    <s v="Kureha Corp"/>
    <x v="0"/>
    <n v="29713.543423982726"/>
  </r>
  <r>
    <s v="Zeon Corp"/>
    <x v="0"/>
    <n v="1291.0707383069193"/>
  </r>
  <r>
    <s v="Toshiba Corp"/>
    <x v="0"/>
    <n v="1577.1163509856979"/>
  </r>
  <r>
    <s v="Bushveld Minerals Ltd"/>
    <x v="9"/>
    <n v="3401.623502126015"/>
  </r>
  <r>
    <s v="Nippon Denko Co Ltd"/>
    <x v="2"/>
    <s v="-"/>
  </r>
  <r>
    <s v="Kanto Denka Kogyo Co Ltd"/>
    <x v="0"/>
    <n v="2133.745651333591"/>
  </r>
  <r>
    <s v="Techno Smart Corp"/>
    <x v="0"/>
    <n v="1051.4109006571318"/>
  </r>
  <r>
    <s v="Sansha Electric Manufacturing"/>
    <x v="0"/>
    <n v="1700.8117510630075"/>
  </r>
  <r>
    <s v="Central Glass Co Ltd"/>
    <x v="0"/>
    <s v="-"/>
  </r>
  <r>
    <s v="Sumitomo Osaka Cement Co Ltd"/>
    <x v="0"/>
    <n v="3391.9597989949752"/>
  </r>
  <r>
    <s v="Sandfire Resources Ltd"/>
    <x v="18"/>
    <n v="5102.4352531890218"/>
  </r>
  <r>
    <s v="Taiheiyo Cement Corp"/>
    <x v="0"/>
    <n v="13076.421591062053"/>
  </r>
  <r>
    <s v="TDK Corp"/>
    <x v="0"/>
    <n v="5952.8411287205263"/>
  </r>
  <r>
    <s v="Vitesco Technologies Group AG"/>
    <x v="9"/>
    <n v="1864.7081561654429"/>
  </r>
  <r>
    <s v="IHI Corp"/>
    <x v="0"/>
    <s v="-"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  <r>
    <m/>
    <x v="9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8">
  <r>
    <d v="2019-06-07T00:00:00"/>
    <s v="BUY"/>
    <s v=""/>
    <s v="JP3866800000"/>
    <s v=""/>
    <s v="6752.T"/>
    <m/>
    <s v="Panasonic Corp"/>
    <s v="JPY"/>
    <n v="875.1"/>
    <m/>
    <n v="30000"/>
    <n v="-26253000"/>
    <n v="-21002"/>
    <m/>
    <m/>
    <n v="-26274002"/>
    <n v="122.57940239991835"/>
    <n v="-214342.71570586073"/>
    <x v="0"/>
  </r>
  <r>
    <d v="2019-06-07T00:00:00"/>
    <s v="BUY"/>
    <s v=""/>
    <s v="JP3402600005"/>
    <s v=""/>
    <s v="5713.t"/>
    <m/>
    <s v="Sumitomo Metal Mining Co Ltd"/>
    <s v="JPY"/>
    <n v="2923.5"/>
    <m/>
    <n v="6000"/>
    <n v="-17541000"/>
    <n v="-14033"/>
    <m/>
    <m/>
    <n v="-17555033"/>
    <n v="122.57940239991861"/>
    <n v="-143213.56326021423"/>
    <x v="0"/>
  </r>
  <r>
    <d v="2019-06-07T00:00:00"/>
    <s v="BUY"/>
    <s v=""/>
    <s v="JP3468810001"/>
    <s v=""/>
    <s v="4080.t"/>
    <m/>
    <s v="Tanaka Chemical Corp"/>
    <s v="JPY"/>
    <n v="872.15"/>
    <m/>
    <n v="6000"/>
    <n v="-5232900"/>
    <n v="-4186"/>
    <m/>
    <m/>
    <n v="-5237086"/>
    <n v="122.57940239991845"/>
    <n v="-42724.02946552042"/>
    <x v="0"/>
  </r>
  <r>
    <d v="2019-06-07T00:00:00"/>
    <s v="BUY"/>
    <s v=""/>
    <s v="JP3691600005"/>
    <s v=""/>
    <s v="4092.t"/>
    <m/>
    <s v="Nippon Chemical Industrial Co Ltd"/>
    <s v="JPY"/>
    <n v="1850.7617"/>
    <m/>
    <n v="6000"/>
    <n v="-11104570.199999999"/>
    <n v="-8884"/>
    <m/>
    <m/>
    <n v="-11113454.199999999"/>
    <n v="122.57940239991872"/>
    <n v="-90663.308699630012"/>
    <x v="0"/>
  </r>
  <r>
    <d v="2019-06-07T00:00:00"/>
    <s v="BUY"/>
    <s v=""/>
    <s v="JP3627400009"/>
    <s v=""/>
    <s v="4100.t"/>
    <m/>
    <s v="Toda Kogyo Corp"/>
    <s v="JPY"/>
    <n v="2213.4"/>
    <m/>
    <n v="1000"/>
    <n v="-2213400"/>
    <n v="-1771"/>
    <m/>
    <m/>
    <n v="-2215171"/>
    <n v="122.57940239991831"/>
    <n v="-18071.315054816063"/>
    <x v="0"/>
  </r>
  <r>
    <d v="2019-06-07T00:00:00"/>
    <s v="BUY"/>
    <s v=""/>
    <s v="JP3368000000"/>
    <s v=""/>
    <s v="4004.t"/>
    <m/>
    <s v="Showa Denko KK"/>
    <s v="JPY"/>
    <n v="3205"/>
    <m/>
    <n v="4000"/>
    <n v="-12820000"/>
    <n v="-10256"/>
    <m/>
    <m/>
    <n v="-12830256"/>
    <n v="122.57940239991841"/>
    <n v="-104668.93906156407"/>
    <x v="0"/>
  </r>
  <r>
    <d v="2019-06-07T00:00:00"/>
    <s v="BUY"/>
    <s v=""/>
    <s v="JP3560800009"/>
    <s v=""/>
    <s v="5301.t"/>
    <m/>
    <s v="Tokai Carbon Co Ltd"/>
    <s v="JPY"/>
    <n v="1139"/>
    <m/>
    <n v="8000"/>
    <n v="-9112000"/>
    <n v="-7290"/>
    <m/>
    <m/>
    <n v="-9119290"/>
    <n v="122.57940239991842"/>
    <n v="-74394.962134405621"/>
    <x v="0"/>
  </r>
  <r>
    <d v="2019-06-07T00:00:00"/>
    <s v="BUY"/>
    <s v=""/>
    <s v="JP3690400001"/>
    <s v=""/>
    <s v="5302.T"/>
    <m/>
    <s v="Nippon Carbon Co Ltd"/>
    <s v="JPY"/>
    <n v="4152.2222000000002"/>
    <m/>
    <n v="2700"/>
    <n v="-11210999.940000001"/>
    <n v="-8969"/>
    <m/>
    <m/>
    <n v="-11219968.940000001"/>
    <n v="122.57940239991856"/>
    <n v="-91532.253546110092"/>
    <x v="0"/>
  </r>
  <r>
    <d v="2019-06-07T00:00:00"/>
    <s v="BUY"/>
    <s v=""/>
    <s v="JP3616000000"/>
    <s v=""/>
    <s v="5310.T"/>
    <m/>
    <s v="Toyo Tanso Co Ltd"/>
    <s v="JPY"/>
    <n v="2120.5556000000001"/>
    <m/>
    <n v="5400"/>
    <n v="-11451000.24"/>
    <n v="-9161"/>
    <m/>
    <m/>
    <n v="-11460161.24"/>
    <n v="122.57940239991832"/>
    <n v="-93491.736911972708"/>
    <x v="0"/>
  </r>
  <r>
    <d v="2019-06-07T00:00:00"/>
    <s v="BUY"/>
    <s v=""/>
    <s v="JP3631600008"/>
    <s v=""/>
    <s v="6309.T"/>
    <m/>
    <s v="Tomoe Engineering Co Ltd"/>
    <s v="JPY"/>
    <n v="2386.0587999999998"/>
    <m/>
    <n v="1700"/>
    <n v="-4056299.9599999995"/>
    <n v="-3245"/>
    <m/>
    <m/>
    <n v="-4059544.9599999995"/>
    <n v="122.57940239991858"/>
    <n v="-33117.676220639623"/>
    <x v="0"/>
  </r>
  <r>
    <d v="2019-06-07T00:00:00"/>
    <s v="BUY"/>
    <s v=""/>
    <s v="JP3401400001"/>
    <s v=""/>
    <s v="4005.T"/>
    <m/>
    <s v="Sumitomo Chemical Co Ltd"/>
    <s v="JPY"/>
    <n v="487.02109999999999"/>
    <m/>
    <n v="38000"/>
    <n v="-18506801.800000001"/>
    <n v="-14805"/>
    <m/>
    <m/>
    <n v="-18521606.800000001"/>
    <n v="122.57940239991829"/>
    <n v="-151098.85051954165"/>
    <x v="0"/>
  </r>
  <r>
    <d v="2019-06-07T00:00:00"/>
    <s v="BUY"/>
    <s v=""/>
    <s v="JP3544000007"/>
    <s v=""/>
    <s v="3401.T"/>
    <m/>
    <s v="Teijin Ltd"/>
    <s v="JPY"/>
    <n v="1815.1889000000001"/>
    <m/>
    <n v="9000"/>
    <n v="-16336700.100000001"/>
    <n v="-13069"/>
    <m/>
    <m/>
    <n v="-16349769.100000001"/>
    <n v="122.57940239991881"/>
    <n v="-133381.04754874241"/>
    <x v="0"/>
  </r>
  <r>
    <d v="2019-06-07T00:00:00"/>
    <s v="BUY"/>
    <s v=""/>
    <s v="JP3707000000"/>
    <s v=""/>
    <s v="3891.T"/>
    <m/>
    <s v="Nippon Kodoshi Corp"/>
    <s v="JPY"/>
    <n v="1252.8975"/>
    <m/>
    <n v="4000"/>
    <n v="-5011590"/>
    <n v="-4009"/>
    <m/>
    <m/>
    <n v="-5015599"/>
    <n v="122.57940239991837"/>
    <n v="-40917.143515159936"/>
    <x v="0"/>
  </r>
  <r>
    <d v="2019-06-07T00:00:00"/>
    <s v="BUY"/>
    <s v=""/>
    <s v="JP3897700005"/>
    <s v=""/>
    <s v="4188.T"/>
    <m/>
    <s v="Mitsubishi Chemical Holdings Corp"/>
    <s v="JPY"/>
    <n v="738.6"/>
    <m/>
    <n v="15000"/>
    <n v="-11079000"/>
    <n v="-8863"/>
    <m/>
    <m/>
    <n v="-11087863"/>
    <n v="122.57940239991837"/>
    <n v="-90454.536267239819"/>
    <x v="0"/>
  </r>
  <r>
    <d v="2019-06-07T00:00:00"/>
    <s v="BUY"/>
    <s v=""/>
    <s v="JP3158800007"/>
    <s v=""/>
    <s v="4208.T"/>
    <m/>
    <s v="Ube Industries Ltd"/>
    <s v="JPY"/>
    <n v="2199.1333"/>
    <m/>
    <n v="3000"/>
    <n v="-6597399.8999999994"/>
    <n v="-5278"/>
    <m/>
    <m/>
    <n v="-6602677.8999999994"/>
    <n v="122.57940239991829"/>
    <n v="-53864.497384793911"/>
    <x v="0"/>
  </r>
  <r>
    <d v="2019-06-07T00:00:00"/>
    <s v="BUY"/>
    <s v=""/>
    <s v="JP3701200002"/>
    <s v=""/>
    <s v="6997.T"/>
    <m/>
    <s v="Nippon Chemi-Con Corp"/>
    <s v="JPY"/>
    <n v="1626.2612999999999"/>
    <m/>
    <n v="8000"/>
    <n v="-13010090.399999999"/>
    <n v="-10408"/>
    <m/>
    <m/>
    <n v="-13020498.399999999"/>
    <n v="122.57940239991794"/>
    <n v="-106220.93226984695"/>
    <x v="0"/>
  </r>
  <r>
    <d v="2019-06-07T00:00:00"/>
    <s v="BUY"/>
    <s v=""/>
    <s v="JP3538800008"/>
    <s v=""/>
    <s v="6762.T"/>
    <m/>
    <s v="TDK Corp"/>
    <s v="JPY"/>
    <n v="7700"/>
    <m/>
    <n v="1500"/>
    <n v="-11550000"/>
    <n v="-9240"/>
    <m/>
    <m/>
    <n v="-11559240"/>
    <n v="122.57940239991844"/>
    <n v="-94300.019201331103"/>
    <x v="0"/>
  </r>
  <r>
    <d v="2019-06-07T00:00:00"/>
    <s v="BUY"/>
    <s v=""/>
    <s v="JP3591600006"/>
    <s v=""/>
    <s v="6617.T"/>
    <m/>
    <s v="Takaoka Toko Co Ltd"/>
    <s v="JPY"/>
    <n v="1180.7463"/>
    <m/>
    <n v="6700"/>
    <n v="-7911000.21"/>
    <n v="-6329"/>
    <m/>
    <m/>
    <n v="-7917329.21"/>
    <n v="122.57940239991844"/>
    <n v="-64589.393119812339"/>
    <x v="0"/>
  </r>
  <r>
    <d v="2019-06-07T00:00:00"/>
    <s v="BUY"/>
    <s v=""/>
    <s v="JP3914400001"/>
    <s v=""/>
    <s v="6981.T"/>
    <m/>
    <s v="Murata Manufacturing Co Ltd"/>
    <s v="JPY"/>
    <n v="4535"/>
    <m/>
    <n v="1500"/>
    <n v="-6802500"/>
    <n v="-5442"/>
    <m/>
    <m/>
    <n v="-6807942"/>
    <n v="122.57940239991838"/>
    <n v="-55539.037282861915"/>
    <x v="0"/>
  </r>
  <r>
    <d v="2019-06-07T00:00:00"/>
    <s v="BUY"/>
    <s v=""/>
    <s v="JP3854650003"/>
    <s v=""/>
    <s v="6826.T"/>
    <m/>
    <s v="Honda Tsushin Kogyo Co Ltd"/>
    <s v="JPY"/>
    <n v="505.38900000000001"/>
    <m/>
    <n v="10000"/>
    <n v="-5053890"/>
    <n v="-4043"/>
    <m/>
    <m/>
    <n v="-5057933"/>
    <n v="122.57940239991832"/>
    <n v="-41262.503332316541"/>
    <x v="0"/>
  </r>
  <r>
    <d v="2019-06-10T00:00:00"/>
    <s v="BUY"/>
    <s v=""/>
    <s v="KR7051911006"/>
    <s v=""/>
    <s v="051915.KS"/>
    <m/>
    <s v="LG Chem Ltd"/>
    <s v="KRW"/>
    <n v="189576.21950000001"/>
    <m/>
    <n v="820"/>
    <n v="-155452499.99000001"/>
    <n v="-233179"/>
    <m/>
    <m/>
    <n v="-155685678.99000001"/>
    <n v="1338.2774523245682"/>
    <n v="-116332.88651734831"/>
    <x v="0"/>
  </r>
  <r>
    <d v="2019-06-10T00:00:00"/>
    <s v="BUY"/>
    <s v=""/>
    <s v="KR7006400006"/>
    <s v=""/>
    <s v="006400.KS"/>
    <m/>
    <s v="Samsung SDI Co Ltd"/>
    <s v="KRW"/>
    <n v="237500"/>
    <m/>
    <n v="400"/>
    <n v="-95000000"/>
    <n v="-142500"/>
    <m/>
    <m/>
    <n v="-95142500"/>
    <n v="1338.277452324566"/>
    <n v="-71093.254866350049"/>
    <x v="0"/>
  </r>
  <r>
    <d v="2019-06-10T00:00:00"/>
    <s v="BUY"/>
    <s v=""/>
    <s v="KR7006401004"/>
    <s v=""/>
    <s v="006405.KS"/>
    <m/>
    <s v="Samsung SDI Co Ltd"/>
    <s v="KRW"/>
    <n v="90455.5"/>
    <m/>
    <n v="1000"/>
    <n v="-90455500"/>
    <n v="-135683"/>
    <m/>
    <m/>
    <n v="-90591183"/>
    <n v="1338.2774523245673"/>
    <n v="-67692.377871751858"/>
    <x v="0"/>
  </r>
  <r>
    <d v="2019-06-10T00:00:00"/>
    <s v="BUY"/>
    <s v=""/>
    <s v="KR7096771001"/>
    <s v=""/>
    <s v="096775.KS"/>
    <m/>
    <s v="SK Innovation Co Ltd"/>
    <s v="KRW"/>
    <n v="120463.3333"/>
    <m/>
    <n v="600"/>
    <n v="-72277999.980000004"/>
    <n v="-108417"/>
    <m/>
    <m/>
    <n v="-72386416.980000004"/>
    <n v="1338.2774523245669"/>
    <n v="-54089.244987476952"/>
    <x v="0"/>
  </r>
  <r>
    <d v="2019-06-10T00:00:00"/>
    <s v="BUY"/>
    <s v=""/>
    <s v="KR7042600007"/>
    <s v=""/>
    <s v="042600.KQ"/>
    <m/>
    <s v="Seronics Co Ltd"/>
    <s v="KRW"/>
    <n v="4480.8780999999999"/>
    <m/>
    <n v="894"/>
    <n v="-4005905.0214"/>
    <n v="-6009"/>
    <m/>
    <m/>
    <n v="-4011914.0214"/>
    <n v="1338.2774523245673"/>
    <n v="-2997.8193344222959"/>
    <x v="0"/>
  </r>
  <r>
    <d v="2019-06-10T00:00:00"/>
    <s v="BUY"/>
    <s v=""/>
    <s v="KR7086520004"/>
    <s v=""/>
    <s v="086520.KQ"/>
    <m/>
    <s v="Ecopro Co Ltd"/>
    <s v="KRW"/>
    <n v="27107.1"/>
    <m/>
    <n v="4000"/>
    <n v="-108428400"/>
    <n v="-162643"/>
    <m/>
    <m/>
    <n v="-108591043"/>
    <n v="1338.2774523245657"/>
    <n v="-81142.398993108014"/>
    <x v="0"/>
  </r>
  <r>
    <d v="2019-06-10T00:00:00"/>
    <s v="BUY"/>
    <s v=""/>
    <s v="KR7036830008"/>
    <s v=""/>
    <s v="036830.KQ"/>
    <m/>
    <s v="SoulBrain Co Ltd"/>
    <s v="KRW"/>
    <n v="48103.4833"/>
    <m/>
    <n v="3000"/>
    <n v="-144310449.90000001"/>
    <n v="-216466"/>
    <m/>
    <m/>
    <n v="-144526915.90000001"/>
    <n v="1338.2774523245669"/>
    <n v="-107994.7328178914"/>
    <x v="0"/>
  </r>
  <r>
    <d v="2019-06-11T00:00:00"/>
    <s v="BUY"/>
    <s v=""/>
    <s v="BE0974320526"/>
    <s v=""/>
    <s v="UMI.BR"/>
    <m/>
    <s v="Umicore SA"/>
    <s v="EUR"/>
    <n v="28.007300000000001"/>
    <m/>
    <n v="900"/>
    <n v="-25206.57"/>
    <n v="-20.170000000000002"/>
    <m/>
    <m/>
    <n v="-25226.739999999998"/>
    <n v="1"/>
    <n v="-25226.739999999998"/>
    <x v="0"/>
  </r>
  <r>
    <d v="2019-06-11T00:00:00"/>
    <s v="BUY"/>
    <s v=""/>
    <s v="FR0000120859"/>
    <s v=""/>
    <s v="IMTP.PA"/>
    <m/>
    <s v="Imerys SA"/>
    <s v="EUR"/>
    <n v="42.110100000000003"/>
    <m/>
    <n v="2000"/>
    <n v="-84220.200000000012"/>
    <n v="-67.38"/>
    <m/>
    <m/>
    <n v="-84287.580000000016"/>
    <n v="1"/>
    <n v="-84287.580000000016"/>
    <x v="0"/>
  </r>
  <r>
    <d v="2019-06-11T00:00:00"/>
    <s v="BUY"/>
    <s v=""/>
    <s v="FR0000131757"/>
    <s v=""/>
    <s v="ERMT.PA"/>
    <m/>
    <s v="Eramet SA"/>
    <s v="EUR"/>
    <n v="55.604599999999998"/>
    <m/>
    <n v="1400"/>
    <n v="-77846.44"/>
    <n v="-62.28"/>
    <m/>
    <m/>
    <n v="-77908.72"/>
    <n v="1"/>
    <n v="-77908.72"/>
    <x v="0"/>
  </r>
  <r>
    <d v="2019-06-11T00:00:00"/>
    <s v="BUY"/>
    <s v=""/>
    <s v="DE0006062144"/>
    <s v=""/>
    <s v="1COV.DE"/>
    <m/>
    <s v="Covestro AG"/>
    <s v="EUR"/>
    <n v="42.377899999999997"/>
    <m/>
    <n v="700"/>
    <n v="-29664.53"/>
    <n v="-23.73"/>
    <m/>
    <m/>
    <n v="-29688.26"/>
    <n v="1"/>
    <n v="-29688.26"/>
    <x v="0"/>
  </r>
  <r>
    <d v="2019-06-11T00:00:00"/>
    <s v="BUY"/>
    <s v=""/>
    <s v="FR0013176526"/>
    <s v=""/>
    <s v="VLOF.PA"/>
    <m/>
    <s v="Valeo SA"/>
    <s v="EUR"/>
    <n v="25.504000000000001"/>
    <m/>
    <n v="3300"/>
    <n v="-84163.200000000012"/>
    <n v="-67.33"/>
    <m/>
    <m/>
    <n v="-84230.530000000013"/>
    <n v="1"/>
    <n v="-84230.530000000013"/>
    <x v="0"/>
  </r>
  <r>
    <d v="2019-06-11T00:00:00"/>
    <s v="BUY"/>
    <s v=""/>
    <s v="DE0005439004"/>
    <s v=""/>
    <s v="CONG.DE"/>
    <m/>
    <s v="Continental AG"/>
    <s v="EUR"/>
    <n v="128.29259999999999"/>
    <m/>
    <n v="500"/>
    <n v="-64146.299999999996"/>
    <n v="-51.32"/>
    <m/>
    <m/>
    <n v="-64197.619999999995"/>
    <n v="1"/>
    <n v="-64197.619999999995"/>
    <x v="0"/>
  </r>
  <r>
    <d v="2019-06-11T00:00:00"/>
    <s v="BUY"/>
    <s v=""/>
    <s v="DE0006231004"/>
    <s v=""/>
    <s v="IFXGn.DE"/>
    <m/>
    <s v="Infineon Technologies AG"/>
    <s v="EUR"/>
    <n v="15.2706"/>
    <m/>
    <n v="2000"/>
    <n v="-30541.200000000001"/>
    <n v="-24.43"/>
    <m/>
    <m/>
    <n v="-30565.63"/>
    <n v="1"/>
    <n v="-30565.63"/>
    <x v="0"/>
  </r>
  <r>
    <d v="2019-06-11T00:00:00"/>
    <s v="BUY"/>
    <s v=""/>
    <s v="DE000PAH0038"/>
    <s v=""/>
    <s v="PSHG_p.DE"/>
    <m/>
    <s v="Porsche Automobil Holding SE"/>
    <s v="EUR"/>
    <n v="57.642400000000002"/>
    <m/>
    <n v="900"/>
    <n v="-51878.16"/>
    <n v="-41.5"/>
    <m/>
    <m/>
    <n v="-51919.66"/>
    <n v="1"/>
    <n v="-51919.66"/>
    <x v="0"/>
  </r>
  <r>
    <d v="2019-06-11T00:00:00"/>
    <s v="BUY"/>
    <s v=""/>
    <s v="DE0007100000"/>
    <s v=""/>
    <s v="DAIGn.DE"/>
    <m/>
    <s v="Daimler AG"/>
    <s v="EUR"/>
    <n v="48.475099999999998"/>
    <m/>
    <n v="600"/>
    <n v="-29085.059999999998"/>
    <n v="-23.27"/>
    <m/>
    <m/>
    <n v="-29108.329999999998"/>
    <n v="1"/>
    <n v="-29108.329999999998"/>
    <x v="0"/>
  </r>
  <r>
    <d v="2019-06-11T00:00:00"/>
    <s v="BUY"/>
    <s v=""/>
    <s v="FR0000131906"/>
    <s v=""/>
    <s v="RENA.PA"/>
    <m/>
    <s v="Renault SA"/>
    <s v="EUR"/>
    <n v="56.102699999999999"/>
    <m/>
    <n v="1100"/>
    <n v="-61712.97"/>
    <n v="-49.37"/>
    <m/>
    <m/>
    <n v="-61762.340000000004"/>
    <n v="1"/>
    <n v="-61762.340000000004"/>
    <x v="0"/>
  </r>
  <r>
    <d v="2019-06-11T00:00:00"/>
    <s v="BUY"/>
    <s v=""/>
    <s v="US8336351056"/>
    <s v=""/>
    <s v="SQM"/>
    <m/>
    <s v="Sociedad Quimica y Minera de Chile SA"/>
    <s v="USD"/>
    <n v="32.603000000000002"/>
    <m/>
    <n v="900"/>
    <n v="-29342.7"/>
    <n v="-23.47"/>
    <m/>
    <m/>
    <n v="-29366.170000000002"/>
    <n v="1.1311961267844619"/>
    <n v="-25960.281603400002"/>
    <x v="0"/>
  </r>
  <r>
    <d v="2019-06-11T00:00:00"/>
    <s v="BUY"/>
    <s v=""/>
    <s v="US0126531013"/>
    <s v=""/>
    <s v="ALB"/>
    <m/>
    <s v="Albemarle Corp"/>
    <s v="USD"/>
    <n v="72.140500000000003"/>
    <m/>
    <n v="900"/>
    <n v="-64926.450000000004"/>
    <n v="-51.94"/>
    <m/>
    <m/>
    <n v="-64978.390000000007"/>
    <n v="1.1311961267844619"/>
    <n v="-57442.196327800004"/>
    <x v="0"/>
  </r>
  <r>
    <d v="2019-06-11T00:00:00"/>
    <s v="BUY"/>
    <s v=""/>
    <s v="US53814L1089"/>
    <s v=""/>
    <s v="LTHM.K"/>
    <m/>
    <s v="Livent Corp"/>
    <s v="USD"/>
    <n v="6.8728999999999996"/>
    <m/>
    <n v="13600"/>
    <n v="-93471.439999999988"/>
    <n v="-74.78"/>
    <m/>
    <m/>
    <n v="-93546.219999999987"/>
    <n v="1.1311961267844619"/>
    <n v="-82696.729404399986"/>
    <x v="0"/>
  </r>
  <r>
    <d v="2019-06-11T00:00:00"/>
    <s v="BUY"/>
    <s v=""/>
    <s v="CA65401N1078"/>
    <s v=""/>
    <s v="nkl.v"/>
    <m/>
    <s v="CONIC METALS C/d"/>
    <s v="CAD"/>
    <n v="3.5383"/>
    <m/>
    <n v="24000"/>
    <n v="-84919.2"/>
    <n v="-67.94"/>
    <m/>
    <m/>
    <n v="-84987.14"/>
    <n v="1.5005316621795879"/>
    <n v="-56638.018471767842"/>
    <x v="0"/>
  </r>
  <r>
    <d v="2019-06-11T00:00:00"/>
    <s v="BUY"/>
    <s v=""/>
    <s v="US92336X1090"/>
    <s v=""/>
    <s v="VNE"/>
    <m/>
    <s v="Veoneer Inc"/>
    <s v="USD"/>
    <n v="17.306999999999999"/>
    <m/>
    <n v="2400"/>
    <n v="-41536.799999999996"/>
    <n v="-33.229999999999997"/>
    <m/>
    <m/>
    <n v="-41570.03"/>
    <n v="1.1311961267844619"/>
    <n v="-36748.737920599997"/>
    <x v="0"/>
  </r>
  <r>
    <d v="2019-06-11T00:00:00"/>
    <s v="BUY"/>
    <s v=""/>
    <s v="AU000000SYR9"/>
    <s v=""/>
    <s v="SYR.AX"/>
    <m/>
    <s v="Syrah Resources Ltd"/>
    <s v="AUD"/>
    <n v="1.0777000000000001"/>
    <m/>
    <n v="57400"/>
    <n v="-61859.98"/>
    <n v="-49.49"/>
    <m/>
    <m/>
    <n v="-61909.47"/>
    <n v="1.6191857500594877"/>
    <n v="-38234.939998530426"/>
    <x v="0"/>
  </r>
  <r>
    <d v="2019-06-11T00:00:00"/>
    <s v="BUY"/>
    <s v=""/>
    <s v="KR7042600007"/>
    <s v=""/>
    <s v="042600.KQ"/>
    <m/>
    <s v="Seronics Co Ltd"/>
    <s v="USD"/>
    <n v="4411.3977000000004"/>
    <m/>
    <n v="1760"/>
    <n v="-7764059.9520000005"/>
    <n v="-11646"/>
    <m/>
    <m/>
    <n v="-7775705.9520000005"/>
    <n v="1338.2276419085522"/>
    <n v="-5810.4508593997143"/>
    <x v="1"/>
  </r>
  <r>
    <d v="2019-06-11T00:00:00"/>
    <s v="BUY"/>
    <s v=""/>
    <s v="KR7006401004"/>
    <s v=""/>
    <s v="006405.KS"/>
    <m/>
    <s v="Samsung SDI Co Ltd"/>
    <s v="USD"/>
    <n v="89894.25"/>
    <m/>
    <n v="400"/>
    <n v="-35957700"/>
    <n v="-53937"/>
    <m/>
    <m/>
    <n v="-36011637"/>
    <n v="1338.2276419085536"/>
    <n v="-26909.948556017662"/>
    <x v="1"/>
  </r>
  <r>
    <d v="2019-06-11T00:00:00"/>
    <s v="BUY"/>
    <s v=""/>
    <s v="KR7051911006"/>
    <s v=""/>
    <s v="051915.KS"/>
    <m/>
    <s v="LG Chem Ltd"/>
    <s v="USD"/>
    <n v="189979.4118"/>
    <m/>
    <n v="170"/>
    <n v="-32296500.006000001"/>
    <n v="-48445"/>
    <m/>
    <m/>
    <n v="-32344945.006000001"/>
    <n v="1338.227641908557"/>
    <n v="-24169.987222704654"/>
    <x v="1"/>
  </r>
  <r>
    <d v="2019-06-11T00:00:00"/>
    <s v="BUY"/>
    <s v=""/>
    <s v="KR7096771001"/>
    <s v=""/>
    <s v="096775.KS"/>
    <m/>
    <s v="SK Innovation Co Ltd"/>
    <s v="USD"/>
    <n v="120400"/>
    <m/>
    <n v="260"/>
    <n v="-31304000"/>
    <n v="-46956"/>
    <m/>
    <m/>
    <n v="-31350956"/>
    <n v="1338.2276419085547"/>
    <n v="-23427.221960000665"/>
    <x v="1"/>
  </r>
  <r>
    <d v="2019-06-11T00:00:00"/>
    <s v="BUY"/>
    <s v=""/>
    <s v="SE0008348072"/>
    <s v=""/>
    <s v="ALELIO.ST"/>
    <m/>
    <s v="Alelion Energy Systems AB"/>
    <s v="SEK"/>
    <n v="1.2778"/>
    <m/>
    <n v="7196"/>
    <n v="-9195.0488000000005"/>
    <n v="-7.36"/>
    <m/>
    <m/>
    <n v="-9202.4088000000011"/>
    <n v="10.652360806316631"/>
    <n v="-863.88444470855336"/>
    <x v="2"/>
  </r>
  <r>
    <d v="2019-06-12T00:00:00"/>
    <s v="BUY"/>
    <s v=""/>
    <s v="KR7042600007"/>
    <s v=""/>
    <s v="042600.KQ"/>
    <m/>
    <s v="Seronics Co Ltd"/>
    <s v="KRW"/>
    <n v="4531.3842999999997"/>
    <m/>
    <n v="5920"/>
    <n v="-26825795.055999998"/>
    <n v="-40239"/>
    <m/>
    <m/>
    <n v="-26866034.055999998"/>
    <n v="1329.8373527762183"/>
    <n v="-20202.496192420418"/>
    <x v="3"/>
  </r>
  <r>
    <d v="2019-06-13T00:00:00"/>
    <s v="BUY"/>
    <s v=""/>
    <s v="KR7042600007"/>
    <s v=""/>
    <s v="042600.KQ"/>
    <m/>
    <s v="Seronics Co Ltd"/>
    <s v="KRW"/>
    <n v="4511.9632000000001"/>
    <m/>
    <n v="4727"/>
    <n v="-21328050.046399999"/>
    <n v="-31992"/>
    <m/>
    <m/>
    <n v="-21360042.046399999"/>
    <n v="1329.8373527762183"/>
    <n v="-16062.146248041518"/>
    <x v="4"/>
  </r>
  <r>
    <d v="2019-06-14T00:00:00"/>
    <s v="BUY"/>
    <s v=""/>
    <s v="SE0008348072"/>
    <s v=""/>
    <s v="ALELIO.ST"/>
    <m/>
    <s v="Alelion Energy Systems AB"/>
    <s v="SEK"/>
    <n v="1.3073999999999999"/>
    <m/>
    <n v="72685"/>
    <n v="-95028.368999999992"/>
    <n v="-76.02"/>
    <m/>
    <m/>
    <n v="-95104.388999999996"/>
    <n v="10.633987661245094"/>
    <n v="-8943.4360871606077"/>
    <x v="4"/>
  </r>
  <r>
    <d v="2019-06-20T00:00:00"/>
    <s v="BUY"/>
    <s v=""/>
    <s v="KR7042600007"/>
    <s v=""/>
    <s v="042600.KQ"/>
    <m/>
    <s v="Seronics Co Ltd"/>
    <s v="KRW"/>
    <n v="4545"/>
    <m/>
    <n v="4200"/>
    <n v="-19089000"/>
    <n v="-28125"/>
    <m/>
    <m/>
    <n v="-19117125"/>
    <n v="1314.8661541051674"/>
    <n v="-14539.217501579213"/>
    <x v="5"/>
  </r>
  <r>
    <d v="2019-06-20T00:00:00"/>
    <s v="BUY"/>
    <s v=""/>
    <s v="KR7006401004"/>
    <s v=""/>
    <s v="006405.KS"/>
    <m/>
    <s v="Samsung SDI Co Ltd"/>
    <s v="KRW"/>
    <n v="91600"/>
    <m/>
    <n v="600"/>
    <n v="-54960000"/>
    <n v="-82286"/>
    <m/>
    <m/>
    <n v="-55042286"/>
    <n v="1314.8661541051683"/>
    <n v="-41861.512541144548"/>
    <x v="5"/>
  </r>
  <r>
    <d v="2019-06-20T00:00:00"/>
    <s v="BUY"/>
    <s v=""/>
    <s v="KR7096771001"/>
    <s v=""/>
    <s v="096775.KS"/>
    <m/>
    <s v="SK Innovation Co Ltd"/>
    <s v="KRW"/>
    <n v="119500"/>
    <m/>
    <n v="500"/>
    <n v="-59750000"/>
    <n v="-89370"/>
    <m/>
    <m/>
    <n v="-59839370"/>
    <n v="1314.8661541051692"/>
    <n v="-45509.856507580131"/>
    <x v="5"/>
  </r>
  <r>
    <d v="2019-06-20T00:00:00"/>
    <s v="BUY"/>
    <s v=""/>
    <s v="KR7036830008"/>
    <s v=""/>
    <s v="036830.KQ"/>
    <m/>
    <s v="SoulBrain Co Ltd"/>
    <s v="KRW"/>
    <n v="47200"/>
    <m/>
    <n v="1200"/>
    <n v="-56640000"/>
    <n v="-84240"/>
    <m/>
    <m/>
    <n v="-56724240"/>
    <n v="1314.866154105169"/>
    <n v="-43140.695212893079"/>
    <x v="5"/>
  </r>
  <r>
    <d v="2019-06-20T00:00:00"/>
    <s v="BUY"/>
    <s v=""/>
    <s v="SE0008348072"/>
    <s v=""/>
    <s v="ALELIO.ST"/>
    <m/>
    <s v="Alelion Energy Systems AB"/>
    <s v="SEK"/>
    <n v="1.2777000000000001"/>
    <m/>
    <n v="27305"/>
    <n v="-34887.5985"/>
    <n v="-27.91"/>
    <m/>
    <m/>
    <n v="-34915.508500000004"/>
    <n v="10.648970200347936"/>
    <n v="-3278.7685422257264"/>
    <x v="6"/>
  </r>
  <r>
    <d v="2019-06-24T00:00:00"/>
    <s v="BUY"/>
    <s v=""/>
    <s v="AU000000SYR9"/>
    <s v=""/>
    <s v="SYR.AX"/>
    <m/>
    <s v="Syrah Resources Ltd"/>
    <s v="AUD"/>
    <n v="0.83"/>
    <m/>
    <n v="35000"/>
    <n v="-29050"/>
    <n v="-23.24"/>
    <m/>
    <m/>
    <n v="-29073.24"/>
    <n v="1.6311790077456365"/>
    <n v="-17823.45154145929"/>
    <x v="7"/>
  </r>
  <r>
    <d v="2019-06-24T00:00:00"/>
    <s v="BUY"/>
    <s v=""/>
    <s v="SE0008348072"/>
    <s v=""/>
    <s v="ALELIO.ST"/>
    <m/>
    <s v="Alelion Energy Systems AB"/>
    <s v="SEK"/>
    <n v="1.0893999999999999"/>
    <m/>
    <n v="110000"/>
    <n v="-119833.99999999999"/>
    <n v="-95.87"/>
    <m/>
    <m/>
    <n v="-119929.86999999998"/>
    <n v="10.630151525416109"/>
    <n v="-11282.047082137469"/>
    <x v="7"/>
  </r>
  <r>
    <d v="2019-06-27T00:00:00"/>
    <s v="BUY"/>
    <s v=""/>
    <s v="JP3866800000"/>
    <s v=""/>
    <s v="6752.T"/>
    <m/>
    <s v="Panasonic Corp"/>
    <s v="JPY"/>
    <n v="890"/>
    <m/>
    <n v="6700"/>
    <n v="-5963000"/>
    <n v="-4770"/>
    <m/>
    <m/>
    <n v="-5967770"/>
    <n v="121.79931582356893"/>
    <n v="-48996.744847438618"/>
    <x v="8"/>
  </r>
  <r>
    <d v="2019-07-16T00:00:00"/>
    <s v="SELL"/>
    <s v=""/>
    <s v="KR7036830008"/>
    <s v=""/>
    <s v="036830.KQ"/>
    <m/>
    <s v="SoulBrain Co Ltd"/>
    <s v="KRW"/>
    <n v="67739"/>
    <m/>
    <n v="-2200"/>
    <n v="149025800"/>
    <n v="-223539"/>
    <n v="-372543"/>
    <m/>
    <n v="148429718"/>
    <n v="1327.6560776279359"/>
    <n v="111798.31923429505"/>
    <x v="9"/>
  </r>
  <r>
    <d v="2019-07-16T00:00:00"/>
    <s v="BUY"/>
    <s v=""/>
    <s v="FR0000131757"/>
    <s v=""/>
    <s v="ERMT.PA"/>
    <m/>
    <s v="Eramet SA"/>
    <s v="EUR"/>
    <n v="52.545499999999997"/>
    <m/>
    <n v="550"/>
    <n v="-28900.024999999998"/>
    <n v="-23.13"/>
    <n v="-86.7"/>
    <m/>
    <n v="-29009.855"/>
    <n v="1"/>
    <n v="-29009.855"/>
    <x v="9"/>
  </r>
  <r>
    <d v="2019-07-16T00:00:00"/>
    <s v="BUY"/>
    <s v=""/>
    <s v="US53814L1089"/>
    <s v=""/>
    <s v="LTHM.K"/>
    <m/>
    <s v="Livent Corp"/>
    <s v="USD"/>
    <n v="7.2232000000000003"/>
    <m/>
    <n v="3000"/>
    <n v="-21669.600000000002"/>
    <n v="-17.34"/>
    <m/>
    <m/>
    <n v="-21686.940000000002"/>
    <n v="1.1256951167345834"/>
    <n v="-19265.376279600005"/>
    <x v="9"/>
  </r>
  <r>
    <d v="2019-07-17T00:00:00"/>
    <s v="BUY"/>
    <s v=""/>
    <s v="JP3866800000"/>
    <s v=""/>
    <s v="6752.T"/>
    <m/>
    <s v="Panasonic Corp"/>
    <s v="JPY"/>
    <n v="915.7"/>
    <m/>
    <n v="4200"/>
    <n v="-3845940"/>
    <n v="3077"/>
    <m/>
    <m/>
    <n v="-3842863"/>
    <n v="121.46250309566152"/>
    <n v="-31638.266148470819"/>
    <x v="10"/>
  </r>
  <r>
    <d v="2019-07-17T00:00:00"/>
    <s v="BUY"/>
    <s v=""/>
    <s v="FR0013176526"/>
    <s v=""/>
    <s v="VLOF.PA"/>
    <m/>
    <s v="Valeo SA"/>
    <s v="EUR"/>
    <n v="25.222000000000001"/>
    <m/>
    <n v="1000"/>
    <n v="-25222"/>
    <n v="-20.18"/>
    <n v="-75.67"/>
    <m/>
    <n v="-25317.85"/>
    <n v="1"/>
    <n v="-25317.85"/>
    <x v="10"/>
  </r>
  <r>
    <d v="2019-07-17T00:00:00"/>
    <s v="BUY"/>
    <s v=""/>
    <s v="DE0005439004"/>
    <s v=""/>
    <s v="CONG.DE"/>
    <m/>
    <s v="Continental AG"/>
    <s v="EUR"/>
    <n v="118.1623"/>
    <m/>
    <n v="200"/>
    <n v="-23632.46"/>
    <n v="-18.91"/>
    <m/>
    <m/>
    <n v="-23651.37"/>
    <n v="1"/>
    <n v="-23651.37"/>
    <x v="10"/>
  </r>
  <r>
    <d v="2019-07-19T00:00:00"/>
    <s v="BUY"/>
    <s v=""/>
    <s v="US92336X1090"/>
    <s v=""/>
    <s v="VNE"/>
    <m/>
    <s v="Veoneer Inc"/>
    <s v="USD"/>
    <n v="16.154900000000001"/>
    <m/>
    <n v="1700"/>
    <n v="-27463.33"/>
    <n v="-21.97"/>
    <m/>
    <m/>
    <n v="-27485.300000000003"/>
    <n v="1.1274974067559644"/>
    <n v="-24377.262276000001"/>
    <x v="11"/>
  </r>
  <r>
    <d v="2019-07-24T00:00:00"/>
    <s v="BUY"/>
    <s v=""/>
    <s v="DE0005565204"/>
    <s v=""/>
    <s v="DUEG.DE"/>
    <m/>
    <s v="Duerr AG"/>
    <s v="EUR"/>
    <n v="26.791699999999999"/>
    <m/>
    <n v="1120"/>
    <n v="-30006.703999999998"/>
    <n v="-24.01"/>
    <m/>
    <m/>
    <n v="-30030.713999999996"/>
    <n v="1"/>
    <n v="-30030.713999999996"/>
    <x v="12"/>
  </r>
  <r>
    <d v="2019-07-24T00:00:00"/>
    <s v="BUY"/>
    <s v=""/>
    <s v="US4883602074"/>
    <s v=""/>
    <s v="KEM"/>
    <m/>
    <s v="KEMET Corp"/>
    <s v="USD"/>
    <n v="20.86"/>
    <m/>
    <n v="1700"/>
    <n v="-35462"/>
    <n v="-28.37"/>
    <m/>
    <m/>
    <n v="-35490.370000000003"/>
    <n v="1.1138958507379559"/>
    <n v="-31861.479667500003"/>
    <x v="12"/>
  </r>
  <r>
    <d v="2019-07-25T00:00:00"/>
    <s v="BUY"/>
    <s v=""/>
    <s v="KR7086520004"/>
    <s v=""/>
    <s v="086520.KQ"/>
    <m/>
    <s v="Ecopro Co Ltd"/>
    <s v="KRW"/>
    <n v="24950.147099999998"/>
    <m/>
    <n v="1700"/>
    <n v="-42415250.07"/>
    <n v="-63622.875104999999"/>
    <m/>
    <m/>
    <n v="-42478872.945105001"/>
    <n v="1314.5810566694167"/>
    <n v="-32313.620167879344"/>
    <x v="13"/>
  </r>
  <r>
    <d v="2019-07-25T00:00:00"/>
    <s v="BUY"/>
    <s v=""/>
    <s v="KR7042600007"/>
    <s v=""/>
    <s v="042600.KQ"/>
    <m/>
    <s v="Seronics Co Ltd"/>
    <s v="KRW"/>
    <n v="4449.75"/>
    <m/>
    <n v="4200"/>
    <n v="-18688950"/>
    <n v="-28033"/>
    <m/>
    <m/>
    <n v="-18716983"/>
    <n v="1314.5810566694163"/>
    <n v="-14237.98320007805"/>
    <x v="13"/>
  </r>
  <r>
    <d v="2019-07-25T00:00:00"/>
    <s v="BUY"/>
    <s v=""/>
    <s v="KR7005070008"/>
    <s v=""/>
    <s v="005070.KS"/>
    <m/>
    <s v="Cosmo Advanced Materials &amp; Technology Co Ltd"/>
    <s v="KRW"/>
    <n v="12649.9167"/>
    <m/>
    <n v="3000"/>
    <n v="-37949750.100000001"/>
    <n v="-56925"/>
    <m/>
    <m/>
    <n v="-38006675.100000001"/>
    <n v="1311.5121136173759"/>
    <n v="-28979.278731304323"/>
    <x v="13"/>
  </r>
  <r>
    <d v="2019-07-25T00:00:00"/>
    <m/>
    <s v=""/>
    <s v="KR7005070008"/>
    <s v=""/>
    <s v="005070.KS"/>
    <m/>
    <s v="Cosmo Advanced Materials &amp; Technology Co Ltd"/>
    <m/>
    <m/>
    <m/>
    <n v="1155"/>
    <m/>
    <m/>
    <m/>
    <m/>
    <m/>
    <m/>
    <m/>
    <x v="14"/>
  </r>
  <r>
    <d v="2019-07-25T00:00:00"/>
    <s v="BUY"/>
    <s v=""/>
    <s v="KR7005420005"/>
    <s v=""/>
    <s v="005420.KS"/>
    <m/>
    <s v="Cosmo Chemical Co Ltd"/>
    <s v="KRW"/>
    <n v="10372.86"/>
    <m/>
    <n v="6700"/>
    <n v="-69498162"/>
    <n v="-104247"/>
    <m/>
    <m/>
    <n v="-69602409"/>
    <n v="1311.5121136173766"/>
    <n v="-53070.351602033283"/>
    <x v="13"/>
  </r>
  <r>
    <d v="2019-07-25T00:00:00"/>
    <m/>
    <s v=""/>
    <s v="KR7005420005"/>
    <s v=""/>
    <s v="005420.KS"/>
    <m/>
    <s v="Cosmo Chemical Co Ltd"/>
    <m/>
    <m/>
    <m/>
    <n v="5471"/>
    <m/>
    <m/>
    <m/>
    <m/>
    <m/>
    <m/>
    <m/>
    <x v="14"/>
  </r>
  <r>
    <d v="2019-07-25T00:00:00"/>
    <s v="BUY"/>
    <s v=""/>
    <s v="KR7086520004"/>
    <s v=""/>
    <s v="086520.KQ"/>
    <m/>
    <s v="Ecopro Co Ltd"/>
    <s v="KRW"/>
    <n v="24278.15"/>
    <m/>
    <n v="2000"/>
    <n v="-48556300"/>
    <n v="-72834.45"/>
    <m/>
    <m/>
    <n v="-48629134.450000003"/>
    <n v="1311.5121136173784"/>
    <n v="-37078.67731078167"/>
    <x v="13"/>
  </r>
  <r>
    <d v="2019-07-29T00:00:00"/>
    <s v="BUY"/>
    <s v=""/>
    <s v="FR0000131757"/>
    <s v=""/>
    <s v="ERMT.PA"/>
    <m/>
    <s v="Eramet SA"/>
    <s v="EUR"/>
    <n v="45.23"/>
    <m/>
    <n v="420"/>
    <n v="-18996.599999999999"/>
    <n v="-15.2"/>
    <n v="-56.69"/>
    <m/>
    <n v="-19068.489999999998"/>
    <n v="1"/>
    <n v="-19068.489999999998"/>
    <x v="15"/>
  </r>
  <r>
    <d v="2019-08-01T00:00:00"/>
    <s v="BUY"/>
    <s v=""/>
    <s v="FR0000131757"/>
    <s v=""/>
    <s v="ERMT.PA"/>
    <m/>
    <s v="Eramet SA"/>
    <s v="EUR"/>
    <n v="42.323999999999998"/>
    <m/>
    <n v="670"/>
    <n v="-28357.079999999998"/>
    <n v="-22.69"/>
    <n v="-85.07"/>
    <m/>
    <n v="-28464.839999999997"/>
    <n v="1"/>
    <n v="-28464.839999999997"/>
    <x v="9"/>
  </r>
  <r>
    <d v="2019-08-01T00:00:00"/>
    <s v="BUY"/>
    <s v=""/>
    <s v="AU000000SYR9"/>
    <s v=""/>
    <s v="SYR.AX"/>
    <m/>
    <s v="Syrah Resources Ltd"/>
    <s v="AUD"/>
    <n v="0.875"/>
    <m/>
    <n v="38120"/>
    <n v="-33355"/>
    <n v="-26.68"/>
    <m/>
    <m/>
    <n v="-33381.68"/>
    <n v="1.6231960027659422"/>
    <n v="-20565.403033963419"/>
    <x v="16"/>
  </r>
  <r>
    <d v="2019-08-01T00:00:00"/>
    <s v="BUY"/>
    <s v=""/>
    <s v="KR7096771001"/>
    <s v=""/>
    <s v="096775.KS"/>
    <m/>
    <s v="SK Innovation Co Ltd"/>
    <s v="KRW"/>
    <n v="117978.5714"/>
    <m/>
    <n v="420"/>
    <n v="-49550999.987999998"/>
    <n v="-74327"/>
    <m/>
    <m/>
    <n v="-49625326.987999998"/>
    <n v="1317.3250652450322"/>
    <n v="-37671.284254178616"/>
    <x v="16"/>
  </r>
  <r>
    <d v="2019-08-05T00:00:00"/>
    <s v="BUY"/>
    <s v=""/>
    <s v="FR0000120859"/>
    <s v=""/>
    <s v="IMTP.PA"/>
    <m/>
    <s v="Imerys SA"/>
    <s v="EUR"/>
    <n v="36.156799999999997"/>
    <m/>
    <n v="500"/>
    <n v="-18078.399999999998"/>
    <n v="-14.46"/>
    <n v="-54.24"/>
    <m/>
    <n v="-18147.099999999999"/>
    <n v="1"/>
    <n v="-18147.099999999999"/>
    <x v="17"/>
  </r>
  <r>
    <d v="2019-08-05T00:00:00"/>
    <s v="BUY"/>
    <s v=""/>
    <s v="FR0000131757"/>
    <s v=""/>
    <s v="ERMT.PA"/>
    <m/>
    <s v="Eramet SA"/>
    <s v="EUR"/>
    <n v="38.394300000000001"/>
    <m/>
    <n v="500"/>
    <n v="-19197.150000000001"/>
    <n v="-15.36"/>
    <n v="-57.59"/>
    <m/>
    <n v="-19270.100000000002"/>
    <n v="1"/>
    <n v="-19270.100000000002"/>
    <x v="17"/>
  </r>
  <r>
    <d v="2019-08-05T00:00:00"/>
    <s v="BUY"/>
    <s v=""/>
    <s v="US0126531013"/>
    <s v=""/>
    <s v="ALB"/>
    <m/>
    <s v="Albemarle Corp"/>
    <s v="USD"/>
    <n v="65.776700000000005"/>
    <m/>
    <n v="300"/>
    <n v="-19733.010000000002"/>
    <n v="-15.79"/>
    <m/>
    <m/>
    <n v="-19748.800000000003"/>
    <n v="1.1197957492553359"/>
    <n v="-17636.073376"/>
    <x v="17"/>
  </r>
  <r>
    <d v="2019-08-05T00:00:00"/>
    <s v="BUY"/>
    <s v=""/>
    <s v="US3843135084"/>
    <s v=""/>
    <s v="EAF"/>
    <m/>
    <s v="GrafTech International Ltd"/>
    <s v="USD"/>
    <n v="10.337300000000001"/>
    <m/>
    <n v="3500"/>
    <n v="-36180.550000000003"/>
    <n v="-28.94"/>
    <m/>
    <m/>
    <n v="-36209.490000000005"/>
    <n v="1.1197957492553359"/>
    <n v="-32335.798759800004"/>
    <x v="17"/>
  </r>
  <r>
    <d v="2019-08-05T00:00:00"/>
    <s v="BUY"/>
    <s v=""/>
    <s v="US53814L1089"/>
    <s v=""/>
    <s v="LTHM.K"/>
    <m/>
    <s v="Livent Corp"/>
    <s v="USD"/>
    <n v="5.7782999999999998"/>
    <m/>
    <n v="3300"/>
    <n v="-19068.39"/>
    <n v="-15.25"/>
    <m/>
    <m/>
    <n v="-19083.64"/>
    <n v="1.1197957492553359"/>
    <n v="-17042.072192799998"/>
    <x v="17"/>
  </r>
  <r>
    <d v="2019-08-05T00:00:00"/>
    <s v="BUY"/>
    <s v=""/>
    <s v="US3434121022"/>
    <s v=""/>
    <s v="FLR"/>
    <m/>
    <s v="Fluor Corp"/>
    <s v="USD"/>
    <n v="21.964200000000002"/>
    <m/>
    <n v="2200"/>
    <n v="-48321.240000000005"/>
    <n v="-38.659999999999997"/>
    <m/>
    <m/>
    <n v="-48359.900000000009"/>
    <n v="1.1197957492553359"/>
    <n v="-43186.357898000009"/>
    <x v="17"/>
  </r>
  <r>
    <d v="2019-08-06T00:00:00"/>
    <s v="BUY"/>
    <s v=""/>
    <s v="JP3404600003"/>
    <s v=""/>
    <s v="8053.T"/>
    <m/>
    <s v="Sumitomo Corp"/>
    <s v="JPY"/>
    <n v="1486"/>
    <m/>
    <n v="2200"/>
    <n v="-3269200"/>
    <n v="-2615"/>
    <m/>
    <m/>
    <n v="-3271815"/>
    <n v="119.2246534232152"/>
    <n v="-27442.43666103137"/>
    <x v="18"/>
  </r>
  <r>
    <d v="2019-08-06T00:00:00"/>
    <s v="BUY"/>
    <s v=""/>
    <s v="JP3691600005"/>
    <s v=""/>
    <s v="4092.T"/>
    <m/>
    <s v="Nippon Chemical Industrial Co Ltd"/>
    <s v="JPY"/>
    <n v="1825.4118000000001"/>
    <m/>
    <n v="1700"/>
    <n v="-3103200.06"/>
    <n v="-2483"/>
    <m/>
    <m/>
    <n v="-3105683.06"/>
    <n v="119.22465342321564"/>
    <n v="-26049.000528235178"/>
    <x v="18"/>
  </r>
  <r>
    <d v="2019-08-06T00:00:00"/>
    <s v="BUY"/>
    <s v=""/>
    <s v="JP3401400001"/>
    <s v=""/>
    <s v="4005.T"/>
    <m/>
    <s v="Sumitomo Chemical Co Ltd"/>
    <s v="JPY"/>
    <n v="446"/>
    <m/>
    <n v="4200"/>
    <n v="-1873200"/>
    <n v="-1499"/>
    <m/>
    <m/>
    <n v="-1874699"/>
    <n v="119.22465342321568"/>
    <n v="-15724.088484831398"/>
    <x v="18"/>
  </r>
  <r>
    <d v="2019-08-09T00:00:00"/>
    <s v="BUY"/>
    <s v=""/>
    <s v="US3434121022"/>
    <s v=""/>
    <s v="flr"/>
    <m/>
    <s v="Fluor Corp"/>
    <s v="USD"/>
    <n v="19.554300000000001"/>
    <m/>
    <n v="1100"/>
    <n v="-21509.730000000003"/>
    <n v="-17.21"/>
    <m/>
    <m/>
    <n v="-21526.940000000002"/>
    <n v="1.1178055241949005"/>
    <n v="-19258.215793400002"/>
    <x v="19"/>
  </r>
  <r>
    <d v="2019-08-12T00:00:00"/>
    <s v="BUY"/>
    <s v=""/>
    <s v="FR0000131906"/>
    <s v=""/>
    <s v="RENA.PA"/>
    <m/>
    <s v="Renault SA"/>
    <s v="EUR"/>
    <n v="51.334699999999998"/>
    <m/>
    <n v="690"/>
    <n v="-35420.942999999999"/>
    <n v="-28.34"/>
    <n v="-106.26"/>
    <m/>
    <n v="-35555.542999999998"/>
    <n v="1"/>
    <n v="-35555.542999999998"/>
    <x v="20"/>
  </r>
  <r>
    <d v="2019-08-12T00:00:00"/>
    <s v="BUY"/>
    <s v=""/>
    <s v="DE0005565204"/>
    <s v=""/>
    <s v="DUEG.DE"/>
    <m/>
    <s v="Duerr AG"/>
    <s v="EUR"/>
    <n v="22.830000000000002"/>
    <m/>
    <n v="1100"/>
    <n v="-25113.000000000004"/>
    <n v="-20.100000000000001"/>
    <m/>
    <m/>
    <n v="-25133.100000000002"/>
    <n v="1"/>
    <n v="-25133.100000000002"/>
    <x v="20"/>
  </r>
  <r>
    <d v="2019-08-12T00:00:00"/>
    <s v="BUY"/>
    <s v=""/>
    <s v="US53814L1089"/>
    <s v=""/>
    <s v="LTHM.K"/>
    <m/>
    <s v="Livent Corp"/>
    <s v="USD"/>
    <n v="6.5266000000000002"/>
    <m/>
    <n v="2200"/>
    <n v="-14358.52"/>
    <n v="-11.49"/>
    <m/>
    <m/>
    <n v="-14370.01"/>
    <n v="1.1197957492553359"/>
    <n v="-12832.706330200001"/>
    <x v="20"/>
  </r>
  <r>
    <d v="2019-08-12T00:00:00"/>
    <s v="BUY"/>
    <s v=""/>
    <s v="FR0000120859"/>
    <s v=""/>
    <s v="IMTP.PA"/>
    <m/>
    <s v="Imerys SA"/>
    <s v="EUR"/>
    <n v="35.756999999999998"/>
    <m/>
    <n v="1000"/>
    <n v="-35757"/>
    <n v="-28.61"/>
    <n v="-107.27"/>
    <m/>
    <n v="-35892.879999999997"/>
    <n v="1"/>
    <n v="-35892.879999999997"/>
    <x v="20"/>
  </r>
  <r>
    <d v="2019-08-12T00:00:00"/>
    <s v="BUY"/>
    <s v=""/>
    <s v="AU000000SYR9"/>
    <s v=""/>
    <s v="SYR.AX"/>
    <m/>
    <s v="Syrah Resources Ltd"/>
    <s v="AUD"/>
    <n v="0.78680000000000005"/>
    <m/>
    <n v="25000"/>
    <n v="-19670"/>
    <n v="-15.74"/>
    <m/>
    <m/>
    <n v="-19685.740000000002"/>
    <n v="1.6499182549103031"/>
    <n v="-11931.342623438157"/>
    <x v="21"/>
  </r>
  <r>
    <d v="2019-08-12T00:00:00"/>
    <s v="BUY"/>
    <s v=""/>
    <s v="JP3627400009"/>
    <s v=""/>
    <s v="4100.T"/>
    <m/>
    <s v="Toda Kogyo Corp"/>
    <s v="JPY"/>
    <n v="2111.7332999999999"/>
    <m/>
    <n v="1500"/>
    <n v="-3167599.9499999997"/>
    <n v="-2534"/>
    <m/>
    <m/>
    <n v="-3170133.9499999997"/>
    <n v="118.31761886631878"/>
    <n v="-26793.422487497632"/>
    <x v="21"/>
  </r>
  <r>
    <d v="2019-08-16T00:00:00"/>
    <s v="BUY"/>
    <s v=""/>
    <s v="CNE100001TJ4"/>
    <s v=""/>
    <s v="1958.HK"/>
    <m/>
    <s v="BAIC Motor Corp Ltd"/>
    <s v="HKD"/>
    <n v="4.3367164179104503"/>
    <m/>
    <n v="67000"/>
    <n v="-290560"/>
    <n v="-435.84"/>
    <n v="-313.38"/>
    <m/>
    <n v="-291309.22000000003"/>
    <n v="8.6884864595447784"/>
    <n v="-33528.189444316959"/>
    <x v="22"/>
  </r>
  <r>
    <d v="2019-08-16T00:00:00"/>
    <s v="BUY"/>
    <s v=""/>
    <s v="FR0000131906"/>
    <s v=""/>
    <s v="rena.pa"/>
    <m/>
    <s v="Renault SA"/>
    <s v="EUR"/>
    <n v="47.897599999999997"/>
    <m/>
    <n v="690"/>
    <n v="-33049.343999999997"/>
    <n v="-26.44"/>
    <m/>
    <m/>
    <n v="-33075.784"/>
    <n v="1"/>
    <n v="-33075.784"/>
    <x v="22"/>
  </r>
  <r>
    <d v="2019-08-16T00:00:00"/>
    <s v="BUY"/>
    <s v=""/>
    <s v="DE0005190003"/>
    <s v=""/>
    <s v="bmwg.de"/>
    <m/>
    <s v="Bayerische Motoren Werke AG"/>
    <s v="EUR"/>
    <n v="59.207299999999996"/>
    <m/>
    <n v="1000"/>
    <n v="-59207.299999999996"/>
    <n v="-47.37"/>
    <m/>
    <m/>
    <n v="-59254.67"/>
    <n v="1"/>
    <n v="-59254.67"/>
    <x v="22"/>
  </r>
  <r>
    <d v="2019-08-16T00:00:00"/>
    <s v="BUY"/>
    <s v=""/>
    <s v="DE0005439004"/>
    <s v=""/>
    <s v="CONG.DE"/>
    <m/>
    <s v="Continental AG"/>
    <s v="EUR"/>
    <n v="104.3563"/>
    <m/>
    <n v="420"/>
    <n v="-43829.646000000001"/>
    <n v="-35.06"/>
    <m/>
    <m/>
    <n v="-43864.705999999998"/>
    <n v="1"/>
    <n v="-43864.705999999998"/>
    <x v="22"/>
  </r>
  <r>
    <d v="2019-08-16T00:00:00"/>
    <s v="BUY"/>
    <s v=""/>
    <s v="DE0007235301"/>
    <s v=""/>
    <s v="SGCG.DE"/>
    <m/>
    <s v="SGL Carbon SE"/>
    <s v="EUR"/>
    <n v="3.9175"/>
    <m/>
    <n v="17000"/>
    <n v="-66597.5"/>
    <n v="-53.28"/>
    <m/>
    <m/>
    <n v="-66650.78"/>
    <n v="1"/>
    <n v="-66650.78"/>
    <x v="22"/>
  </r>
  <r>
    <d v="2019-08-16T00:00:00"/>
    <s v="BUY"/>
    <s v=""/>
    <s v="FR0000131757"/>
    <s v=""/>
    <s v="ERMT.PA"/>
    <m/>
    <s v="Eramet SA"/>
    <s v="EUR"/>
    <n v="38.0824"/>
    <m/>
    <n v="670"/>
    <n v="-25515.207999999999"/>
    <n v="-20.41"/>
    <n v="-76.55"/>
    <m/>
    <n v="-25612.167999999998"/>
    <n v="1"/>
    <n v="-25612.167999999998"/>
    <x v="22"/>
  </r>
  <r>
    <d v="2019-08-16T00:00:00"/>
    <s v="BUY"/>
    <s v=""/>
    <s v="FR0000120859"/>
    <s v=""/>
    <s v="IMTP.PA"/>
    <m/>
    <s v="Imerys SA"/>
    <s v="EUR"/>
    <n v="35.528500000000001"/>
    <m/>
    <n v="670"/>
    <n v="-23804.095000000001"/>
    <n v="-19.04"/>
    <n v="-71.41"/>
    <m/>
    <n v="-23894.545000000002"/>
    <n v="1"/>
    <n v="-23894.545000000002"/>
    <x v="22"/>
  </r>
  <r>
    <d v="2019-08-19T00:00:00"/>
    <s v="BUY"/>
    <s v=""/>
    <s v="AU000000SYR9"/>
    <s v=""/>
    <s v="SYR.AX"/>
    <m/>
    <s v="Syrah Resources Ltd"/>
    <s v="AUD"/>
    <n v="0.72240000000000004"/>
    <m/>
    <n v="42000"/>
    <n v="-30340.800000000003"/>
    <n v="-24.27"/>
    <m/>
    <m/>
    <n v="-30365.070000000003"/>
    <n v="1.6355581676443511"/>
    <n v="-18565.570213705068"/>
    <x v="23"/>
  </r>
  <r>
    <d v="2019-08-19T00:00:00"/>
    <s v="BUY"/>
    <s v=""/>
    <s v="JP3111200006"/>
    <s v=""/>
    <s v="3407.T"/>
    <m/>
    <s v="Asahi Kasei Corp"/>
    <s v="JPY"/>
    <n v="963.8"/>
    <m/>
    <n v="4200"/>
    <n v="-4047960"/>
    <n v="-3238"/>
    <m/>
    <m/>
    <n v="-4051198"/>
    <n v="117.94320185409018"/>
    <n v="-34348.719861037993"/>
    <x v="23"/>
  </r>
  <r>
    <d v="2019-08-19T00:00:00"/>
    <s v="BUY"/>
    <s v=""/>
    <s v="JP3551500006"/>
    <s v=""/>
    <s v="6902.T"/>
    <m/>
    <s v="Denso Corp"/>
    <s v="JPY"/>
    <n v="4297"/>
    <m/>
    <n v="1100"/>
    <n v="-4726700"/>
    <n v="-3781"/>
    <m/>
    <m/>
    <n v="-4730481"/>
    <n v="117.94320185409016"/>
    <n v="-40108.127688886809"/>
    <x v="23"/>
  </r>
  <r>
    <d v="2019-08-19T00:00:00"/>
    <s v="BUY"/>
    <s v=""/>
    <s v="JP3866800000"/>
    <s v=""/>
    <s v="6752.T"/>
    <m/>
    <s v="Panasonic Corp"/>
    <s v="JPY"/>
    <n v="810"/>
    <m/>
    <n v="4200"/>
    <n v="-3402000"/>
    <n v="-2722"/>
    <m/>
    <m/>
    <n v="-3404722"/>
    <n v="117.94320185409012"/>
    <n v="-28867.471346182796"/>
    <x v="23"/>
  </r>
  <r>
    <d v="2019-08-19T00:00:00"/>
    <s v="BUY"/>
    <s v=""/>
    <s v="JP3627400009"/>
    <s v=""/>
    <s v="4100.T"/>
    <m/>
    <s v="Toda Kogyo Corp"/>
    <s v="JPY"/>
    <n v="2142.89"/>
    <m/>
    <n v="1000"/>
    <n v="-2142890"/>
    <n v="-1714"/>
    <m/>
    <m/>
    <n v="-2144604"/>
    <n v="117.94320185408995"/>
    <n v="-18183.362553215535"/>
    <x v="23"/>
  </r>
  <r>
    <d v="2019-08-19T00:00:00"/>
    <s v="BUY"/>
    <s v=""/>
    <s v="KR7051911006"/>
    <s v=""/>
    <s v="051915.KS"/>
    <m/>
    <s v="LG Chem Ltd"/>
    <s v="KRW"/>
    <n v="162867.85709999999"/>
    <m/>
    <n v="420"/>
    <n v="-68404499.981999993"/>
    <n v="-102607"/>
    <m/>
    <m/>
    <n v="-68507106.981999993"/>
    <n v="1338.9702702403054"/>
    <n v="-51164.023955292905"/>
    <x v="23"/>
  </r>
  <r>
    <d v="2019-08-19T00:00:00"/>
    <s v="BUY"/>
    <s v=""/>
    <s v="KR7096771001"/>
    <s v=""/>
    <s v="096775.KS"/>
    <m/>
    <s v="SK Innovation Co Ltd"/>
    <s v="KRW"/>
    <n v="111038.806"/>
    <m/>
    <n v="670"/>
    <n v="-74396000.019999996"/>
    <n v="-111594"/>
    <m/>
    <m/>
    <n v="-74507594.019999996"/>
    <n v="1338.9702702402999"/>
    <n v="-55645.443125954094"/>
    <x v="23"/>
  </r>
  <r>
    <d v="2019-08-20T00:00:00"/>
    <s v="BUY"/>
    <s v=""/>
    <s v="JP3692000007"/>
    <s v=""/>
    <s v="4094.T"/>
    <m/>
    <s v="Nihon Kagaku Sangyo Co Ltd"/>
    <s v="JPY"/>
    <n v="958.28570000000002"/>
    <m/>
    <n v="700"/>
    <n v="-670799.99"/>
    <n v="-537"/>
    <m/>
    <m/>
    <n v="-671336.99"/>
    <n v="117.89384892006485"/>
    <n v="-5694.4191418772343"/>
    <x v="24"/>
  </r>
  <r>
    <d v="2019-08-21T00:00:00"/>
    <s v="BUY"/>
    <s v=""/>
    <s v="JP3692000007"/>
    <s v=""/>
    <s v="4094.T"/>
    <m/>
    <s v="Nihon Kagaku Sangyo Co Ltd"/>
    <s v="JPY"/>
    <n v="966.47500000000002"/>
    <m/>
    <n v="400"/>
    <n v="-386590"/>
    <n v="-309"/>
    <m/>
    <m/>
    <n v="-386899"/>
    <n v="117.89384892006485"/>
    <n v="-3281.7573057804548"/>
    <x v="25"/>
  </r>
  <r>
    <d v="2019-08-22T00:00:00"/>
    <s v="BUY"/>
    <s v=""/>
    <s v="DE000A2E4LE9"/>
    <s v=""/>
    <s v="VBX.DE"/>
    <m/>
    <s v="Voltabox AG"/>
    <s v="EUR"/>
    <n v="6.7412999999999998"/>
    <m/>
    <n v="3300"/>
    <n v="-22246.29"/>
    <n v="-17.8"/>
    <m/>
    <m/>
    <n v="-22264.09"/>
    <n v="1"/>
    <n v="-22264.09"/>
    <x v="26"/>
  </r>
  <r>
    <d v="2019-08-23T00:00:00"/>
    <s v="BUY"/>
    <s v=""/>
    <s v="JP3692000007"/>
    <s v=""/>
    <s v="4094.T"/>
    <m/>
    <s v="Nihon Kagaku Sangyo Co Ltd"/>
    <s v="JPY"/>
    <n v="943.4"/>
    <m/>
    <n v="1500"/>
    <n v="-1415100"/>
    <n v="-1132"/>
    <m/>
    <m/>
    <n v="-1416232"/>
    <n v="117.89207812205744"/>
    <n v="-12012.953054688965"/>
    <x v="27"/>
  </r>
  <r>
    <d v="2019-08-23T00:00:00"/>
    <s v="BUY"/>
    <s v=""/>
    <s v="US0126531013"/>
    <s v=""/>
    <s v="ALB"/>
    <m/>
    <s v="Albemarle Corp"/>
    <s v="USD"/>
    <n v="60.9559"/>
    <m/>
    <n v="420"/>
    <n v="-25601.477999999999"/>
    <n v="-20.48"/>
    <m/>
    <m/>
    <n v="-25621.957999999999"/>
    <n v="1.1078000199404003"/>
    <n v="-23128.685267019999"/>
    <x v="27"/>
  </r>
  <r>
    <d v="2019-08-26T00:00:00"/>
    <s v="BUY"/>
    <s v=""/>
    <s v="JP3692000007"/>
    <s v=""/>
    <s v="4094.T"/>
    <m/>
    <s v="Nihon Kagaku Sangyo Co Ltd"/>
    <s v="JPY"/>
    <n v="935.63639999999998"/>
    <m/>
    <n v="1100"/>
    <n v="-1029200.0399999999"/>
    <n v="-823"/>
    <m/>
    <m/>
    <n v="-1030023.0399999999"/>
    <n v="117.89207812205744"/>
    <n v="-8736.9996051268517"/>
    <x v="28"/>
  </r>
  <r>
    <d v="2019-08-27T00:00:00"/>
    <s v="BUY"/>
    <s v=""/>
    <s v="JP3692000007"/>
    <s v=""/>
    <s v="4094.T"/>
    <m/>
    <s v="Nihon Kagaku Sangyo Co Ltd"/>
    <s v="JPY"/>
    <n v="954.5"/>
    <m/>
    <n v="200"/>
    <n v="-190900"/>
    <n v="-151"/>
    <m/>
    <m/>
    <n v="-191051"/>
    <n v="117.79331779331774"/>
    <n v="-1621.9171306068608"/>
    <x v="29"/>
  </r>
  <r>
    <d v="2019-08-27T00:00:00"/>
    <s v="BUY"/>
    <s v=""/>
    <s v="US55315J1025"/>
    <s v=""/>
    <s v="NKELyq.L"/>
    <m/>
    <s v="GMK Noril'skiy Nikel' PAO"/>
    <s v="USD"/>
    <n v="23.111499999999999"/>
    <m/>
    <n v="1700"/>
    <n v="-39289.549999999996"/>
    <n v="-31.43"/>
    <m/>
    <m/>
    <n v="-39320.979999999996"/>
    <n v="1.1144047963982437"/>
    <n v="-35284.288193199995"/>
    <x v="29"/>
  </r>
  <r>
    <d v="2019-08-28T00:00:00"/>
    <s v="BUY"/>
    <s v=""/>
    <s v="JP3399720006"/>
    <s v=""/>
    <s v="4109.T"/>
    <m/>
    <s v="Stella Chemifa Corp"/>
    <s v="JPY"/>
    <n v="2545.9908999999998"/>
    <m/>
    <n v="1100"/>
    <n v="-2800589.9899999998"/>
    <n v="-2240"/>
    <m/>
    <m/>
    <n v="-2802829.9899999998"/>
    <n v="117.24390325049072"/>
    <n v="-23905.976449895006"/>
    <x v="30"/>
  </r>
  <r>
    <d v="2019-08-28T00:00:00"/>
    <s v="SELL"/>
    <s v=""/>
    <s v="KR7036830008"/>
    <s v=""/>
    <s v="036830.KQ"/>
    <m/>
    <s v="SoulBrain Co Ltd"/>
    <s v="KRW"/>
    <n v="72383.913"/>
    <m/>
    <n v="-690"/>
    <n v="49944899.969999999"/>
    <n v="-74917"/>
    <n v="-124860"/>
    <m/>
    <n v="49745122.969999999"/>
    <n v="1343.8245112064858"/>
    <n v="37017.573764403824"/>
    <x v="30"/>
  </r>
  <r>
    <d v="2019-08-29T00:00:00"/>
    <s v="BUY"/>
    <s v=""/>
    <s v="FR0000120859"/>
    <s v=""/>
    <s v="IMTP.PA"/>
    <m/>
    <s v="Imerys SA"/>
    <s v="EUR"/>
    <n v="36.426900000000003"/>
    <m/>
    <n v="420"/>
    <n v="-15299.298000000001"/>
    <n v="-12.24"/>
    <m/>
    <m/>
    <n v="-15311.538"/>
    <n v="1"/>
    <n v="-15311.538"/>
    <x v="31"/>
  </r>
  <r>
    <d v="2019-08-30T00:00:00"/>
    <s v="BUY"/>
    <s v=""/>
    <s v="JP3368000000"/>
    <s v=""/>
    <s v="4004.T"/>
    <m/>
    <s v="Showa Denko KK"/>
    <s v="JPY"/>
    <n v="2705.1505999999999"/>
    <m/>
    <n v="1100"/>
    <n v="-2975665.66"/>
    <n v="-2381"/>
    <m/>
    <m/>
    <n v="-2978046.66"/>
    <n v="116.80219780219767"/>
    <n v="-25496.495066328"/>
    <x v="32"/>
  </r>
  <r>
    <d v="2019-08-30T00:00:00"/>
    <s v="BUY"/>
    <s v=""/>
    <s v="JP3690400001"/>
    <s v=""/>
    <s v="5302.T"/>
    <m/>
    <s v="Nippon Carbon Co Ltd"/>
    <s v="JPY"/>
    <n v="3540.5882000000001"/>
    <m/>
    <n v="1100"/>
    <n v="-3894647.02"/>
    <n v="-3116"/>
    <m/>
    <m/>
    <n v="-3897763.02"/>
    <n v="116.80219780219785"/>
    <n v="-33370.630804403037"/>
    <x v="32"/>
  </r>
  <r>
    <d v="2019-08-30T00:00:00"/>
    <s v="SELL"/>
    <s v=""/>
    <s v="JP3560800009"/>
    <s v=""/>
    <s v="5301.T"/>
    <m/>
    <s v="Tokai Carbon Co Ltd"/>
    <s v="JPY"/>
    <n v="1015.9118"/>
    <m/>
    <n v="-8000"/>
    <n v="8127294.3999999994"/>
    <n v="-6502"/>
    <m/>
    <m/>
    <n v="8120792.3999999994"/>
    <n v="116.80219780219775"/>
    <n v="69526.023934518787"/>
    <x v="32"/>
  </r>
  <r>
    <d v="2019-09-10T00:00:00"/>
    <s v="BUY"/>
    <s v=""/>
    <s v="AU000000SYR9"/>
    <s v=""/>
    <s v="SYR.AX"/>
    <m/>
    <s v="Syrah Resources Ltd"/>
    <s v="AUD"/>
    <n v="0.48"/>
    <m/>
    <n v="90000"/>
    <n v="-43200"/>
    <n v="-34.56"/>
    <m/>
    <m/>
    <n v="-43234.559999999998"/>
    <n v="1.6099568103743467"/>
    <n v="-26854.48436964412"/>
    <x v="33"/>
  </r>
  <r>
    <d v="2019-09-12T00:00:00"/>
    <s v="SELL"/>
    <s v=""/>
    <s v="DE0006062144"/>
    <s v=""/>
    <s v="1COV.DE"/>
    <m/>
    <s v="Covestro AG"/>
    <s v="EUR"/>
    <n v="44.3949"/>
    <m/>
    <n v="-700"/>
    <n v="31076.43"/>
    <n v="-24.86"/>
    <m/>
    <m/>
    <n v="31051.57"/>
    <n v="1"/>
    <n v="31051.57"/>
    <x v="34"/>
  </r>
  <r>
    <d v="2019-10-17T00:00:00"/>
    <s v="BUY"/>
    <s v=""/>
    <s v="AU000000SYR9"/>
    <s v=""/>
    <s v="SYR.AX"/>
    <m/>
    <s v="Syrah Resources Ltd"/>
    <s v="AUD"/>
    <n v="0.45"/>
    <m/>
    <n v="70000"/>
    <n v="-31500"/>
    <n v="-25.2"/>
    <m/>
    <m/>
    <n v="-31525.200000000001"/>
    <n v="1.6300716255894638"/>
    <n v="-19339.763667501364"/>
    <x v="35"/>
  </r>
  <r>
    <d v="2019-10-17T00:00:00"/>
    <s v="BUY"/>
    <s v=""/>
    <s v="KR7005420005"/>
    <s v=""/>
    <s v="005420.KS"/>
    <m/>
    <s v="Cosmo Chemical Co Ltd"/>
    <s v="KRW"/>
    <n v="6298.45"/>
    <m/>
    <n v="4300"/>
    <n v="-27083335"/>
    <n v="-40625"/>
    <m/>
    <m/>
    <n v="-27123960"/>
    <n v="1310.8372631016996"/>
    <n v="-20692.087998642455"/>
    <x v="35"/>
  </r>
  <r>
    <d v="2019-10-18T00:00:00"/>
    <s v="BUY"/>
    <s v=""/>
    <s v="FR0000131906"/>
    <s v=""/>
    <s v="RENA.PA"/>
    <m/>
    <s v="Renault SA"/>
    <s v="EUR"/>
    <n v="48.424050000000001"/>
    <m/>
    <n v="550"/>
    <n v="-26633.227500000001"/>
    <n v="-15.98"/>
    <n v="-79.900000000000006"/>
    <m/>
    <n v="-26729.107500000002"/>
    <n v="1"/>
    <n v="-26729.107500000002"/>
    <x v="36"/>
  </r>
  <r>
    <d v="2019-10-21T00:00:00"/>
    <s v="BUY"/>
    <s v=""/>
    <s v="KR7051911006"/>
    <s v=""/>
    <s v="051915.KS"/>
    <m/>
    <s v="LG Chem Ltd"/>
    <s v="KRW"/>
    <n v="165748.3333"/>
    <m/>
    <n v="600"/>
    <n v="-99448999.980000004"/>
    <n v="-59669"/>
    <m/>
    <m/>
    <n v="-99508668.980000004"/>
    <n v="1310.8372631016944"/>
    <n v="-75912.298025876415"/>
    <x v="37"/>
  </r>
  <r>
    <d v="2019-10-22T00:00:00"/>
    <s v="BUY"/>
    <s v=""/>
    <s v="FR0000120859"/>
    <s v=""/>
    <s v="IMTP.PA"/>
    <m/>
    <s v="Imerys SA"/>
    <s v="EUR"/>
    <n v="32.761699999999998"/>
    <m/>
    <n v="690"/>
    <n v="-22605.572999999997"/>
    <n v="-18.079999999999998"/>
    <n v="-67.819999999999993"/>
    <m/>
    <n v="-22691.472999999998"/>
    <n v="1"/>
    <n v="-22691.472999999998"/>
    <x v="38"/>
  </r>
  <r>
    <d v="2019-10-24T00:00:00"/>
    <s v="SELL"/>
    <s v=""/>
    <s v="JP3631600008"/>
    <s v=""/>
    <s v="6309.T"/>
    <m/>
    <s v="Tomoe Engineering Co Ltd"/>
    <s v="JPY"/>
    <n v="2387"/>
    <m/>
    <n v="-1700"/>
    <n v="4057900"/>
    <n v="-3246"/>
    <m/>
    <m/>
    <n v="4054654"/>
    <n v="120.95042012130651"/>
    <n v="33523.273387007743"/>
    <x v="39"/>
  </r>
  <r>
    <d v="2019-10-24T00:00:00"/>
    <s v="BUY"/>
    <s v=""/>
    <s v="US35671D8570"/>
    <s v=""/>
    <s v="FCX"/>
    <m/>
    <s v="Freeport-McMoRan Inc"/>
    <s v="USD"/>
    <n v="9.6992999999999991"/>
    <m/>
    <n v="3200"/>
    <n v="-31037.759999999998"/>
    <n v="24.83"/>
    <m/>
    <m/>
    <n v="-31012.929999999997"/>
    <n v="1.1129041233097769"/>
    <n v="-27866.668251499996"/>
    <x v="40"/>
  </r>
  <r>
    <d v="2019-10-24T00:00:00"/>
    <s v="BUY"/>
    <s v=""/>
    <s v="AU000000PLS0"/>
    <s v=""/>
    <s v="PLS.AX"/>
    <m/>
    <s v="Pilbara Minerals Ltd"/>
    <s v="AUD"/>
    <n v="0.28289999999999998"/>
    <m/>
    <n v="150000"/>
    <n v="-42435"/>
    <n v="-33.950000000000003"/>
    <m/>
    <m/>
    <n v="-42468.95"/>
    <n v="1.6239608257748599"/>
    <n v="-26151.462107921401"/>
    <x v="39"/>
  </r>
  <r>
    <d v="2019-10-24T00:00:00"/>
    <s v="SELL"/>
    <s v=""/>
    <s v="JP3538800008"/>
    <s v=""/>
    <s v="6762.T"/>
    <m/>
    <s v="TDK Corp"/>
    <s v="JPY"/>
    <n v="10690"/>
    <m/>
    <n v="-600"/>
    <n v="6414000"/>
    <n v="-5131"/>
    <m/>
    <m/>
    <n v="6408869"/>
    <n v="120.95042012130651"/>
    <n v="52987.571217795383"/>
    <x v="39"/>
  </r>
  <r>
    <d v="2019-10-24T00:00:00"/>
    <s v="SELL"/>
    <s v=""/>
    <s v="JP3691600005"/>
    <s v=""/>
    <s v="4092.T"/>
    <m/>
    <s v="Nippon Chemical Industrial Co Ltd"/>
    <s v="JPY"/>
    <n v="3255"/>
    <m/>
    <n v="-2000"/>
    <n v="6510000"/>
    <n v="-5208"/>
    <m/>
    <m/>
    <n v="6504792"/>
    <n v="120.95042012130675"/>
    <n v="53780.648248067635"/>
    <x v="39"/>
  </r>
  <r>
    <d v="2019-10-25T00:00:00"/>
    <s v="BUY"/>
    <s v=""/>
    <s v="US0126531013"/>
    <s v=""/>
    <s v="ALB"/>
    <m/>
    <s v="Albemarle Corp"/>
    <s v="USD"/>
    <n v="64.81"/>
    <m/>
    <n v="475"/>
    <n v="-30784.75"/>
    <n v="-64.879099999999994"/>
    <m/>
    <m/>
    <n v="-30849.629099999998"/>
    <n v="1.1103955228852518"/>
    <n v="-27782.558974877997"/>
    <x v="39"/>
  </r>
  <r>
    <d v="2019-10-25T00:00:00"/>
    <s v="SELL"/>
    <s v=""/>
    <s v="DE000PAH0038"/>
    <s v=""/>
    <s v="PSHG_p.DE"/>
    <m/>
    <s v="Porsche Automobil Holding SE"/>
    <s v="EUR"/>
    <n v="65.827100000000002"/>
    <m/>
    <n v="-900"/>
    <n v="59244.39"/>
    <n v="-47.4"/>
    <m/>
    <m/>
    <n v="59196.99"/>
    <n v="1"/>
    <n v="59196.99"/>
    <x v="39"/>
  </r>
  <r>
    <d v="2019-10-25T00:00:00"/>
    <s v="BUY"/>
    <s v=""/>
    <s v="DE0007664005"/>
    <s v=""/>
    <s v="VOWG.DE"/>
    <m/>
    <s v="Volkswagen AG"/>
    <s v="EUR"/>
    <n v="170.82990000000001"/>
    <m/>
    <n v="370"/>
    <n v="-63207.063000000002"/>
    <n v="-50.57"/>
    <m/>
    <m/>
    <n v="-63257.633000000002"/>
    <n v="1"/>
    <n v="-63257.633000000002"/>
    <x v="39"/>
  </r>
  <r>
    <d v="2019-10-28T00:00:00"/>
    <s v="SELL"/>
    <s v=""/>
    <s v="DE0005565204"/>
    <s v=""/>
    <s v="DUEG.DE"/>
    <m/>
    <s v="Duerr AG"/>
    <s v="EUR"/>
    <n v="28.058800000000002"/>
    <m/>
    <n v="-2220"/>
    <n v="62290.536"/>
    <n v="-49.83"/>
    <m/>
    <m/>
    <n v="62240.705999999998"/>
    <n v="1"/>
    <n v="62240.705999999998"/>
    <x v="41"/>
  </r>
  <r>
    <d v="2019-10-31T00:00:00"/>
    <s v="BUY"/>
    <s v=""/>
    <s v="AU000000SYR9"/>
    <s v=""/>
    <s v="SYR.AX"/>
    <m/>
    <s v="Syrah Resources Ltd"/>
    <s v="AUD"/>
    <n v="0.40450000000000003"/>
    <m/>
    <n v="91000"/>
    <n v="-36809.5"/>
    <n v="-29.45"/>
    <m/>
    <m/>
    <n v="-36838.949999999997"/>
    <n v="1.6151925263650699"/>
    <n v="-22807.776409729104"/>
    <x v="42"/>
  </r>
  <r>
    <d v="2019-11-01T00:00:00"/>
    <s v="BUY"/>
    <s v=""/>
    <s v="US3434121022"/>
    <s v=""/>
    <s v="FLR"/>
    <m/>
    <s v="Fluor Corp"/>
    <s v="USD"/>
    <n v="17.2302"/>
    <m/>
    <n v="1250"/>
    <n v="-21537.75"/>
    <n v="-17.23"/>
    <m/>
    <m/>
    <n v="-21554.98"/>
    <n v="1.1150012265013491"/>
    <n v="-19331.7993628"/>
    <x v="42"/>
  </r>
  <r>
    <d v="2019-11-05T00:00:00"/>
    <s v="SELL"/>
    <s v=""/>
    <s v="BE0974320526"/>
    <s v=""/>
    <s v="UMI.BR"/>
    <m/>
    <s v="Umicore SA"/>
    <s v="EUR"/>
    <n v="39.218000000000004"/>
    <m/>
    <n v="-900"/>
    <n v="35296.200000000004"/>
    <n v="-28.24"/>
    <m/>
    <m/>
    <n v="35267.960000000006"/>
    <n v="1"/>
    <n v="35267.960000000006"/>
    <x v="43"/>
  </r>
  <r>
    <d v="2019-11-05T00:00:00"/>
    <s v="SELL"/>
    <s v=""/>
    <s v="JP3538800008"/>
    <s v=""/>
    <s v="6762.T"/>
    <m/>
    <s v="TDK Corp"/>
    <s v="JPY"/>
    <n v="11400"/>
    <m/>
    <n v="-900"/>
    <n v="10260000"/>
    <n v="8208"/>
    <m/>
    <m/>
    <n v="10268208"/>
    <n v="120.78326657765905"/>
    <n v="85013.498069270485"/>
    <x v="44"/>
  </r>
  <r>
    <d v="2019-11-27T00:00:00"/>
    <s v="BUY"/>
    <s v=""/>
    <s v="KR7051911006"/>
    <s v=""/>
    <s v="051915.KS"/>
    <m/>
    <s v="LG Chem Ltd"/>
    <s v="KRW"/>
    <n v="168408.92860000001"/>
    <m/>
    <n v="280"/>
    <n v="-47154500.008000001"/>
    <n v="-70732"/>
    <m/>
    <m/>
    <n v="-47225232.008000001"/>
    <n v="1291.7116363075659"/>
    <n v="-36560.197090889509"/>
    <x v="45"/>
  </r>
  <r>
    <d v="2019-11-27T00:00:00"/>
    <s v="BUY"/>
    <s v=""/>
    <s v="AU000000SYR9"/>
    <s v=""/>
    <s v="SYR.AX"/>
    <m/>
    <s v="Syrah Resources Ltd"/>
    <s v="AUD"/>
    <n v="0.37295"/>
    <m/>
    <n v="160000"/>
    <n v="-59672"/>
    <n v="-8.73"/>
    <m/>
    <m/>
    <n v="-59680.73"/>
    <n v="1.6250523116230919"/>
    <n v="-36725.420820694242"/>
    <x v="45"/>
  </r>
  <r>
    <d v="2019-11-27T00:00:00"/>
    <m/>
    <s v=""/>
    <s v="AU000000SYR9"/>
    <s v=""/>
    <s v="SYR.AX"/>
    <m/>
    <m/>
    <m/>
    <m/>
    <m/>
    <n v="11480"/>
    <m/>
    <m/>
    <m/>
    <m/>
    <m/>
    <m/>
    <m/>
    <x v="14"/>
  </r>
  <r>
    <d v="2019-11-27T00:00:00"/>
    <s v="BUY"/>
    <s v=""/>
    <s v="JP3401400001"/>
    <s v=""/>
    <s v="4005.T"/>
    <m/>
    <s v="Sumitomo Chemical Co Ltd"/>
    <s v="JPY"/>
    <n v="504"/>
    <m/>
    <n v="8900"/>
    <n v="-4485600"/>
    <n v="-1346"/>
    <m/>
    <m/>
    <n v="-4486946"/>
    <n v="119.93127904671694"/>
    <n v="-37412.641936822802"/>
    <x v="45"/>
  </r>
  <r>
    <d v="2019-11-27T00:00:00"/>
    <s v="BUY"/>
    <s v=""/>
    <s v="JP3158800007"/>
    <s v=""/>
    <s v="4208.T"/>
    <m/>
    <s v="Ube Industries Ltd"/>
    <s v="JPY"/>
    <n v="2353.1667000000002"/>
    <m/>
    <n v="1920"/>
    <n v="-4518080.0640000002"/>
    <n v="-1355"/>
    <m/>
    <m/>
    <n v="-4519435.0640000002"/>
    <n v="119.93127904671688"/>
    <n v="-37683.539272849266"/>
    <x v="45"/>
  </r>
  <r>
    <d v="2019-11-27T00:00:00"/>
    <s v="BUY"/>
    <s v=""/>
    <s v="JP3897700005"/>
    <s v=""/>
    <s v="4188.T"/>
    <m/>
    <s v="Mitsubishi Chemical Holdings Corp"/>
    <s v="JPY"/>
    <n v="827.3"/>
    <m/>
    <n v="5500"/>
    <n v="-4550150"/>
    <n v="-1365"/>
    <m/>
    <m/>
    <n v="-4551515"/>
    <n v="119.93127904671699"/>
    <n v="-37951.025255280088"/>
    <x v="45"/>
  </r>
  <r>
    <d v="2019-11-27T00:00:00"/>
    <s v="BUY"/>
    <s v=""/>
    <s v="KR7006401004"/>
    <s v=""/>
    <s v="006405.KS"/>
    <m/>
    <s v="Samsung SDI Co Ltd"/>
    <s v="KRW"/>
    <n v="89581.25"/>
    <m/>
    <n v="240"/>
    <n v="-21499500"/>
    <n v="-32249"/>
    <m/>
    <m/>
    <n v="-21531749"/>
    <n v="1291.7116363075697"/>
    <n v="-16669.16082102482"/>
    <x v="45"/>
  </r>
  <r>
    <d v="2019-11-27T00:00:00"/>
    <s v="BUY"/>
    <s v=""/>
    <s v="KR7096771001"/>
    <s v=""/>
    <s v="096775.KS"/>
    <m/>
    <s v="SK Innovation Co Ltd"/>
    <s v="KRW"/>
    <n v="111374.7126"/>
    <m/>
    <n v="435"/>
    <n v="-48447999.980999999"/>
    <n v="-72672"/>
    <m/>
    <m/>
    <n v="-48520671.980999999"/>
    <n v="1291.7116363075704"/>
    <n v="-37563.083444613876"/>
    <x v="45"/>
  </r>
  <r>
    <d v="2019-11-27T00:00:00"/>
    <s v="BUY"/>
    <s v=""/>
    <s v="JP3866800000"/>
    <s v=""/>
    <s v="6752.T"/>
    <m/>
    <s v="Panasonic Corp"/>
    <s v="JPY"/>
    <n v="984.59892000000002"/>
    <m/>
    <n v="4650"/>
    <n v="-4578384.9780000001"/>
    <n v="-1374"/>
    <m/>
    <m/>
    <n v="-4579758.9780000001"/>
    <n v="119.93127904671704"/>
    <n v="-38186.526604256745"/>
    <x v="45"/>
  </r>
  <r>
    <d v="2019-11-27T00:00:00"/>
    <s v="BUY"/>
    <s v=""/>
    <s v="AU000000PLS0"/>
    <s v=""/>
    <s v="PLS.AX"/>
    <m/>
    <s v="Pilbara Minerals Ltd"/>
    <s v="AUD"/>
    <n v="0.30499999999999999"/>
    <m/>
    <n v="110000"/>
    <n v="-33550"/>
    <n v="-10.07"/>
    <m/>
    <m/>
    <n v="-33560.07"/>
    <n v="1.6250523116230884"/>
    <n v="-20651.685954946573"/>
    <x v="45"/>
  </r>
  <r>
    <d v="2019-11-26T00:00:00"/>
    <s v="BUY"/>
    <s v=""/>
    <s v="US0126531013"/>
    <s v=""/>
    <s v="ALB"/>
    <m/>
    <s v="Albemarle Corp"/>
    <s v="USD"/>
    <n v="65.498260000000002"/>
    <m/>
    <n v="690"/>
    <n v="-45193.799400000004"/>
    <n v="-13.56"/>
    <m/>
    <m/>
    <n v="-45207.359400000001"/>
    <n v="1.101794823767918"/>
    <n v="-41030.651465033996"/>
    <x v="45"/>
  </r>
  <r>
    <d v="2019-11-26T00:00:00"/>
    <s v="BUY"/>
    <s v=""/>
    <s v="US8336351056"/>
    <s v=""/>
    <s v="SQM"/>
    <m/>
    <s v="Sociedad Quimica y Minera de Chile SA"/>
    <s v="USD"/>
    <n v="23.223179999999999"/>
    <m/>
    <n v="1100"/>
    <n v="-25545.498"/>
    <n v="-7.66"/>
    <m/>
    <m/>
    <n v="-25553.157999999999"/>
    <n v="1.101794823767918"/>
    <n v="-23192.301732379998"/>
    <x v="45"/>
  </r>
  <r>
    <d v="2019-11-26T00:00:00"/>
    <s v="BUY"/>
    <s v=""/>
    <s v="US3434121022"/>
    <s v=""/>
    <s v="FLR"/>
    <m/>
    <s v="Fluor Corp"/>
    <s v="USD"/>
    <n v="17.716000000000001"/>
    <m/>
    <n v="2500"/>
    <n v="-44290"/>
    <n v="-13.29"/>
    <m/>
    <m/>
    <n v="-44303.29"/>
    <n v="1.101794823767918"/>
    <n v="-40210.109036899994"/>
    <x v="45"/>
  </r>
  <r>
    <d v="2019-11-26T00:00:00"/>
    <s v="BUY"/>
    <s v=""/>
    <s v="US92336X1090"/>
    <s v=""/>
    <s v="VNE"/>
    <m/>
    <s v="Veoneer Inc"/>
    <s v="USD"/>
    <n v="16.718409999999999"/>
    <m/>
    <n v="2200"/>
    <n v="-36780.502"/>
    <n v="-11.03"/>
    <m/>
    <m/>
    <n v="-36791.531999999999"/>
    <n v="1.101794823767918"/>
    <n v="-33392.362358519997"/>
    <x v="45"/>
  </r>
  <r>
    <d v="2019-11-26T00:00:00"/>
    <s v="SELL"/>
    <s v=""/>
    <s v="NULL"/>
    <s v=""/>
    <s v="KEM"/>
    <m/>
    <s v="KEMET Corp"/>
    <s v="USD"/>
    <n v="26.515879999999999"/>
    <m/>
    <n v="-1700"/>
    <n v="45076.995999999999"/>
    <n v="-13.52"/>
    <n v="-0.93"/>
    <m/>
    <n v="45062.546000000002"/>
    <n v="1.1012973282526817"/>
    <n v="40917.693018919999"/>
    <x v="45"/>
  </r>
  <r>
    <d v="2019-11-27T00:00:00"/>
    <s v="SELL"/>
    <s v=""/>
    <s v="JP3914400001"/>
    <s v=""/>
    <s v="6981.T"/>
    <m/>
    <s v="Murata Manufacturing Co Ltd"/>
    <s v="JPY"/>
    <n v="6399"/>
    <m/>
    <n v="-1500"/>
    <n v="9598500"/>
    <n v="-2880"/>
    <m/>
    <m/>
    <n v="9595620"/>
    <n v="119.93127904671695"/>
    <n v="80009.319305785175"/>
    <x v="45"/>
  </r>
  <r>
    <d v="2019-11-27T00:00:00"/>
    <s v="BUY"/>
    <s v=""/>
    <s v="JP3707000000"/>
    <s v=""/>
    <s v="3891.T"/>
    <m/>
    <s v="Nippon Kodoshi Corp"/>
    <s v="JPY"/>
    <n v="1348.5909099999999"/>
    <m/>
    <n v="2200"/>
    <n v="-2966900.0019999999"/>
    <n v="-890"/>
    <m/>
    <m/>
    <n v="-2967790.0019999999"/>
    <n v="119.93127904671695"/>
    <n v="-24745.754615390648"/>
    <x v="45"/>
  </r>
  <r>
    <d v="2019-11-27T00:00:00"/>
    <s v="BUY"/>
    <s v=""/>
    <s v="JP3627400009"/>
    <s v=""/>
    <s v="4100.T"/>
    <m/>
    <s v="Toda Kogyo Corp"/>
    <s v="JPY"/>
    <n v="2235.645"/>
    <m/>
    <n v="2000"/>
    <n v="-4471290"/>
    <n v="-1341"/>
    <m/>
    <m/>
    <n v="-4472631"/>
    <n v="119.93127904671695"/>
    <n v="-37293.281915702508"/>
    <x v="45"/>
  </r>
  <r>
    <d v="2019-11-27T00:00:00"/>
    <s v="BUY"/>
    <s v=""/>
    <s v="JP3468810001"/>
    <s v=""/>
    <s v="4080.T"/>
    <m/>
    <s v="Tanaka Chemical Corp"/>
    <s v="JPY"/>
    <n v="943"/>
    <m/>
    <n v="4200"/>
    <n v="-3960600"/>
    <n v="-1188"/>
    <m/>
    <m/>
    <n v="-3961788"/>
    <n v="119.93127904671695"/>
    <n v="-33033.817628650162"/>
    <x v="45"/>
  </r>
  <r>
    <d v="2019-11-27T00:00:00"/>
    <s v="BUY"/>
    <s v=""/>
    <s v="AU000000WSA9"/>
    <s v=""/>
    <s v="WSA.AX"/>
    <m/>
    <s v="Western Areas"/>
    <s v="AUD"/>
    <n v="2.9037000000000002"/>
    <m/>
    <n v="22000"/>
    <n v="-63881.4"/>
    <n v="-19.16"/>
    <m/>
    <m/>
    <n v="-63900.560000000005"/>
    <n v="1.1012973282526817"/>
    <n v="-58022.986491200005"/>
    <x v="45"/>
  </r>
  <r>
    <d v="2019-11-27T00:00:00"/>
    <s v="BUY"/>
    <s v=""/>
    <s v="KR7005420005"/>
    <s v=""/>
    <s v="005420.KS"/>
    <m/>
    <s v="Cosmo Chemical Co Ltd"/>
    <s v="KRW"/>
    <n v="4910.9537"/>
    <m/>
    <n v="6700"/>
    <n v="-32903389.789999999"/>
    <n v="-49657"/>
    <m/>
    <m/>
    <n v="-32953046.789999999"/>
    <n v="1291.7116363075697"/>
    <n v="-25511.148048645078"/>
    <x v="45"/>
  </r>
  <r>
    <d v="2019-11-27T00:00:00"/>
    <s v="BUY"/>
    <s v=""/>
    <s v="KR7005070008"/>
    <s v=""/>
    <s v="005070.KS"/>
    <m/>
    <s v="Cosmo Advanced Materials &amp; Technology Co Ltd"/>
    <s v="KRW"/>
    <n v="7799.9452000000001"/>
    <m/>
    <n v="4200"/>
    <n v="-32759769.84"/>
    <n v="-49140"/>
    <m/>
    <m/>
    <n v="-32808909.84"/>
    <n v="1291.7116363075697"/>
    <n v="-25399.562036760861"/>
    <x v="45"/>
  </r>
  <r>
    <d v="2019-11-27T00:00:00"/>
    <s v="BUY"/>
    <s v=""/>
    <s v="KR7042600007"/>
    <s v=""/>
    <s v="042600.KQ"/>
    <m/>
    <s v="Seronics Co Ltd"/>
    <s v="KRW"/>
    <n v="3667.8216000000002"/>
    <m/>
    <n v="482"/>
    <n v="-1767890.0112000001"/>
    <n v="-2652"/>
    <m/>
    <m/>
    <n v="-1770542.0112000001"/>
    <n v="1291.7116363075697"/>
    <n v="-1370.6944812088198"/>
    <x v="45"/>
  </r>
  <r>
    <d v="2019-11-27T00:00:00"/>
    <s v="BUY"/>
    <s v=""/>
    <s v="FR0000131757"/>
    <s v=""/>
    <s v="ERMT.PA"/>
    <m/>
    <s v="Eramet SA"/>
    <s v="EUR"/>
    <n v="42.64"/>
    <m/>
    <n v="1100"/>
    <n v="-46904"/>
    <n v="-23.45"/>
    <n v="-140.71"/>
    <m/>
    <n v="-47068.159999999996"/>
    <n v="1"/>
    <n v="-47068.159999999996"/>
    <x v="45"/>
  </r>
  <r>
    <d v="2019-11-27T00:00:00"/>
    <s v="BUY"/>
    <s v=""/>
    <s v="FR0000120859"/>
    <s v=""/>
    <s v="IMTP.PA"/>
    <m/>
    <s v="Imerys SA"/>
    <s v="EUR"/>
    <n v="37.78"/>
    <m/>
    <n v="1170"/>
    <n v="-44202.6"/>
    <n v="-22.1"/>
    <n v="-132.61000000000001"/>
    <m/>
    <n v="-44357.31"/>
    <n v="1"/>
    <n v="-44357.31"/>
    <x v="45"/>
  </r>
  <r>
    <d v="2019-11-27T00:00:00"/>
    <s v="BUY"/>
    <s v=""/>
    <s v="DE0007664039"/>
    <s v=""/>
    <s v="VOWG_p.DE"/>
    <m/>
    <s v="Volkswagen AG"/>
    <s v="EUR"/>
    <n v="176.68700000000001"/>
    <m/>
    <n v="220"/>
    <n v="-38871.14"/>
    <n v="-19.440000000000001"/>
    <m/>
    <m/>
    <n v="-38890.58"/>
    <n v="1"/>
    <n v="-38890.58"/>
    <x v="45"/>
  </r>
  <r>
    <d v="2019-11-27T00:00:00"/>
    <s v="BUY"/>
    <s v=""/>
    <s v="FR0000131906"/>
    <s v=""/>
    <s v="RENA.PA"/>
    <m/>
    <s v="Renault SA"/>
    <s v="EUR"/>
    <n v="43.7834"/>
    <m/>
    <n v="1170"/>
    <n v="-51226.578000000001"/>
    <n v="-25.31"/>
    <n v="-153.68"/>
    <m/>
    <n v="-51405.567999999999"/>
    <n v="1"/>
    <n v="-51405.567999999999"/>
    <x v="45"/>
  </r>
  <r>
    <d v="2019-11-28T00:00:00"/>
    <s v="BUY"/>
    <s v=""/>
    <s v="KR7051911006"/>
    <s v=""/>
    <s v="051915.KS"/>
    <m/>
    <s v="LG Chem Ltd"/>
    <s v="KRW"/>
    <n v="170420"/>
    <m/>
    <n v="300"/>
    <n v="-51126000"/>
    <n v="-76689"/>
    <m/>
    <m/>
    <n v="-51202689"/>
    <n v="1296.7276089421171"/>
    <n v="-39486.079147934273"/>
    <x v="46"/>
  </r>
  <r>
    <d v="2019-11-28T00:00:00"/>
    <s v="BUY"/>
    <s v=""/>
    <s v="KR7006401004"/>
    <s v=""/>
    <s v="006405.KS"/>
    <m/>
    <s v="Samsung SDI Co Ltd"/>
    <s v="KRW"/>
    <n v="90097"/>
    <m/>
    <n v="500"/>
    <n v="-45048500"/>
    <n v="-67573"/>
    <m/>
    <m/>
    <n v="-45116073"/>
    <n v="1296.7276089421148"/>
    <n v="-34792.251424959024"/>
    <x v="46"/>
  </r>
  <r>
    <d v="2019-11-28T00:00:00"/>
    <s v="BUY"/>
    <s v=""/>
    <s v="KR7096771001"/>
    <s v=""/>
    <s v="096775.ks"/>
    <m/>
    <s v="SK Innovation Co Ltd"/>
    <s v="KRW"/>
    <n v="112594.04760000001"/>
    <m/>
    <n v="420"/>
    <n v="-47289499.991999999"/>
    <n v="-70934"/>
    <m/>
    <m/>
    <n v="-47360433.991999999"/>
    <n v="1296.7276089421146"/>
    <n v="-36523.039738960433"/>
    <x v="46"/>
  </r>
  <r>
    <d v="2019-11-28T00:00:00"/>
    <s v="BUY"/>
    <s v=""/>
    <s v="KR7005420005"/>
    <s v=""/>
    <s v="005420.KS"/>
    <m/>
    <s v="Cosmo Chemical Co Ltd"/>
    <s v="KRW"/>
    <n v="4608.7475999999997"/>
    <m/>
    <n v="4200"/>
    <n v="-19356739.919999998"/>
    <n v="-29035"/>
    <m/>
    <m/>
    <n v="-19385774.919999998"/>
    <n v="1296.7276089421143"/>
    <n v="-14949.766463147293"/>
    <x v="46"/>
  </r>
  <r>
    <d v="2019-11-28T00:00:00"/>
    <s v="BUY"/>
    <s v=""/>
    <s v="KR7042600007"/>
    <s v=""/>
    <s v="042600.KQ"/>
    <m/>
    <s v="Seronics Co Ltd"/>
    <s v="KRW"/>
    <n v="3642.1055999999999"/>
    <m/>
    <n v="729"/>
    <n v="-2655094.9824000001"/>
    <n v="-3983"/>
    <m/>
    <m/>
    <n v="-2659077.9824000001"/>
    <n v="1296.7276089421123"/>
    <n v="-2050.6064373606664"/>
    <x v="46"/>
  </r>
  <r>
    <d v="2019-12-13T00:00:00"/>
    <s v="BUY"/>
    <s v=""/>
    <s v="AU000000PLS0"/>
    <s v=""/>
    <s v="PLS.AX"/>
    <m/>
    <s v="Pilbara Minerals Ltd"/>
    <s v="AUD"/>
    <n v="0.26663999999999999"/>
    <m/>
    <n v="230000"/>
    <n v="-61327.199999999997"/>
    <n v="-49.06"/>
    <m/>
    <m/>
    <n v="-61376.259999999995"/>
    <n v="1.6188642711683332"/>
    <n v="-37913.15991902446"/>
    <x v="47"/>
  </r>
  <r>
    <d v="2019-12-13T00:00:00"/>
    <s v="BUY"/>
    <s v=""/>
    <s v="KR7006401004"/>
    <s v=""/>
    <s v="006405.ks"/>
    <m/>
    <s v="Samsung SDI Co Ltd"/>
    <s v="KRW"/>
    <n v="91435.6"/>
    <m/>
    <n v="750"/>
    <n v="-68576700"/>
    <n v="-102865"/>
    <m/>
    <m/>
    <n v="-68679565"/>
    <n v="1322.6912077273173"/>
    <n v="-51924.110932896445"/>
    <x v="47"/>
  </r>
  <r>
    <d v="2019-12-13T00:00:00"/>
    <s v="BUY"/>
    <s v=""/>
    <s v="AU000000WSA9"/>
    <s v=""/>
    <s v="WSA.AX"/>
    <m/>
    <s v="Western Areas Ltd"/>
    <s v="AUD"/>
    <n v="3.0557699999999999"/>
    <m/>
    <n v="23500"/>
    <n v="-71810.595000000001"/>
    <n v="-57.45"/>
    <m/>
    <m/>
    <n v="-71868.044999999998"/>
    <n v="1.6188642711683294"/>
    <n v="-44394.113997051187"/>
    <x v="47"/>
  </r>
  <r>
    <d v="2020-01-03T00:00:00"/>
    <s v="BUY"/>
    <s v=""/>
    <s v="AU000000WSA9"/>
    <s v=""/>
    <s v="WSA.AX"/>
    <m/>
    <s v="Western Areas Ltd"/>
    <s v="AUD"/>
    <n v="3.04392"/>
    <m/>
    <n v="40000"/>
    <n v="-121756.8"/>
    <n v="-36.53"/>
    <m/>
    <m/>
    <n v="-121793.33"/>
    <n v="1.5975494921866287"/>
    <n v="-76237.594262758459"/>
    <x v="48"/>
  </r>
  <r>
    <d v="2020-01-03T00:00:00"/>
    <s v="BUY"/>
    <s v=""/>
    <s v="CNE100001TJ4"/>
    <s v=""/>
    <s v="1958.HK"/>
    <m/>
    <s v="BAIC Motor Corp Ltd"/>
    <s v="HKD"/>
    <n v="4.4669717999999996"/>
    <m/>
    <n v="142000"/>
    <n v="-634309.99559999991"/>
    <n v="-951.47"/>
    <m/>
    <m/>
    <n v="-635261.46559999988"/>
    <n v="8.6994839487970061"/>
    <n v="-73022.890706964972"/>
    <x v="48"/>
  </r>
  <r>
    <d v="2020-01-03T00:00:00"/>
    <s v="BUY"/>
    <s v=""/>
    <s v="KR7006401004"/>
    <s v=""/>
    <s v="006405.KS"/>
    <m/>
    <s v="Samsung SDI Co Ltd"/>
    <s v="KRW"/>
    <n v="92826.59"/>
    <m/>
    <n v="1700"/>
    <n v="-157805203"/>
    <n v="-236708"/>
    <m/>
    <m/>
    <n v="-158041911"/>
    <n v="1292.7529432790479"/>
    <n v="-122252.21518284007"/>
    <x v="48"/>
  </r>
  <r>
    <d v="2020-01-03T00:00:00"/>
    <s v="BUY"/>
    <s v=""/>
    <s v="KR7096771001"/>
    <s v=""/>
    <s v="096775.KS"/>
    <m/>
    <s v="SK Innovation Co Ltd"/>
    <s v="KRW"/>
    <n v="111414.29"/>
    <m/>
    <n v="420"/>
    <n v="-46794001.799999997"/>
    <n v="-70191"/>
    <m/>
    <m/>
    <n v="-46864192.799999997"/>
    <n v="1292.7529432790473"/>
    <n v="-36251.468653499811"/>
    <x v="48"/>
  </r>
  <r>
    <d v="2020-01-03T00:00:00"/>
    <s v="BUY"/>
    <s v=""/>
    <s v="KR7042600007"/>
    <s v=""/>
    <s v="042600.KQ"/>
    <m/>
    <s v="Seronics Co Ltd"/>
    <s v="KRW"/>
    <n v="3569.5182"/>
    <m/>
    <n v="11000"/>
    <n v="-39264700.200000003"/>
    <n v="-58897"/>
    <m/>
    <m/>
    <n v="-39323597.200000003"/>
    <n v="1292.7529432790461"/>
    <n v="-30418.493652976227"/>
    <x v="48"/>
  </r>
  <r>
    <d v="2020-01-03T00:00:00"/>
    <s v="SELL"/>
    <s v="SGCG.DE"/>
    <s v="DE0007235301"/>
    <s v="YES"/>
    <s v="SGCG.DE"/>
    <m/>
    <s v="SGL Carbon SE"/>
    <s v="EUR"/>
    <n v="4.7443600000000004"/>
    <m/>
    <n v="-17000"/>
    <n v="80654.12000000001"/>
    <n v="-24.2"/>
    <m/>
    <m/>
    <n v="80629.920000000013"/>
    <n v="1"/>
    <n v="80629.920000000013"/>
    <x v="48"/>
  </r>
  <r>
    <d v="2020-01-03T00:00:00"/>
    <s v="BUY"/>
    <s v=""/>
    <s v="DE0005439004"/>
    <s v=""/>
    <s v="CONG.DE"/>
    <m/>
    <s v="Continental AG"/>
    <s v="EUR"/>
    <n v="114.184268656716"/>
    <m/>
    <n v="670"/>
    <n v="-76503.459999999715"/>
    <n v="-22.95"/>
    <m/>
    <m/>
    <n v="-76526.409999999712"/>
    <n v="1"/>
    <n v="-76526.409999999712"/>
    <x v="48"/>
  </r>
  <r>
    <d v="2020-01-07T00:00:00"/>
    <s v="BUY"/>
    <s v=""/>
    <s v="KR7006401004"/>
    <s v=""/>
    <s v="006405.KS"/>
    <m/>
    <s v="Samsung SDI Co Ltd"/>
    <s v="KRW"/>
    <n v="92521.926900000006"/>
    <m/>
    <n v="301"/>
    <n v="-27849099.996900003"/>
    <n v="-41774"/>
    <m/>
    <m/>
    <n v="-27890873.996900003"/>
    <n v="1306.1494034160862"/>
    <n v="-21353.509731700349"/>
    <x v="49"/>
  </r>
  <r>
    <d v="2020-01-08T00:00:00"/>
    <s v="BUY"/>
    <s v=""/>
    <s v="KR7006401004"/>
    <s v=""/>
    <s v="006405.KS"/>
    <m/>
    <s v="Samsung SDI Co Ltd"/>
    <s v="KRW"/>
    <n v="91347.164199999999"/>
    <m/>
    <n v="670"/>
    <n v="-61202600.013999999"/>
    <n v="-91804"/>
    <m/>
    <m/>
    <n v="-61294404.013999999"/>
    <n v="1301.6570396306793"/>
    <n v="-47089.519088216308"/>
    <x v="50"/>
  </r>
  <r>
    <d v="2020-01-08T00:00:00"/>
    <s v="BUY"/>
    <s v=""/>
    <s v="KR7096771001"/>
    <s v=""/>
    <s v="096775.KS"/>
    <m/>
    <s v="SK Innovation Co Ltd"/>
    <s v="KRW"/>
    <n v="103358.9552"/>
    <m/>
    <n v="670"/>
    <n v="-69250499.983999997"/>
    <n v="-103876"/>
    <m/>
    <m/>
    <n v="-69354375.983999997"/>
    <n v="1301.6570396306788"/>
    <n v="-53281.604810187193"/>
    <x v="50"/>
  </r>
  <r>
    <d v="2020-01-08T00:00:00"/>
    <s v="BUY"/>
    <s v=""/>
    <s v="KR7042600007"/>
    <s v=""/>
    <s v="042600.KQ"/>
    <m/>
    <s v="Seronics Co Ltd"/>
    <s v="KRW"/>
    <n v="3538.5877"/>
    <m/>
    <n v="6900"/>
    <n v="-24416255.129999999"/>
    <n v="-36624"/>
    <m/>
    <m/>
    <n v="-24452879.129999999"/>
    <n v="1301.6570396306795"/>
    <n v="-18785.961574746325"/>
    <x v="50"/>
  </r>
  <r>
    <d v="2020-01-08T00:00:00"/>
    <s v="BUY"/>
    <s v=""/>
    <s v="KR7051911006"/>
    <s v=""/>
    <s v="051915.KS"/>
    <m/>
    <s v="LG Chem Ltd"/>
    <s v="KRW"/>
    <n v="164832.08960000001"/>
    <m/>
    <n v="670"/>
    <n v="-110437500.03200001"/>
    <n v="-165656"/>
    <m/>
    <m/>
    <n v="-110603156.03200001"/>
    <n v="1301.6570396306811"/>
    <n v="-84971.042805085905"/>
    <x v="50"/>
  </r>
  <r>
    <d v="2020-01-10T00:00:00"/>
    <s v="BUY"/>
    <s v=""/>
    <s v="KR7051911006"/>
    <s v=""/>
    <s v="051915.KS"/>
    <m/>
    <s v="LG Chem Ltd"/>
    <s v="KRW"/>
    <n v="174220.23809999999"/>
    <m/>
    <n v="420"/>
    <n v="-73172500.001999989"/>
    <n v="-109759"/>
    <m/>
    <m/>
    <n v="-73282259.001999989"/>
    <n v="1286.751804553031"/>
    <n v="-56951.35514300326"/>
    <x v="51"/>
  </r>
  <r>
    <d v="2020-01-10T00:00:00"/>
    <s v="BUY"/>
    <s v=""/>
    <s v="KR7096771001"/>
    <s v=""/>
    <s v="096775.KS"/>
    <m/>
    <s v="SK Innovation Co Ltd"/>
    <s v="KRW"/>
    <n v="104702.38099999999"/>
    <m/>
    <n v="420"/>
    <n v="-43975000.019999996"/>
    <n v="-65963"/>
    <m/>
    <m/>
    <n v="-44040963.019999996"/>
    <n v="1286.751804553026"/>
    <n v="-34226.462993225286"/>
    <x v="51"/>
  </r>
  <r>
    <d v="2020-01-13T00:00:00"/>
    <s v="BUY"/>
    <s v=""/>
    <s v="JP3866800000"/>
    <s v=""/>
    <s v="6752.T"/>
    <m/>
    <s v="Panasonic Corp"/>
    <s v="JPY"/>
    <n v="1055.7"/>
    <m/>
    <n v="6700"/>
    <n v="-7073190"/>
    <n v="-2122"/>
    <m/>
    <m/>
    <n v="-7075312"/>
    <n v="121.71959790054272"/>
    <n v="-58127.960673853428"/>
    <x v="52"/>
  </r>
  <r>
    <d v="2020-01-13T00:00:00"/>
    <s v="BUY"/>
    <s v=""/>
    <s v="JP3401400001"/>
    <s v=""/>
    <s v="4005.T"/>
    <m/>
    <s v="Sumitomo Chemical Co Ltd"/>
    <s v="JPY"/>
    <n v="485.78679"/>
    <m/>
    <n v="15900"/>
    <n v="-7724009.9610000001"/>
    <n v="-2317"/>
    <m/>
    <m/>
    <n v="-7726326.9610000001"/>
    <n v="121.71959790054262"/>
    <n v="-63476.44170919132"/>
    <x v="52"/>
  </r>
  <r>
    <d v="2020-01-13T00:00:00"/>
    <s v="BUY"/>
    <s v=""/>
    <s v="JP3627400009"/>
    <s v=""/>
    <s v="4100.T"/>
    <m/>
    <s v="Toda Kogyo Corp"/>
    <s v="JPY"/>
    <n v="2150.5250000000001"/>
    <m/>
    <n v="2000"/>
    <n v="-4301050"/>
    <n v="-1290"/>
    <m/>
    <m/>
    <n v="-4302340"/>
    <n v="121.71959790054248"/>
    <n v="-35346.321169376992"/>
    <x v="52"/>
  </r>
  <r>
    <d v="2020-01-13T00:00:00"/>
    <s v="BUY"/>
    <s v=""/>
    <s v="AU000000WSA9"/>
    <s v=""/>
    <s v="WSA.AX"/>
    <m/>
    <s v="Western Areas Ltd"/>
    <s v="AUD"/>
    <n v="3.0045600000000001"/>
    <m/>
    <n v="17000"/>
    <n v="-51077.520000000004"/>
    <n v="-15.32"/>
    <m/>
    <m/>
    <n v="-51092.840000000004"/>
    <n v="1.6127829175155552"/>
    <n v="-31679.923841645734"/>
    <x v="52"/>
  </r>
  <r>
    <d v="2020-01-20T00:00:00"/>
    <s v="BUY"/>
    <s v=""/>
    <s v="AU000000WSA9"/>
    <s v=""/>
    <s v="WSA.AX"/>
    <m/>
    <s v="Western Areas Ltd"/>
    <s v="AUD"/>
    <n v="2.8706999999999998"/>
    <m/>
    <n v="22000"/>
    <n v="-63155.399999999994"/>
    <n v="-31.58"/>
    <m/>
    <m/>
    <n v="-63186.979999999996"/>
    <n v="1.6134962522730258"/>
    <n v="-39161.528829698138"/>
    <x v="53"/>
  </r>
  <r>
    <d v="2020-01-20T00:00:00"/>
    <s v="BUY"/>
    <s v=""/>
    <s v="JP3404600003"/>
    <s v=""/>
    <s v="8053.T"/>
    <m/>
    <s v="Sumitomo Corp"/>
    <s v="JPY"/>
    <n v="1673"/>
    <m/>
    <n v="4200"/>
    <n v="-7026600"/>
    <n v="-3513"/>
    <m/>
    <m/>
    <n v="-7030113"/>
    <n v="122.12267707455554"/>
    <n v="-57565.99157835474"/>
    <x v="53"/>
  </r>
  <r>
    <d v="2020-01-21T00:00:00"/>
    <s v="BUY"/>
    <s v=""/>
    <s v="JP3627400009"/>
    <s v=""/>
    <s v="4100.T"/>
    <m/>
    <s v="Toda Kogyo Corp"/>
    <s v="JPY"/>
    <n v="2157.9090999999999"/>
    <m/>
    <n v="1100"/>
    <n v="-2373700.0099999998"/>
    <n v="-1187"/>
    <m/>
    <m/>
    <n v="-2374887.0099999998"/>
    <n v="121.34317952672721"/>
    <n v="-19571.656349064961"/>
    <x v="53"/>
  </r>
  <r>
    <d v="2020-01-22T00:00:00"/>
    <s v="BUY"/>
    <s v=""/>
    <s v="DE0007664039"/>
    <s v=""/>
    <s v="VOWG_p.DE"/>
    <m/>
    <s v="Volkswagen AG"/>
    <s v="EUR"/>
    <n v="179.63229999999999"/>
    <m/>
    <n v="320"/>
    <n v="-57482.335999999996"/>
    <n v="-28.74"/>
    <m/>
    <m/>
    <n v="-57511.075999999994"/>
    <n v="1"/>
    <n v="-57511.075999999994"/>
    <x v="54"/>
  </r>
  <r>
    <d v="2020-01-22T00:00:00"/>
    <s v="BUY"/>
    <s v=""/>
    <s v="JP3627400009"/>
    <s v=""/>
    <s v="4100.T"/>
    <m/>
    <s v="Toda Kogyo Corp"/>
    <s v="JPY"/>
    <n v="2169.7647000000002"/>
    <m/>
    <n v="1700"/>
    <n v="-3688599.99"/>
    <n v="-1844"/>
    <m/>
    <m/>
    <n v="-3690443.99"/>
    <n v="121.74741788199846"/>
    <n v="-30312.297822832661"/>
    <x v="54"/>
  </r>
  <r>
    <d v="2020-01-22T00:00:00"/>
    <s v="BUY"/>
    <s v=""/>
    <s v="JP3468810001"/>
    <s v=""/>
    <s v="4080.T"/>
    <m/>
    <s v="Tanaka Chemical Corp"/>
    <s v="JPY"/>
    <n v="865.91039999999998"/>
    <m/>
    <n v="6700"/>
    <n v="-5801599.6799999997"/>
    <n v="-2901"/>
    <m/>
    <m/>
    <n v="-5804500.6799999997"/>
    <n v="121.74741788199835"/>
    <n v="-47676.581409109764"/>
    <x v="54"/>
  </r>
  <r>
    <d v="2020-01-24T00:00:00"/>
    <s v="BUY"/>
    <s v=""/>
    <s v="GB0000456144"/>
    <s v=""/>
    <s v="ANTO.L"/>
    <m/>
    <s v="Antofagasta PLC"/>
    <s v="GBp"/>
    <n v="8.7573000000000008"/>
    <m/>
    <n v="4800"/>
    <n v="-42035.040000000001"/>
    <n v="-25.22"/>
    <n v="-211.2"/>
    <m/>
    <n v="-42271.46"/>
    <n v="0.84232048717410501"/>
    <n v="-50184.532661453144"/>
    <x v="55"/>
  </r>
  <r>
    <d v="2020-01-24T00:00:00"/>
    <s v="BUY"/>
    <s v=""/>
    <s v="FR0000131906"/>
    <s v=""/>
    <s v="RENA.PA"/>
    <m/>
    <s v="Renault SA"/>
    <s v="EUR"/>
    <n v="36.413049999999998"/>
    <m/>
    <n v="1100"/>
    <n v="-40054.354999999996"/>
    <n v="-12.02"/>
    <n v="-120.16"/>
    <m/>
    <n v="-40186.534999999996"/>
    <n v="1"/>
    <n v="-40186.534999999996"/>
    <x v="55"/>
  </r>
  <r>
    <d v="2020-01-24T00:00:00"/>
    <s v="BUY"/>
    <s v=""/>
    <s v="JE00B4T3BW64"/>
    <s v=""/>
    <s v="GLEN.L"/>
    <m/>
    <s v="Glencore PLC"/>
    <s v="GBp"/>
    <n v="2.30457"/>
    <m/>
    <n v="17000"/>
    <n v="-39177.69"/>
    <n v="-12.75"/>
    <m/>
    <m/>
    <n v="-39190.44"/>
    <n v="0.84232048717410402"/>
    <n v="-46526.756260529502"/>
    <x v="55"/>
  </r>
  <r>
    <d v="2020-01-24T00:00:00"/>
    <s v="BUY"/>
    <s v=""/>
    <s v="US3843135084"/>
    <s v=""/>
    <s v="EAF"/>
    <m/>
    <s v="GrafTech International Ltd"/>
    <s v="USD"/>
    <n v="11.164400000000001"/>
    <m/>
    <n v="4200"/>
    <n v="-46890.48"/>
    <n v="-23.45"/>
    <m/>
    <m/>
    <n v="-46913.93"/>
    <n v="1.1052044075551775"/>
    <n v="-42448.193003299995"/>
    <x v="55"/>
  </r>
  <r>
    <d v="2020-01-27T00:00:00"/>
    <s v="BUY"/>
    <s v=""/>
    <s v="JP3402600005"/>
    <s v=""/>
    <s v="5713.T"/>
    <m/>
    <s v="Sumitomo Metal Mining Co Ltd"/>
    <s v="JPY"/>
    <n v="3208.88042"/>
    <m/>
    <n v="3300"/>
    <n v="-10589305.386"/>
    <n v="-3177"/>
    <m/>
    <m/>
    <n v="-10592482.386"/>
    <n v="120.44885856325565"/>
    <n v="-87941.741518764058"/>
    <x v="56"/>
  </r>
  <r>
    <d v="2020-01-27T00:00:00"/>
    <s v="BUY"/>
    <s v=""/>
    <s v="JP3866800000"/>
    <s v=""/>
    <s v="6752.T"/>
    <m/>
    <s v="Panasonic Corp"/>
    <s v="JPY"/>
    <n v="1104.7809500000001"/>
    <m/>
    <n v="4200"/>
    <n v="-4640079.99"/>
    <n v="-1392"/>
    <m/>
    <m/>
    <n v="-4641471.99"/>
    <n v="120.44885856325583"/>
    <n v="-38534.794313243328"/>
    <x v="56"/>
  </r>
  <r>
    <d v="2020-01-28T00:00:00"/>
    <s v="BUY"/>
    <s v=""/>
    <s v="AU000000WSA9"/>
    <s v=""/>
    <s v="WSA.AX"/>
    <m/>
    <s v="Western Areas Ltd"/>
    <s v="AUD"/>
    <n v="2.6299700000000001"/>
    <m/>
    <n v="22000"/>
    <n v="-57859.340000000004"/>
    <n v="-17.36"/>
    <m/>
    <m/>
    <n v="-57876.700000000004"/>
    <n v="1.6143916930301216"/>
    <n v="-35850.469405828473"/>
    <x v="57"/>
  </r>
  <r>
    <d v="2020-01-28T00:00:00"/>
    <s v="BUY"/>
    <s v=""/>
    <s v="JP3544000007"/>
    <s v=""/>
    <s v="3401.T"/>
    <m/>
    <s v="Teijin Ltd"/>
    <s v="JPY"/>
    <n v="1955.3227300000001"/>
    <m/>
    <n v="2200"/>
    <n v="-4301710.0060000001"/>
    <n v="-1291"/>
    <m/>
    <m/>
    <n v="-4303001.0060000001"/>
    <n v="119.9532921334699"/>
    <n v="-35872.304373373321"/>
    <x v="57"/>
  </r>
  <r>
    <d v="2020-01-28T00:00:00"/>
    <s v="BUY"/>
    <s v=""/>
    <s v="JP3627400009"/>
    <s v=""/>
    <s v="4100.T"/>
    <m/>
    <s v="Toda Kogyo Corp"/>
    <s v="JPY"/>
    <n v="2094.9888900000001"/>
    <m/>
    <n v="900"/>
    <n v="-1885490.0010000002"/>
    <n v="-566"/>
    <m/>
    <m/>
    <n v="-1886056.0010000002"/>
    <n v="119.9532921334696"/>
    <n v="-15723.253338486315"/>
    <x v="57"/>
  </r>
  <r>
    <d v="2020-01-28T00:00:00"/>
    <s v="BUY"/>
    <s v=""/>
    <s v="KR7096771001"/>
    <s v=""/>
    <s v="096775.KS"/>
    <m/>
    <s v="SK Innovation Co Ltd"/>
    <s v="KRW"/>
    <n v="93516.865699999995"/>
    <m/>
    <n v="670"/>
    <n v="-62656300.018999994"/>
    <n v="-93984"/>
    <m/>
    <m/>
    <n v="-62750284.018999994"/>
    <n v="1291.4755584045265"/>
    <n v="-48588.053881965017"/>
    <x v="57"/>
  </r>
  <r>
    <d v="2020-01-30T00:00:00"/>
    <s v="BUY"/>
    <s v=""/>
    <s v="JP3627400009"/>
    <s v=""/>
    <s v="4100.T"/>
    <m/>
    <s v="Toda Kogyo Corp"/>
    <s v="JPY"/>
    <n v="2077.4058799999998"/>
    <m/>
    <n v="1700"/>
    <n v="-3531589.9959999998"/>
    <n v="-1059"/>
    <m/>
    <m/>
    <n v="-3532648.9959999998"/>
    <n v="119.98678923322522"/>
    <n v="-29441.982893078228"/>
    <x v="58"/>
  </r>
  <r>
    <d v="2020-01-30T00:00:00"/>
    <s v="BUY"/>
    <s v=""/>
    <s v="AU000000WSA9"/>
    <s v=""/>
    <s v="WSA.AX"/>
    <m/>
    <s v="Western Areas Ltd"/>
    <s v="AUD"/>
    <n v="2.6088399999999998"/>
    <m/>
    <n v="22000"/>
    <n v="-57394.479999999996"/>
    <n v="-17.22"/>
    <m/>
    <m/>
    <n v="-57411.7"/>
    <n v="1.6302306379699476"/>
    <n v="-35216.918798368424"/>
    <x v="58"/>
  </r>
  <r>
    <d v="2020-01-30T00:00:00"/>
    <s v="BUY"/>
    <s v=""/>
    <s v="US35671D8570"/>
    <s v=""/>
    <s v="FCX"/>
    <m/>
    <s v="Freeport-McMoRan Inc"/>
    <s v="USD"/>
    <n v="11.138999999999999"/>
    <m/>
    <n v="4200"/>
    <n v="-46783.799999999996"/>
    <n v="-11.7"/>
    <m/>
    <m/>
    <n v="-46795.499999999993"/>
    <n v="1.1008972312434635"/>
    <n v="-42506.692424999994"/>
    <x v="58"/>
  </r>
  <r>
    <d v="2020-02-07T00:00:00"/>
    <s v="SELL"/>
    <s v=""/>
    <s v="KR7006401004"/>
    <s v=""/>
    <s v="006405.KS"/>
    <m/>
    <s v="Samsung SDI Co Ltd"/>
    <s v="KRW"/>
    <n v="156500"/>
    <m/>
    <n v="-840"/>
    <n v="131460000"/>
    <n v="-197190"/>
    <n v="-328642"/>
    <m/>
    <n v="130934168"/>
    <n v="1301.3834209426657"/>
    <n v="100611.52300922734"/>
    <x v="59"/>
  </r>
  <r>
    <d v="2020-02-10T00:00:00"/>
    <s v="SELL"/>
    <s v=""/>
    <s v="DE0006231004"/>
    <s v=""/>
    <s v="IFXGn.DE"/>
    <m/>
    <s v="Infineon Technologies AG"/>
    <s v="EUR"/>
    <n v="21.685009999999998"/>
    <m/>
    <n v="-2000"/>
    <n v="43370.02"/>
    <n v="-26.02"/>
    <m/>
    <m/>
    <n v="43344"/>
    <n v="1"/>
    <n v="43344"/>
    <x v="60"/>
  </r>
  <r>
    <d v="2020-02-10T00:00:00"/>
    <s v="BUY"/>
    <s v=""/>
    <s v="FR0013176526"/>
    <s v=""/>
    <s v="VLOF.PA"/>
    <m/>
    <s v="Valeo SE"/>
    <s v="EUR"/>
    <n v="26.95439"/>
    <m/>
    <n v="2500"/>
    <n v="-67385.975000000006"/>
    <n v="-40.43"/>
    <n v="-202.16"/>
    <m/>
    <n v="-67628.565000000002"/>
    <n v="1"/>
    <n v="-67628.565000000002"/>
    <x v="60"/>
  </r>
  <r>
    <d v="2020-02-11T00:00:00"/>
    <s v="BUY"/>
    <s v=""/>
    <s v="AU000000WSA9"/>
    <s v=""/>
    <s v="WSA.AX"/>
    <m/>
    <s v="Western Areas Ltd"/>
    <s v="AUD"/>
    <n v="2.5236999999999998"/>
    <m/>
    <n v="22000"/>
    <n v="-55521.399999999994"/>
    <n v="-33.31"/>
    <m/>
    <m/>
    <n v="-55554.709999999992"/>
    <n v="1.6401300022980165"/>
    <n v="-33872.138136709444"/>
    <x v="61"/>
  </r>
  <r>
    <d v="2020-02-11T00:00:00"/>
    <s v="BUY"/>
    <s v=""/>
    <s v="KR7042600007"/>
    <s v=""/>
    <s v="042600.KQ"/>
    <m/>
    <s v="Seronics Co Ltd"/>
    <s v="KRW"/>
    <n v="3418.7653"/>
    <m/>
    <n v="17000"/>
    <n v="-58119010.100000001"/>
    <n v="-87179"/>
    <m/>
    <m/>
    <n v="-58206189.100000001"/>
    <n v="1303.7326417386168"/>
    <n v="-44645.801782164526"/>
    <x v="61"/>
  </r>
  <r>
    <d v="2020-02-11T00:00:00"/>
    <s v="BUY"/>
    <s v=""/>
    <s v="KR7042600007"/>
    <s v=""/>
    <s v="042600.KQ"/>
    <m/>
    <s v="Seronics Co Ltd"/>
    <s v="KRW"/>
    <n v="3390"/>
    <m/>
    <n v="580"/>
    <n v="-1966200"/>
    <n v="-2949"/>
    <m/>
    <m/>
    <n v="-1969149"/>
    <n v="1303.7326417386168"/>
    <n v="-1510.393263893435"/>
    <x v="61"/>
  </r>
  <r>
    <d v="2020-02-11T00:00:00"/>
    <s v="BUY"/>
    <s v=""/>
    <s v="DE0005439004"/>
    <s v=""/>
    <s v="CONG.DE"/>
    <m/>
    <s v="Continental AG"/>
    <s v="EUR"/>
    <n v="103.9361"/>
    <m/>
    <n v="420"/>
    <n v="-43653.161999999997"/>
    <n v="-26.19"/>
    <m/>
    <m/>
    <n v="-43679.351999999999"/>
    <n v="1"/>
    <n v="-43679.351999999999"/>
    <x v="61"/>
  </r>
  <r>
    <d v="2020-02-12T00:00:00"/>
    <s v="SELL"/>
    <s v=""/>
    <s v="KR7006401004"/>
    <s v=""/>
    <s v="006405.KS"/>
    <m/>
    <s v="Samsung SDI Co Ltd"/>
    <s v="KRW"/>
    <n v="182000"/>
    <m/>
    <n v="-321"/>
    <n v="58422000"/>
    <n v="-87633"/>
    <n v="-146055"/>
    <m/>
    <n v="58188312"/>
    <n v="1289.222373806271"/>
    <n v="45134.426133333494"/>
    <x v="62"/>
  </r>
  <r>
    <d v="2020-02-12T00:00:00"/>
    <s v="BUY"/>
    <s v=""/>
    <s v="JP3692000007"/>
    <s v=""/>
    <s v="4094.T"/>
    <m/>
    <s v="Nihon Kagaku Sangyo Co Ltd"/>
    <s v="JPY"/>
    <n v="1026.25"/>
    <m/>
    <n v="1200"/>
    <n v="-1231500"/>
    <n v="-739"/>
    <m/>
    <m/>
    <n v="-1232239"/>
    <n v="119.80354706684855"/>
    <n v="-10285.496800127541"/>
    <x v="62"/>
  </r>
  <r>
    <d v="2020-02-12T00:00:00"/>
    <s v="BUY"/>
    <s v=""/>
    <s v="JP3111200006"/>
    <s v=""/>
    <s v="3407.t"/>
    <m/>
    <s v="Asahi Kasei Corp"/>
    <s v="JPY"/>
    <n v="1070"/>
    <m/>
    <n v="6700"/>
    <n v="-7169000"/>
    <n v="-4301"/>
    <m/>
    <m/>
    <n v="-7173301"/>
    <n v="119.80354706684852"/>
    <n v="-59875.531030791681"/>
    <x v="62"/>
  </r>
  <r>
    <d v="2020-02-13T00:00:00"/>
    <s v="BUY"/>
    <s v=""/>
    <s v="JP3692000007"/>
    <s v=""/>
    <s v="4094.T"/>
    <m/>
    <s v="Nihon Kagaku Sangyo Co Ltd"/>
    <s v="JPY"/>
    <n v="1014.2381"/>
    <m/>
    <n v="2100"/>
    <n v="-2129900.0100000002"/>
    <n v="-1278"/>
    <m/>
    <m/>
    <n v="-2131178.0100000002"/>
    <n v="119.80354706684855"/>
    <n v="-17788.939160631326"/>
    <x v="63"/>
  </r>
  <r>
    <d v="2020-02-14T00:00:00"/>
    <s v="BUY"/>
    <s v=""/>
    <s v="JP3692000007"/>
    <s v=""/>
    <s v="4094.T"/>
    <m/>
    <s v="Nihon Kagaku Sangyo Co Ltd"/>
    <s v="JPY"/>
    <n v="991.44047999999998"/>
    <m/>
    <n v="4200"/>
    <n v="-4164050.0159999998"/>
    <n v="-2498"/>
    <m/>
    <m/>
    <n v="-4166548.0159999998"/>
    <n v="119.66778275427232"/>
    <n v="-34817.625263063943"/>
    <x v="64"/>
  </r>
  <r>
    <d v="2020-02-20T00:00:00"/>
    <s v="BUY"/>
    <s v=""/>
    <s v="FR0000131757"/>
    <s v=""/>
    <s v="ERMT.PA"/>
    <m/>
    <s v="Eramet SA"/>
    <s v="EUR"/>
    <n v="32.887500000000003"/>
    <m/>
    <n v="1300"/>
    <n v="-42753.750000000007"/>
    <n v="-25.65"/>
    <n v="-128.26"/>
    <m/>
    <n v="-42907.660000000011"/>
    <n v="1"/>
    <n v="-42907.660000000011"/>
    <x v="65"/>
  </r>
  <r>
    <d v="2020-02-24T00:00:00"/>
    <s v="BUY"/>
    <s v=""/>
    <s v="DE0007664039"/>
    <s v=""/>
    <s v="VOWG_p.DE"/>
    <m/>
    <s v="Volkswagen AG"/>
    <s v="EUR"/>
    <n v="158.07650000000001"/>
    <m/>
    <n v="400"/>
    <n v="-63230.600000000006"/>
    <n v="-31.62"/>
    <m/>
    <m/>
    <n v="-63262.220000000008"/>
    <n v="1"/>
    <n v="-63262.220000000008"/>
    <x v="66"/>
  </r>
  <r>
    <d v="2020-02-24T00:00:00"/>
    <s v="BUY"/>
    <s v=""/>
    <s v="FR0013176526"/>
    <s v=""/>
    <s v="VLOF.PA"/>
    <m/>
    <s v="Valeo SE"/>
    <s v="EUR"/>
    <n v="25.2135"/>
    <m/>
    <n v="1300"/>
    <n v="-32777.550000000003"/>
    <n v="-16.39"/>
    <n v="-98.33"/>
    <m/>
    <n v="-32892.270000000004"/>
    <n v="1"/>
    <n v="-32892.270000000004"/>
    <x v="66"/>
  </r>
  <r>
    <d v="2020-02-25T00:00:00"/>
    <s v="BUY"/>
    <s v=""/>
    <s v="US3434121022"/>
    <s v=""/>
    <s v="FLR"/>
    <m/>
    <s v="Fluor Corp"/>
    <s v="USD"/>
    <n v="12.64432"/>
    <m/>
    <n v="2200"/>
    <n v="-27817.504000000001"/>
    <n v="-13.91"/>
    <m/>
    <m/>
    <n v="-27831.414000000001"/>
    <n v="1.0851989712313752"/>
    <n v="-25646.369686860002"/>
    <x v="67"/>
  </r>
  <r>
    <d v="2020-02-27T00:00:00"/>
    <s v="BUY"/>
    <s v=""/>
    <s v="US3434121022"/>
    <s v=""/>
    <s v="FLR"/>
    <m/>
    <s v="Fluor Corp"/>
    <s v="USD"/>
    <n v="9.99512"/>
    <m/>
    <n v="4200"/>
    <n v="-41979.504000000001"/>
    <n v="-20.99"/>
    <m/>
    <m/>
    <n v="-42000.493999999999"/>
    <n v="1.0879025239338556"/>
    <n v="-38606.854084799998"/>
    <x v="68"/>
  </r>
  <r>
    <d v="2020-02-28T00:00:00"/>
    <s v="BUY"/>
    <s v=""/>
    <s v="DE0007664039"/>
    <s v=""/>
    <s v="VOWG_p.DE"/>
    <m/>
    <s v="Volkswagen AG"/>
    <s v="EUR"/>
    <n v="143.66499999999999"/>
    <m/>
    <n v="370"/>
    <n v="-53156.049999999996"/>
    <n v="-26.58"/>
    <m/>
    <m/>
    <n v="-53182.63"/>
    <n v="1"/>
    <n v="-53182.63"/>
    <x v="69"/>
  </r>
  <r>
    <d v="2020-02-28T00:00:00"/>
    <s v="BUY"/>
    <s v=""/>
    <s v="FR0000131906"/>
    <s v=""/>
    <s v="RENA.PA"/>
    <m/>
    <s v="Renault SA"/>
    <s v="EUR"/>
    <n v="26.145900000000001"/>
    <m/>
    <n v="2000"/>
    <n v="-52291.8"/>
    <n v="-26.15"/>
    <n v="-156.88"/>
    <m/>
    <n v="-52474.83"/>
    <n v="1"/>
    <n v="-52474.83"/>
    <x v="69"/>
  </r>
  <r>
    <d v="2020-02-28T00:00:00"/>
    <s v="SELL"/>
    <s v=""/>
    <s v="DE0005190003"/>
    <s v=""/>
    <s v="BMWG.DE"/>
    <m/>
    <s v="Bayerische Motoren Werke AG"/>
    <s v="EUR"/>
    <n v="57.8249"/>
    <m/>
    <n v="-1000"/>
    <n v="57824.9"/>
    <n v="-28.91"/>
    <m/>
    <m/>
    <n v="57795.99"/>
    <n v="1"/>
    <n v="57795.99"/>
    <x v="69"/>
  </r>
  <r>
    <d v="2020-03-04T00:00:00"/>
    <s v="BUY"/>
    <s v=""/>
    <s v="AU000000WSA9"/>
    <s v=""/>
    <s v="WSA.AX"/>
    <m/>
    <s v="Western Areas Ltd"/>
    <s v="AUD"/>
    <n v="2.4169200000000002"/>
    <m/>
    <n v="17000"/>
    <n v="-41087.64"/>
    <n v="-24.65"/>
    <m/>
    <m/>
    <n v="-41112.29"/>
    <n v="1.6972005630152565"/>
    <n v="-24223.589654577809"/>
    <x v="70"/>
  </r>
  <r>
    <d v="2020-03-04T00:00:00"/>
    <s v="BUY"/>
    <s v=""/>
    <s v="JP3402600005"/>
    <s v=""/>
    <s v="5713.T"/>
    <m/>
    <s v="Sumitomo Metal Mining Co Ltd"/>
    <s v="JPY"/>
    <n v="2625"/>
    <m/>
    <n v="4200"/>
    <n v="-11025000"/>
    <n v="-6615"/>
    <m/>
    <m/>
    <n v="-11031615"/>
    <n v="119.66308451931455"/>
    <n v="-92188.957390776704"/>
    <x v="70"/>
  </r>
  <r>
    <d v="2020-03-09T00:00:00"/>
    <s v="SELL"/>
    <s v=""/>
    <s v="KR7006400006"/>
    <s v=""/>
    <s v="006400.KS"/>
    <m/>
    <s v="Samsung SDI Co Ltd"/>
    <s v="KRW"/>
    <n v="289000"/>
    <m/>
    <n v="-400"/>
    <n v="115600000"/>
    <n v="-173400"/>
    <n v="-289000"/>
    <m/>
    <n v="115137600"/>
    <n v="1374"/>
    <n v="83797.37991266376"/>
    <x v="71"/>
  </r>
  <r>
    <d v="2020-03-25T00:00:00"/>
    <s v="BUY"/>
    <s v=""/>
    <s v="US55315J1025"/>
    <s v=""/>
    <s v="NKELyq.L"/>
    <m/>
    <s v="GMK Noril'skiy Nikel' PAO"/>
    <s v="USD"/>
    <n v="24.22437"/>
    <m/>
    <n v="1970"/>
    <n v="-47722.008900000001"/>
    <n v="-28.63"/>
    <m/>
    <m/>
    <n v="-47750.638899999998"/>
    <n v="1.0787021056265103"/>
    <n v="-44266.752285855997"/>
    <x v="72"/>
  </r>
  <r>
    <d v="2020-04-10T00:00:00"/>
    <s v="BUY"/>
    <s v=""/>
    <s v="JP3111200006"/>
    <s v=""/>
    <s v="3407.t"/>
    <m/>
    <s v="Asahi Kasei Corp"/>
    <s v="JPY"/>
    <n v="718.54055000000005"/>
    <m/>
    <n v="6700"/>
    <n v="-4814221.6850000005"/>
    <n v="-1444"/>
    <m/>
    <m/>
    <n v="-4815665.6850000005"/>
    <n v="118.51479522706417"/>
    <n v="-40633.455728237124"/>
    <x v="73"/>
  </r>
  <r>
    <d v="2020-04-14T00:00:00"/>
    <s v="CA"/>
    <s v=""/>
    <s v="AU000000WSA9"/>
    <s v=""/>
    <s v="WSA.AX"/>
    <m/>
    <s v="Western Areas Ltd"/>
    <s v="AUD"/>
    <m/>
    <m/>
    <n v="1154"/>
    <n v="0"/>
    <m/>
    <m/>
    <m/>
    <n v="0"/>
    <m/>
    <e v="#DIV/0!"/>
    <x v="14"/>
  </r>
  <r>
    <d v="2020-04-28T00:00:00"/>
    <s v="BUY"/>
    <s v=""/>
    <s v="AU000000SYR9"/>
    <s v=""/>
    <s v="SYR.AX"/>
    <m/>
    <s v="Syrah Resources Ltd"/>
    <s v="AUD"/>
    <n v="0.23427999999999999"/>
    <m/>
    <n v="220000"/>
    <n v="-51541.599999999999"/>
    <n v="-30.93"/>
    <m/>
    <m/>
    <n v="-51572.53"/>
    <n v="1.6751269585178588"/>
    <n v="-30787.236595864371"/>
    <x v="74"/>
  </r>
  <r>
    <d v="2020-05-20T00:00:00"/>
    <s v="BUY"/>
    <s v=""/>
    <s v="AU000000WSA9"/>
    <s v=""/>
    <s v="WSA.AX"/>
    <m/>
    <s v="Western Areas Ltd"/>
    <s v="AUD"/>
    <n v="2.2915899999999998"/>
    <m/>
    <n v="42000"/>
    <n v="-96246.779999999984"/>
    <n v="-57.75"/>
    <m/>
    <m/>
    <n v="-96304.529999999984"/>
    <n v="1.6708967204342142"/>
    <n v="-57636.43486892082"/>
    <x v="75"/>
  </r>
  <r>
    <d v="2020-05-20T00:00:00"/>
    <s v="SELL"/>
    <s v=""/>
    <s v="KR7006401004"/>
    <s v=""/>
    <s v="006405.KS"/>
    <m/>
    <s v="Samsung SDI Co Ltd"/>
    <s v="KRW"/>
    <n v="168690"/>
    <m/>
    <n v="-400"/>
    <n v="67476000"/>
    <n v="-101214"/>
    <n v="-168653"/>
    <m/>
    <n v="67206133"/>
    <n v="1374"/>
    <n v="48912.760553129548"/>
    <x v="75"/>
  </r>
  <r>
    <d v="2020-05-22T00:00:00"/>
    <s v="BUY"/>
    <s v=""/>
    <s v="AU000000WSA9"/>
    <s v=""/>
    <s v="WSA.AX"/>
    <m/>
    <s v="Western Areas Ltd"/>
    <s v="AUD"/>
    <n v="2.2707000000000002"/>
    <m/>
    <n v="22000"/>
    <n v="-49955.4"/>
    <n v="-29.97"/>
    <m/>
    <m/>
    <n v="-49985.37"/>
    <n v="1.6680279855035984"/>
    <n v="-29966.745422984492"/>
    <x v="76"/>
  </r>
  <r>
    <d v="2020-05-22T00:00:00"/>
    <s v="BUY"/>
    <s v=""/>
    <s v="AU000000SYR9"/>
    <s v=""/>
    <s v="SYR.AX"/>
    <m/>
    <s v="Syrah Resources Ltd"/>
    <s v="AUD"/>
    <n v="0.30391000000000001"/>
    <m/>
    <n v="260000"/>
    <n v="-79016.600000000006"/>
    <n v="-47.41"/>
    <m/>
    <m/>
    <n v="-79064.010000000009"/>
    <n v="1.6680279855035978"/>
    <n v="-47399.69034520103"/>
    <x v="76"/>
  </r>
  <r>
    <d v="2020-05-28T00:00:00"/>
    <s v="BUY"/>
    <s v=""/>
    <s v="JP3866800000"/>
    <s v=""/>
    <s v="6752.T"/>
    <m/>
    <s v="Panasonic Corp"/>
    <s v="JPY"/>
    <n v="961.1"/>
    <m/>
    <n v="11000"/>
    <n v="-10572100"/>
    <n v="-6343"/>
    <m/>
    <m/>
    <n v="-10578443"/>
    <n v="118.51370978390042"/>
    <n v="-89259.2343897502"/>
    <x v="77"/>
  </r>
  <r>
    <d v="2020-05-28T00:00:00"/>
    <s v="SELL"/>
    <s v=""/>
    <s v="JP3701200002"/>
    <s v=""/>
    <s v="6997.T"/>
    <m/>
    <s v="Nippon Chemi-Con Corp"/>
    <s v="JPY"/>
    <n v="1600"/>
    <m/>
    <n v="-4000"/>
    <n v="6400000"/>
    <n v="-3840"/>
    <m/>
    <m/>
    <n v="6396160"/>
    <n v="118.51370978390042"/>
    <n v="53969.789753968958"/>
    <x v="77"/>
  </r>
  <r>
    <d v="2020-06-04T00:00:00"/>
    <s v="BUY"/>
    <s v=""/>
    <s v="US3843135084"/>
    <s v=""/>
    <s v="EAF"/>
    <m/>
    <s v="GrafTech International Ltd"/>
    <s v="USD"/>
    <n v="8.1206300000000002"/>
    <m/>
    <n v="6700"/>
    <n v="-54408.221000000005"/>
    <n v="-27.2"/>
    <m/>
    <m/>
    <n v="-54435.421000000002"/>
    <n v="1.1232042771618875"/>
    <n v="-48464.39967051"/>
    <x v="78"/>
  </r>
  <r>
    <d v="2020-06-05T00:00:00"/>
    <s v="BUY"/>
    <s v=""/>
    <s v="JP3368000000"/>
    <s v=""/>
    <s v="4004.T"/>
    <m/>
    <s v="Showa Denko KK"/>
    <s v="JPY"/>
    <n v="2593"/>
    <m/>
    <n v="2200"/>
    <n v="-5704600"/>
    <n v="-3423"/>
    <m/>
    <m/>
    <n v="-5708023"/>
    <n v="122.30571374015794"/>
    <n v="-46670.125421342629"/>
    <x v="79"/>
  </r>
  <r>
    <d v="2020-06-05T00:00:00"/>
    <s v="BUY"/>
    <s v=""/>
    <s v="AU000000SYR9"/>
    <s v=""/>
    <s v="SYR.AX"/>
    <m/>
    <s v="Syrah Resources Ltd"/>
    <s v="AUD"/>
    <n v="0.33176"/>
    <m/>
    <n v="170000"/>
    <n v="-56399.199999999997"/>
    <n v="-33.840000000000003"/>
    <m/>
    <m/>
    <n v="-56433.039999999994"/>
    <n v="1.6233671417820779"/>
    <n v="-34762.955678682578"/>
    <x v="80"/>
  </r>
  <r>
    <d v="2020-06-05T00:00:00"/>
    <s v="BUY"/>
    <s v=""/>
    <s v="AU000000WSA9"/>
    <s v=""/>
    <s v="WSA.AX"/>
    <m/>
    <s v="Western Areas Ltd"/>
    <s v="AUD"/>
    <n v="2.3755199999999999"/>
    <m/>
    <n v="22000"/>
    <n v="-52261.439999999995"/>
    <n v="-31.36"/>
    <m/>
    <m/>
    <n v="-52292.799999999996"/>
    <n v="1.6233671417820779"/>
    <n v="-32212.552942641625"/>
    <x v="80"/>
  </r>
  <r>
    <d v="2020-06-11T00:00:00"/>
    <s v="SELL"/>
    <s v=""/>
    <s v="KR7006401004"/>
    <s v=""/>
    <s v="006405.KS"/>
    <m/>
    <s v="Samsung SDI Co Ltd"/>
    <s v="KRW"/>
    <n v="254000"/>
    <m/>
    <n v="-690"/>
    <n v="175260000"/>
    <n v="-262890"/>
    <n v="-438150"/>
    <m/>
    <n v="174558960"/>
    <n v="1374"/>
    <n v="127044.36681222708"/>
    <x v="81"/>
  </r>
  <r>
    <d v="2020-03-12T00:00:00"/>
    <s v="DVD"/>
    <s v=""/>
    <s v="FR0000120859"/>
    <s v=""/>
    <s v="IMTP.PA"/>
    <m/>
    <s v="Imerys SA"/>
    <s v="EUR"/>
    <m/>
    <m/>
    <n v="525"/>
    <n v="0"/>
    <m/>
    <m/>
    <m/>
    <n v="0"/>
    <m/>
    <e v="#DIV/0!"/>
    <x v="14"/>
  </r>
  <r>
    <d v="2020-06-18T00:00:00"/>
    <s v="BUY"/>
    <s v=""/>
    <s v="KR7064960008"/>
    <s v=""/>
    <s v="064960.KS"/>
    <m/>
    <s v="SNT Motiv Co Ltd"/>
    <s v="KRW"/>
    <n v="41466.9545"/>
    <m/>
    <n v="2200"/>
    <n v="-91227299.900000006"/>
    <n v="-136841"/>
    <m/>
    <m/>
    <n v="-91364140.900000006"/>
    <n v="1366.4890268033807"/>
    <n v="-66860.500968476539"/>
    <x v="82"/>
  </r>
  <r>
    <d v="2020-06-18T00:00:00"/>
    <s v="SELL"/>
    <s v=""/>
    <s v="JP3701200002"/>
    <s v=""/>
    <s v="6997.T"/>
    <m/>
    <s v="Nippon Chemi-Con Corp"/>
    <s v="JPY"/>
    <n v="1767.5625"/>
    <m/>
    <n v="-4000"/>
    <n v="7070250"/>
    <n v="-4242"/>
    <m/>
    <m/>
    <n v="7066008"/>
    <n v="118.51370978390042"/>
    <n v="59621.8615794262"/>
    <x v="82"/>
  </r>
  <r>
    <d v="2020-06-18T00:00:00"/>
    <s v="BUY"/>
    <s v=""/>
    <s v="CNE100000296"/>
    <s v=""/>
    <s v="1211.HK"/>
    <m/>
    <s v="BYD Co Ltd"/>
    <s v="HKD"/>
    <n v="58.329549999999998"/>
    <m/>
    <n v="11000"/>
    <n v="-641625.04999999993"/>
    <n v="-384.98"/>
    <n v="-691.4"/>
    <m/>
    <n v="-642701.42999999993"/>
    <n v="8.7133477244108697"/>
    <n v="-73760.56256763867"/>
    <x v="82"/>
  </r>
  <r>
    <d v="2020-06-19T00:00:00"/>
    <s v="BUY"/>
    <s v=""/>
    <s v="JP3866800000"/>
    <s v=""/>
    <s v="6752.T"/>
    <m/>
    <s v="Panasonic Corp"/>
    <s v="JPY"/>
    <n v="965.13670000000002"/>
    <m/>
    <n v="11000"/>
    <n v="-10616503.700000001"/>
    <n v="-6370"/>
    <m/>
    <m/>
    <n v="-10622873.700000001"/>
    <n v="120.30041374347901"/>
    <n v="-88302.885829233681"/>
    <x v="83"/>
  </r>
  <r>
    <d v="2020-06-26T00:00:00"/>
    <s v="BUY"/>
    <s v=""/>
    <s v="JP3866800000"/>
    <s v=""/>
    <s v="6752.T"/>
    <m/>
    <s v="Panasonic Corp"/>
    <s v="JPY"/>
    <n v="928.7"/>
    <m/>
    <n v="11000"/>
    <n v="-10215700"/>
    <n v="-6129"/>
    <m/>
    <m/>
    <n v="-10221829"/>
    <n v="120.39734950331308"/>
    <n v="-84900.780973743254"/>
    <x v="84"/>
  </r>
  <r>
    <d v="2020-08-05T00:00:00"/>
    <s v="SELL"/>
    <s v=""/>
    <s v="KR7051911006"/>
    <s v=""/>
    <s v="051915.KS"/>
    <m/>
    <s v="LG Chem Ltd"/>
    <s v="KRW"/>
    <n v="373000"/>
    <m/>
    <n v="-450"/>
    <n v="167850000"/>
    <n v="-251775"/>
    <n v="-419624"/>
    <m/>
    <n v="167178601"/>
    <n v="1407.9720576782354"/>
    <n v="118737.15823286986"/>
    <x v="85"/>
  </r>
  <r>
    <d v="2020-08-05T00:00:00"/>
    <s v="BUY"/>
    <s v=""/>
    <s v="DE000A2E4LE9"/>
    <s v=""/>
    <s v="VBX.DE"/>
    <m/>
    <s v="Voltabox AG"/>
    <s v="EUR"/>
    <n v="3.3862000000000001"/>
    <m/>
    <n v="6680"/>
    <n v="-22619.815999999999"/>
    <n v="-13.57"/>
    <m/>
    <m/>
    <n v="-22633.385999999999"/>
    <n v="1"/>
    <n v="-22633.385999999999"/>
    <x v="86"/>
  </r>
  <r>
    <d v="2020-08-05T00:00:00"/>
    <s v="BUY"/>
    <s v=""/>
    <s v="JP3368000000"/>
    <s v=""/>
    <s v="4004.T"/>
    <m/>
    <s v="Showa Denko KK"/>
    <s v="JPY"/>
    <n v="2238.92976"/>
    <m/>
    <n v="4200"/>
    <n v="-9403504.9920000006"/>
    <n v="-5642"/>
    <m/>
    <m/>
    <n v="-9409146.9920000006"/>
    <n v="124.72565076817818"/>
    <n v="-75438.748437467351"/>
    <x v="87"/>
  </r>
  <r>
    <d v="2020-08-06T00:00:00"/>
    <s v="BUY"/>
    <s v=""/>
    <s v="DE000A2E4LE9"/>
    <s v=""/>
    <s v="VBX.DE"/>
    <m/>
    <s v="Voltabox AG"/>
    <s v="EUR"/>
    <n v="3.4358"/>
    <m/>
    <n v="6320"/>
    <n v="-21714.256000000001"/>
    <n v="-13.03"/>
    <m/>
    <m/>
    <n v="-21727.286"/>
    <n v="1"/>
    <n v="-21727.286"/>
    <x v="85"/>
  </r>
  <r>
    <d v="2020-08-06T00:00:00"/>
    <s v="spin-off"/>
    <s v=""/>
    <s v="KR7357780006"/>
    <s v=""/>
    <s v="357780.KQ"/>
    <m/>
    <s v="SOULBRAIN CO LTD"/>
    <s v="KRW"/>
    <m/>
    <m/>
    <n v="585"/>
    <n v="0"/>
    <m/>
    <m/>
    <m/>
    <n v="0"/>
    <m/>
    <m/>
    <x v="88"/>
  </r>
  <r>
    <d v="2020-08-06T00:00:00"/>
    <s v="spin-off"/>
    <s v=""/>
    <s v="KR7036830008"/>
    <s v=""/>
    <s v="036830.KQ"/>
    <m/>
    <s v="SoulBrain Holdings Co Ltd"/>
    <s v="KRW"/>
    <m/>
    <m/>
    <n v="-586"/>
    <n v="0"/>
    <m/>
    <m/>
    <m/>
    <n v="0"/>
    <m/>
    <m/>
    <x v="88"/>
  </r>
  <r>
    <d v="2020-08-07T00:00:00"/>
    <s v="SELL"/>
    <s v=""/>
    <s v="KR7051911006"/>
    <s v=""/>
    <s v="051915.KS"/>
    <m/>
    <s v="LG Chem Ltd"/>
    <s v="KRW"/>
    <n v="439000"/>
    <m/>
    <n v="-380"/>
    <n v="166820000"/>
    <n v="-250230"/>
    <n v="-417050"/>
    <m/>
    <n v="166152720"/>
    <n v="1407.97"/>
    <n v="118008.70757189428"/>
    <x v="89"/>
  </r>
  <r>
    <d v="2020-08-12T00:00:00"/>
    <s v="SELL"/>
    <s v=""/>
    <s v="KR7051911006"/>
    <s v=""/>
    <s v="051915.KS"/>
    <m/>
    <s v="LG Chem Ltd"/>
    <s v="KRW"/>
    <n v="406500"/>
    <m/>
    <n v="-420"/>
    <n v="170730000"/>
    <n v="-256095"/>
    <n v="-426825"/>
    <m/>
    <n v="170047080"/>
    <n v="1391.8014697250721"/>
    <n v="122177.68388589937"/>
    <x v="90"/>
  </r>
  <r>
    <d v="2020-08-12T00:00:00"/>
    <s v="BUY"/>
    <s v=""/>
    <s v="JP3368000000"/>
    <s v=""/>
    <s v="4004.T"/>
    <m/>
    <s v="Showa Denko KK"/>
    <s v="JPY"/>
    <n v="2307.0651800000001"/>
    <m/>
    <n v="4200"/>
    <n v="-9689673.756000001"/>
    <n v="-5814"/>
    <m/>
    <m/>
    <n v="-9695487.756000001"/>
    <n v="125.93814432989664"/>
    <n v="-76986.109391945152"/>
    <x v="91"/>
  </r>
  <r>
    <d v="2020-08-12T00:00:00"/>
    <s v="BUY"/>
    <s v=""/>
    <s v="JP3402600005"/>
    <s v=""/>
    <s v="5713.T"/>
    <m/>
    <s v="Sumitomo Metal Mining Co Ltd"/>
    <s v="JPY"/>
    <n v="3375"/>
    <m/>
    <n v="2200"/>
    <n v="-7425000"/>
    <n v="-4455"/>
    <m/>
    <m/>
    <n v="-7429455"/>
    <n v="125.9381443298971"/>
    <n v="-58992.889243614838"/>
    <x v="91"/>
  </r>
  <r>
    <d v="2020-08-12T00:00:00"/>
    <s v="SELL"/>
    <s v=""/>
    <s v="KR7006401004"/>
    <s v=""/>
    <s v="006405.KS"/>
    <m/>
    <s v="Samsung SDI Co Ltd"/>
    <s v="KRW"/>
    <n v="301597.76119400002"/>
    <m/>
    <n v="-670"/>
    <n v="202070499.99998"/>
    <n v="-303106"/>
    <n v="-504973"/>
    <m/>
    <n v="201262420.99998"/>
    <n v="1394.085419734907"/>
    <n v="144368.78698455304"/>
    <x v="90"/>
  </r>
  <r>
    <d v="2020-08-12T00:00:00"/>
    <s v="SELL"/>
    <s v=""/>
    <s v="KR7005420005"/>
    <s v=""/>
    <s v="005420.KS"/>
    <m/>
    <s v="Cosmo Chemical Co Ltd"/>
    <s v="KRW"/>
    <n v="12328.886399999999"/>
    <m/>
    <n v="-11000"/>
    <n v="135617750.40000001"/>
    <n v="-203427"/>
    <n v="-338980"/>
    <m/>
    <n v="135075343.40000001"/>
    <n v="1394.0854197349045"/>
    <n v="96891.726638734646"/>
    <x v="90"/>
  </r>
  <r>
    <d v="2020-08-12T00:00:00"/>
    <s v="SELL"/>
    <s v=""/>
    <s v="US35671D8570"/>
    <s v=""/>
    <s v="FCX"/>
    <m/>
    <s v="Freeport-McMoRan Inc"/>
    <s v="USD"/>
    <n v="14.09831"/>
    <m/>
    <n v="-7400"/>
    <n v="104327.49399999999"/>
    <n v="-52.16"/>
    <n v="-2.31"/>
    <m/>
    <n v="104273.02399999999"/>
    <n v="1.1782032400589102"/>
    <n v="88501.729119999989"/>
    <x v="92"/>
  </r>
  <r>
    <d v="2020-08-12T00:00:00"/>
    <s v="BUY"/>
    <s v=""/>
    <s v="AU000000WSA9"/>
    <s v=""/>
    <s v="WSA.AX"/>
    <m/>
    <s v="Western Areas Ltd"/>
    <s v="AUD"/>
    <n v="2.46611"/>
    <m/>
    <n v="42000"/>
    <n v="-103576.62"/>
    <n v="-62.15"/>
    <m/>
    <m/>
    <n v="-103638.76999999999"/>
    <n v="1.6450780559646523"/>
    <n v="-62999.302449042494"/>
    <x v="91"/>
  </r>
  <r>
    <d v="2020-08-12T00:00:00"/>
    <s v="BUY"/>
    <s v=""/>
    <s v="JP3385820000"/>
    <s v=""/>
    <s v="6674.T"/>
    <m/>
    <s v="GS Yuasa Corp"/>
    <s v="JPY"/>
    <n v="1832.15824"/>
    <m/>
    <n v="17000"/>
    <n v="-31146690.079999998"/>
    <n v="-18688"/>
    <m/>
    <m/>
    <n v="-31165378.079999998"/>
    <n v="125.9381443298971"/>
    <n v="-247465.75587426286"/>
    <x v="91"/>
  </r>
  <r>
    <d v="2020-08-17T00:00:00"/>
    <s v="BUY"/>
    <s v=""/>
    <s v="FR0000131906"/>
    <s v=""/>
    <s v="RENA.PA"/>
    <m/>
    <s v="Renault SA"/>
    <s v="EUR"/>
    <n v="24.21339"/>
    <m/>
    <n v="2200"/>
    <n v="-53269.457999999999"/>
    <n v="-31.96"/>
    <n v="-159.81"/>
    <m/>
    <n v="-53461.227999999996"/>
    <n v="1"/>
    <n v="-53461.227999999996"/>
    <x v="93"/>
  </r>
  <r>
    <d v="2020-08-17T00:00:00"/>
    <s v="BUY"/>
    <s v=""/>
    <s v="DE0007664005"/>
    <s v=""/>
    <s v="VOWG.DE"/>
    <m/>
    <s v="Volkswagen AG"/>
    <s v="EUR"/>
    <n v="151.15607"/>
    <m/>
    <n v="420"/>
    <n v="-63485.549400000004"/>
    <n v="-38.090000000000003"/>
    <m/>
    <m/>
    <n v="-63523.6394"/>
    <n v="1"/>
    <n v="-63523.6394"/>
    <x v="93"/>
  </r>
  <r>
    <d v="2020-08-17T00:00:00"/>
    <s v="BUY"/>
    <s v=""/>
    <s v="JE00B4T3BW64"/>
    <s v=""/>
    <s v="GLEN.L"/>
    <m/>
    <s v="Glencore PLC"/>
    <s v="GBp"/>
    <n v="1.7412799999999999"/>
    <m/>
    <n v="22000"/>
    <n v="-38308.159999999996"/>
    <n v="-23.98"/>
    <m/>
    <m/>
    <n v="-38332.14"/>
    <n v="0.90499928953725195"/>
    <n v="-42355.989052323072"/>
    <x v="93"/>
  </r>
  <r>
    <d v="2020-08-17T00:00:00"/>
    <s v="SELL"/>
    <s v=""/>
    <s v="GB0000456144"/>
    <s v=""/>
    <s v="ANTO.L"/>
    <m/>
    <s v="Antofagasta PLC"/>
    <s v="GBp"/>
    <n v="11.205399999999999"/>
    <m/>
    <n v="-4800"/>
    <n v="53785.919999999998"/>
    <n v="-33.270000000000003"/>
    <m/>
    <m/>
    <n v="53752.65"/>
    <n v="0.90499928953725195"/>
    <n v="59395.239997906552"/>
    <x v="93"/>
  </r>
  <r>
    <d v="2020-08-17T00:00:00"/>
    <s v="BUY"/>
    <s v=""/>
    <s v="JP3399720006"/>
    <s v=""/>
    <s v="4109.T"/>
    <m/>
    <s v="Stella Chemifa Corp"/>
    <s v="JPY"/>
    <n v="2641.70714"/>
    <m/>
    <n v="4200"/>
    <n v="-11095169.988"/>
    <n v="-6657"/>
    <m/>
    <m/>
    <n v="-11101826.988"/>
    <n v="126.21370719461952"/>
    <n v="-87960.54909377759"/>
    <x v="94"/>
  </r>
  <r>
    <d v="2020-08-17T00:00:00"/>
    <s v="SELL"/>
    <s v=""/>
    <s v="KR7096771001"/>
    <s v=""/>
    <s v="096775.KS"/>
    <m/>
    <s v="SK Innovation Co Ltd"/>
    <s v="KRW"/>
    <n v="143880.6452"/>
    <m/>
    <n v="-1085"/>
    <n v="156110500.042"/>
    <n v="-234166"/>
    <n v="-390210"/>
    <m/>
    <n v="155486124.042"/>
    <n v="1405.4610903234936"/>
    <n v="110629.97411490908"/>
    <x v="94"/>
  </r>
  <r>
    <d v="2020-08-17T00:00:00"/>
    <s v="SELL"/>
    <s v=""/>
    <s v="KR7086520004"/>
    <s v=""/>
    <s v="086520.KQ"/>
    <m/>
    <s v="Ecopro Co Ltd"/>
    <s v="KRW"/>
    <n v="41349.2353"/>
    <m/>
    <n v="-1700"/>
    <n v="70293700.010000005"/>
    <n v="-105441"/>
    <n v="-175727"/>
    <m/>
    <n v="70012532.010000005"/>
    <n v="1405.4610903234982"/>
    <n v="49814.635561262716"/>
    <x v="94"/>
  </r>
  <r>
    <d v="2020-08-17T00:00:00"/>
    <s v="SELL"/>
    <s v=""/>
    <s v="KR7006401004"/>
    <s v=""/>
    <s v="006405.KS"/>
    <m/>
    <s v="Samsung SDI Co Ltd"/>
    <s v="KRW"/>
    <n v="259213.73629999999"/>
    <m/>
    <n v="-910"/>
    <n v="235884500.03299999"/>
    <n v="-353827"/>
    <n v="-589659"/>
    <m/>
    <n v="234941014.03299999"/>
    <n v="1405.4610903234975"/>
    <n v="167162.94435367343"/>
    <x v="94"/>
  </r>
  <r>
    <d v="2020-08-19T00:00:00"/>
    <s v="BUY"/>
    <s v=""/>
    <s v="JP3402600005"/>
    <s v=""/>
    <s v="5713.T"/>
    <m/>
    <s v="Sumitomo Metal Mining Co Ltd"/>
    <s v="JPY"/>
    <n v="3280.3281299999999"/>
    <m/>
    <n v="2200"/>
    <n v="-7216721.8859999999"/>
    <n v="-4330"/>
    <m/>
    <m/>
    <n v="-7221051.8859999999"/>
    <n v="125.57996401855887"/>
    <n v="-57501.624104087452"/>
    <x v="95"/>
  </r>
  <r>
    <d v="2020-08-19T00:00:00"/>
    <s v="BUY"/>
    <s v=""/>
    <s v="KR7005490008"/>
    <s v=""/>
    <s v="005490.KS"/>
    <m/>
    <s v="Posco"/>
    <s v="KRW"/>
    <n v="199283.97435900001"/>
    <m/>
    <n v="670"/>
    <n v="-133520262.82053001"/>
    <n v="-200281"/>
    <m/>
    <m/>
    <n v="-133720543.82053001"/>
    <n v="1398.7075087586441"/>
    <n v="-95602.935555273652"/>
    <x v="95"/>
  </r>
  <r>
    <d v="2020-08-24T00:00:00"/>
    <s v="BUY"/>
    <s v=""/>
    <s v="KR7005490008"/>
    <s v=""/>
    <s v="005490.KS"/>
    <m/>
    <s v="Posco"/>
    <s v="KRW"/>
    <n v="195924.52830000001"/>
    <m/>
    <n v="420"/>
    <n v="-82288301.886000007"/>
    <n v="-123433"/>
    <m/>
    <m/>
    <n v="-82411734.886000007"/>
    <n v="1398.7075087586441"/>
    <n v="-58919.920262057218"/>
    <x v="96"/>
  </r>
  <r>
    <d v="2020-08-25T00:00:00"/>
    <s v="SELL"/>
    <s v=""/>
    <s v="KR7006401004"/>
    <s v=""/>
    <s v="006405.KS"/>
    <m/>
    <s v="Samsung SDI Co Ltd"/>
    <s v="KRW"/>
    <n v="263081.81819999998"/>
    <m/>
    <n v="-330"/>
    <n v="86817000.005999997"/>
    <n v="-130226"/>
    <n v="-217013"/>
    <m/>
    <n v="86469761.005999997"/>
    <n v="1401.0773347163465"/>
    <n v="61716.622532835514"/>
    <x v="97"/>
  </r>
  <r>
    <d v="2020-08-25T00:00:00"/>
    <s v="SELL"/>
    <s v=""/>
    <s v="KR7051911006"/>
    <s v=""/>
    <s v="051915.KS"/>
    <m/>
    <s v="LG Chem Ltd"/>
    <s v="KRW"/>
    <n v="371670.9302"/>
    <m/>
    <n v="-430"/>
    <n v="159818499.986"/>
    <n v="-239728"/>
    <n v="-399527"/>
    <m/>
    <n v="159179244.986"/>
    <n v="1401.0773347163456"/>
    <n v="113612.03342728155"/>
    <x v="97"/>
  </r>
  <r>
    <d v="2020-08-26T00:00:00"/>
    <s v="SELL"/>
    <s v=""/>
    <s v="KR7051911006"/>
    <s v=""/>
    <s v="051915.KS"/>
    <m/>
    <s v="LG Chem Ltd"/>
    <s v="KRW"/>
    <n v="374705"/>
    <m/>
    <n v="-300"/>
    <n v="112411500"/>
    <n v="-168617"/>
    <n v="-281020"/>
    <m/>
    <n v="111961863"/>
    <n v="1401.0773347163456"/>
    <n v="79911.265585255635"/>
    <x v="98"/>
  </r>
  <r>
    <d v="2020-09-08T00:00:00"/>
    <s v="BUY"/>
    <s v=""/>
    <s v="JP3592200004"/>
    <s v=""/>
    <s v="6502.T"/>
    <m/>
    <s v="Toshiba Corp"/>
    <s v="JPY"/>
    <n v="3012.2416699999999"/>
    <m/>
    <n v="4200"/>
    <n v="-12651415.014"/>
    <n v="-7591"/>
    <m/>
    <m/>
    <n v="-12659006.014"/>
    <n v="125.55539799584024"/>
    <n v="-100824.06822858707"/>
    <x v="99"/>
  </r>
  <r>
    <d v="2020-09-16T00:00:00"/>
    <s v="BUY"/>
    <s v=""/>
    <s v="KR7056190002"/>
    <s v=""/>
    <s v="056190.KQ"/>
    <m/>
    <s v="SFA Engineering Corp"/>
    <s v="KRW"/>
    <n v="36089.904799999997"/>
    <m/>
    <n v="4200"/>
    <n v="-151577600.16"/>
    <n v="-227366"/>
    <m/>
    <m/>
    <n v="-151804966.16"/>
    <n v="1397.4225338766214"/>
    <n v="-108632.11554122747"/>
    <x v="100"/>
  </r>
  <r>
    <d v="2020-09-24T00:00:00"/>
    <s v="BUY"/>
    <s v=""/>
    <s v="JP3592200004"/>
    <s v=""/>
    <s v="6502.T"/>
    <m/>
    <s v="Toshiba Corp"/>
    <s v="JPY"/>
    <n v="2833.3809500000002"/>
    <m/>
    <n v="4200"/>
    <n v="-11900199.99"/>
    <n v="-7140"/>
    <m/>
    <m/>
    <n v="-11907339.99"/>
    <n v="122.85038066479366"/>
    <n v="-96925.544109546201"/>
    <x v="101"/>
  </r>
  <r>
    <d v="2020-09-24T00:00:00"/>
    <s v="SELL"/>
    <s v=""/>
    <s v="KR7042600007"/>
    <s v=""/>
    <s v="042600.KQ"/>
    <m/>
    <s v="Seronics Co Ltd"/>
    <s v="KRW"/>
    <n v="5632.0828000000001"/>
    <m/>
    <n v="-33392"/>
    <n v="188066508.8576"/>
    <n v="-282100"/>
    <n v="-470034"/>
    <m/>
    <n v="187314374.8576"/>
    <n v="1364.8552541068645"/>
    <n v="137241.20143434184"/>
    <x v="101"/>
  </r>
  <r>
    <d v="2020-09-24T00:00:00"/>
    <s v="BUY"/>
    <s v=""/>
    <s v="US55315J1025"/>
    <s v=""/>
    <s v="NKELyq.L"/>
    <m/>
    <s v="GMK Noril'skiy Nikel' PAO"/>
    <s v="USD"/>
    <n v="24.392399999999999"/>
    <m/>
    <n v="3500"/>
    <n v="-85373.4"/>
    <n v="-42.69"/>
    <m/>
    <m/>
    <n v="-85416.09"/>
    <n v="1.1658952326543937"/>
    <n v="-73262.234553899994"/>
    <x v="101"/>
  </r>
  <r>
    <d v="2020-09-25T00:00:00"/>
    <s v="BUY"/>
    <s v=""/>
    <s v="JP3271600003"/>
    <s v=""/>
    <s v="4023.t"/>
    <m/>
    <s v="Kureha Corp"/>
    <s v="JPY"/>
    <n v="4773.6227500000005"/>
    <m/>
    <n v="1670"/>
    <n v="-7971949.9925000006"/>
    <n v="-4783"/>
    <m/>
    <m/>
    <n v="-7976732.9925000006"/>
    <n v="122.85038066479349"/>
    <n v="-64930.470295123603"/>
    <x v="102"/>
  </r>
  <r>
    <d v="2020-09-25T00:00:00"/>
    <s v="BUY"/>
    <s v=""/>
    <s v="JP3725400000"/>
    <s v=""/>
    <s v="4205.T"/>
    <m/>
    <s v="Zeon Corp"/>
    <s v="JPY"/>
    <n v="1162.5029"/>
    <m/>
    <n v="6900"/>
    <n v="-8021270.0099999998"/>
    <n v="-4813"/>
    <m/>
    <m/>
    <n v="-8026083.0099999998"/>
    <n v="122.8121183927429"/>
    <n v="-65352.532918072924"/>
    <x v="102"/>
  </r>
  <r>
    <d v="2020-09-28T00:00:00"/>
    <s v="SELL"/>
    <s v=""/>
    <s v="JP3854650003"/>
    <s v=""/>
    <s v="6826.T"/>
    <m/>
    <s v="Honda Tsushin Kogyo Co Ltd"/>
    <s v="JPY"/>
    <n v="530.27"/>
    <m/>
    <n v="-10000"/>
    <n v="5302700"/>
    <n v="-3182"/>
    <m/>
    <m/>
    <n v="5299518"/>
    <n v="122.812118392743"/>
    <n v="43151.425684659065"/>
    <x v="103"/>
  </r>
  <r>
    <d v="2020-09-28T00:00:00"/>
    <s v="BUY"/>
    <s v=""/>
    <s v="KR7036830008"/>
    <s v=""/>
    <s v="036830.KQ"/>
    <m/>
    <s v="SoulBrain Holdings Co Ltd"/>
    <s v="KRW"/>
    <n v="44997.772700000001"/>
    <m/>
    <n v="1100"/>
    <n v="-49497549.969999999"/>
    <n v="-74246"/>
    <m/>
    <m/>
    <n v="-49571795.969999999"/>
    <n v="1365.7265802174807"/>
    <n v="-36297.013390561748"/>
    <x v="104"/>
  </r>
  <r>
    <d v="2020-09-28T00:00:00"/>
    <s v="SELL"/>
    <s v=""/>
    <s v="JP3551500006"/>
    <s v=""/>
    <s v="6902.T"/>
    <m/>
    <s v="Denso Corp"/>
    <s v="JPY"/>
    <n v="4541.6363600000004"/>
    <m/>
    <n v="-1100"/>
    <n v="4995799.9960000003"/>
    <n v="-2997"/>
    <m/>
    <m/>
    <n v="4992802.9960000003"/>
    <n v="122.812118392743"/>
    <n v="40653.992955592781"/>
    <x v="103"/>
  </r>
  <r>
    <d v="2020-09-28T00:00:00"/>
    <s v="BUY"/>
    <s v=""/>
    <s v="JP3592200004"/>
    <s v=""/>
    <s v="6502.T"/>
    <m/>
    <s v="Toshiba Corp"/>
    <s v="JPY"/>
    <n v="2699.75938"/>
    <m/>
    <n v="2200"/>
    <n v="-5939470.6359999999"/>
    <n v="-3564"/>
    <m/>
    <m/>
    <n v="-5943034.6359999999"/>
    <n v="122.81211839274312"/>
    <n v="-48391.272081104085"/>
    <x v="103"/>
  </r>
  <r>
    <d v="2020-09-30T00:00:00"/>
    <s v="SELL"/>
    <s v=""/>
    <s v="DE0007100000"/>
    <s v=""/>
    <s v="DAIGn.DE"/>
    <m/>
    <s v="Daimler AG"/>
    <s v="EUR"/>
    <n v="46.034999999999997"/>
    <m/>
    <n v="-600"/>
    <n v="27620.999999999996"/>
    <n v="-13.81"/>
    <m/>
    <m/>
    <n v="27607.189999999995"/>
    <n v="1"/>
    <n v="27607.189999999995"/>
    <x v="105"/>
  </r>
  <r>
    <d v="2020-10-02T00:00:00"/>
    <s v="BUY"/>
    <s v=""/>
    <s v="JP3866800000"/>
    <s v=""/>
    <s v="6752.t"/>
    <m/>
    <s v="Panasonic Corp"/>
    <s v="JPY"/>
    <n v="887.85749999999996"/>
    <m/>
    <n v="8000"/>
    <n v="-7102860"/>
    <n v="-3551"/>
    <m/>
    <m/>
    <n v="-7106411"/>
    <n v="124.04302287351466"/>
    <n v="-57289.888906096159"/>
    <x v="106"/>
  </r>
  <r>
    <d v="2020-10-01T00:00:00"/>
    <s v="BUY"/>
    <s v=""/>
    <s v="CH0110303119"/>
    <s v=""/>
    <s v="LECN.S"/>
    <m/>
    <s v="Leclanche SA"/>
    <s v="CHF"/>
    <n v="0.56599999999999995"/>
    <m/>
    <n v="2195"/>
    <n v="-1242.3699999999999"/>
    <n v="-0.75"/>
    <m/>
    <m/>
    <n v="-1243.1199999999999"/>
    <n v="1.0788736685454485"/>
    <n v="-1152.2387062018024"/>
    <x v="104"/>
  </r>
  <r>
    <d v="2020-10-02T00:00:00"/>
    <s v="SELL"/>
    <s v=""/>
    <s v="JP3385820000"/>
    <s v=""/>
    <s v="6674.T"/>
    <m/>
    <s v="GS Yuasa Corp"/>
    <s v="JPY"/>
    <n v="1787.2701099999999"/>
    <m/>
    <n v="-12800"/>
    <n v="22877057.408"/>
    <n v="-13726"/>
    <m/>
    <m/>
    <n v="22863331.408"/>
    <n v="123.56601319443601"/>
    <n v="185029.28772188874"/>
    <x v="106"/>
  </r>
  <r>
    <d v="2020-10-02T00:00:00"/>
    <s v="BUY"/>
    <s v=""/>
    <s v="JP3592200004"/>
    <s v=""/>
    <s v="6502.T"/>
    <m/>
    <s v="Toshiba Corp"/>
    <s v="JPY"/>
    <n v="2647.5683899999999"/>
    <m/>
    <n v="6400"/>
    <n v="-16944437.695999999"/>
    <n v="-10167"/>
    <m/>
    <m/>
    <n v="-16954604.695999999"/>
    <n v="123.5660131944362"/>
    <n v="-137210.90660521053"/>
    <x v="106"/>
  </r>
  <r>
    <d v="2020-10-02T00:00:00"/>
    <s v="BUY"/>
    <s v=""/>
    <s v="CH0110303119"/>
    <s v=""/>
    <s v="LECN.S"/>
    <m/>
    <s v="Leclanche SA"/>
    <s v="CHF"/>
    <n v="0.55589999999999995"/>
    <m/>
    <n v="35000"/>
    <n v="-19456.5"/>
    <n v="-11.67"/>
    <m/>
    <m/>
    <n v="-19468.169999999998"/>
    <n v="1.0787285029602476"/>
    <n v="-18047.330673636072"/>
    <x v="106"/>
  </r>
  <r>
    <d v="2020-10-06T00:00:00"/>
    <s v="BUY"/>
    <s v=""/>
    <s v="CH0110303119"/>
    <s v=""/>
    <s v="LECN.S"/>
    <m/>
    <s v="Leclanche SA"/>
    <s v="CHF"/>
    <n v="0.5504"/>
    <m/>
    <n v="35000"/>
    <n v="-19264"/>
    <n v="-11.56"/>
    <m/>
    <m/>
    <n v="-19275.560000000001"/>
    <n v="1.0783204919770968"/>
    <n v="-17875.538991805981"/>
    <x v="107"/>
  </r>
  <r>
    <d v="2020-10-09T00:00:00"/>
    <m/>
    <s v=""/>
    <s v="AU000000WSA9"/>
    <s v=""/>
    <s v="wsa.ax"/>
    <m/>
    <s v="Western Areas Ltd"/>
    <s v="AUD"/>
    <m/>
    <m/>
    <n v="1620"/>
    <n v="0"/>
    <m/>
    <m/>
    <m/>
    <n v="0"/>
    <m/>
    <m/>
    <x v="14"/>
  </r>
  <r>
    <d v="2020-10-20T00:00:00"/>
    <m/>
    <s v=""/>
    <s v="SE0014957379"/>
    <s v=""/>
    <s v="ALELIObtu.ST"/>
    <m/>
    <s v="ALELION ENERGY SYSTEMS AB"/>
    <s v="The record could not be found"/>
    <m/>
    <m/>
    <n v="93079"/>
    <n v="0"/>
    <m/>
    <m/>
    <m/>
    <n v="0"/>
    <m/>
    <m/>
    <x v="14"/>
  </r>
  <r>
    <d v="2020-11-02T00:00:00"/>
    <s v="SELL"/>
    <s v=""/>
    <s v="JP3897700005"/>
    <s v=""/>
    <s v="4188.T"/>
    <m/>
    <s v="Mitsubishi Chemical Holdings Corp"/>
    <s v="JPY"/>
    <n v="595.59880999999996"/>
    <m/>
    <n v="-20500"/>
    <n v="12209775.604999999"/>
    <n v="-7326"/>
    <m/>
    <m/>
    <n v="12202449.604999999"/>
    <n v="122.12234415129581"/>
    <n v="99919.876987314783"/>
    <x v="108"/>
  </r>
  <r>
    <d v="2020-11-02T00:00:00"/>
    <s v="SELL"/>
    <s v=""/>
    <s v="KR7086520004"/>
    <s v=""/>
    <s v="086520.KQ"/>
    <m/>
    <s v="Ecopro Co Ltd"/>
    <s v="KRW"/>
    <n v="42943.333333000002"/>
    <m/>
    <n v="-1500"/>
    <n v="64414999.999500006"/>
    <n v="-96623"/>
    <n v="-161030"/>
    <m/>
    <n v="64157346.999500006"/>
    <n v="1319.2388512724742"/>
    <n v="48632.093375370896"/>
    <x v="109"/>
  </r>
  <r>
    <d v="2020-11-02T00:00:00"/>
    <s v="SELL"/>
    <s v=""/>
    <s v="JP3707000000"/>
    <s v=""/>
    <s v="3891.T"/>
    <m/>
    <s v="Nippon Kodoshi Corp"/>
    <s v="JPY"/>
    <n v="1719.4545499999999"/>
    <m/>
    <n v="-2200"/>
    <n v="3782800.01"/>
    <n v="-2270"/>
    <m/>
    <m/>
    <n v="3780530.01"/>
    <n v="122.12234415129581"/>
    <n v="30956.906668253516"/>
    <x v="108"/>
  </r>
  <r>
    <d v="2020-11-02T00:00:00"/>
    <s v="SELL"/>
    <s v=""/>
    <s v="JP3158800007"/>
    <s v=""/>
    <s v="4208.T"/>
    <m/>
    <s v="Ube Industries Ltd"/>
    <s v="JPY"/>
    <n v="1789.9085399999999"/>
    <m/>
    <n v="-4920"/>
    <n v="8806350.0167999994"/>
    <n v="-5284"/>
    <m/>
    <m/>
    <n v="8801066.0167999994"/>
    <n v="122.12234415129622"/>
    <n v="72067.614472716334"/>
    <x v="108"/>
  </r>
  <r>
    <d v="2020-11-02T00:00:00"/>
    <s v="BUY"/>
    <s v=""/>
    <s v="AU000000WSA9"/>
    <s v=""/>
    <s v="WSA.AX"/>
    <m/>
    <s v="Western Areas Ltd"/>
    <s v="AUD"/>
    <n v="1.94089"/>
    <m/>
    <n v="120000"/>
    <n v="-232906.8"/>
    <n v="-139.74"/>
    <m/>
    <m/>
    <n v="-233046.53999999998"/>
    <n v="1.6610786831660023"/>
    <n v="-140298.31480096729"/>
    <x v="109"/>
  </r>
  <r>
    <d v="2020-11-02T00:00:00"/>
    <s v="BUY"/>
    <s v=""/>
    <s v="JP3592200004"/>
    <s v=""/>
    <s v="6502.T"/>
    <m/>
    <s v="Toshiba Corp"/>
    <s v="JPY"/>
    <n v="2607"/>
    <m/>
    <n v="4200"/>
    <n v="-10949400"/>
    <n v="-6570"/>
    <m/>
    <m/>
    <n v="-10955970"/>
    <n v="122.12234415129581"/>
    <n v="-89713.066647548039"/>
    <x v="108"/>
  </r>
  <r>
    <d v="2020-11-02T00:00:00"/>
    <s v="BUY"/>
    <s v=""/>
    <s v="JP3591600006"/>
    <s v=""/>
    <s v="6617.T"/>
    <m/>
    <s v="Takaoka Toko Co Ltd"/>
    <s v="JPY"/>
    <n v="1080.1529399999999"/>
    <m/>
    <n v="4250"/>
    <n v="-4590649.9950000001"/>
    <n v="-2574"/>
    <m/>
    <m/>
    <n v="-4593223.9950000001"/>
    <n v="122.12234415129581"/>
    <n v="-37611.659249756245"/>
    <x v="108"/>
  </r>
  <r>
    <d v="2020-11-02T00:00:00"/>
    <s v="BUY"/>
    <s v=""/>
    <s v="JP3399720006"/>
    <s v=""/>
    <s v="4109.T"/>
    <m/>
    <s v="Stella Chemifa Corp"/>
    <s v="JPY"/>
    <n v="2950.3487300000002"/>
    <m/>
    <n v="1150"/>
    <n v="-3392901.0395"/>
    <n v="-2036"/>
    <m/>
    <m/>
    <n v="-3394937.0395"/>
    <n v="122.12234415129568"/>
    <n v="-27799.47488801934"/>
    <x v="108"/>
  </r>
  <r>
    <d v="2020-11-02T00:00:00"/>
    <s v="BUY"/>
    <s v=""/>
    <s v="KR7096770003"/>
    <s v=""/>
    <s v="096770.ks"/>
    <m/>
    <s v="SK Innovation Co Ltd"/>
    <s v="KRW"/>
    <n v="125073.232323"/>
    <m/>
    <n v="990"/>
    <n v="-123822499.99977"/>
    <n v="-185734"/>
    <m/>
    <m/>
    <n v="-124008233.99977"/>
    <n v="1323.6702034731366"/>
    <n v="-93685.144286234368"/>
    <x v="109"/>
  </r>
  <r>
    <d v="2020-11-02T00:00:00"/>
    <s v="BUY"/>
    <s v=""/>
    <s v="IT0005424830"/>
    <s v=""/>
    <s v="OSA.MI"/>
    <m/>
    <s v="Osai Automation System SpA"/>
    <s v="EUR"/>
    <n v="1.5"/>
    <m/>
    <n v="80000"/>
    <n v="-120000"/>
    <n v="0"/>
    <m/>
    <m/>
    <n v="-120000"/>
    <n v="1"/>
    <n v="-120000"/>
    <x v="110"/>
  </r>
  <r>
    <d v="2020-11-02T00:00:00"/>
    <s v="SELL"/>
    <s v=""/>
    <s v="CNE100000296"/>
    <s v=""/>
    <s v="1211.HK"/>
    <m/>
    <s v="BYD Co Ltd"/>
    <s v="HKD"/>
    <n v="154.69999999999999"/>
    <m/>
    <n v="-11000"/>
    <n v="1701699.9999999998"/>
    <n v="-1021.02"/>
    <n v="-1833.04"/>
    <m/>
    <n v="1698845.9399999997"/>
    <n v="9.0282905694219533"/>
    <n v="188169.16967137117"/>
    <x v="109"/>
  </r>
  <r>
    <d v="2020-11-03T00:00:00"/>
    <s v="SELL"/>
    <s v=""/>
    <s v="IT0005424830"/>
    <s v=""/>
    <s v="OSA.MI"/>
    <m/>
    <s v="Osai Automation System SpA"/>
    <s v="EUR"/>
    <n v="2.02"/>
    <m/>
    <n v="-11000"/>
    <n v="22220"/>
    <n v="-13.33"/>
    <m/>
    <m/>
    <n v="22206.67"/>
    <n v="1"/>
    <n v="22206.67"/>
    <x v="108"/>
  </r>
  <r>
    <d v="2020-11-05T00:00:00"/>
    <s v="SELL"/>
    <s v=""/>
    <s v="US0126531013"/>
    <s v=""/>
    <s v="ALB"/>
    <m/>
    <s v="Albemarle Corp"/>
    <s v="USD"/>
    <n v="101.09273"/>
    <m/>
    <n v="-1100"/>
    <n v="111202.003"/>
    <n v="-55.6"/>
    <n v="-2.46"/>
    <m/>
    <n v="111143.94299999998"/>
    <n v="1.1821029611679177"/>
    <n v="94022.218580849993"/>
    <x v="111"/>
  </r>
  <r>
    <d v="2020-11-09T00:00:00"/>
    <s v="SELL"/>
    <s v=""/>
    <s v="US53814L1089"/>
    <s v=""/>
    <s v="LTHM.K"/>
    <m/>
    <s v="Livent Corp"/>
    <s v="USD"/>
    <n v="14.5"/>
    <m/>
    <n v="-22100"/>
    <n v="320450"/>
    <n v="-160.22"/>
    <n v="-7.08"/>
    <m/>
    <n v="320282.7"/>
    <n v="1.18"/>
    <n v="271426.01694915257"/>
    <x v="112"/>
  </r>
  <r>
    <d v="2020-11-12T00:00:00"/>
    <s v="BUY"/>
    <s v=""/>
    <s v="JP3592200004"/>
    <s v=""/>
    <s v="6502.T"/>
    <m/>
    <s v="Toshiba Corp"/>
    <s v="JPY"/>
    <n v="2796.8152300000002"/>
    <m/>
    <n v="4600"/>
    <n v="-12865350.058"/>
    <n v="-3860"/>
    <m/>
    <m/>
    <n v="-12869210.058"/>
    <n v="124.37828578179467"/>
    <n v="-103468.30218079493"/>
    <x v="113"/>
  </r>
  <r>
    <d v="2020-11-12T00:00:00"/>
    <s v="BUY"/>
    <s v=""/>
    <s v="CH0110303119"/>
    <s v=""/>
    <s v="LECN.S"/>
    <m/>
    <s v="Leclanche SA"/>
    <s v="CHF"/>
    <n v="0.54942000000000002"/>
    <m/>
    <n v="31000"/>
    <n v="-17032.02"/>
    <n v="-10.220000000000001"/>
    <m/>
    <m/>
    <n v="-17042.240000000002"/>
    <n v="1.0803076162099148"/>
    <n v="-15775.358559249962"/>
    <x v="113"/>
  </r>
  <r>
    <d v="2020-11-16T00:00:00"/>
    <s v="BUY"/>
    <s v=""/>
    <s v="JP3592200004"/>
    <s v=""/>
    <s v="6502.T"/>
    <m/>
    <s v="Toshiba Corp"/>
    <s v="JPY"/>
    <n v="2715.3952399999998"/>
    <m/>
    <n v="4200"/>
    <n v="-11404660.007999999"/>
    <n v="-3421"/>
    <m/>
    <m/>
    <n v="-11408081.007999999"/>
    <n v="123.78574724611623"/>
    <n v="-92159.89127825803"/>
    <x v="114"/>
  </r>
  <r>
    <d v="2020-11-16T00:00:00"/>
    <s v="SELL"/>
    <s v=""/>
    <s v="IT0005424830"/>
    <s v=""/>
    <s v="OSA.MI"/>
    <m/>
    <s v="Osai Automation System SpA"/>
    <s v="EUR"/>
    <n v="2.0454500000000002"/>
    <m/>
    <n v="-11000"/>
    <n v="22499.95"/>
    <n v="-13.5"/>
    <m/>
    <m/>
    <n v="22486.45"/>
    <n v="1"/>
    <n v="22486.45"/>
    <x v="114"/>
  </r>
  <r>
    <d v="2020-11-16T00:00:00"/>
    <s v="SELL"/>
    <s v=""/>
    <s v="SE0014957379"/>
    <s v=""/>
    <s v="ALELIObtu.ST"/>
    <m/>
    <s v="ALELION ENERGY SYSTEMS AB"/>
    <s v="The record could not be found"/>
    <m/>
    <m/>
    <n v="-93079"/>
    <n v="0"/>
    <m/>
    <m/>
    <m/>
    <n v="0"/>
    <m/>
    <e v="#DIV/0!"/>
    <x v="14"/>
  </r>
  <r>
    <d v="2020-11-16T00:00:00"/>
    <s v="BUY"/>
    <s v=""/>
    <s v="SE0008348072"/>
    <s v=""/>
    <s v="ALELIO.ST"/>
    <m/>
    <s v="Alelion Energy Systems AB"/>
    <s v="SEK"/>
    <m/>
    <m/>
    <n v="93079"/>
    <n v="0"/>
    <m/>
    <m/>
    <m/>
    <n v="0"/>
    <m/>
    <e v="#DIV/0!"/>
    <x v="14"/>
  </r>
  <r>
    <d v="2020-11-16T00:00:00"/>
    <s v="SELL"/>
    <s v=""/>
    <s v="US0126531013"/>
    <s v=""/>
    <s v="ALB"/>
    <m/>
    <s v="Albemarle Corp"/>
    <s v="USD"/>
    <n v="128.14277999999999"/>
    <m/>
    <n v="-1685"/>
    <n v="215920.58429999999"/>
    <n v="-107.96"/>
    <n v="-4.7699999999999996"/>
    <m/>
    <n v="215807.85430000001"/>
    <n v="1.1852975689546859"/>
    <n v="182070.61243728103"/>
    <x v="114"/>
  </r>
  <r>
    <d v="2020-11-17T00:00:00"/>
    <s v="SELL"/>
    <s v=""/>
    <s v="AU000000PLS0"/>
    <s v=""/>
    <s v="PLS.AX"/>
    <m/>
    <s v="Pilbara Minerals Ltd"/>
    <s v="AUD"/>
    <n v="0.56855"/>
    <m/>
    <n v="-220000"/>
    <n v="125081"/>
    <n v="-75.05"/>
    <m/>
    <m/>
    <n v="125005.95"/>
    <n v="1.6279446738525956"/>
    <n v="76787.591131195179"/>
    <x v="115"/>
  </r>
  <r>
    <d v="2020-11-17T00:00:00"/>
    <s v="SELL"/>
    <s v=""/>
    <s v="IT0005424830"/>
    <s v=""/>
    <s v="OSA.MI"/>
    <m/>
    <s v="Osai Automation System SpA"/>
    <s v="EUR"/>
    <n v="2.3554499999999998"/>
    <m/>
    <n v="-11000"/>
    <n v="25909.949999999997"/>
    <n v="-15.55"/>
    <m/>
    <m/>
    <n v="25894.399999999998"/>
    <n v="1"/>
    <n v="25894.399999999998"/>
    <x v="115"/>
  </r>
  <r>
    <d v="2020-11-18T00:00:00"/>
    <s v="SELL"/>
    <s v=""/>
    <s v="IT0005424830"/>
    <s v=""/>
    <s v="OSA.MI"/>
    <m/>
    <s v="Osai Automation System SpA"/>
    <s v="EUR"/>
    <n v="2.5581800000000001"/>
    <m/>
    <n v="-11000"/>
    <n v="28139.98"/>
    <n v="-16.88"/>
    <m/>
    <m/>
    <n v="28123.1"/>
    <n v="1"/>
    <n v="28123.1"/>
    <x v="116"/>
  </r>
  <r>
    <d v="2020-11-18T00:00:00"/>
    <s v="BUY"/>
    <s v=""/>
    <s v="IT0005424822"/>
    <s v=""/>
    <s v="OSA_t.MI"/>
    <m/>
    <s v="Unable to resolve and collect data for all requested identifiers and fields."/>
    <s v="EUR"/>
    <m/>
    <m/>
    <n v="8000"/>
    <n v="0"/>
    <m/>
    <m/>
    <m/>
    <n v="0"/>
    <m/>
    <n v="0"/>
    <x v="14"/>
  </r>
  <r>
    <d v="2020-11-18T00:00:00"/>
    <s v="BUY"/>
    <s v=""/>
    <s v="SE0014957353"/>
    <s v=""/>
    <s v="ALELIOto2.ST"/>
    <m/>
    <s v="Unable to resolve and collect data for all requested identifiers and fields."/>
    <s v="The record could not be found"/>
    <m/>
    <m/>
    <n v="93079"/>
    <n v="0"/>
    <m/>
    <m/>
    <m/>
    <n v="0"/>
    <m/>
    <n v="0"/>
    <x v="14"/>
  </r>
  <r>
    <d v="2020-11-23T00:00:00"/>
    <s v="BUY"/>
    <s v=""/>
    <s v="CNE100001TJ4"/>
    <s v=""/>
    <s v="1958.HK"/>
    <m/>
    <s v="BAIC Motor Corp Ltd"/>
    <s v="HKD"/>
    <n v="3.1023499999999999"/>
    <m/>
    <n v="211000"/>
    <n v="-654595.85"/>
    <n v="-392.76"/>
    <n v="-705.41"/>
    <m/>
    <n v="-655694.02"/>
    <n v="9.1886638140505159"/>
    <n v="-71359.017292304139"/>
    <x v="117"/>
  </r>
  <r>
    <d v="2020-11-23T00:00:00"/>
    <s v="BUY"/>
    <s v=""/>
    <s v="AU000000IGO4"/>
    <s v=""/>
    <s v="IGO.AX"/>
    <m/>
    <s v="IGO Ltd"/>
    <s v="AUD"/>
    <n v="4.9518800000000001"/>
    <m/>
    <n v="33000"/>
    <n v="-163412.04"/>
    <n v="-98.05"/>
    <m/>
    <m/>
    <n v="-163510.09"/>
    <n v="1.6232531677077522"/>
    <n v="-100729.87581530356"/>
    <x v="117"/>
  </r>
  <r>
    <d v="2020-11-23T00:00:00"/>
    <s v="SELL"/>
    <s v=""/>
    <s v="AU000000PLS0"/>
    <s v=""/>
    <s v="PLS.AX"/>
    <m/>
    <s v="Pilbara Minerals Ltd"/>
    <s v="AUD"/>
    <n v="0.67976999999999999"/>
    <m/>
    <n v="-270000"/>
    <n v="183537.9"/>
    <n v="-110.12"/>
    <m/>
    <m/>
    <n v="183427.78"/>
    <n v="1.6232531677077533"/>
    <n v="113000.10599025912"/>
    <x v="117"/>
  </r>
  <r>
    <d v="2020-11-24T00:00:00"/>
    <s v="BUY"/>
    <s v=""/>
    <s v="JP3368000000"/>
    <s v=""/>
    <s v="4004.t"/>
    <m/>
    <s v="Showa Denko KK"/>
    <s v="JPY"/>
    <n v="1951.07536"/>
    <m/>
    <n v="11000"/>
    <n v="-21461828.960000001"/>
    <n v="-12877"/>
    <m/>
    <m/>
    <n v="-21474705.960000001"/>
    <n v="123.09315253594413"/>
    <n v="-174458.98100407515"/>
    <x v="118"/>
  </r>
  <r>
    <d v="2020-11-24T00:00:00"/>
    <s v="SELL"/>
    <s v=""/>
    <s v="DE000A2E4LE9"/>
    <s v=""/>
    <s v="VBX.DE"/>
    <m/>
    <s v="Voltabox AG"/>
    <s v="EUR"/>
    <n v="5.2982300000000002"/>
    <m/>
    <n v="-5300"/>
    <n v="28080.619000000002"/>
    <n v="-16.850000000000001"/>
    <m/>
    <m/>
    <n v="28063.769000000004"/>
    <n v="1"/>
    <n v="28063.769000000004"/>
    <x v="118"/>
  </r>
  <r>
    <d v="2020-11-24T00:00:00"/>
    <s v="SELL"/>
    <s v=""/>
    <s v="US8336351056"/>
    <s v=""/>
    <s v="SQM"/>
    <m/>
    <s v="Sociedad Quimica y Minera de Chile SA"/>
    <s v="USD"/>
    <n v="47.869"/>
    <m/>
    <n v="-2000"/>
    <n v="95738"/>
    <n v="-47.87"/>
    <n v="-2.12"/>
    <m/>
    <n v="95688.010000000009"/>
    <n v="1.184006440995039"/>
    <n v="80817.136365900005"/>
    <x v="119"/>
  </r>
  <r>
    <d v="2020-11-25T00:00:00"/>
    <s v="SELL"/>
    <s v=""/>
    <s v="DE000A2E4LE9"/>
    <s v=""/>
    <s v="VBX.DE"/>
    <m/>
    <s v="Voltabox AG"/>
    <s v="EUR"/>
    <n v="5.7228000000000003"/>
    <m/>
    <n v="-11000"/>
    <n v="62950.8"/>
    <n v="-37.770000000000003"/>
    <m/>
    <m/>
    <n v="62913.030000000006"/>
    <n v="1"/>
    <n v="62913.030000000006"/>
    <x v="119"/>
  </r>
  <r>
    <d v="2020-11-27T00:00:00"/>
    <s v="SELL"/>
    <s v=""/>
    <s v="IT0005424830"/>
    <s v=""/>
    <s v="OSA.MI"/>
    <m/>
    <s v="Osai Automation System SpA"/>
    <s v="EUR"/>
    <n v="2.4263599999999999"/>
    <m/>
    <n v="-11000"/>
    <n v="26689.96"/>
    <n v="-16.010000000000002"/>
    <m/>
    <m/>
    <n v="26673.95"/>
    <n v="1"/>
    <n v="26673.95"/>
    <x v="120"/>
  </r>
  <r>
    <d v="2020-12-01T00:00:00"/>
    <s v="SELL"/>
    <s v=""/>
    <s v="CH0110303119"/>
    <s v=""/>
    <s v="LECN.S"/>
    <m/>
    <s v="Leclanche SA"/>
    <s v="CHF"/>
    <n v="1.15798"/>
    <m/>
    <n v="-103195"/>
    <n v="119497.7461"/>
    <n v="-71.7"/>
    <m/>
    <m/>
    <n v="119426.04610000001"/>
    <n v="1.0842597452168521"/>
    <n v="110145.23653288888"/>
    <x v="121"/>
  </r>
  <r>
    <d v="2020-11-30T00:00:00"/>
    <s v="BUY"/>
    <s v=""/>
    <s v="GG00B4TM3943"/>
    <s v=""/>
    <s v="BMNB.L"/>
    <m/>
    <s v="Bushveld Minerals Ltd"/>
    <s v="GBp"/>
    <n v="0.126"/>
    <m/>
    <n v="420000"/>
    <n v="-52920"/>
    <n v="-31.75"/>
    <n v="-1"/>
    <m/>
    <n v="-52952.75"/>
    <n v="0.89542678562908196"/>
    <n v="-59136.884053337824"/>
    <x v="122"/>
  </r>
  <r>
    <d v="2020-12-01T00:00:00"/>
    <s v="SELL"/>
    <s v=""/>
    <s v="US92336X1090"/>
    <s v=""/>
    <s v="VNE"/>
    <m/>
    <s v="Veoneer Inc"/>
    <s v="USD"/>
    <n v="20.253779999999999"/>
    <m/>
    <n v="-6300"/>
    <n v="127598.814"/>
    <n v="-63.8"/>
    <n v="-2.82"/>
    <m/>
    <n v="127532.19399999999"/>
    <n v="1.1928050002385611"/>
    <n v="106917.89016183998"/>
    <x v="121"/>
  </r>
  <r>
    <d v="2020-12-02T00:00:00"/>
    <s v="SELL"/>
    <s v=""/>
    <s v="AU000000SYR9"/>
    <s v=""/>
    <s v="syr.ax"/>
    <m/>
    <s v="Syrah Resources Ltd"/>
    <s v="AUD"/>
    <n v="1.0014700000000001"/>
    <m/>
    <n v="-170000"/>
    <n v="170249.90000000002"/>
    <n v="-102.15"/>
    <m/>
    <m/>
    <n v="170147.75000000003"/>
    <n v="1.6379480989740487"/>
    <n v="103878.59670680312"/>
    <x v="123"/>
  </r>
  <r>
    <d v="2020-12-02T00:00:00"/>
    <s v="SELL"/>
    <s v=""/>
    <s v="JP3385820000"/>
    <s v=""/>
    <s v="6674.T"/>
    <m/>
    <s v="GS Yuasa Corp"/>
    <s v="JPY"/>
    <n v="2589.8238099999999"/>
    <m/>
    <n v="-4200"/>
    <n v="10877260.002"/>
    <n v="-6526"/>
    <m/>
    <m/>
    <n v="10870734.002"/>
    <n v="125.89016294508122"/>
    <n v="86350.940754142081"/>
    <x v="123"/>
  </r>
  <r>
    <d v="2020-12-02T00:00:00"/>
    <s v="SELL"/>
    <s v=""/>
    <s v="AU000000SYR9"/>
    <s v=""/>
    <s v="syr.ax"/>
    <m/>
    <s v="Syrah Resources Ltd"/>
    <s v="AUD"/>
    <n v="1.0491600000000001"/>
    <m/>
    <n v="-71461"/>
    <n v="74974.022760000007"/>
    <n v="-44.98"/>
    <m/>
    <m/>
    <n v="74929.042760000011"/>
    <n v="1.6379480989740487"/>
    <n v="45745.675828759682"/>
    <x v="123"/>
  </r>
  <r>
    <d v="2020-12-02T00:00:00"/>
    <s v="SELL"/>
    <s v=""/>
    <s v="IT0005424830"/>
    <s v=""/>
    <s v="OSA.MI"/>
    <m/>
    <s v="Osai Automation System SpA"/>
    <s v="EUR"/>
    <n v="2.4"/>
    <m/>
    <n v="-1000"/>
    <n v="2400"/>
    <n v="-1.44"/>
    <m/>
    <m/>
    <n v="2398.56"/>
    <n v="1"/>
    <n v="2398.56"/>
    <x v="123"/>
  </r>
  <r>
    <d v="2020-12-03T00:00:00"/>
    <s v="BUY"/>
    <s v=""/>
    <s v="CNE100001TJ4"/>
    <s v=""/>
    <s v="1958.HK"/>
    <m/>
    <s v="BAIC Motor Corp Ltd"/>
    <s v="HKD"/>
    <n v="2.8241000000000001"/>
    <m/>
    <n v="250000"/>
    <n v="-706025"/>
    <n v="-423.62"/>
    <n v="-761.3599999999999"/>
    <m/>
    <n v="-707209.98"/>
    <n v="9.3910978653291828"/>
    <n v="-75306.422118220609"/>
    <x v="124"/>
  </r>
  <r>
    <d v="2020-12-04T00:00:00"/>
    <s v="SELL"/>
    <s v=""/>
    <s v="JP3591600006"/>
    <s v=""/>
    <s v="6617.T"/>
    <m/>
    <s v="Takaoka Toko Co Ltd"/>
    <s v="JPY"/>
    <n v="1533.2109599999999"/>
    <m/>
    <n v="-10950"/>
    <n v="16788660.011999998"/>
    <n v="-10073"/>
    <m/>
    <m/>
    <n v="16778587.011999998"/>
    <n v="126.48106418550535"/>
    <n v="132656.90892188757"/>
    <x v="125"/>
  </r>
  <r>
    <d v="2020-12-04T00:00:00"/>
    <s v="SELL"/>
    <s v=""/>
    <s v="JP3707000000"/>
    <s v=""/>
    <s v="3891.T"/>
    <m/>
    <s v="Nippon Kodoshi Corp"/>
    <s v="JPY"/>
    <n v="2507.6624999999999"/>
    <m/>
    <n v="-4000"/>
    <n v="10030650"/>
    <n v="-6018"/>
    <m/>
    <m/>
    <n v="10024632"/>
    <n v="126.48106418550557"/>
    <n v="79257.966910344825"/>
    <x v="125"/>
  </r>
  <r>
    <d v="2020-12-07T00:00:00"/>
    <s v="SELL"/>
    <s v=""/>
    <s v="AU000000SYR9"/>
    <s v=""/>
    <s v="SYR.AX"/>
    <m/>
    <s v="Syrah Resources Ltd"/>
    <s v="AUD"/>
    <n v="1.0245"/>
    <m/>
    <n v="-128539"/>
    <n v="131688.20549999998"/>
    <n v="-79.010000000000005"/>
    <m/>
    <m/>
    <n v="131609.19549999997"/>
    <n v="1.6332113249624287"/>
    <n v="80583.077944936231"/>
    <x v="126"/>
  </r>
  <r>
    <d v="2020-12-07T00:00:00"/>
    <s v="SELL"/>
    <s v=""/>
    <s v="IT0005424830"/>
    <s v=""/>
    <s v="OSA.MI"/>
    <m/>
    <s v="Osai Automation System SpA"/>
    <s v="EUR"/>
    <n v="2.4329999999999998"/>
    <m/>
    <n v="-10000"/>
    <n v="24330"/>
    <n v="-14.6"/>
    <m/>
    <m/>
    <n v="24315.4"/>
    <n v="1"/>
    <n v="24315.4"/>
    <x v="126"/>
  </r>
  <r>
    <d v="2020-12-08T00:00:00"/>
    <s v="SELL"/>
    <s v=""/>
    <s v="US3434121022"/>
    <s v=""/>
    <s v="FLR"/>
    <m/>
    <s v="Fluor Corp"/>
    <s v="USD"/>
    <n v="18.4679"/>
    <m/>
    <n v="-13450"/>
    <n v="248393.255"/>
    <n v="-124.2"/>
    <n v="-5.49"/>
    <m/>
    <n v="248263.565"/>
    <n v="1.2120036844912008"/>
    <n v="204837.30221020003"/>
    <x v="127"/>
  </r>
  <r>
    <d v="2020-12-08T00:00:00"/>
    <s v="SELL"/>
    <s v=""/>
    <s v="IT0005424830"/>
    <s v=""/>
    <s v="OSA.MI"/>
    <m/>
    <s v="Osai Automation System SpA"/>
    <s v="EUR"/>
    <n v="2.4359999999999999"/>
    <m/>
    <n v="-5000"/>
    <n v="12180"/>
    <n v="-7.31"/>
    <m/>
    <m/>
    <n v="12172.69"/>
    <n v="1"/>
    <n v="12172.69"/>
    <x v="127"/>
  </r>
  <r>
    <d v="2020-12-10T00:00:00"/>
    <s v="SELL"/>
    <s v=""/>
    <s v="IT0005424830"/>
    <s v=""/>
    <s v="OSA.MI"/>
    <m/>
    <s v="Osai Automation System SpA"/>
    <s v="EUR"/>
    <n v="2.3666999999999998"/>
    <m/>
    <n v="-9000"/>
    <n v="21300.3"/>
    <n v="-12.27"/>
    <m/>
    <m/>
    <n v="21288.03"/>
    <n v="1"/>
    <n v="21288.03"/>
    <x v="128"/>
  </r>
  <r>
    <d v="2020-12-15T00:00:00"/>
    <s v="BUY"/>
    <s v=""/>
    <s v="JP3627400009"/>
    <s v=""/>
    <s v="4100.t"/>
    <m/>
    <s v="Toda Kogyo Corp"/>
    <s v="JPY"/>
    <n v="2587.5927000000001"/>
    <m/>
    <n v="4100"/>
    <n v="-10609130.07"/>
    <n v="-6365.4780000000001"/>
    <m/>
    <m/>
    <n v="-10615495.548"/>
    <n v="126.32358655527501"/>
    <n v="-84034.1525876089"/>
    <x v="129"/>
  </r>
  <r>
    <d v="2020-12-18T00:00:00"/>
    <s v="SELL"/>
    <s v=""/>
    <s v="KR7042600007"/>
    <s v=""/>
    <s v="042600.KQ"/>
    <m/>
    <s v="Seronics Co Ltd"/>
    <s v="KRW"/>
    <n v="14749.932000000001"/>
    <m/>
    <n v="-25000"/>
    <n v="368748300"/>
    <n v="-553122"/>
    <n v="-921769"/>
    <m/>
    <n v="367273409"/>
    <n v="1340.6888599955846"/>
    <n v="273943.80602312874"/>
    <x v="130"/>
  </r>
  <r>
    <d v="2020-12-18T00:00:00"/>
    <s v="BUY"/>
    <s v=""/>
    <s v="JP3627400009"/>
    <s v=""/>
    <s v="4100.t"/>
    <m/>
    <s v="Toda Kogyo Corp"/>
    <s v="JPY"/>
    <n v="2299.9774000000002"/>
    <m/>
    <n v="3100"/>
    <n v="-7129929.9400000004"/>
    <n v="-4278"/>
    <m/>
    <m/>
    <n v="-7134207.9400000004"/>
    <n v="126.46272354831605"/>
    <n v="-56413.524395386929"/>
    <x v="130"/>
  </r>
  <r>
    <d v="2020-12-18T00:00:00"/>
    <s v="BUY"/>
    <s v=""/>
    <s v="JP3592200004"/>
    <s v=""/>
    <s v="6502.T"/>
    <m/>
    <s v="Toshiba Corp"/>
    <s v="JPY"/>
    <n v="2998.64"/>
    <m/>
    <n v="3000"/>
    <n v="-8995920"/>
    <n v="-5398"/>
    <m/>
    <m/>
    <n v="-9001318"/>
    <n v="126.21513166721542"/>
    <n v="-71317.265062427585"/>
    <x v="130"/>
  </r>
  <r>
    <d v="2020-12-29T00:00:00"/>
    <s v="SELL"/>
    <s v=""/>
    <s v="IT0005424822"/>
    <s v=""/>
    <s v="OSA_t.MI"/>
    <m/>
    <s v="Unable to resolve and collect data for all requested identifiers and fields."/>
    <s v="EUR"/>
    <n v="2.1"/>
    <m/>
    <n v="-1000"/>
    <n v="2100"/>
    <n v="-1.26"/>
    <m/>
    <m/>
    <n v="2098.7399999999998"/>
    <n v="1"/>
    <n v="2098.7399999999998"/>
    <x v="131"/>
  </r>
  <r>
    <d v="2020-12-31T00:00:00"/>
    <s v="BUY"/>
    <s v=""/>
    <s v="KR7086520004"/>
    <s v=""/>
    <s v="086520.KQ"/>
    <m/>
    <s v="Ecopro Co Ltd"/>
    <s v="EUR"/>
    <m/>
    <m/>
    <n v="90"/>
    <n v="0"/>
    <m/>
    <m/>
    <m/>
    <n v="0"/>
    <m/>
    <n v="0"/>
    <x v="14"/>
  </r>
  <r>
    <d v="2021-01-04T00:00:00"/>
    <s v="BUY"/>
    <s v=""/>
    <s v="JP3866800000"/>
    <s v=""/>
    <s v="6752.t"/>
    <m/>
    <s v="Panasonic Corp"/>
    <s v="JPY"/>
    <n v="1188.9996000000001"/>
    <m/>
    <n v="9350"/>
    <n v="-11117146.260000002"/>
    <n v="-6670"/>
    <m/>
    <m/>
    <n v="-11123816.260000002"/>
    <n v="125.25335890184844"/>
    <n v="-88810.522588195759"/>
    <x v="132"/>
  </r>
  <r>
    <d v="2021-01-06T00:00:00"/>
    <s v="BUY"/>
    <s v=""/>
    <s v="JP3544000007"/>
    <s v=""/>
    <s v="3401.T"/>
    <m/>
    <s v="Teijin Ltd"/>
    <s v="JPY"/>
    <n v="1928.6948199999999"/>
    <m/>
    <n v="5800"/>
    <n v="-11186429.956"/>
    <n v="-6712"/>
    <m/>
    <m/>
    <n v="-11193141.956"/>
    <n v="126.28473075977354"/>
    <n v="-88634.167319026659"/>
    <x v="133"/>
  </r>
  <r>
    <d v="2021-01-06T00:00:00"/>
    <s v="SELL"/>
    <s v=""/>
    <s v="KR7096770003"/>
    <s v=""/>
    <s v="096770.KS"/>
    <m/>
    <s v="SK Innovation Co Ltd"/>
    <s v="KRW"/>
    <n v="262267.676768"/>
    <m/>
    <n v="-990"/>
    <n v="259645000.00032002"/>
    <n v="-389468"/>
    <n v="-597163"/>
    <m/>
    <n v="258658369.00032002"/>
    <n v="1335.6528153430063"/>
    <n v="193656.88899768051"/>
    <x v="133"/>
  </r>
  <r>
    <d v="2021-01-11T00:00:00"/>
    <s v="SELL"/>
    <s v=""/>
    <s v="KR7006401004"/>
    <s v=""/>
    <s v="006405.KS"/>
    <m/>
    <s v="Samsung SDI Co Ltd"/>
    <s v="KRW"/>
    <n v="495811.66666699998"/>
    <m/>
    <n v="-300"/>
    <n v="148743500.00009999"/>
    <n v="-223115"/>
    <n v="-342073"/>
    <m/>
    <n v="148178312.00009999"/>
    <n v="1335.3493145663808"/>
    <n v="110965.95503792726"/>
    <x v="134"/>
  </r>
  <r>
    <d v="2021-01-12T00:00:00"/>
    <s v="BUY"/>
    <s v=""/>
    <s v="JP3592200004"/>
    <s v=""/>
    <s v="6502.T"/>
    <m/>
    <s v="Toshiba Corp"/>
    <s v="JPY"/>
    <n v="3039.2255559999999"/>
    <m/>
    <n v="9000"/>
    <n v="-27353030.004000001"/>
    <n v="-16412"/>
    <m/>
    <m/>
    <n v="-27369442.004000001"/>
    <n v="126.64163963504269"/>
    <n v="-216117.24297690371"/>
    <x v="135"/>
  </r>
  <r>
    <d v="2021-01-12T00:00:00"/>
    <s v="BUY"/>
    <s v=""/>
    <s v="JP3866800000"/>
    <s v=""/>
    <s v="6752.T"/>
    <m/>
    <s v="Panasonic Corp"/>
    <s v="JPY"/>
    <n v="1287.3908329999999"/>
    <m/>
    <n v="6000"/>
    <n v="-7724344.9979999997"/>
    <n v="-4635"/>
    <m/>
    <m/>
    <n v="-7728979.9979999997"/>
    <n v="126.6416396350424"/>
    <n v="-61030.321624652679"/>
    <x v="135"/>
  </r>
  <r>
    <d v="2021-01-13T00:00:00"/>
    <s v="BUY"/>
    <s v=""/>
    <s v="JP3544000007"/>
    <s v=""/>
    <s v="3401.T"/>
    <m/>
    <s v="Teijin Ltd"/>
    <s v="JPY"/>
    <n v="1998.742"/>
    <m/>
    <n v="5000"/>
    <n v="-9993710"/>
    <n v="-5996"/>
    <m/>
    <m/>
    <n v="-9999706"/>
    <n v="126.64794921875013"/>
    <n v="-78956.714748915576"/>
    <x v="136"/>
  </r>
  <r>
    <d v="2021-01-14T00:00:00"/>
    <s v="BUY"/>
    <s v=""/>
    <s v="JP3592200004"/>
    <s v=""/>
    <s v="6502.T"/>
    <m/>
    <s v="Toshiba Corp"/>
    <s v="JPY"/>
    <n v="3005.1862000000001"/>
    <m/>
    <n v="8000"/>
    <n v="-24041489.600000001"/>
    <n v="-14424.89"/>
    <m/>
    <m/>
    <n v="-24055914.490000002"/>
    <n v="126.25065343982867"/>
    <n v="-190540.91075627663"/>
    <x v="137"/>
  </r>
  <r>
    <d v="2021-01-14T00:00:00"/>
    <s v="BUY"/>
    <s v=""/>
    <s v="KR7064960008"/>
    <s v=""/>
    <s v="064960.KS"/>
    <m/>
    <s v="SNT Motiv Co Ltd"/>
    <s v="KRW"/>
    <n v="55624.95"/>
    <m/>
    <n v="2000"/>
    <n v="-111249900"/>
    <n v="-166875"/>
    <m/>
    <m/>
    <n v="-111416775"/>
    <n v="1333.7709860558971"/>
    <n v="-83535.161706786923"/>
    <x v="137"/>
  </r>
  <r>
    <d v="2021-01-14T00:00:00"/>
    <s v="BUY"/>
    <s v=""/>
    <s v="KR7056190002"/>
    <s v=""/>
    <s v="056190.KQ"/>
    <m/>
    <s v="SFA Engineering Corp"/>
    <s v="KRW"/>
    <n v="39313.154761999998"/>
    <m/>
    <n v="4200"/>
    <n v="-165115250.00040001"/>
    <n v="-247673"/>
    <m/>
    <m/>
    <n v="-165362923.00040001"/>
    <n v="1333.7709860558982"/>
    <n v="-123981.49662064224"/>
    <x v="137"/>
  </r>
  <r>
    <d v="2021-01-18T00:00:00"/>
    <s v="BUY"/>
    <s v=""/>
    <s v="KR7056190002"/>
    <s v=""/>
    <s v="056190.KQ"/>
    <m/>
    <s v="SFA Engineering Corp"/>
    <s v="KRW"/>
    <n v="38177.884599999998"/>
    <m/>
    <n v="2600"/>
    <n v="-99262499.959999993"/>
    <n v="-148894"/>
    <m/>
    <m/>
    <n v="-99411393.959999993"/>
    <n v="1332.5321577389916"/>
    <n v="-74603.373271440476"/>
    <x v="138"/>
  </r>
  <r>
    <d v="2021-01-19T00:00:00"/>
    <s v="SELL"/>
    <s v=""/>
    <s v="IT0005424822"/>
    <s v=""/>
    <s v="OSA_t.MI"/>
    <m/>
    <s v="Unable to resolve and collect data for all requested identifiers and fields."/>
    <s v="EUR"/>
    <n v="2.64"/>
    <m/>
    <n v="-7000"/>
    <n v="18480"/>
    <n v="-11.09"/>
    <m/>
    <m/>
    <n v="18468.91"/>
    <n v="1"/>
    <n v="18468.91"/>
    <x v="139"/>
  </r>
  <r>
    <d v="2021-01-21T00:00:00"/>
    <s v="BUY"/>
    <s v=""/>
    <s v="JP3627400009"/>
    <s v=""/>
    <s v="4100.T"/>
    <m/>
    <s v="Toda Kogyo Corp"/>
    <s v="JPY"/>
    <n v="2379.5090909999999"/>
    <m/>
    <n v="2200"/>
    <n v="-5234920.0001999997"/>
    <n v="-3141"/>
    <m/>
    <m/>
    <n v="-5238061.0001999997"/>
    <n v="125.3010881537696"/>
    <n v="-41803.794981986488"/>
    <x v="140"/>
  </r>
  <r>
    <d v="2021-01-21T00:00:00"/>
    <s v="BUY"/>
    <s v=""/>
    <s v="JP3544000007"/>
    <s v=""/>
    <s v="3401.T"/>
    <m/>
    <s v="Teijin Ltd"/>
    <s v="JPY"/>
    <n v="1937.501818"/>
    <m/>
    <n v="11000"/>
    <n v="-21312519.998"/>
    <n v="-12788"/>
    <m/>
    <m/>
    <n v="-21325307.998"/>
    <n v="125.3010881537696"/>
    <n v="-170192.52037005109"/>
    <x v="140"/>
  </r>
  <r>
    <d v="2021-01-21T00:00:00"/>
    <s v="BUY"/>
    <s v=""/>
    <s v="JP3592200004"/>
    <s v=""/>
    <s v="6502.T"/>
    <m/>
    <s v="Toshiba Corp"/>
    <s v="JPY"/>
    <n v="3001.8760000000002"/>
    <m/>
    <n v="5000"/>
    <n v="-15009380.000000002"/>
    <n v="-9006"/>
    <m/>
    <m/>
    <n v="-15018386.000000002"/>
    <n v="125.3010881537696"/>
    <n v="-119858.38448241907"/>
    <x v="140"/>
  </r>
  <r>
    <d v="2021-01-22T00:00:00"/>
    <s v="BUY"/>
    <s v=""/>
    <s v="JP3627400009"/>
    <s v=""/>
    <s v="4100.T"/>
    <m/>
    <s v="Toda Kogyo Corp"/>
    <s v="JPY"/>
    <n v="2349.166667"/>
    <m/>
    <n v="2100"/>
    <n v="-4933250.0006999997"/>
    <n v="-2960"/>
    <m/>
    <m/>
    <n v="-4936210.0006999997"/>
    <n v="125.3010881537696"/>
    <n v="-39394.789569922003"/>
    <x v="141"/>
  </r>
  <r>
    <d v="2021-01-22T00:00:00"/>
    <s v="BUY"/>
    <s v=""/>
    <s v="JP3544000007"/>
    <s v=""/>
    <s v="3401.T"/>
    <m/>
    <s v="Teijin Ltd"/>
    <s v="JPY"/>
    <n v="1903.633333"/>
    <m/>
    <n v="4200"/>
    <n v="-7995259.9985999996"/>
    <n v="-4797"/>
    <m/>
    <m/>
    <n v="-8000056.9985999996"/>
    <n v="125.3010881537696"/>
    <n v="-63846.668185214185"/>
    <x v="141"/>
  </r>
  <r>
    <d v="2021-01-22T00:00:00"/>
    <s v="BUY"/>
    <s v=""/>
    <s v="JP3692000007"/>
    <s v=""/>
    <s v="4094.t"/>
    <m/>
    <s v="Nihon Kagaku Sangyo Co Ltd"/>
    <s v="JPY"/>
    <n v="1350.732143"/>
    <m/>
    <n v="5600"/>
    <n v="-7564100.0007999996"/>
    <n v="-4538"/>
    <m/>
    <m/>
    <n v="-7568638.0007999996"/>
    <n v="125.3010881537696"/>
    <n v="-60403.609516237884"/>
    <x v="141"/>
  </r>
  <r>
    <d v="2021-01-22T00:00:00"/>
    <s v="BUY"/>
    <s v=""/>
    <s v="JP3734600004"/>
    <s v=""/>
    <s v="5563.t"/>
    <m/>
    <s v="Nippon Denko Co Ltd"/>
    <s v="JPY"/>
    <n v="283.14285699999999"/>
    <m/>
    <n v="42000"/>
    <n v="-11891999.993999999"/>
    <n v="-7135"/>
    <m/>
    <m/>
    <n v="-11899134.993999999"/>
    <n v="125.3010881537696"/>
    <n v="-94964.338852328015"/>
    <x v="141"/>
  </r>
  <r>
    <d v="2021-01-22T00:00:00"/>
    <s v="BUY"/>
    <s v=""/>
    <s v="JP3232600001"/>
    <s v=""/>
    <s v="4047.T"/>
    <m/>
    <s v="Kanto Denka Kogyo Co Ltd"/>
    <s v="JPY"/>
    <n v="826.39588200000003"/>
    <m/>
    <n v="17000"/>
    <n v="-14048729.994000001"/>
    <n v="-8429"/>
    <m/>
    <m/>
    <n v="-14057158.994000001"/>
    <n v="125.3010881537696"/>
    <n v="-112187.04642651661"/>
    <x v="141"/>
  </r>
  <r>
    <d v="2021-01-22T00:00:00"/>
    <s v="BUY"/>
    <s v=""/>
    <s v="JP3147200004"/>
    <s v=""/>
    <s v="6246.T"/>
    <m/>
    <s v="Techno Smart Corp"/>
    <s v="JPY"/>
    <n v="1089.5999999999999"/>
    <m/>
    <n v="4300"/>
    <n v="-4685280"/>
    <n v="-2811"/>
    <m/>
    <m/>
    <n v="-4688091"/>
    <n v="125.3010881537696"/>
    <n v="-37414.607239857098"/>
    <x v="141"/>
  </r>
  <r>
    <d v="2021-01-22T00:00:00"/>
    <s v="BUY"/>
    <s v=""/>
    <s v="JP3332600000"/>
    <s v=""/>
    <s v="6882.T"/>
    <m/>
    <s v="Sansha Electric Manufacturing Co Ltd"/>
    <s v="JPY"/>
    <n v="903.14359000000002"/>
    <m/>
    <n v="3900"/>
    <n v="-3522260.0010000002"/>
    <n v="-2113"/>
    <m/>
    <m/>
    <n v="-3524373.0010000002"/>
    <n v="125.3010881537696"/>
    <n v="-28127.233792853312"/>
    <x v="141"/>
  </r>
  <r>
    <d v="2021-01-22T00:00:00"/>
    <s v="BUY"/>
    <s v=""/>
    <s v="KR7056190002"/>
    <s v=""/>
    <s v="056190.KQ"/>
    <m/>
    <s v="SFA Engineering Corp"/>
    <s v="KRW"/>
    <n v="40127.031300000002"/>
    <m/>
    <n v="3200"/>
    <n v="-128406500.16000001"/>
    <n v="-192610"/>
    <m/>
    <m/>
    <n v="-128599110.16000001"/>
    <n v="1337.6792381693695"/>
    <n v="-96135.984240877864"/>
    <x v="141"/>
  </r>
  <r>
    <d v="2021-01-25T00:00:00"/>
    <s v="BUY"/>
    <s v=""/>
    <s v="JP3147200004"/>
    <s v=""/>
    <s v="6246.T"/>
    <m/>
    <s v="Techno Smart Corp"/>
    <s v="JPY"/>
    <n v="1095.1904259999999"/>
    <m/>
    <n v="9400"/>
    <n v="-10294790.004399998"/>
    <n v="-6177"/>
    <m/>
    <m/>
    <n v="-10300967.004399998"/>
    <n v="126.25623555177025"/>
    <n v="-81587.78819424074"/>
    <x v="142"/>
  </r>
  <r>
    <d v="2021-01-25T00:00:00"/>
    <s v="BUY"/>
    <s v=""/>
    <s v="JP3332600000"/>
    <s v=""/>
    <s v="6882.T"/>
    <m/>
    <s v="Sansha Electric Manufacturing Co Ltd"/>
    <s v="JPY"/>
    <n v="929.54909099999998"/>
    <m/>
    <n v="11000"/>
    <n v="-10225040.001"/>
    <n v="-6135"/>
    <m/>
    <m/>
    <n v="-10231175.001"/>
    <n v="126.25623555177027"/>
    <n v="-81035.007548635447"/>
    <x v="142"/>
  </r>
  <r>
    <d v="2021-01-25T00:00:00"/>
    <s v="BUY"/>
    <s v=""/>
    <s v="JP3425000001"/>
    <s v=""/>
    <s v="4044.T"/>
    <m/>
    <s v="Central Glass Co Ltd"/>
    <s v="JPY"/>
    <n v="2185.7746269999998"/>
    <m/>
    <n v="6700"/>
    <n v="-14644690.000899998"/>
    <n v="-8787"/>
    <m/>
    <m/>
    <n v="-14653477.000899998"/>
    <n v="126.25623555177022"/>
    <n v="-116061.41222935064"/>
    <x v="142"/>
  </r>
  <r>
    <d v="2021-01-25T00:00:00"/>
    <s v="BUY"/>
    <s v=""/>
    <s v="JP3400900001"/>
    <s v=""/>
    <s v="5232.T"/>
    <m/>
    <s v="Sumitomo Osaka Cement Co Ltd"/>
    <s v="JPY"/>
    <n v="3108.7336359999999"/>
    <m/>
    <n v="11000"/>
    <n v="-34196069.995999999"/>
    <n v="-20518"/>
    <m/>
    <m/>
    <n v="-34216587.995999999"/>
    <n v="126.25623555177026"/>
    <n v="-271009.09389912698"/>
    <x v="142"/>
  </r>
  <r>
    <d v="2021-01-25T00:00:00"/>
    <s v="BUY"/>
    <s v=""/>
    <s v="JP3102000001"/>
    <s v=""/>
    <s v="7259.T"/>
    <m/>
    <s v="Aisin Corp"/>
    <s v="JPY"/>
    <n v="3085"/>
    <m/>
    <n v="2200"/>
    <n v="-6787000"/>
    <n v="-4073"/>
    <m/>
    <m/>
    <n v="-6791073"/>
    <n v="126.25623555177047"/>
    <n v="-53788.020610002815"/>
    <x v="142"/>
  </r>
  <r>
    <d v="2021-01-25T00:00:00"/>
    <s v="BUY"/>
    <s v=""/>
    <s v="JP3544000007"/>
    <s v=""/>
    <s v="3401.T"/>
    <m/>
    <s v="Teijin Ltd"/>
    <s v="JPY"/>
    <n v="1944.8227300000001"/>
    <m/>
    <n v="2200"/>
    <n v="-4278610.0060000001"/>
    <n v="-2567"/>
    <m/>
    <m/>
    <n v="-4281177.0060000001"/>
    <n v="126.25623555177044"/>
    <n v="-33908.638153911495"/>
    <x v="142"/>
  </r>
  <r>
    <d v="2021-01-25T00:00:00"/>
    <s v="BUY"/>
    <s v=""/>
    <s v="JP3627400009"/>
    <s v=""/>
    <s v="4100.T"/>
    <m/>
    <s v="Toda Kogyo Corp"/>
    <s v="JPY"/>
    <n v="2390.181818"/>
    <m/>
    <n v="2200"/>
    <n v="-5258399.9995999997"/>
    <n v="-3155"/>
    <m/>
    <m/>
    <n v="-5261554.9995999997"/>
    <n v="126.25623555177053"/>
    <n v="-41673.624883600576"/>
    <x v="142"/>
  </r>
  <r>
    <d v="2021-01-25T00:00:00"/>
    <s v="BUY"/>
    <s v=""/>
    <s v="AU000000SFR8"/>
    <s v=""/>
    <s v="SFR.AX"/>
    <m/>
    <s v="Sandfire Resources Ltd"/>
    <s v="AUD"/>
    <n v="5.0746000000000002"/>
    <m/>
    <n v="42000"/>
    <n v="-213133.2"/>
    <n v="-127.88"/>
    <m/>
    <m/>
    <n v="-213261.08000000002"/>
    <n v="1.5768463316705177"/>
    <n v="-135245.31573984787"/>
    <x v="143"/>
  </r>
  <r>
    <d v="2021-01-25T00:00:00"/>
    <s v="BUY"/>
    <s v=""/>
    <s v="CNE100001TJ4"/>
    <s v=""/>
    <s v="1958.HK"/>
    <m/>
    <s v="BAIC Motor Corp Ltd"/>
    <s v="HKD"/>
    <n v="2.9624999999999999"/>
    <m/>
    <n v="430000"/>
    <n v="-1273875"/>
    <n v="-764.33"/>
    <n v="-1372.05"/>
    <m/>
    <n v="-1276011.3800000001"/>
    <n v="9.4316826864582026"/>
    <n v="-135289.8970861338"/>
    <x v="142"/>
  </r>
  <r>
    <d v="2021-01-26T00:00:00"/>
    <s v="SELL"/>
    <s v=""/>
    <s v="KR7006401004"/>
    <s v=""/>
    <s v="006405.ks"/>
    <m/>
    <s v="Samsung SDI Co Ltd"/>
    <s v="KRW"/>
    <n v="551103.33330000006"/>
    <m/>
    <n v="-300"/>
    <n v="165330999.99000001"/>
    <n v="-247997"/>
    <n v="-380254"/>
    <m/>
    <n v="164702748.99000001"/>
    <n v="1338.1962059883724"/>
    <n v="123078.17661786967"/>
    <x v="143"/>
  </r>
  <r>
    <d v="2021-01-27T00:00:00"/>
    <s v="SELL"/>
    <s v=""/>
    <s v="KR7006401004"/>
    <s v=""/>
    <s v="006405.ks"/>
    <m/>
    <s v="Samsung SDI Co Ltd"/>
    <s v="KRW"/>
    <n v="605356.66666700004"/>
    <m/>
    <n v="-300"/>
    <n v="181607000.00010002"/>
    <n v="-272411"/>
    <n v="-417664"/>
    <m/>
    <n v="180916925.00010002"/>
    <n v="1338.1962059883724"/>
    <n v="135194.61809150578"/>
    <x v="144"/>
  </r>
  <r>
    <d v="2021-01-29T00:00:00"/>
    <s v="BUY"/>
    <s v=""/>
    <s v="AU000000WSA9"/>
    <s v=""/>
    <s v="WSA.AX"/>
    <m/>
    <s v="Western Areas Ltd"/>
    <s v="AUD"/>
    <n v="2.3704670000000001"/>
    <m/>
    <n v="61726"/>
    <n v="-146319.446042"/>
    <n v="-87.79"/>
    <m/>
    <m/>
    <n v="-146407.236042"/>
    <n v="1.5784657155670876"/>
    <n v="-92752.876795553966"/>
    <x v="145"/>
  </r>
  <r>
    <d v="2021-02-01T00:00:00"/>
    <s v="SELL"/>
    <s v=""/>
    <s v="KR7096771001"/>
    <s v=""/>
    <s v="096775.KS"/>
    <m/>
    <s v="SK Innovation Co Ltd"/>
    <s v="KRW"/>
    <n v="199226.81820000001"/>
    <m/>
    <n v="-1100"/>
    <n v="219149500.02000001"/>
    <n v="-328724"/>
    <n v="-504012"/>
    <m/>
    <n v="218316764.02000001"/>
    <n v="1356.3756841709244"/>
    <n v="160955.97006624658"/>
    <x v="146"/>
  </r>
  <r>
    <d v="2021-02-03T00:00:00"/>
    <s v="SELL"/>
    <s v=""/>
    <s v="KR7096771001"/>
    <s v=""/>
    <s v="096775.KS"/>
    <m/>
    <s v="SK Innovation Co Ltd"/>
    <s v="KRW"/>
    <n v="230827.7273"/>
    <m/>
    <n v="-1100"/>
    <n v="253910500.03"/>
    <n v="-380866"/>
    <n v="-583910"/>
    <m/>
    <n v="252945724.03"/>
    <n v="1343.1234420721817"/>
    <n v="188326.49040787591"/>
    <x v="147"/>
  </r>
  <r>
    <d v="2021-02-04T00:00:00"/>
    <s v="BUY"/>
    <s v=""/>
    <s v="JP3627400009"/>
    <s v=""/>
    <s v="4100.t"/>
    <m/>
    <s v="Toda Kogyo Corp"/>
    <s v="JPY"/>
    <n v="2215.882353"/>
    <m/>
    <n v="3400"/>
    <n v="-7534000.0001999997"/>
    <n v="-4520"/>
    <m/>
    <m/>
    <n v="-7538520.0001999997"/>
    <n v="126.36886567667064"/>
    <n v="-59654.883818362156"/>
    <x v="148"/>
  </r>
  <r>
    <d v="2021-02-05T00:00:00"/>
    <s v="BUY"/>
    <s v=""/>
    <s v="JP3627400009"/>
    <s v=""/>
    <s v="4100.t"/>
    <m/>
    <s v="Toda Kogyo Corp"/>
    <s v="JPY"/>
    <n v="2236.5700000000002"/>
    <m/>
    <n v="3000"/>
    <n v="-6709710.0000000009"/>
    <n v="-4026"/>
    <m/>
    <m/>
    <n v="-6713736.0000000009"/>
    <n v="126.24703940285667"/>
    <n v="-53179.354001136955"/>
    <x v="149"/>
  </r>
  <r>
    <d v="2021-02-05T00:00:00"/>
    <s v="BUY"/>
    <s v=""/>
    <s v="JP3691600005"/>
    <s v=""/>
    <s v="4092.T"/>
    <m/>
    <s v="Nippon Chemical Industrial Co Ltd"/>
    <s v="JPY"/>
    <n v="2954"/>
    <m/>
    <n v="3300"/>
    <n v="-9748200"/>
    <n v="-5849"/>
    <m/>
    <m/>
    <n v="-9754049"/>
    <n v="126.24703940285629"/>
    <n v="-77261.605865264501"/>
    <x v="149"/>
  </r>
  <r>
    <d v="2021-02-08T00:00:00"/>
    <s v="BUY"/>
    <s v=""/>
    <s v="JP3691600005"/>
    <s v=""/>
    <s v="4092.T"/>
    <m/>
    <s v="Nippon Chemical Industrial Co Ltd"/>
    <s v="JPY"/>
    <n v="2990.6333300000001"/>
    <m/>
    <n v="3000"/>
    <n v="-8971899.9900000002"/>
    <n v="-5383"/>
    <m/>
    <m/>
    <n v="-8977282.9900000002"/>
    <n v="126.87402911744522"/>
    <n v="-70757.451721580277"/>
    <x v="150"/>
  </r>
  <r>
    <d v="2021-02-08T00:00:00"/>
    <s v="BUY"/>
    <s v=""/>
    <s v="JP3627400009"/>
    <s v=""/>
    <s v="4100.t"/>
    <m/>
    <s v="Toda Kogyo Corp"/>
    <s v="JPY"/>
    <n v="2252"/>
    <m/>
    <n v="3000"/>
    <n v="-6756000"/>
    <n v="-4054"/>
    <m/>
    <m/>
    <n v="-6760054"/>
    <n v="126.87402911744499"/>
    <n v="-53281.621518792788"/>
    <x v="150"/>
  </r>
  <r>
    <d v="2021-02-09T00:00:00"/>
    <s v="BUY"/>
    <s v=""/>
    <s v="JP3627400009"/>
    <s v=""/>
    <s v="4100.t"/>
    <m/>
    <s v="Toda Kogyo Corp"/>
    <s v="JPY"/>
    <n v="2182"/>
    <m/>
    <n v="3000"/>
    <n v="-6546000"/>
    <n v="-3928"/>
    <m/>
    <m/>
    <n v="-6549928"/>
    <n v="126.70697572974339"/>
    <n v="-51693.507498517778"/>
    <x v="151"/>
  </r>
  <r>
    <d v="2021-02-10T00:00:00"/>
    <s v="BUY"/>
    <m/>
    <s v="IT0005424814"/>
    <s v=""/>
    <s v="osaiw"/>
    <m/>
    <s v="Osai WARR"/>
    <s v="The record could not be found"/>
    <m/>
    <m/>
    <n v="16000"/>
    <n v="0"/>
    <m/>
    <m/>
    <m/>
    <n v="0"/>
    <m/>
    <n v="0"/>
    <x v="14"/>
  </r>
  <r>
    <d v="2021-02-15T00:00:00"/>
    <s v="BUY"/>
    <s v=""/>
    <s v="JP3147200004"/>
    <s v=""/>
    <s v="6246.T"/>
    <m/>
    <s v="Techno Smart Corp"/>
    <s v="JPY"/>
    <n v="1028.8722889999999"/>
    <m/>
    <n v="8300"/>
    <n v="-8539639.9986999985"/>
    <n v="-5124"/>
    <m/>
    <m/>
    <n v="-8544763.9986999985"/>
    <n v="127.15397106226213"/>
    <n v="-67200.134823284243"/>
    <x v="152"/>
  </r>
  <r>
    <d v="2021-02-24T00:00:00"/>
    <s v="BUY"/>
    <s v=""/>
    <s v="JP3332600000"/>
    <s v=""/>
    <s v="6882.T"/>
    <m/>
    <s v="Sansha Electric Manufacturing Co Ltd"/>
    <s v="JPY"/>
    <n v="847.11549300000001"/>
    <m/>
    <n v="7100"/>
    <n v="-6014520.0003000004"/>
    <n v="-3609"/>
    <m/>
    <m/>
    <n v="-6018129.0003000004"/>
    <n v="127.85654408280777"/>
    <n v="-47069.385798526586"/>
    <x v="153"/>
  </r>
  <r>
    <d v="2021-02-24T00:00:00"/>
    <s v="BUY"/>
    <s v=""/>
    <s v="JP3734600004"/>
    <s v=""/>
    <s v="5563.T"/>
    <m/>
    <s v="Nippon Denko Co Ltd"/>
    <s v="JPY"/>
    <n v="285.52814799999999"/>
    <m/>
    <n v="27000"/>
    <n v="-7709259.9959999993"/>
    <n v="-4626"/>
    <m/>
    <m/>
    <n v="-7713885.9959999993"/>
    <n v="127.8565440828078"/>
    <n v="-60332.351787985215"/>
    <x v="153"/>
  </r>
  <r>
    <d v="2021-03-01T00:00:00"/>
    <s v="BUY"/>
    <s v=""/>
    <s v="JP3449020001"/>
    <s v=""/>
    <s v="5233.T"/>
    <m/>
    <s v="Taiheiyo Cement Corp"/>
    <s v="JPY"/>
    <n v="2657.2294000000002"/>
    <m/>
    <n v="17000"/>
    <n v="-45172899.800000004"/>
    <n v="-27104"/>
    <m/>
    <m/>
    <n v="-45200003.800000004"/>
    <n v="128.68406119073191"/>
    <n v="-351247.88090893265"/>
    <x v="154"/>
  </r>
  <r>
    <d v="2021-03-05T00:00:00"/>
    <s v="BUY"/>
    <s v=""/>
    <s v="FR0013176526"/>
    <s v=""/>
    <s v="VLOF.PA"/>
    <m/>
    <s v="Valeo SE"/>
    <s v="EUR"/>
    <n v="29.857177"/>
    <m/>
    <n v="3800"/>
    <n v="-113457.2726"/>
    <n v="-68.069999999999993"/>
    <n v="-340.37"/>
    <m/>
    <n v="-113865.7126"/>
    <n v="1"/>
    <n v="-113865.7126"/>
    <x v="155"/>
  </r>
  <r>
    <d v="2021-03-09T00:00:00"/>
    <s v="SELL"/>
    <s v=""/>
    <s v="KR7357780006"/>
    <s v=""/>
    <s v="357780.KQ"/>
    <m/>
    <s v="SoulBrain Co Ltd"/>
    <s v="KRW"/>
    <n v="288547.27269999997"/>
    <m/>
    <n v="-165"/>
    <n v="47610299.995499998"/>
    <n v="-71415"/>
    <n v="-109498"/>
    <m/>
    <n v="47429386.995499998"/>
    <n v="1351.0860039318775"/>
    <n v="35104.639421526728"/>
    <x v="156"/>
  </r>
  <r>
    <d v="2021-03-09T00:00:00"/>
    <s v="SELL"/>
    <s v=""/>
    <s v="KR7086520004"/>
    <s v=""/>
    <s v="086520.KQ"/>
    <m/>
    <s v="Ecopro Co Ltd"/>
    <s v="KRW"/>
    <n v="64285.188300000002"/>
    <m/>
    <n v="-2390"/>
    <n v="153641600.037"/>
    <n v="-230462"/>
    <n v="-353361"/>
    <m/>
    <n v="153057777.037"/>
    <n v="1351.0860039318786"/>
    <n v="113284.9993202336"/>
    <x v="156"/>
  </r>
  <r>
    <d v="2021-03-09T00:00:00"/>
    <s v="SELL"/>
    <s v=""/>
    <s v="KR7005070008"/>
    <s v=""/>
    <s v="005070.KS"/>
    <m/>
    <s v="Cosmo Advanced Materials &amp; Technology Co Ltd"/>
    <s v="KRW"/>
    <n v="17759.7965"/>
    <m/>
    <n v="-8355"/>
    <n v="148383099.75749999"/>
    <n v="-222575"/>
    <n v="-341212"/>
    <m/>
    <n v="147819312.75749999"/>
    <n v="1351.0860039318754"/>
    <n v="109407.77443280609"/>
    <x v="156"/>
  </r>
  <r>
    <d v="2021-03-09T00:00:00"/>
    <s v="BUY"/>
    <s v=""/>
    <s v="JP3627400009"/>
    <s v=""/>
    <s v="4100.T"/>
    <m/>
    <s v="Toda Kogyo Corp"/>
    <s v="JPY"/>
    <n v="2098.8435899999999"/>
    <m/>
    <n v="3900"/>
    <n v="-8185490.0010000002"/>
    <n v="-4911"/>
    <m/>
    <m/>
    <n v="-8190401.0010000002"/>
    <n v="128.92299675501567"/>
    <n v="-63529.402877313718"/>
    <x v="156"/>
  </r>
  <r>
    <d v="2021-03-09T00:00:00"/>
    <s v="BUY"/>
    <s v=""/>
    <s v="CNE100001TJ4"/>
    <s v=""/>
    <s v="1958.HK"/>
    <m/>
    <s v="BAIC Motor Corp Ltd"/>
    <s v="HKD"/>
    <n v="2.6724559999999999"/>
    <m/>
    <n v="570000"/>
    <n v="-1523299.92"/>
    <n v="-913.98"/>
    <n v="-1640.59"/>
    <m/>
    <n v="-1525854.49"/>
    <n v="9.2005968876572268"/>
    <n v="-165842.98917029638"/>
    <x v="156"/>
  </r>
  <r>
    <d v="2021-03-10T00:00:00"/>
    <s v="BUY"/>
    <s v=""/>
    <s v="AU000000WSA9"/>
    <s v=""/>
    <s v="WSA.AX"/>
    <m/>
    <s v="Western Areas Ltd"/>
    <s v="AUD"/>
    <n v="2.1118410000000001"/>
    <m/>
    <n v="80000"/>
    <n v="-168947.28"/>
    <n v="-101.37"/>
    <m/>
    <m/>
    <n v="-169048.65"/>
    <n v="1.5429873405672969"/>
    <n v="-109559.3240174267"/>
    <x v="157"/>
  </r>
  <r>
    <d v="2021-03-11T00:00:00"/>
    <s v="SELL"/>
    <s v=""/>
    <s v="DE0007664005"/>
    <s v=""/>
    <s v="VOWG.DE"/>
    <m/>
    <s v="Volkswagen AG"/>
    <s v="EUR"/>
    <n v="230.8"/>
    <m/>
    <n v="-790"/>
    <n v="182332"/>
    <n v="-109.4"/>
    <m/>
    <m/>
    <n v="182222.6"/>
    <n v="1"/>
    <n v="182222.6"/>
    <x v="158"/>
  </r>
  <r>
    <d v="2021-03-11T00:00:00"/>
    <s v="BUY"/>
    <s v=""/>
    <s v="DE0007664039"/>
    <s v=""/>
    <s v="VOWG_p.DE"/>
    <m/>
    <s v="Volkswagen AG"/>
    <s v="EUR"/>
    <n v="192.04"/>
    <m/>
    <n v="960"/>
    <n v="-184358.39999999999"/>
    <n v="-110.62"/>
    <m/>
    <m/>
    <n v="-184469.02"/>
    <n v="1"/>
    <n v="-184469.02"/>
    <x v="158"/>
  </r>
  <r>
    <d v="2021-03-17T00:00:00"/>
    <s v="BUY"/>
    <s v=""/>
    <s v="AU000000WSA9"/>
    <s v=""/>
    <s v="WSA.AX"/>
    <m/>
    <s v="Western Areas Ltd"/>
    <s v="AUD"/>
    <n v="2.03376"/>
    <m/>
    <n v="70000"/>
    <n v="-142363.20000000001"/>
    <n v="-85.42"/>
    <m/>
    <m/>
    <n v="-142448.62000000002"/>
    <n v="1.5364733322226722"/>
    <n v="-92711.417121658029"/>
    <x v="159"/>
  </r>
  <r>
    <d v="2021-03-22T00:00:00"/>
    <s v="BUY"/>
    <s v=""/>
    <s v="JP3627400009"/>
    <s v=""/>
    <s v="4100.t"/>
    <m/>
    <s v="Toda Kogyo Corp"/>
    <s v="JPY"/>
    <n v="2243.5"/>
    <m/>
    <n v="2600"/>
    <n v="-5833100"/>
    <n v="-3500"/>
    <m/>
    <m/>
    <n v="-5836600"/>
    <n v="129.58863019568611"/>
    <n v="-45039.445136401293"/>
    <x v="160"/>
  </r>
  <r>
    <d v="2021-03-23T00:00:00"/>
    <s v="BUY"/>
    <s v=""/>
    <s v="FR0013176526"/>
    <s v=""/>
    <s v="VLOF.PA"/>
    <m/>
    <s v="Valeo SE"/>
    <s v="EUR"/>
    <n v="28.1433"/>
    <m/>
    <n v="5100"/>
    <n v="-143530.82999999999"/>
    <n v="-86.12"/>
    <n v="-430.59"/>
    <m/>
    <n v="-144047.53999999998"/>
    <n v="1"/>
    <n v="-144047.53999999998"/>
    <x v="161"/>
  </r>
  <r>
    <d v="2021-03-24T00:00:00"/>
    <s v="BUY"/>
    <s v=""/>
    <s v="FR0013176526"/>
    <s v=""/>
    <s v="VLOF.PA"/>
    <m/>
    <s v="Valeo SE"/>
    <s v="EUR"/>
    <n v="28.3385"/>
    <m/>
    <n v="5000"/>
    <n v="-141692.5"/>
    <n v="-85.02"/>
    <n v="-425.08"/>
    <m/>
    <n v="-142202.59999999998"/>
    <n v="1"/>
    <n v="-142202.59999999998"/>
    <x v="162"/>
  </r>
  <r>
    <d v="2021-03-25T00:00:00"/>
    <s v="BUY"/>
    <s v=""/>
    <s v="CNE100001TJ4"/>
    <s v=""/>
    <s v="1958.HK"/>
    <m/>
    <s v="BAIC Motor Corp Ltd"/>
    <s v="HKD"/>
    <n v="2.5767730000000002"/>
    <m/>
    <n v="330000"/>
    <n v="-850335.09000000008"/>
    <n v="-510.2"/>
    <n v="-915.82"/>
    <m/>
    <n v="-851761.11"/>
    <n v="9.1456437514764808"/>
    <n v="-93132.985839568806"/>
    <x v="163"/>
  </r>
  <r>
    <d v="2021-03-25T00:00:00"/>
    <s v="BUY"/>
    <s v=""/>
    <s v="JP3332600000"/>
    <s v=""/>
    <s v="6882.T"/>
    <m/>
    <s v="Sansha Electric Manufacturing Co Ltd"/>
    <s v="JPY"/>
    <n v="825.39340700000002"/>
    <m/>
    <n v="9100"/>
    <n v="-7511080.0037000002"/>
    <n v="-4507"/>
    <m/>
    <m/>
    <n v="-7515587.0037000002"/>
    <n v="128.41956059532234"/>
    <n v="-58523.693500114299"/>
    <x v="163"/>
  </r>
  <r>
    <d v="2021-03-25T00:00:00"/>
    <s v="BUY"/>
    <s v=""/>
    <s v="DE0005439004"/>
    <s v=""/>
    <s v="CONG.DE"/>
    <m/>
    <s v="Continental AG"/>
    <s v="EUR"/>
    <n v="111.36279999999999"/>
    <m/>
    <n v="1090"/>
    <n v="-121385.45199999999"/>
    <n v="-72.83"/>
    <m/>
    <m/>
    <n v="-121458.28199999999"/>
    <n v="1"/>
    <n v="-121458.28199999999"/>
    <x v="163"/>
  </r>
  <r>
    <d v="2021-04-07T00:00:00"/>
    <s v="SELL"/>
    <s v=""/>
    <s v="JP3592200004"/>
    <s v=""/>
    <s v="6502.T"/>
    <m/>
    <s v="Toshiba Corp"/>
    <s v="JPY"/>
    <n v="4530"/>
    <m/>
    <n v="-22000"/>
    <n v="99660000"/>
    <n v="-59796"/>
    <m/>
    <m/>
    <n v="99600204"/>
    <n v="130.31551697521707"/>
    <n v="764300.41726298491"/>
    <x v="164"/>
  </r>
  <r>
    <d v="2021-04-07T00:00:00"/>
    <s v="BUY"/>
    <s v=""/>
    <s v="JP3332600000"/>
    <s v=""/>
    <s v="6882.T"/>
    <m/>
    <s v="Sansha Electric Manufacturing Co Ltd"/>
    <s v="JPY"/>
    <n v="824.11785699999996"/>
    <m/>
    <n v="2800"/>
    <n v="-2307529.9995999997"/>
    <n v="-1385"/>
    <m/>
    <m/>
    <n v="-2308914.9995999997"/>
    <n v="130.31551697521704"/>
    <n v="-17717.882361155054"/>
    <x v="164"/>
  </r>
  <r>
    <d v="2021-04-08T00:00:00"/>
    <s v="BUY"/>
    <s v=""/>
    <s v="JP3544000007"/>
    <s v=""/>
    <s v="3401.T"/>
    <m/>
    <s v="Teijin Ltd"/>
    <s v="JPY"/>
    <n v="1876.63607"/>
    <m/>
    <n v="11600"/>
    <n v="-21768978.412"/>
    <n v="-13061"/>
    <m/>
    <m/>
    <n v="-21782039.412"/>
    <n v="130.43943755799336"/>
    <n v="-166989.67597369244"/>
    <x v="165"/>
  </r>
  <r>
    <d v="2021-04-08T00:00:00"/>
    <s v="SELL"/>
    <s v=""/>
    <s v="JP3111200006"/>
    <s v=""/>
    <s v="3407.T"/>
    <m/>
    <s v="Asahi Kasei Corp"/>
    <s v="JPY"/>
    <n v="1232.67983"/>
    <m/>
    <n v="-17600"/>
    <n v="21695165.008000001"/>
    <n v="-13017"/>
    <m/>
    <m/>
    <n v="21682148.008000001"/>
    <n v="130.43943755799293"/>
    <n v="166223.86920642917"/>
    <x v="165"/>
  </r>
  <r>
    <d v="2021-04-13T00:00:00"/>
    <s v="BUY"/>
    <s v=""/>
    <s v="JP3866800000"/>
    <s v=""/>
    <s v="6752.T"/>
    <m/>
    <s v="Panasonic Corp"/>
    <s v="JPY"/>
    <n v="1397.6220000000001"/>
    <m/>
    <n v="5000"/>
    <n v="-6988110"/>
    <n v="-4193"/>
    <m/>
    <m/>
    <n v="-6992303"/>
    <n v="130.24889841610087"/>
    <n v="-53684.162284904502"/>
    <x v="166"/>
  </r>
  <r>
    <d v="2021-04-13T00:00:00"/>
    <s v="BUY"/>
    <s v=""/>
    <s v="FR0013176526"/>
    <s v=""/>
    <s v="VLOF.PA"/>
    <m/>
    <s v="Valeo SE"/>
    <s v="EUR"/>
    <n v="27.2988"/>
    <m/>
    <n v="4200"/>
    <n v="-114654.96"/>
    <n v="-68.790000000000006"/>
    <n v="-343.96"/>
    <m/>
    <n v="-115067.71"/>
    <n v="1"/>
    <n v="-115067.71"/>
    <x v="166"/>
  </r>
  <r>
    <d v="2021-04-15T00:00:00"/>
    <s v="SELL"/>
    <s v=""/>
    <s v="JP3592200004"/>
    <s v=""/>
    <s v="6502.T"/>
    <m/>
    <s v="Toshiba Corp"/>
    <s v="JPY"/>
    <n v="4914.7"/>
    <m/>
    <n v="-11000"/>
    <n v="54061700"/>
    <n v="-32437"/>
    <m/>
    <m/>
    <n v="54029263"/>
    <n v="130.45301008552335"/>
    <n v="414166.4723916995"/>
    <x v="167"/>
  </r>
  <r>
    <d v="2021-04-21T00:00:00"/>
    <s v="SELL"/>
    <s v=""/>
    <s v="IT0005424830"/>
    <s v=""/>
    <s v="OSA.MI"/>
    <m/>
    <s v="Osai Automation System SpA"/>
    <s v="EUR"/>
    <n v="4.9228290000000001"/>
    <m/>
    <n v="-4187"/>
    <n v="20611.885022999999"/>
    <n v="-12.37"/>
    <m/>
    <m/>
    <n v="20599.515023"/>
    <n v="1"/>
    <n v="20599.515023"/>
    <x v="168"/>
  </r>
  <r>
    <d v="2021-04-20T00:00:00"/>
    <m/>
    <m/>
    <s v="NULL"/>
    <s v=""/>
    <s v="OSAIW"/>
    <m/>
    <e v="#N/A"/>
    <s v="The record could not be found"/>
    <m/>
    <m/>
    <n v="-16000"/>
    <n v="0"/>
    <m/>
    <m/>
    <m/>
    <n v="0"/>
    <m/>
    <n v="0"/>
    <x v="14"/>
  </r>
  <r>
    <d v="2021-04-20T00:00:00"/>
    <m/>
    <m/>
    <s v="IT0005424830"/>
    <s v=""/>
    <s v="OSA.MI"/>
    <m/>
    <s v="Osai Automation System SpA"/>
    <s v="EUR"/>
    <m/>
    <m/>
    <n v="16000"/>
    <n v="0"/>
    <m/>
    <m/>
    <m/>
    <n v="0"/>
    <m/>
    <n v="0"/>
    <x v="14"/>
  </r>
  <r>
    <d v="2021-04-21T00:00:00"/>
    <s v="BUY"/>
    <s v=""/>
    <s v="JP3866800000"/>
    <s v=""/>
    <s v="6752.T"/>
    <m/>
    <s v="Panasonic Corp"/>
    <s v="JPY"/>
    <n v="1312.2236359999999"/>
    <m/>
    <n v="11000"/>
    <n v="-14434459.995999999"/>
    <n v="-8661"/>
    <m/>
    <m/>
    <n v="-14443120.995999999"/>
    <n v="130.24889841610087"/>
    <n v="-110888.62302588654"/>
    <x v="168"/>
  </r>
  <r>
    <d v="2021-04-21T00:00:00"/>
    <s v="BUY"/>
    <s v=""/>
    <s v="JP3592200004"/>
    <s v=""/>
    <s v="6502.T"/>
    <m/>
    <s v="Toshiba Corp"/>
    <s v="JPY"/>
    <n v="4188.8545450000001"/>
    <m/>
    <n v="11000"/>
    <n v="-46077399.995000005"/>
    <n v="-27646"/>
    <m/>
    <m/>
    <n v="-46105045.995000005"/>
    <n v="130.24889841610087"/>
    <n v="-353976.47546860692"/>
    <x v="168"/>
  </r>
  <r>
    <d v="2021-04-22T00:00:00"/>
    <s v="BUY"/>
    <s v=""/>
    <s v="FR0000131906"/>
    <s v=""/>
    <s v="RENA.PA"/>
    <m/>
    <s v="Renault SA"/>
    <s v="EUR"/>
    <n v="33.870199999999997"/>
    <m/>
    <n v="4500"/>
    <n v="-152415.9"/>
    <n v="-91.45"/>
    <n v="-457.25"/>
    <m/>
    <n v="-152964.6"/>
    <n v="1"/>
    <n v="-152964.6"/>
    <x v="169"/>
  </r>
  <r>
    <d v="2021-04-23T00:00:00"/>
    <s v="SELL"/>
    <s v=""/>
    <s v="IT0005424830"/>
    <s v=""/>
    <s v="OSA.MI"/>
    <m/>
    <s v="Osai Automation System SpA"/>
    <s v="EUR"/>
    <n v="4.8864960000000002"/>
    <m/>
    <n v="-1240"/>
    <n v="6059.25504"/>
    <n v="-3.64"/>
    <m/>
    <m/>
    <n v="6055.6150399999997"/>
    <n v="1"/>
    <n v="6055.6150399999997"/>
    <x v="169"/>
  </r>
  <r>
    <d v="2021-04-23T00:00:00"/>
    <s v="SELL"/>
    <s v=""/>
    <s v="IT0005424830"/>
    <s v=""/>
    <s v="OSA.MI"/>
    <m/>
    <s v="Osai Automation System SpA"/>
    <s v="EUR"/>
    <n v="4.8109859999999998"/>
    <m/>
    <n v="-4084"/>
    <n v="19648.066823999998"/>
    <n v="-11.79"/>
    <m/>
    <m/>
    <n v="19636.276823999997"/>
    <n v="1"/>
    <n v="19636.276823999997"/>
    <x v="170"/>
  </r>
  <r>
    <d v="2021-04-26T00:00:00"/>
    <s v="BUY"/>
    <s v=""/>
    <s v="JP3866800000"/>
    <s v=""/>
    <s v="6752.T"/>
    <m/>
    <s v="Panasonic Corp"/>
    <s v="JPY"/>
    <n v="1319.5"/>
    <m/>
    <n v="9000"/>
    <n v="-11875500"/>
    <n v="-7124"/>
    <m/>
    <m/>
    <n v="-11882624"/>
    <n v="130.56103374429861"/>
    <n v="-91012.024485589631"/>
    <x v="171"/>
  </r>
  <r>
    <d v="2021-04-26T00:00:00"/>
    <s v="BUY"/>
    <s v=""/>
    <s v="JP3544000007"/>
    <s v=""/>
    <s v="3401.T"/>
    <m/>
    <s v="Teijin Ltd"/>
    <s v="JPY"/>
    <n v="1791.192"/>
    <m/>
    <n v="5000"/>
    <n v="-8955960"/>
    <n v="-5374"/>
    <m/>
    <m/>
    <n v="-8961334"/>
    <n v="130.56103374429793"/>
    <n v="-68637.125051802635"/>
    <x v="171"/>
  </r>
  <r>
    <d v="2021-04-27T00:00:00"/>
    <s v="SELL"/>
    <s v=""/>
    <s v="IT0005424830"/>
    <s v=""/>
    <s v="OSA.MI"/>
    <m/>
    <s v="Osai Automation System SpA"/>
    <s v="EUR"/>
    <n v="4.7933789999999998"/>
    <m/>
    <n v="-5062"/>
    <n v="24264.084498"/>
    <n v="-14.56"/>
    <m/>
    <m/>
    <n v="24249.524497999999"/>
    <n v="1"/>
    <n v="24249.524497999999"/>
    <x v="172"/>
  </r>
  <r>
    <d v="2021-04-28T00:00:00"/>
    <s v="SELL"/>
    <s v=""/>
    <s v="IT0005424830"/>
    <s v=""/>
    <s v="OSA.MI"/>
    <m/>
    <s v="Osai Automation System SpA"/>
    <s v="EUR"/>
    <n v="4.7937180000000001"/>
    <m/>
    <n v="-1427"/>
    <n v="6840.6355860000003"/>
    <n v="-4.0999999999999996"/>
    <m/>
    <m/>
    <n v="6836.535586"/>
    <n v="1"/>
    <n v="6836.535586"/>
    <x v="173"/>
  </r>
  <r>
    <d v="2021-04-30T00:00:00"/>
    <s v="SELL"/>
    <s v=""/>
    <s v="JP3102000001"/>
    <s v=""/>
    <s v="7259.T"/>
    <m/>
    <s v="Aisin Corp"/>
    <s v="JPY"/>
    <n v="4243.6636360000002"/>
    <m/>
    <n v="-2200"/>
    <n v="9336059.9992000014"/>
    <n v="-5602"/>
    <m/>
    <m/>
    <n v="9330457.9992000014"/>
    <n v="131.97692736482404"/>
    <n v="70697.645304378093"/>
    <x v="174"/>
  </r>
  <r>
    <d v="2021-05-06T00:00:00"/>
    <s v="BUY"/>
    <s v=""/>
    <s v="JP3866800000"/>
    <s v=""/>
    <s v="6752.T"/>
    <m/>
    <s v="Panasonic Corp"/>
    <s v="JPY"/>
    <n v="1308"/>
    <m/>
    <n v="25000"/>
    <n v="-32700000"/>
    <n v="-19620"/>
    <m/>
    <m/>
    <n v="-32719620"/>
    <n v="131.07000084034618"/>
    <n v="-249634.69741527759"/>
    <x v="175"/>
  </r>
  <r>
    <d v="2021-05-11T00:00:00"/>
    <s v="SELL"/>
    <s v=""/>
    <s v="KR7096771001"/>
    <s v=""/>
    <s v="096775.KS"/>
    <m/>
    <s v="SK Innovation Co Ltd"/>
    <s v="KRW"/>
    <n v="191298"/>
    <m/>
    <n v="-500"/>
    <n v="95649000"/>
    <n v="-143474"/>
    <n v="-219959"/>
    <m/>
    <n v="95285567"/>
    <n v="1354.4216284400886"/>
    <n v="70351.480660968242"/>
    <x v="176"/>
  </r>
  <r>
    <d v="2021-05-11T00:00:00"/>
    <s v="SELL"/>
    <s v=""/>
    <s v="KR7006401004"/>
    <s v=""/>
    <s v="006405.KS"/>
    <m/>
    <s v="Samsung SDI Co Ltd"/>
    <s v="KRW"/>
    <n v="438754.87800000003"/>
    <m/>
    <n v="-410"/>
    <n v="179889499.98000002"/>
    <n v="-269834"/>
    <n v="-413621"/>
    <m/>
    <n v="179206044.98000002"/>
    <n v="1354.4216284400898"/>
    <n v="132311.86007151601"/>
    <x v="176"/>
  </r>
  <r>
    <d v="2021-05-11T00:00:00"/>
    <s v="SELL"/>
    <s v=""/>
    <s v="KR7051911006"/>
    <s v=""/>
    <s v="051915.KS"/>
    <m/>
    <s v="LG Chem Ltd"/>
    <s v="KRW"/>
    <n v="431132.5"/>
    <m/>
    <n v="-600"/>
    <n v="258679500"/>
    <n v="-388019"/>
    <n v="-594897"/>
    <m/>
    <n v="257696584"/>
    <n v="1354.4216284400868"/>
    <n v="190263.19322498864"/>
    <x v="176"/>
  </r>
  <r>
    <d v="2021-05-11T00:00:00"/>
    <s v="BUY"/>
    <s v=""/>
    <s v="JP3866800000"/>
    <s v=""/>
    <s v="6752.T"/>
    <m/>
    <s v="Panasonic Corp"/>
    <s v="JPY"/>
    <n v="1242.160455"/>
    <m/>
    <n v="22000"/>
    <n v="-27327530.009999998"/>
    <n v="-16397"/>
    <m/>
    <m/>
    <n v="-27343927.009999998"/>
    <n v="131.93930646354627"/>
    <n v="-207246.25392475363"/>
    <x v="176"/>
  </r>
  <r>
    <d v="2021-05-17T00:00:00"/>
    <s v="BUY"/>
    <s v=""/>
    <s v="JP3399720006"/>
    <s v=""/>
    <s v="4109.T"/>
    <m/>
    <s v="Stella Chemifa Corp"/>
    <s v="JPY"/>
    <n v="2937.417778"/>
    <m/>
    <n v="4500"/>
    <n v="-13218380.001"/>
    <n v="-7931"/>
    <m/>
    <m/>
    <n v="-13226311.001"/>
    <n v="132.73928033797884"/>
    <n v="-99641.273987047069"/>
    <x v="177"/>
  </r>
  <r>
    <d v="2021-05-17T00:00:00"/>
    <s v="BUY"/>
    <s v=""/>
    <s v="JP3425000001"/>
    <s v=""/>
    <s v="4044.T"/>
    <m/>
    <s v="Central Glass Co Ltd"/>
    <s v="JPY"/>
    <n v="2194.1759999999999"/>
    <m/>
    <n v="5000"/>
    <n v="-10970880"/>
    <n v="-6583"/>
    <m/>
    <m/>
    <n v="-10977463"/>
    <n v="132.7392803379787"/>
    <n v="-82699.431336747904"/>
    <x v="177"/>
  </r>
  <r>
    <d v="2021-05-17T00:00:00"/>
    <s v="BUY"/>
    <s v=""/>
    <s v="JP3449020001"/>
    <s v=""/>
    <s v="5233.T"/>
    <m/>
    <s v="Taiheiyo Cement Corp"/>
    <s v="JPY"/>
    <n v="2599.2220000000002"/>
    <m/>
    <n v="5000"/>
    <n v="-12996110.000000002"/>
    <n v="-7798"/>
    <m/>
    <m/>
    <n v="-13003908.000000002"/>
    <n v="132.73928033797898"/>
    <n v="-97965.786516919674"/>
    <x v="177"/>
  </r>
  <r>
    <d v="2021-05-19T00:00:00"/>
    <s v="BUY"/>
    <s v=""/>
    <s v="JP3866800000"/>
    <s v=""/>
    <s v="6752.T"/>
    <m/>
    <s v="Panasonic Corp"/>
    <s v="JPY"/>
    <n v="1198.1313640000001"/>
    <m/>
    <n v="11000"/>
    <n v="-13179445.004000001"/>
    <n v="-7908"/>
    <m/>
    <m/>
    <n v="-13187353.004000001"/>
    <n v="132.73928033797898"/>
    <n v="-99347.781383344394"/>
    <x v="178"/>
  </r>
  <r>
    <d v="2021-05-26T00:00:00"/>
    <s v="BUY"/>
    <s v=""/>
    <s v="KR7056190002"/>
    <s v=""/>
    <s v="056190.KQ"/>
    <m/>
    <s v="SFA Engineering Corp"/>
    <s v="KRW"/>
    <n v="42803.475700000003"/>
    <m/>
    <n v="5970"/>
    <n v="-255536749.92900002"/>
    <n v="-383305"/>
    <m/>
    <m/>
    <n v="-255920054.92900002"/>
    <n v="1374.8851567380834"/>
    <n v="-186139.22310149207"/>
    <x v="179"/>
  </r>
  <r>
    <d v="2021-05-27T00:00:00"/>
    <s v="BUY"/>
    <s v=""/>
    <s v="KR7056190002"/>
    <s v=""/>
    <s v="056190.KQ"/>
    <m/>
    <s v="SFA Engineering Corp"/>
    <s v="KRW"/>
    <n v="42857.657899999998"/>
    <m/>
    <n v="1900"/>
    <n v="-81429550.00999999"/>
    <n v="-122144"/>
    <m/>
    <m/>
    <n v="-81551694.00999999"/>
    <n v="1361.1551307994257"/>
    <n v="-59913.592627831866"/>
    <x v="180"/>
  </r>
  <r>
    <d v="2021-05-31T00:00:00"/>
    <s v="BUY"/>
    <s v=""/>
    <s v="JP3627400009"/>
    <s v=""/>
    <s v="4100.T"/>
    <m/>
    <s v="Toda Kogyo Corp"/>
    <s v="JPY"/>
    <n v="2316.8222000000001"/>
    <m/>
    <n v="4500"/>
    <n v="-10425699.9"/>
    <n v="-6255"/>
    <m/>
    <m/>
    <n v="-10431954.9"/>
    <n v="133.84771029119571"/>
    <n v="-77938.986608769788"/>
    <x v="181"/>
  </r>
  <r>
    <d v="2021-05-31T00:00:00"/>
    <s v="spin off"/>
    <s v=""/>
    <s v="KR7383310000"/>
    <s v=""/>
    <s v="383310.KQ"/>
    <m/>
    <s v="Ecopro HN Co Ltd"/>
    <s v="KRW"/>
    <m/>
    <m/>
    <n v="373"/>
    <n v="0"/>
    <m/>
    <m/>
    <m/>
    <n v="0"/>
    <m/>
    <e v="#DIV/0!"/>
    <x v="14"/>
  </r>
  <r>
    <d v="2021-05-31T00:00:00"/>
    <s v="spin off"/>
    <s v=""/>
    <s v="KR7086520004"/>
    <s v=""/>
    <s v="086520.KQ"/>
    <m/>
    <s v="Ecopro Co Ltd"/>
    <s v="KRW"/>
    <m/>
    <m/>
    <n v="-374"/>
    <n v="0"/>
    <m/>
    <m/>
    <m/>
    <n v="0"/>
    <m/>
    <e v="#DIV/0!"/>
    <x v="14"/>
  </r>
  <r>
    <d v="2021-06-04T00:00:00"/>
    <s v="SELL"/>
    <s v=""/>
    <s v="KR7357780006"/>
    <s v=""/>
    <s v="357780.KQ"/>
    <m/>
    <s v="SoulBrain Co Ltd"/>
    <s v="KRW"/>
    <n v="340049.76190500002"/>
    <m/>
    <n v="-420"/>
    <n v="142820900.00010002"/>
    <n v="-214231"/>
    <n v="-328436"/>
    <m/>
    <n v="142278233.00010002"/>
    <n v="1353.5965858803829"/>
    <n v="105111.25285349465"/>
    <x v="182"/>
  </r>
  <r>
    <d v="2021-06-04T00:00:00"/>
    <s v="SELL"/>
    <s v=""/>
    <s v="KR7383310000"/>
    <s v=""/>
    <s v="383310.KQ"/>
    <m/>
    <s v="Ecopro HN Co Ltd"/>
    <s v="KRW"/>
    <n v="152423.86060000001"/>
    <m/>
    <n v="-373"/>
    <n v="56854100.003800005"/>
    <n v="-85281"/>
    <n v="-130729"/>
    <m/>
    <n v="56638090.003800005"/>
    <n v="1353.5965858803888"/>
    <n v="41842.66611973034"/>
    <x v="182"/>
  </r>
  <r>
    <d v="2020-01-04T00:00:00"/>
    <s v="BUY"/>
    <s v=""/>
    <s v="KR7036830008"/>
    <s v=""/>
    <s v="086520 KQ"/>
    <m/>
    <s v="SoulBrain Holdings Co Ltd"/>
    <s v="KRW"/>
    <n v="37650"/>
    <m/>
    <n v="5076"/>
    <n v="-191111400"/>
    <m/>
    <m/>
    <m/>
    <n v="-191111400"/>
    <n v="1369.23"/>
    <n v="182702.68691162186"/>
    <x v="182"/>
  </r>
  <r>
    <d v="2021-06-17T00:00:00"/>
    <s v="BUY"/>
    <s v=""/>
    <s v="JP3544000007"/>
    <s v=""/>
    <s v="3401.T"/>
    <m/>
    <s v="Teijin Ltd"/>
    <s v="JPY"/>
    <n v="1721.38"/>
    <m/>
    <n v="5000"/>
    <n v="-8606900"/>
    <n v="-5164"/>
    <m/>
    <m/>
    <n v="-8612064"/>
    <n v="132.76161919040521"/>
    <n v="-64868.627337609338"/>
    <x v="183"/>
  </r>
  <r>
    <d v="2021-06-18T00:00:00"/>
    <s v="BUY"/>
    <s v=""/>
    <s v="FR0000131906"/>
    <s v=""/>
    <s v="RENA.PA"/>
    <m/>
    <s v="Renault SA"/>
    <s v="EUR"/>
    <n v="35.155099999999997"/>
    <m/>
    <n v="3900"/>
    <n v="-137104.88999999998"/>
    <n v="-82.26"/>
    <n v="-411.31"/>
    <m/>
    <n v="-137598.46"/>
    <n v="1"/>
    <n v="-137598.46"/>
    <x v="184"/>
  </r>
  <r>
    <d v="2021-06-18T00:00:00"/>
    <s v="BUY"/>
    <s v=""/>
    <s v="FR0013176526"/>
    <s v=""/>
    <s v="VLOF.PA"/>
    <m/>
    <s v="Valeo SE"/>
    <s v="EUR"/>
    <n v="26.3658"/>
    <m/>
    <n v="6800"/>
    <n v="-179287.44"/>
    <n v="-107.57"/>
    <n v="-537.86"/>
    <m/>
    <n v="-179932.87"/>
    <n v="1"/>
    <n v="-179932.87"/>
    <x v="184"/>
  </r>
  <r>
    <d v="2021-06-25T00:00:00"/>
    <s v="BUY"/>
    <s v=""/>
    <s v="JP3544000007"/>
    <s v=""/>
    <s v="3401.T"/>
    <m/>
    <s v="Teijin Ltd"/>
    <s v="JPY"/>
    <n v="1724.521667"/>
    <m/>
    <n v="6000"/>
    <n v="-10347130.002"/>
    <n v="-6208"/>
    <m/>
    <m/>
    <n v="-10353338.002"/>
    <n v="132.25644818782632"/>
    <n v="-78282.29280206078"/>
    <x v="185"/>
  </r>
  <r>
    <d v="2021-06-25T00:00:00"/>
    <s v="SELL"/>
    <s v=""/>
    <s v="JP3866800000"/>
    <s v=""/>
    <s v="6752.T"/>
    <m/>
    <s v="Panasonic Corp"/>
    <s v="JPY"/>
    <n v="1303.4107140000001"/>
    <m/>
    <n v="-4200"/>
    <n v="5474324.9988000002"/>
    <n v="-3285"/>
    <m/>
    <m/>
    <n v="5471039.9988000002"/>
    <n v="132.25644818782661"/>
    <n v="41366.905536660073"/>
    <x v="185"/>
  </r>
  <r>
    <d v="2021-07-05T00:00:00"/>
    <s v="SELL"/>
    <s v=""/>
    <s v="JP3866800000"/>
    <s v=""/>
    <s v="6752.T"/>
    <m/>
    <s v="Panasonic Corp"/>
    <s v="JPY"/>
    <n v="1321.9576"/>
    <m/>
    <n v="-3300"/>
    <n v="4362460.08"/>
    <n v="-2617.4760000000001"/>
    <m/>
    <m/>
    <n v="4359842.6040000003"/>
    <n v="131.73723736193332"/>
    <n v="33094.990386217229"/>
    <x v="186"/>
  </r>
  <r>
    <d v="2021-07-12T00:00:00"/>
    <s v="BUY"/>
    <s v="FR FP"/>
    <s v="FR0013176526"/>
    <s v="YES"/>
    <s v="FR FP"/>
    <m/>
    <s v="Valeo"/>
    <s v="EUR"/>
    <n v="24.5"/>
    <m/>
    <n v="4200"/>
    <n v="-102900"/>
    <n v="-61.68"/>
    <n v="-308.41000000000003"/>
    <m/>
    <n v="-103270.09"/>
    <n v="1"/>
    <n v="-103270.09"/>
    <x v="187"/>
  </r>
  <r>
    <d v="2021-07-14T00:00:00"/>
    <s v="BUY"/>
    <s v="FR FP"/>
    <s v="FR0013176526"/>
    <s v="YES"/>
    <s v="FR FP"/>
    <m/>
    <s v="Valeo"/>
    <s v="EUR"/>
    <n v="24.5"/>
    <n v="4200"/>
    <n v="4200"/>
    <n v="-102900"/>
    <n v="-61.68"/>
    <n v="-308.41000000000003"/>
    <m/>
    <n v="-103270.09"/>
    <n v="1"/>
    <n v="-103270.09"/>
    <x v="188"/>
  </r>
  <r>
    <d v="2021-07-15T00:00:00"/>
    <s v="SELL"/>
    <s v="6752 JP"/>
    <s v="JP3866800000"/>
    <s v="YES"/>
    <s v="6752 JP"/>
    <m/>
    <s v="Panasonic Corp"/>
    <s v="JPY"/>
    <n v="1311.59"/>
    <m/>
    <n v="-5000"/>
    <n v="6557950"/>
    <n v="-3935"/>
    <m/>
    <m/>
    <n v="6554015"/>
    <n v="129.88"/>
    <n v="50462.080381890977"/>
    <x v="189"/>
  </r>
  <r>
    <d v="2021-07-15T00:00:00"/>
    <s v="BUY"/>
    <s v="056190.KS"/>
    <s v="KR7056190002"/>
    <s v="YES"/>
    <s v="056190.KS"/>
    <m/>
    <s v="SFA Engineering Corp"/>
    <s v="KRW"/>
    <n v="41464.202400000002"/>
    <m/>
    <n v="4200"/>
    <n v="-174149650.08000001"/>
    <n v="-261224"/>
    <m/>
    <m/>
    <n v="-174410874.08000001"/>
    <n v="1350.73"/>
    <n v="-129123.41776668913"/>
    <x v="189"/>
  </r>
  <r>
    <d v="2021-07-19T00:00:00"/>
    <s v="BUY"/>
    <s v="FR FP"/>
    <s v="FR0013176526"/>
    <s v="YES"/>
    <s v="FR FP"/>
    <m/>
    <s v="Valeo SE"/>
    <s v="EUR"/>
    <n v="23.174900000000001"/>
    <m/>
    <n v="4200"/>
    <n v="-97334.58"/>
    <n v="-58.4"/>
    <m/>
    <m/>
    <n v="-97392.98"/>
    <n v="1"/>
    <n v="-97392.98"/>
    <x v="190"/>
  </r>
  <r>
    <d v="2021-07-26T00:00:00"/>
    <m/>
    <s v="ALELIO SS"/>
    <s v="SE0008348072"/>
    <s v="YES"/>
    <s v="ALELIO SS"/>
    <m/>
    <s v="Alelion Energy Systems AB"/>
    <s v="SEK"/>
    <m/>
    <m/>
    <n v="31026"/>
    <n v="0"/>
    <m/>
    <m/>
    <m/>
    <n v="0"/>
    <m/>
    <n v="0"/>
    <x v="14"/>
  </r>
  <r>
    <d v="2021-08-02T00:00:00"/>
    <s v="SELL"/>
    <s v=""/>
    <s v="AU000000IGO4"/>
    <m/>
    <s v="IGO AU"/>
    <m/>
    <s v="IGO Ltd"/>
    <s v="AUD"/>
    <n v="9.4742999999999995"/>
    <m/>
    <n v="-11000"/>
    <n v="104217.29999999999"/>
    <n v="-62.53"/>
    <m/>
    <m/>
    <n v="104154.76999999999"/>
    <n v="1.61598"/>
    <n v="64453.006844144104"/>
    <x v="191"/>
  </r>
  <r>
    <d v="2021-08-05T00:00:00"/>
    <s v="SELL"/>
    <s v="6752 JP"/>
    <s v="JP3866800000"/>
    <s v="YES"/>
    <s v="6752 JP"/>
    <m/>
    <s v="Panasonic Corp"/>
    <s v="JPY"/>
    <n v="1351.78125"/>
    <m/>
    <n v="-4000"/>
    <n v="5407125"/>
    <n v="-3244"/>
    <m/>
    <m/>
    <n v="5403881"/>
    <n v="129.6"/>
    <n v="41696.61265432099"/>
    <x v="192"/>
  </r>
  <r>
    <d v="2021-08-06T00:00:00"/>
    <s v="SELL"/>
    <s v="SYR AU"/>
    <s v="AU000000SYR9"/>
    <s v="YES"/>
    <s v="SYR AU"/>
    <m/>
    <s v="Syrah Resources Ltd"/>
    <s v="AUD"/>
    <n v="1.537307"/>
    <m/>
    <n v="-71520"/>
    <n v="109948.19663999999"/>
    <n v="-65.97"/>
    <m/>
    <m/>
    <n v="109882.22663999999"/>
    <n v="1.5989899999999999"/>
    <n v="68719.771005447183"/>
    <x v="192"/>
  </r>
  <r>
    <d v="2021-08-10T00:00:00"/>
    <s v="BUY"/>
    <s v="5713 JP"/>
    <s v="JP3402600005"/>
    <s v="YES"/>
    <s v="5713 JP"/>
    <m/>
    <s v="Sumitomo Metal Mining Co Ltd"/>
    <s v="JPY"/>
    <n v="4190.3048779999999"/>
    <m/>
    <n v="4100"/>
    <n v="-17180249.9998"/>
    <n v="-10308"/>
    <m/>
    <m/>
    <n v="-17190557.9998"/>
    <n v="129.57"/>
    <n v="-132673.90599521494"/>
    <x v="193"/>
  </r>
  <r>
    <d v="2021-08-10T00:00:00"/>
    <s v="SELL"/>
    <s v=""/>
    <s v="AU000000IGO4"/>
    <m/>
    <s v="IGO AU"/>
    <m/>
    <s v="IGO Ltd"/>
    <s v="AUD"/>
    <n v="9.7878279999999993"/>
    <m/>
    <n v="-22000"/>
    <n v="215332.21599999999"/>
    <n v="-129.19999999999999"/>
    <m/>
    <m/>
    <n v="215203.01599999997"/>
    <n v="1.5991299999999999"/>
    <n v="134575.06018897775"/>
    <x v="193"/>
  </r>
  <r>
    <d v="2021-08-19T00:00:00"/>
    <s v="SELL"/>
    <s v=""/>
    <s v="KR7005420005"/>
    <m/>
    <s v="005420 KS"/>
    <m/>
    <s v="Cosmo Chemical "/>
    <s v="KRW"/>
    <n v="19067.8822"/>
    <m/>
    <n v="-16371"/>
    <n v="312160299.49620003"/>
    <n v="-468240"/>
    <n v="-717967"/>
    <m/>
    <n v="310974092.49620003"/>
    <n v="1372.37"/>
    <n v="226596.39346255022"/>
    <x v="194"/>
  </r>
  <r>
    <d v="2021-08-19T00:00:00"/>
    <s v="BUY"/>
    <s v="056190 KS"/>
    <s v="KR7056190002"/>
    <s v="YES"/>
    <s v="056190 KS"/>
    <m/>
    <s v="SFA Engineering "/>
    <s v="KRW"/>
    <n v="36883.068399999996"/>
    <m/>
    <n v="6730"/>
    <n v="-248223050.33199999"/>
    <n v="-372335"/>
    <m/>
    <m/>
    <n v="-248595385.33199999"/>
    <n v="1372.37"/>
    <n v="-181143.12126613085"/>
    <x v="194"/>
  </r>
  <r>
    <d v="2021-08-19T00:00:00"/>
    <s v="BUY"/>
    <s v="064960 KS"/>
    <s v="KR7064960008"/>
    <s v="YES"/>
    <s v="064960 KS"/>
    <m/>
    <s v="SNT MOTIV "/>
    <s v="KRW"/>
    <n v="54258.148099999999"/>
    <m/>
    <n v="2700"/>
    <n v="-146496999.87"/>
    <n v="-219746"/>
    <m/>
    <m/>
    <n v="-146716745.87"/>
    <n v="1372.37"/>
    <n v="-106907.57293587008"/>
    <x v="194"/>
  </r>
  <r>
    <d v="2021-08-20T00:00:00"/>
    <s v="SELL"/>
    <s v="WSA AU"/>
    <s v="AU000000WSA9"/>
    <s v="YES"/>
    <s v="WSA AU"/>
    <m/>
    <s v="Western Areas Ltd"/>
    <s v="AUD"/>
    <n v="2.9866999999999999"/>
    <m/>
    <n v="-250000"/>
    <n v="746675"/>
    <n v="-448.01"/>
    <m/>
    <m/>
    <n v="746226.99"/>
    <n v="1.63273"/>
    <n v="457042.49324750568"/>
    <x v="195"/>
  </r>
  <r>
    <d v="2021-08-20T00:00:00"/>
    <s v="BUY"/>
    <s v="5713 JP"/>
    <s v="JP3402600005"/>
    <s v="YES"/>
    <s v="5713 JP"/>
    <m/>
    <s v="Sumitomo Metal Mining Co Ltd"/>
    <s v="JPY"/>
    <n v="3974.2976189999999"/>
    <m/>
    <n v="4200"/>
    <n v="-16692049.9998"/>
    <n v="-10015"/>
    <m/>
    <m/>
    <n v="-16702064.9998"/>
    <n v="128.24674999999999"/>
    <n v="-130233.82658663866"/>
    <x v="195"/>
  </r>
  <r>
    <d v="2021-09-08T00:00:00"/>
    <s v="SELL"/>
    <s v="6752 JP"/>
    <s v="JP3866800000"/>
    <s v="YES"/>
    <s v="6752 JP"/>
    <m/>
    <s v="Panasonic Corp"/>
    <s v="JPY"/>
    <n v="1446"/>
    <m/>
    <n v="-3500"/>
    <n v="5061000"/>
    <m/>
    <m/>
    <m/>
    <n v="5061000"/>
    <n v="129.88"/>
    <n v="38966.738527871887"/>
    <x v="196"/>
  </r>
  <r>
    <d v="2021-09-14T00:00:00"/>
    <s v="BUY"/>
    <s v="5713 JP"/>
    <s v="JP3402600005"/>
    <s v="YES"/>
    <s v="5713 JP"/>
    <m/>
    <s v="Sumitomo Metal Mining Co Ltd"/>
    <s v="JPY"/>
    <n v="4429.9637679999996"/>
    <m/>
    <n v="6900"/>
    <n v="-30566749.999199998"/>
    <n v="-18340"/>
    <m/>
    <m/>
    <n v="-30585089.999199998"/>
    <n v="130.09"/>
    <n v="-235107.15657775383"/>
    <x v="197"/>
  </r>
  <r>
    <d v="2021-09-14T00:00:00"/>
    <s v="SELL"/>
    <s v="4005 JP"/>
    <s v="JP3401400001"/>
    <s v="YES"/>
    <s v="4005 JP"/>
    <m/>
    <s v="Sumitomo Chemical Co Ltd"/>
    <s v="JPY"/>
    <n v="606.26722199999995"/>
    <m/>
    <n v="-36000"/>
    <n v="21825619.991999999"/>
    <n v="-13095"/>
    <m/>
    <m/>
    <n v="21812524.991999999"/>
    <n v="130.09"/>
    <n v="167672.5727726958"/>
    <x v="197"/>
  </r>
  <r>
    <d v="2021-09-17T00:00:00"/>
    <s v="BUY"/>
    <s v="FR FP"/>
    <s v="FR0013176526"/>
    <s v="YES"/>
    <s v="FR FP"/>
    <m/>
    <s v="Valeo"/>
    <s v="EUR"/>
    <n v="21.306699999999999"/>
    <m/>
    <n v="11000"/>
    <n v="-234373.69999999998"/>
    <n v="-140.62"/>
    <n v="-703.12"/>
    <m/>
    <n v="-235217.43999999997"/>
    <n v="1"/>
    <n v="-235217.43999999997"/>
    <x v="198"/>
  </r>
  <r>
    <d v="2021-09-29T00:00:00"/>
    <s v="BUY"/>
    <s v="6762 JP"/>
    <s v="JP3538800008"/>
    <s v="YES"/>
    <s v="6762 JP"/>
    <m/>
    <s v="TDK Corp"/>
    <s v="JPY"/>
    <n v="4090.677612"/>
    <m/>
    <n v="6700"/>
    <n v="-27407540.000399999"/>
    <n v="-16445"/>
    <m/>
    <m/>
    <n v="-27423985.000399999"/>
    <n v="2"/>
    <n v="-13711992.5002"/>
    <x v="199"/>
  </r>
  <r>
    <d v="2021-09-29T00:00:00"/>
    <s v="BUY"/>
    <s v="VTSC GR"/>
    <s v="DE000VTSC017"/>
    <s v="YES"/>
    <s v="VTSC GR"/>
    <m/>
    <s v="Vitesco Technologies Group AG"/>
    <s v="EUR"/>
    <n v="52.720300000000002"/>
    <m/>
    <n v="3540"/>
    <n v="-186629.86199999999"/>
    <n v="-111.98"/>
    <m/>
    <m/>
    <n v="-186741.842"/>
    <n v="1"/>
    <n v="-186741.842"/>
    <x v="199"/>
  </r>
  <r>
    <d v="2021-09-30T00:00:00"/>
    <s v="BUY"/>
    <s v="7013 JP"/>
    <s v="JP3134800006"/>
    <s v="YES"/>
    <s v="7013 Jp"/>
    <m/>
    <s v="IHI Corp"/>
    <s v="JPY"/>
    <n v="2839.28"/>
    <m/>
    <n v="22000"/>
    <n v="-62464160.000000007"/>
    <n v="-37478"/>
    <m/>
    <m/>
    <n v="-62501638.000000007"/>
    <n v="129.59"/>
    <n v="-482302.94004166994"/>
    <x v="200"/>
  </r>
  <r>
    <d v="2021-10-04T00:00:00"/>
    <s v="SELL"/>
    <s v="WSA AU"/>
    <s v="AU000000WSA9"/>
    <s v="YES"/>
    <s v="WSA AU"/>
    <m/>
    <s v="Western Areas Ltd"/>
    <s v="AUD"/>
    <n v="2.9624540000000001"/>
    <m/>
    <n v="-42586"/>
    <n v="126159.06604400001"/>
    <n v="75.7"/>
    <m/>
    <m/>
    <n v="126234.766044"/>
    <n v="1.5967800000000001"/>
    <n v="79055.828632623146"/>
    <x v="201"/>
  </r>
  <r>
    <d v="2021-10-04T00:00:00"/>
    <s v="BUY"/>
    <s v="5713 JP"/>
    <s v="JP3402600005"/>
    <s v="YES"/>
    <s v="5713 JP"/>
    <m/>
    <s v="Sumitomo Metal Mining Co Ltd"/>
    <s v="JPY"/>
    <n v="3924.9719100000002"/>
    <m/>
    <n v="8900"/>
    <n v="-34932249.999000005"/>
    <n v="-20959"/>
    <m/>
    <m/>
    <n v="-34953208.999000005"/>
    <n v="129.27000000000001"/>
    <n v="-270389.17768237024"/>
    <x v="201"/>
  </r>
  <r>
    <d v="2021-10-06T00:00:00"/>
    <s v="SELL"/>
    <s v="WSA AU"/>
    <s v="AU000000WSA9"/>
    <s v="YES"/>
    <s v="WSA AU"/>
    <m/>
    <s v="Western Areas Ltd"/>
    <s v="AUD"/>
    <n v="2.931238"/>
    <m/>
    <n v="-42000"/>
    <n v="123111.996"/>
    <n v="-73.87"/>
    <m/>
    <m/>
    <n v="123038.126"/>
    <n v="1.5966499999999999"/>
    <n v="77060.173488241009"/>
    <x v="202"/>
  </r>
  <r>
    <d v="2021-10-06T00:00:00"/>
    <s v="spin off"/>
    <s v="VTSC GR"/>
    <s v="DE000VTSC017"/>
    <s v="YES"/>
    <s v="VTSC GR"/>
    <m/>
    <s v="Vitesco Technologies Group AG"/>
    <s v="EUR"/>
    <m/>
    <m/>
    <n v="660"/>
    <n v="0"/>
    <m/>
    <m/>
    <m/>
    <n v="0"/>
    <m/>
    <e v="#DIV/0!"/>
    <x v="14"/>
  </r>
  <r>
    <d v="2021-10-12T00:00:00"/>
    <s v="right sub"/>
    <s v="SFR AU"/>
    <s v="AU000000SFR8"/>
    <s v="YES"/>
    <s v="SFR AU"/>
    <m/>
    <s v="Sandfire Resources Ltd"/>
    <s v="AUD"/>
    <m/>
    <m/>
    <n v="42000"/>
    <n v="0"/>
    <m/>
    <m/>
    <m/>
    <n v="0"/>
    <m/>
    <e v="#DIV/0!"/>
    <x v="14"/>
  </r>
  <r>
    <d v="2021-10-26T00:00:00"/>
    <s v="SELL"/>
    <s v="6752 JP"/>
    <s v="JP3866800000"/>
    <s v="YES"/>
    <s v="6752 JP"/>
    <m/>
    <s v="Panasonic Corp"/>
    <s v="JPY"/>
    <n v="1525.4571000000001"/>
    <m/>
    <n v="-7000"/>
    <n v="10678199.700000001"/>
    <n v="-6407"/>
    <m/>
    <m/>
    <n v="10671792.700000001"/>
    <n v="132.02000000000001"/>
    <n v="80834.666717164073"/>
    <x v="203"/>
  </r>
  <r>
    <d v="2021-11-08T00:00:00"/>
    <s v="SELL"/>
    <s v="086520 KS"/>
    <s v="KR7086520004"/>
    <s v="YES"/>
    <s v="086520 KS"/>
    <m/>
    <s v="Ecopro Co Ltd"/>
    <s v="KRW"/>
    <n v="135947.42610000001"/>
    <m/>
    <n v="-1826"/>
    <n v="248240000.05860001"/>
    <n v="-372360"/>
    <n v="-570933"/>
    <m/>
    <n v="247296707.05860001"/>
    <n v="1369.23"/>
    <n v="180610.05605968318"/>
    <x v="204"/>
  </r>
  <r>
    <d v="2021-11-08T00:00:00"/>
    <s v="SELL"/>
    <s v="6502 JP"/>
    <s v="JP3592200004"/>
    <s v="YES"/>
    <s v="6502 jp"/>
    <m/>
    <s v="Toshiba Corp"/>
    <s v="JPY"/>
    <n v="5063.9090910000004"/>
    <m/>
    <n v="-11000"/>
    <n v="55703000.001000002"/>
    <n v="-33422"/>
    <m/>
    <m/>
    <n v="55669578.001000002"/>
    <n v="131.09"/>
    <n v="424666.85484018613"/>
    <x v="204"/>
  </r>
  <r>
    <d v="2021-11-08T00:00:00"/>
    <s v="BUY"/>
    <s v="096775 KS"/>
    <s v="KR7096771001"/>
    <s v="YES"/>
    <s v="096775 KS"/>
    <m/>
    <s v="SK Innovation Co Ltd"/>
    <s v="KRW"/>
    <n v="143175.78950000001"/>
    <m/>
    <n v="950"/>
    <n v="-136017000.02500001"/>
    <n v="-204026"/>
    <m/>
    <m/>
    <n v="-136221026.02500001"/>
    <n v="1369.23"/>
    <n v="-99487.322089787689"/>
    <x v="204"/>
  </r>
  <r>
    <d v="2021-11-08T00:00:00"/>
    <s v="BUY"/>
    <s v="051915 KS"/>
    <s v="KR7051911006"/>
    <s v="YES"/>
    <s v="051915 KS"/>
    <m/>
    <s v="LG Chem Ltd"/>
    <s v="KRW"/>
    <n v="358250"/>
    <m/>
    <n v="600"/>
    <n v="-214950000"/>
    <n v="-322425"/>
    <m/>
    <m/>
    <n v="-215272425"/>
    <n v="1369.23"/>
    <n v="-157221.52231546197"/>
    <x v="204"/>
  </r>
  <r>
    <d v="2021-11-09T00:00:00"/>
    <s v="BUY"/>
    <s v="096775 KS"/>
    <s v="KR7096771001"/>
    <s v="YES"/>
    <s v="096775 KS"/>
    <m/>
    <s v="SK Innovation Co Ltd"/>
    <s v="KRW"/>
    <n v="143166.92310000001"/>
    <m/>
    <n v="650"/>
    <n v="-93058500.015000015"/>
    <n v="-139588"/>
    <m/>
    <m/>
    <n v="-93198088.015000015"/>
    <n v="1366.27"/>
    <n v="-67794.067058487708"/>
    <x v="205"/>
  </r>
  <r>
    <d v="2021-11-09T00:00:00"/>
    <s v="SELL"/>
    <s v="6502 JP"/>
    <s v="JP3592200004"/>
    <s v="YES"/>
    <s v="6502 jp"/>
    <m/>
    <s v="Toshiba Corp"/>
    <s v="JPY"/>
    <n v="5018.9772730000004"/>
    <m/>
    <n v="-11000"/>
    <n v="55208750.003000006"/>
    <n v="-33125"/>
    <m/>
    <m/>
    <n v="55175625.003000006"/>
    <n v="130.86000000000001"/>
    <n v="407267.30857404857"/>
    <x v="205"/>
  </r>
  <r>
    <d v="2021-11-09T00:00:00"/>
    <s v="BUY"/>
    <s v="051915 KS"/>
    <s v="KR7051911006"/>
    <s v="YES"/>
    <s v="051915 KS"/>
    <m/>
    <s v="LG Chem Ltd"/>
    <s v="KRW"/>
    <n v="354531"/>
    <m/>
    <n v="500"/>
    <n v="-177265500"/>
    <n v="-265898"/>
    <m/>
    <m/>
    <n v="-177531398"/>
    <n v="1366.27"/>
    <n v="-128268.93659379186"/>
    <x v="205"/>
  </r>
  <r>
    <d v="2021-11-09T00:00:00"/>
    <s v="BUY"/>
    <s v="056190 KS"/>
    <s v="KR7056190002"/>
    <s v="YES"/>
    <s v="056190 KS"/>
    <m/>
    <s v="SFA Engineering Corp"/>
    <s v="KRW"/>
    <n v="34796.483099999998"/>
    <m/>
    <n v="8715"/>
    <n v="-303251350.21649998"/>
    <n v="-4548877"/>
    <m/>
    <m/>
    <n v="-307800227.21649998"/>
    <n v="1366.27"/>
    <n v="-282191.66050634207"/>
    <x v="205"/>
  </r>
  <r>
    <d v="2021-11-10T00:00:00"/>
    <s v="SELL"/>
    <s v="FR FP"/>
    <s v="FR0013176526"/>
    <s v="YES"/>
    <s v="FR FP"/>
    <m/>
    <s v="Valeo"/>
    <s v="EUR"/>
    <n v="27.2486"/>
    <m/>
    <n v="-6600"/>
    <n v="179840.76"/>
    <n v="-107.9"/>
    <m/>
    <m/>
    <n v="179732.86000000002"/>
    <n v="1"/>
    <n v="179732.86000000002"/>
    <x v="206"/>
  </r>
  <r>
    <d v="2021-11-10T00:00:00"/>
    <s v="SELL"/>
    <s v="FR FP"/>
    <s v="FR0013176526"/>
    <s v="YES"/>
    <s v="FR FP"/>
    <m/>
    <s v="Valeo"/>
    <s v="EUR"/>
    <n v="27.267099999999999"/>
    <m/>
    <n v="-8000"/>
    <n v="218136.8"/>
    <n v="-130.88"/>
    <m/>
    <m/>
    <n v="218005.91999999998"/>
    <n v="1"/>
    <n v="218005.91999999998"/>
    <x v="206"/>
  </r>
  <r>
    <d v="2021-11-11T00:00:00"/>
    <s v="BUY"/>
    <s v="3401 JP"/>
    <s v="JP3544000007"/>
    <s v="YES"/>
    <s v="3401 JP"/>
    <m/>
    <s v="Teijin Ltd"/>
    <s v="JPY"/>
    <n v="1439.6609000000001"/>
    <m/>
    <n v="11000"/>
    <n v="-15836269.9"/>
    <n v="-9502"/>
    <m/>
    <m/>
    <n v="-15845771.9"/>
    <n v="130.72"/>
    <n v="-121219.18528151776"/>
    <x v="207"/>
  </r>
  <r>
    <d v="2021-11-11T00:00:00"/>
    <s v="BUY"/>
    <s v="4092 JP"/>
    <s v="JP3691600005"/>
    <s v="YES"/>
    <s v="4092 jp"/>
    <m/>
    <s v="Nippon Chemical Industrial Co"/>
    <s v="JPY"/>
    <n v="2775.5360000000001"/>
    <m/>
    <n v="5000"/>
    <n v="-13877680"/>
    <n v="-8327"/>
    <m/>
    <m/>
    <n v="-13886007"/>
    <n v="130.72"/>
    <n v="-106227.10373317014"/>
    <x v="207"/>
  </r>
  <r>
    <d v="2021-11-18T00:00:00"/>
    <s v="BUY"/>
    <s v="3401 JP"/>
    <s v="JP3544000007"/>
    <s v="YES"/>
    <s v="3401 JP"/>
    <m/>
    <s v="Teijin Ltd"/>
    <s v="JPY"/>
    <n v="1398.623636"/>
    <m/>
    <n v="11000"/>
    <n v="-15384859.996000001"/>
    <n v="-9231"/>
    <m/>
    <m/>
    <n v="-15394090.996000001"/>
    <n v="129.43"/>
    <n v="-118937.58012825466"/>
    <x v="208"/>
  </r>
  <r>
    <d v="2021-11-18T00:00:00"/>
    <s v="SELL"/>
    <s v="FR FP"/>
    <s v="FR0013176526"/>
    <s v="YES"/>
    <s v="FR FP"/>
    <m/>
    <s v="Valeo"/>
    <s v="EUR"/>
    <n v="29.331099999999999"/>
    <m/>
    <n v="-8000"/>
    <n v="234648.8"/>
    <n v="-140.79"/>
    <m/>
    <m/>
    <n v="234508.00999999998"/>
    <n v="1"/>
    <n v="234508.00999999998"/>
    <x v="208"/>
  </r>
  <r>
    <d v="2021-11-18T00:00:00"/>
    <s v="BUY"/>
    <s v="VTSC GR"/>
    <s v="DE000VTSC017"/>
    <s v="YES"/>
    <s v="VTSC GR"/>
    <m/>
    <s v="Vitesco Technologies Group AG"/>
    <s v="EUR"/>
    <n v="47.944699999999997"/>
    <m/>
    <n v="6800"/>
    <n v="-326023.95999999996"/>
    <n v="-195.61"/>
    <m/>
    <m/>
    <n v="-326219.56999999995"/>
    <n v="1"/>
    <n v="-326219.56999999995"/>
    <x v="208"/>
  </r>
  <r>
    <d v="2021-11-22T00:00:00"/>
    <s v="BUY"/>
    <s v="4109 JP"/>
    <s v="JP3399720006"/>
    <s v="YES"/>
    <s v="4109 JP"/>
    <m/>
    <s v="Stella Chemifa Corp"/>
    <s v="JPY"/>
    <n v="2721.7076999999999"/>
    <m/>
    <n v="3250"/>
    <n v="-8845550.0250000004"/>
    <n v="-5307"/>
    <m/>
    <m/>
    <n v="-8850857.0250000004"/>
    <n v="128.71"/>
    <n v="-68765.884740890368"/>
    <x v="209"/>
  </r>
  <r>
    <d v="2021-11-22T00:00:00"/>
    <s v="SELL"/>
    <s v="WSA AU"/>
    <s v="AU000000WSA9"/>
    <s v="YES"/>
    <s v="WSA AU"/>
    <m/>
    <s v="Western Areas Ltd"/>
    <s v="AUD"/>
    <n v="3.2536350000000001"/>
    <m/>
    <n v="-65414"/>
    <n v="212833.27989000001"/>
    <n v="-127.7"/>
    <m/>
    <m/>
    <n v="212705.57988999999"/>
    <n v="1.5601"/>
    <n v="136340.99089160952"/>
    <x v="210"/>
  </r>
  <r>
    <d v="2021-11-22T00:00:00"/>
    <s v="BUY"/>
    <s v="4004 JP"/>
    <s v="JP3368000000"/>
    <s v="YES"/>
    <s v="4004 JP"/>
    <m/>
    <s v="Showa Denko KK"/>
    <s v="JPY"/>
    <n v="2613.3510000000001"/>
    <m/>
    <n v="15300"/>
    <n v="-39984270.300000004"/>
    <n v="-23991"/>
    <m/>
    <m/>
    <n v="-40008261.300000004"/>
    <n v="128.71"/>
    <n v="-310840.34884624352"/>
    <x v="209"/>
  </r>
  <r>
    <d v="2021-11-22T00:00:00"/>
    <s v="BUY"/>
    <s v="4205 JP"/>
    <s v="JP3725400000"/>
    <s v="YES"/>
    <s v="4205 JP"/>
    <m/>
    <s v="Zeon Corp"/>
    <s v="JPY"/>
    <n v="1333.644"/>
    <m/>
    <n v="10100"/>
    <n v="-13469804.4"/>
    <n v="-8082"/>
    <m/>
    <m/>
    <n v="-13477886.4"/>
    <n v="128.66"/>
    <n v="-104755.84019897405"/>
    <x v="209"/>
  </r>
  <r>
    <d v="2021-11-22T00:00:00"/>
    <s v="BUY"/>
    <s v="064960 KS"/>
    <s v="KR7064960008"/>
    <s v="YES"/>
    <s v="064960 KS"/>
    <m/>
    <s v="SNT Motiv Co Ltd"/>
    <s v="KRW"/>
    <n v="47202.5"/>
    <m/>
    <n v="4100"/>
    <n v="-193530250"/>
    <n v="-290295"/>
    <m/>
    <m/>
    <n v="-193820545"/>
    <n v="1338.88"/>
    <n v="-144763.1938635277"/>
    <x v="210"/>
  </r>
  <r>
    <d v="2021-11-22T00:00:00"/>
    <s v="BUY"/>
    <s v="096775 KS"/>
    <s v="KR7096771001"/>
    <s v="YES"/>
    <s v="096775 KS"/>
    <m/>
    <s v="SK Innovation Co Ltd"/>
    <s v="KRW"/>
    <n v="134602.38099999999"/>
    <m/>
    <n v="420"/>
    <n v="-56533000.019999996"/>
    <n v="-84800"/>
    <m/>
    <m/>
    <n v="-56617800.019999996"/>
    <n v="1338.88"/>
    <n v="-42287.434288360411"/>
    <x v="210"/>
  </r>
  <r>
    <d v="2021-11-23T00:00:00"/>
    <s v="BUY"/>
    <s v="VTSC GR"/>
    <s v="DE000VTSC017"/>
    <s v="YES"/>
    <s v="VTSC GR"/>
    <m/>
    <s v="Vitesco Technologies Group AG"/>
    <s v="EUR"/>
    <n v="42.6783"/>
    <m/>
    <n v="4200"/>
    <n v="-179248.86"/>
    <n v="-107.55"/>
    <m/>
    <m/>
    <n v="-179356.40999999997"/>
    <n v="1"/>
    <n v="-179356.40999999997"/>
    <x v="209"/>
  </r>
  <r>
    <d v="2021-11-25T00:00:00"/>
    <s v="BUY"/>
    <s v="096775 KS"/>
    <s v="KR7096771001"/>
    <s v="YES"/>
    <s v="096775 KS"/>
    <m/>
    <s v="SK Innovation Co Ltd"/>
    <s v="KRW"/>
    <n v="135057.00330000001"/>
    <m/>
    <n v="307"/>
    <n v="-41462500.013100006"/>
    <n v="-62194"/>
    <m/>
    <m/>
    <n v="-41524694.013100006"/>
    <n v="1333.71"/>
    <n v="-31134.724950026623"/>
    <x v="211"/>
  </r>
  <r>
    <d v="2021-11-25T00:00:00"/>
    <s v="SELL"/>
    <s v="WSA AU"/>
    <s v="AU000000WSA9"/>
    <s v="YES"/>
    <s v="WSA AU"/>
    <m/>
    <s v="Western Areas Ltd"/>
    <s v="AUD"/>
    <n v="3.1219440000000001"/>
    <m/>
    <n v="-50000"/>
    <n v="156097.20000000001"/>
    <n v="-93.66"/>
    <m/>
    <m/>
    <n v="156003.54"/>
    <n v="1.5564800000000001"/>
    <n v="100228.42567845395"/>
    <x v="211"/>
  </r>
  <r>
    <d v="2021-11-26T00:00:00"/>
    <s v="BUY"/>
    <s v="096775 KS"/>
    <s v="KR7096771001"/>
    <s v="YES"/>
    <s v="096775 KS"/>
    <m/>
    <s v="SK Innovation Co Ltd"/>
    <s v="KRW"/>
    <n v="131373.13430000001"/>
    <m/>
    <n v="670"/>
    <n v="-88019999.981000006"/>
    <n v="-132030"/>
    <m/>
    <m/>
    <n v="-88152029.981000006"/>
    <n v="1339.39"/>
    <n v="-65815.057586662588"/>
    <x v="212"/>
  </r>
  <r>
    <d v="2021-11-29T00:00:00"/>
    <s v="BUY"/>
    <s v="096775 KS"/>
    <s v="KR7096771001"/>
    <s v="YES"/>
    <s v="096775 KS"/>
    <m/>
    <s v="SK Innovation Co Ltd"/>
    <s v="KRW"/>
    <n v="125798.4375"/>
    <m/>
    <n v="320"/>
    <n v="-40255500"/>
    <n v="-60383"/>
    <m/>
    <m/>
    <n v="-40315883"/>
    <n v="1347.16"/>
    <n v="-29926.573680928766"/>
    <x v="213"/>
  </r>
  <r>
    <d v="2021-11-29T00:00:00"/>
    <s v="BUY"/>
    <s v="051915 KS"/>
    <s v="KR7051911006"/>
    <s v="YES"/>
    <s v="051915 KS"/>
    <m/>
    <s v="LG Chem Ltd"/>
    <s v="KRW"/>
    <n v="341681.91489999997"/>
    <m/>
    <n v="470"/>
    <n v="-160590500.00299999"/>
    <n v="-240886"/>
    <m/>
    <m/>
    <n v="-160831386.00299999"/>
    <n v="1347.16"/>
    <n v="-119385.51174544968"/>
    <x v="213"/>
  </r>
  <r>
    <d v="2021-12-02T00:00:00"/>
    <s v="BUY"/>
    <s v="4004 JP"/>
    <s v="JP3368000000"/>
    <s v="YES"/>
    <s v="4004 JP"/>
    <m/>
    <s v="Showa Denko KK"/>
    <s v="JPY"/>
    <n v="2409.890476"/>
    <m/>
    <n v="4200"/>
    <n v="-10121539.999199999"/>
    <n v="-6073"/>
    <m/>
    <m/>
    <n v="-10127612.999199999"/>
    <n v="128.15"/>
    <n v="-79029.364020288718"/>
    <x v="214"/>
  </r>
  <r>
    <d v="2021-12-02T00:00:00"/>
    <s v="BUY"/>
    <s v="7013 JP"/>
    <s v="JP3134800006"/>
    <s v="YES"/>
    <s v="7013 JP"/>
    <m/>
    <s v="IHI Corp"/>
    <s v="JPY"/>
    <n v="2140.5985070000002"/>
    <m/>
    <n v="6700"/>
    <n v="-14342009.996900002"/>
    <n v="-8605"/>
    <m/>
    <m/>
    <n v="-14350614.996900002"/>
    <n v="128.15"/>
    <n v="-111982.94964416701"/>
    <x v="214"/>
  </r>
  <r>
    <d v="2021-12-02T00:00:00"/>
    <s v="SELL"/>
    <s v="GLEN LN"/>
    <s v="JE00B4T3BW64"/>
    <s v="YES"/>
    <s v="GLEN LN"/>
    <m/>
    <s v="Glencore PLC"/>
    <s v="GBp"/>
    <n v="3.4929999999999999"/>
    <m/>
    <n v="-17000"/>
    <n v="59381"/>
    <n v="-35.630000000000003"/>
    <m/>
    <m/>
    <n v="59345.37"/>
    <n v="0.85085"/>
    <n v="69748.334018922251"/>
    <x v="214"/>
  </r>
  <r>
    <d v="2021-12-03T00:00:00"/>
    <s v="BUY"/>
    <s v="3407 JP"/>
    <s v="JP3111200006"/>
    <s v="YES"/>
    <s v="3407 JP"/>
    <m/>
    <s v="Asahi Kasei Corp"/>
    <s v="JPY"/>
    <n v="1103.0095449999999"/>
    <m/>
    <n v="11000"/>
    <n v="-12133104.994999999"/>
    <n v="-7280"/>
    <m/>
    <m/>
    <n v="-12140384.994999999"/>
    <n v="127.99"/>
    <n v="-94854.16825533245"/>
    <x v="215"/>
  </r>
  <r>
    <d v="2021-12-03T00:00:00"/>
    <s v="SELL"/>
    <s v="6502 JP"/>
    <s v="JP3592200004"/>
    <s v="YES"/>
    <s v="6502 JP"/>
    <m/>
    <s v="Toshiba Corp"/>
    <s v="JPY"/>
    <n v="4704"/>
    <m/>
    <n v="-4100"/>
    <n v="19286400"/>
    <n v="-11572"/>
    <m/>
    <m/>
    <n v="19274828"/>
    <n v="127.99"/>
    <n v="150596.35909055395"/>
    <x v="215"/>
  </r>
  <r>
    <d v="2021-12-03T00:00:00"/>
    <s v="BUY"/>
    <s v="036830 KS"/>
    <s v="KR7036830008"/>
    <s v="YES"/>
    <s v="036830 KS"/>
    <m/>
    <s v="Soulbrain Holdings Co Ltd"/>
    <s v="KRW"/>
    <n v="36305.804878000003"/>
    <m/>
    <n v="4100"/>
    <n v="-148853799.9998"/>
    <n v="-223281"/>
    <m/>
    <m/>
    <n v="-149077080.9998"/>
    <n v="1332.03"/>
    <n v="-111917.20982245145"/>
    <x v="215"/>
  </r>
  <r>
    <d v="2021-12-03T00:00:00"/>
    <s v="BUY"/>
    <s v="051915 KS"/>
    <s v="KR7051911006"/>
    <s v="YES"/>
    <s v="051915 KS"/>
    <m/>
    <s v="LG Chem Ltd"/>
    <s v="KRW"/>
    <n v="337892.42424199998"/>
    <m/>
    <n v="330"/>
    <n v="-111504499.99985999"/>
    <n v="-167257"/>
    <m/>
    <m/>
    <n v="-111671756.99985999"/>
    <n v="1332.03"/>
    <n v="-83835.767212345061"/>
    <x v="215"/>
  </r>
  <r>
    <d v="2021-12-03T00:00:00"/>
    <s v="BUY"/>
    <s v="096775 KS"/>
    <s v="KR7096771001"/>
    <s v="YES"/>
    <s v="096775 KS"/>
    <m/>
    <s v="SK Innovation Co Ltd"/>
    <s v="KRW"/>
    <n v="123593.589744"/>
    <m/>
    <n v="390"/>
    <n v="-48201500.000160001"/>
    <n v="-72302"/>
    <m/>
    <m/>
    <n v="-48273802.000160001"/>
    <n v="1332.03"/>
    <n v="-36240.776859500162"/>
    <x v="215"/>
  </r>
  <r>
    <d v="2021-12-30T00:00:00"/>
    <s v="SELL"/>
    <s v="WSA AU"/>
    <s v="AU000000WSA9"/>
    <s v="YES"/>
    <s v="WSA AU"/>
    <m/>
    <s v="Western Areas Ltd"/>
    <s v="AUD"/>
    <n v="3.4125999999999999"/>
    <m/>
    <n v="-110000"/>
    <n v="375386"/>
    <n v="-225.23"/>
    <m/>
    <m/>
    <n v="375160.77"/>
    <n v="1.56355"/>
    <n v="239941.65200984941"/>
    <x v="216"/>
  </r>
  <r>
    <d v="2021-12-30T00:00:00"/>
    <s v="SELL"/>
    <s v="5232 JP"/>
    <s v="JP3400900001"/>
    <s v="YES"/>
    <s v="5232 JP"/>
    <m/>
    <s v="Sumitomo Osaka Cement Co Ltd"/>
    <s v="JPY"/>
    <n v="3543.1936000000001"/>
    <m/>
    <n v="-4300"/>
    <n v="15235732.48"/>
    <n v="-9141"/>
    <m/>
    <m/>
    <n v="15226591.48"/>
    <n v="129.82"/>
    <n v="117290.02834694192"/>
    <x v="217"/>
  </r>
  <r>
    <d v="2021-12-30T00:00:00"/>
    <s v="SELL"/>
    <s v="SYR AU"/>
    <s v="AU000000SYR9"/>
    <s v="YES"/>
    <s v="SYR AU"/>
    <m/>
    <s v="Syrah Resources Ltd"/>
    <s v="AUD"/>
    <n v="1.79"/>
    <m/>
    <n v="-138800"/>
    <n v="248452"/>
    <n v="-149.07"/>
    <m/>
    <m/>
    <n v="248302.93"/>
    <n v="1.5577399999999999"/>
    <n v="159399.46974463004"/>
    <x v="216"/>
  </r>
  <r>
    <d v="2021-12-30T00:00:00"/>
    <s v="BUY"/>
    <s v="051915 KS"/>
    <s v="KR7051911006"/>
    <s v="YES"/>
    <s v="051915 KS"/>
    <m/>
    <s v="LG Chem Ltd"/>
    <s v="KRW"/>
    <n v="287617.5"/>
    <m/>
    <n v="1200"/>
    <n v="-345141000"/>
    <n v="-517712"/>
    <m/>
    <m/>
    <n v="-345658712"/>
    <n v="1345.13"/>
    <n v="-256970.48761086288"/>
    <x v="216"/>
  </r>
  <r>
    <d v="2021-12-30T00:00:00"/>
    <s v="BUY"/>
    <s v="096775 KS"/>
    <s v="KR7096771001"/>
    <s v="YES"/>
    <s v="096775 KS"/>
    <m/>
    <s v="SK Innovation Co Ltd"/>
    <s v="KRW"/>
    <n v="141118.39079999999"/>
    <m/>
    <n v="870"/>
    <n v="-122772999.99599999"/>
    <n v="-184160"/>
    <m/>
    <m/>
    <n v="-122957159.99599999"/>
    <n v="1345.13"/>
    <n v="-91409.127739326301"/>
    <x v="216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e v="#N/A"/>
    <s v="YES"/>
    <m/>
    <m/>
    <e v="#N/A"/>
    <e v="#N/A"/>
    <m/>
    <m/>
    <m/>
    <n v="0"/>
    <m/>
    <m/>
    <m/>
    <n v="0"/>
    <m/>
    <e v="#DIV/0!"/>
    <x v="14"/>
  </r>
  <r>
    <m/>
    <m/>
    <s v=""/>
    <m/>
    <m/>
    <m/>
    <m/>
    <e v="#N/A"/>
    <m/>
    <m/>
    <m/>
    <m/>
    <m/>
    <m/>
    <m/>
    <m/>
    <m/>
    <m/>
    <m/>
    <x v="14"/>
  </r>
  <r>
    <m/>
    <m/>
    <m/>
    <m/>
    <m/>
    <m/>
    <m/>
    <m/>
    <m/>
    <m/>
    <m/>
    <m/>
    <m/>
    <m/>
    <m/>
    <m/>
    <m/>
    <m/>
    <m/>
    <x v="1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">
  <r>
    <x v="0"/>
    <s v="BUY"/>
    <s v="FR0013461274"/>
    <s v="FR0013461274"/>
    <s v="YES"/>
    <s v="ERAFP 5 7/8 05/21/25"/>
    <s v="EUR"/>
    <n v="97"/>
    <n v="300000"/>
    <n v="-291000"/>
    <m/>
    <m/>
    <m/>
    <m/>
    <n v="-291000"/>
    <n v="1"/>
    <n v="-291000"/>
    <x v="0"/>
  </r>
  <r>
    <x v="0"/>
    <s v="BUY"/>
    <s v="US345370CW84"/>
    <s v="US345370CW84"/>
    <s v="YES"/>
    <s v="F 9 04/22/25"/>
    <s v="USD"/>
    <n v="122"/>
    <n v="300000"/>
    <n v="-366000"/>
    <m/>
    <m/>
    <m/>
    <m/>
    <n v="-366000"/>
    <n v="1.21"/>
    <n v="-302479.33884297521"/>
    <x v="0"/>
  </r>
  <r>
    <x v="1"/>
    <s v="SELL"/>
    <s v="US345370CW84"/>
    <s v="US345370CW84"/>
    <s v="YES"/>
    <s v="F 9 04/22/25"/>
    <s v="USD"/>
    <n v="120.32"/>
    <n v="-300000"/>
    <n v="360960"/>
    <m/>
    <m/>
    <m/>
    <n v="12300"/>
    <n v="373260"/>
    <n v="1.159"/>
    <n v="322053.49439171702"/>
    <x v="1"/>
  </r>
  <r>
    <x v="2"/>
    <s v="SELL"/>
    <s v="FR0013461274"/>
    <s v="FR0013461274"/>
    <s v="YES"/>
    <s v="ERAFP 5 7/8 05/21/25"/>
    <s v="EUR"/>
    <n v="104.63"/>
    <n v="-300000"/>
    <n v="313890"/>
    <m/>
    <m/>
    <m/>
    <n v="4680"/>
    <n v="318570"/>
    <n v="1"/>
    <n v="318570"/>
    <x v="2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s v=""/>
    <m/>
    <s v="YES"/>
    <s v="#N/A Invalid Security"/>
    <s v="#N/A Invalid Security"/>
    <m/>
    <m/>
    <n v="0"/>
    <m/>
    <m/>
    <m/>
    <m/>
    <n v="0"/>
    <m/>
    <e v="#DIV/0!"/>
    <x v="3"/>
  </r>
  <r>
    <x v="3"/>
    <m/>
    <m/>
    <m/>
    <m/>
    <m/>
    <m/>
    <m/>
    <m/>
    <m/>
    <m/>
    <m/>
    <m/>
    <m/>
    <m/>
    <m/>
    <m/>
    <x v="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3">
  <r>
    <s v="Panasonic Corp"/>
    <x v="0"/>
    <n v="7.9470850780639563E-2"/>
  </r>
  <r>
    <s v="Sumitomo Metal Mining Co Ltd"/>
    <x v="1"/>
    <n v="6.9343284580192247E-2"/>
  </r>
  <r>
    <s v="Sumitomo Chemical Co Ltd"/>
    <x v="2"/>
    <n v="1.2293899585362301E-2"/>
  </r>
  <r>
    <s v="Nippon Chemical Industrial Co"/>
    <x v="3"/>
    <n v="1.6729958989160246E-2"/>
  </r>
  <r>
    <s v="Toda Kogyo Corp"/>
    <x v="4"/>
    <n v="6.8403791793785571E-2"/>
  </r>
  <r>
    <s v="Showa Denko KK"/>
    <x v="5"/>
    <n v="4.238177870884912E-2"/>
  </r>
  <r>
    <s v="Nippon Carbon Co Ltd"/>
    <x v="6"/>
    <n v="5.5930260910933951E-3"/>
  </r>
  <r>
    <s v="Toyo Tanso Co Ltd"/>
    <x v="7"/>
    <n v="5.7718617945441524E-3"/>
  </r>
  <r>
    <s v="Sumitomo Chemical Co Ltd"/>
    <x v="2"/>
    <n v="6.27308603883844E-3"/>
  </r>
  <r>
    <s v="Teijin Ltd"/>
    <x v="8"/>
    <n v="4.5470966587451304E-2"/>
  </r>
  <r>
    <s v="LG Chem Ltd"/>
    <x v="9"/>
    <n v="4.8054288966665151E-2"/>
  </r>
  <r>
    <s v="Samsung SDI Co Ltd"/>
    <x v="10"/>
    <n v="7.744369305336854E-3"/>
  </r>
  <r>
    <s v="SK Innovation Co Ltd"/>
    <x v="11"/>
    <n v="3.2386573843644011E-2"/>
  </r>
  <r>
    <s v="Soulbrain Holdings Co Ltd"/>
    <x v="12"/>
    <n v="1.2364523002961567E-2"/>
  </r>
  <r>
    <s v="Parjointco NV"/>
    <x v="13"/>
    <n v="1.1915769394740648E-2"/>
  </r>
  <r>
    <s v="Eramet SA"/>
    <x v="14"/>
    <n v="2.4499442650094426E-2"/>
  </r>
  <r>
    <s v="Valeo"/>
    <x v="15"/>
    <n v="4.012546412244735E-2"/>
  </r>
  <r>
    <s v="Continental AG"/>
    <x v="16"/>
    <n v="1.4055020371163277E-2"/>
  </r>
  <r>
    <s v="Renault SA"/>
    <x v="17"/>
    <n v="2.6294506533699313E-2"/>
  </r>
  <r>
    <s v="Nickel 28 Capital Corp"/>
    <x v="18"/>
    <n v="9.0539381414905286E-4"/>
  </r>
  <r>
    <s v="Syrah Resources Ltd"/>
    <x v="19"/>
    <n v="4.0602687086093103E-2"/>
  </r>
  <r>
    <s v="Alelion Energy Systems AB"/>
    <x v="20"/>
    <n v="1.8810333426849592E-3"/>
  </r>
  <r>
    <s v="GrafTech International Ltd"/>
    <x v="21"/>
    <n v="6.7489524959295022E-3"/>
  </r>
  <r>
    <s v="Sumitomo Corp"/>
    <x v="22"/>
    <n v="3.8243859523241124E-3"/>
  </r>
  <r>
    <s v="Beijing Automotive Group Co Lt"/>
    <x v="23"/>
    <n v="3.3250390022504135E-2"/>
  </r>
  <r>
    <s v="Nihon Kagaku Sangyo Co Ltd"/>
    <x v="24"/>
    <n v="8.7148679163217887E-3"/>
  </r>
  <r>
    <s v="MMC Norilsk Nickel PJSC"/>
    <x v="25"/>
    <n v="9.2191292490910598E-3"/>
  </r>
  <r>
    <s v="Stella Chemifa Corp"/>
    <x v="26"/>
    <n v="1.3335885638562908E-2"/>
  </r>
  <r>
    <s v="Western Areas Ltd"/>
    <x v="27"/>
    <n v="1.0793159096658938E-2"/>
  </r>
  <r>
    <s v="Volkswagen AG"/>
    <x v="28"/>
    <n v="1.9381584829759976E-2"/>
  </r>
  <r>
    <s v="Glencore PLC"/>
    <x v="29"/>
    <n v="4.792889653944663E-3"/>
  </r>
  <r>
    <s v="SNT Motiv Co Ltd"/>
    <x v="30"/>
    <n v="1.7376669436352844E-2"/>
  </r>
  <r>
    <s v="POSCO"/>
    <x v="31"/>
    <n v="1.1156548807400586E-2"/>
  </r>
  <r>
    <s v="SFA Engineering Corp"/>
    <x v="32"/>
    <n v="4.9894493839173389E-2"/>
  </r>
  <r>
    <s v="Kureha Corp"/>
    <x v="33"/>
    <n v="5.1759272686157888E-3"/>
  </r>
  <r>
    <s v="Zeon Corp"/>
    <x v="34"/>
    <n v="8.3914416441236116E-3"/>
  </r>
  <r>
    <s v="Toshiba Corp"/>
    <x v="35"/>
    <n v="1.167136454570983E-2"/>
  </r>
  <r>
    <s v="Bushveld Minerals Ltd"/>
    <x v="36"/>
    <n v="2.1207620490861349E-3"/>
  </r>
  <r>
    <s v="Nippon Denko Co Ltd"/>
    <x v="37"/>
    <n v="7.4228923797868239E-3"/>
  </r>
  <r>
    <s v="Kanto Denka Kogyo Co Ltd"/>
    <x v="38"/>
    <n v="6.8272345822197019E-3"/>
  </r>
  <r>
    <s v="Techno Smart Corp"/>
    <x v="39"/>
    <n v="1.0867122745858748E-2"/>
  </r>
  <r>
    <s v="Sansha Electric Manufacturing"/>
    <x v="40"/>
    <n v="1.1515289749970988E-2"/>
  </r>
  <r>
    <s v="Central Glass Co Ltd"/>
    <x v="41"/>
    <n v="8.7782733020906941E-3"/>
  </r>
  <r>
    <s v="Sumitomo Osaka Cement Co Ltd"/>
    <x v="42"/>
    <n v="8.5519440936422803E-3"/>
  </r>
  <r>
    <s v="Sandfire Resources Ltd"/>
    <x v="43"/>
    <n v="1.7017406567160005E-2"/>
  </r>
  <r>
    <s v="Taiheiyo Cement Corp"/>
    <x v="44"/>
    <n v="1.8134701332900138E-2"/>
  </r>
  <r>
    <s v="TDK Corp"/>
    <x v="45"/>
    <n v="1.0545080115466768E-2"/>
  </r>
  <r>
    <s v="Vitesco Technologies Group AG"/>
    <x v="46"/>
    <n v="3.3768102052381628E-2"/>
  </r>
  <r>
    <s v="IHI Corp"/>
    <x v="47"/>
    <n v="2.4650305189319478E-2"/>
  </r>
  <r>
    <s v="Asahi Kasei Corp"/>
    <x v="48"/>
    <n v="4.3776697195765024E-3"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s v="Eramet SA"/>
    <x v="14"/>
    <n v="0"/>
  </r>
  <r>
    <s v="Ford Motor Co"/>
    <x v="50"/>
    <n v="0"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e v="#NAME?"/>
    <x v="51"/>
    <n v="0"/>
  </r>
  <r>
    <e v="#NAME?"/>
    <x v="51"/>
    <n v="0"/>
  </r>
  <r>
    <e v="#NAME?"/>
    <x v="51"/>
    <n v="0"/>
  </r>
  <r>
    <e v="#N/A"/>
    <x v="51"/>
    <n v="0"/>
  </r>
  <r>
    <s v="#N/A Invalid Security"/>
    <x v="51"/>
    <n v="0"/>
  </r>
  <r>
    <m/>
    <x v="49"/>
    <m/>
  </r>
  <r>
    <m/>
    <x v="49"/>
    <m/>
  </r>
  <r>
    <e v="#N/A"/>
    <x v="51"/>
    <n v="0"/>
  </r>
  <r>
    <e v="#N/A"/>
    <x v="51"/>
    <n v="0"/>
  </r>
  <r>
    <e v="#N/A"/>
    <x v="51"/>
    <n v="0"/>
  </r>
  <r>
    <e v="#N/A"/>
    <x v="51"/>
    <n v="0"/>
  </r>
  <r>
    <e v="#N/A"/>
    <x v="51"/>
    <n v="0"/>
  </r>
  <r>
    <e v="#N/A"/>
    <x v="51"/>
    <n v="0"/>
  </r>
  <r>
    <e v="#N/A"/>
    <x v="51"/>
    <n v="0"/>
  </r>
  <r>
    <e v="#N/A"/>
    <x v="51"/>
    <n v="0"/>
  </r>
  <r>
    <s v="#N/A Invalid Security"/>
    <x v="51"/>
    <n v="0"/>
  </r>
  <r>
    <m/>
    <x v="49"/>
    <m/>
  </r>
  <r>
    <m/>
    <x v="49"/>
    <m/>
  </r>
  <r>
    <e v="#N/A"/>
    <x v="51"/>
    <n v="0"/>
  </r>
  <r>
    <e v="#N/A"/>
    <x v="51"/>
    <n v="0"/>
  </r>
  <r>
    <e v="#N/A"/>
    <x v="51"/>
    <n v="0"/>
  </r>
  <r>
    <s v="#N/A Invalid Security"/>
    <x v="51"/>
    <n v="0"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  <r>
    <m/>
    <x v="49"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6">
  <r>
    <s v="LU1867072222 - Pharus Sicav - Electric Mobility NichesB"/>
    <d v="2020-04-03T00:00:00"/>
    <n v="150000"/>
    <x v="0"/>
  </r>
  <r>
    <s v="LU1867072149 - Pharus Sicav - Electric Mobility NichesA"/>
    <d v="2020-04-14T00:00:00"/>
    <n v="990"/>
    <x v="1"/>
  </r>
  <r>
    <s v="LU1867072149 - Pharus Sicav - Electric Mobility NichesA"/>
    <d v="2020-04-16T00:00:00"/>
    <n v="598.75"/>
    <x v="2"/>
  </r>
  <r>
    <s v="LU1867072495 - Pharus Sicav - Electric Mobility NichesQ"/>
    <d v="2020-04-27T00:00:00"/>
    <n v="5010.6000000000004"/>
    <x v="3"/>
  </r>
  <r>
    <s v="LU1867072149 - Pharus Sicav - Electric Mobility NichesA"/>
    <d v="2020-05-05T00:00:00"/>
    <n v="8979.99"/>
    <x v="4"/>
  </r>
  <r>
    <s v="LU1867072149 - Pharus Sicav - Electric Mobility NichesA"/>
    <d v="2020-05-06T00:00:00"/>
    <n v="-19667"/>
    <x v="5"/>
  </r>
  <r>
    <s v="LU1867072149 - Pharus Sicav - Electric Mobility NichesA"/>
    <d v="2020-05-14T00:00:00"/>
    <n v="4990"/>
    <x v="6"/>
  </r>
  <r>
    <s v="LU1867072149 - Pharus Sicav - Electric Mobility NichesA"/>
    <d v="2020-05-15T00:00:00"/>
    <n v="598.74"/>
    <x v="7"/>
  </r>
  <r>
    <s v="LU1867072149 - Pharus Sicav - Electric Mobility NichesA"/>
    <d v="2020-05-20T00:00:00"/>
    <n v="4989.99"/>
    <x v="8"/>
  </r>
  <r>
    <s v="LU1867072149 - Pharus Sicav - Electric Mobility NichesA"/>
    <d v="2020-05-26T00:00:00"/>
    <n v="988"/>
    <x v="9"/>
  </r>
  <r>
    <s v="LU1867072149 - Pharus Sicav - Electric Mobility NichesA"/>
    <d v="2020-05-27T00:00:00"/>
    <n v="987.99"/>
    <x v="10"/>
  </r>
  <r>
    <s v="LU1867072149 - Pharus Sicav - Electric Mobility NichesA"/>
    <d v="2020-05-28T00:00:00"/>
    <n v="1976"/>
    <x v="11"/>
  </r>
  <r>
    <s v="LU1867072222 - Pharus Sicav - Electric Mobility NichesB"/>
    <d v="2020-05-29T00:00:00"/>
    <n v="147626.9"/>
    <x v="12"/>
  </r>
  <r>
    <s v="LU1867072222 - Pharus Sicav - Electric Mobility NichesB"/>
    <d v="2020-06-02T00:00:00"/>
    <n v="300000"/>
    <x v="13"/>
  </r>
  <r>
    <s v="LU1867072495 - Pharus Sicav - Electric Mobility NichesQ"/>
    <d v="2020-06-02T00:00:00"/>
    <n v="-5743"/>
    <x v="13"/>
  </r>
  <r>
    <s v="LU1867072149 - Pharus Sicav - Electric Mobility NichesA"/>
    <d v="2020-06-04T00:00:00"/>
    <n v="4990"/>
    <x v="14"/>
  </r>
  <r>
    <s v="LU1867072222 - Pharus Sicav - Electric Mobility NichesB"/>
    <d v="2020-06-11T00:00:00"/>
    <n v="-68373.5"/>
    <x v="15"/>
  </r>
  <r>
    <s v="LU1867072149 - Pharus Sicav - Electric Mobility NichesA"/>
    <d v="2020-06-15T00:00:00"/>
    <n v="10588.74"/>
    <x v="16"/>
  </r>
  <r>
    <s v="LU1867072495 - Pharus Sicav - Electric Mobility NichesQ"/>
    <d v="2020-06-17T00:00:00"/>
    <n v="5616.6"/>
    <x v="17"/>
  </r>
  <r>
    <s v="LU1867072149 - Pharus Sicav - Electric Mobility NichesA"/>
    <d v="2020-06-25T00:00:00"/>
    <n v="44377.99"/>
    <x v="18"/>
  </r>
  <r>
    <s v="LU1867072149 - Pharus Sicav - Electric Mobility NichesA"/>
    <d v="2020-06-30T00:00:00"/>
    <n v="9987.99"/>
    <x v="19"/>
  </r>
  <r>
    <s v="LU1867072149 - Pharus Sicav - Electric Mobility NichesA"/>
    <d v="2020-07-07T00:00:00"/>
    <n v="9989.99"/>
    <x v="20"/>
  </r>
  <r>
    <s v="LU1867072495 - Pharus Sicav - Electric Mobility NichesQ"/>
    <d v="2020-07-08T00:00:00"/>
    <n v="-5620"/>
    <x v="21"/>
  </r>
  <r>
    <s v="LU1867072149 - Pharus Sicav - Electric Mobility NichesA"/>
    <d v="2020-07-14T00:00:00"/>
    <n v="24990"/>
    <x v="22"/>
  </r>
  <r>
    <s v="LU1867072149 - Pharus Sicav - Electric Mobility NichesA"/>
    <d v="2020-07-15T00:00:00"/>
    <n v="598.74"/>
    <x v="23"/>
  </r>
  <r>
    <s v="LU1867072149 - Pharus Sicav - Electric Mobility NichesA"/>
    <d v="2020-07-20T00:00:00"/>
    <n v="1990"/>
    <x v="24"/>
  </r>
  <r>
    <s v="LU1867072149 - Pharus Sicav - Electric Mobility NichesA"/>
    <d v="2020-07-24T00:00:00"/>
    <n v="4989.99"/>
    <x v="25"/>
  </r>
  <r>
    <s v="LU1867072149 - Pharus Sicav - Electric Mobility NichesA"/>
    <d v="2020-07-24T00:00:00"/>
    <n v="-40608"/>
    <x v="25"/>
  </r>
  <r>
    <s v="LU1867072149 - Pharus Sicav - Electric Mobility NichesA"/>
    <d v="2020-07-27T00:00:00"/>
    <n v="44980"/>
    <x v="26"/>
  </r>
  <r>
    <s v="LU1867072149 - Pharus Sicav - Electric Mobility NichesA"/>
    <d v="2020-08-03T00:00:00"/>
    <n v="49990"/>
    <x v="27"/>
  </r>
  <r>
    <s v="LU1867072149 - Pharus Sicav - Electric Mobility NichesA"/>
    <d v="2020-08-06T00:00:00"/>
    <n v="-4250.1499999999996"/>
    <x v="28"/>
  </r>
  <r>
    <s v="LU1867072222 - Pharus Sicav - Electric Mobility NichesB"/>
    <d v="2020-08-06T00:00:00"/>
    <n v="-63637.599999999999"/>
    <x v="28"/>
  </r>
  <r>
    <s v="LU1867072149 - Pharus Sicav - Electric Mobility NichesA"/>
    <d v="2020-08-07T00:00:00"/>
    <n v="-4347.13"/>
    <x v="29"/>
  </r>
  <r>
    <s v="LU1867072149 - Pharus Sicav - Electric Mobility NichesA"/>
    <d v="2020-08-10T00:00:00"/>
    <n v="-5417.81"/>
    <x v="30"/>
  </r>
  <r>
    <s v="LU1867072149 - Pharus Sicav - Electric Mobility NichesA"/>
    <d v="2020-08-13T00:00:00"/>
    <n v="-2719"/>
    <x v="31"/>
  </r>
  <r>
    <s v="LU1867072149 - Pharus Sicav - Electric Mobility NichesA"/>
    <d v="2020-08-14T00:00:00"/>
    <n v="-2931.39"/>
    <x v="32"/>
  </r>
  <r>
    <s v="LU1867072149 - Pharus Sicav - Electric Mobility NichesA"/>
    <d v="2020-08-17T00:00:00"/>
    <n v="598.74"/>
    <x v="33"/>
  </r>
  <r>
    <s v="LU1867072149 - Pharus Sicav - Electric Mobility NichesA"/>
    <d v="2020-08-18T00:00:00"/>
    <n v="-4237.03"/>
    <x v="34"/>
  </r>
  <r>
    <s v="LU1867072149 - Pharus Sicav - Electric Mobility NichesA"/>
    <d v="2020-08-19T00:00:00"/>
    <n v="-2896.52"/>
    <x v="35"/>
  </r>
  <r>
    <s v="LU1867072149 - Pharus Sicav - Electric Mobility NichesA"/>
    <d v="2020-08-20T00:00:00"/>
    <n v="-3004.92"/>
    <x v="36"/>
  </r>
  <r>
    <s v="LU1867072149 - Pharus Sicav - Electric Mobility NichesA"/>
    <d v="2020-08-25T00:00:00"/>
    <n v="-3157.82"/>
    <x v="37"/>
  </r>
  <r>
    <s v="LU1867072149 - Pharus Sicav - Electric Mobility NichesA"/>
    <d v="2020-08-26T00:00:00"/>
    <n v="-3567.14"/>
    <x v="38"/>
  </r>
  <r>
    <s v="LU1867072222 - Pharus Sicav - Electric Mobility NichesB"/>
    <d v="2020-09-07T00:00:00"/>
    <n v="-66708"/>
    <x v="39"/>
  </r>
  <r>
    <s v="LU1867072149 - Pharus Sicav - Electric Mobility NichesA"/>
    <d v="2020-09-15T00:00:00"/>
    <n v="-3287.7"/>
    <x v="40"/>
  </r>
  <r>
    <s v="LU1867072149 - Pharus Sicav - Electric Mobility NichesA"/>
    <d v="2020-09-15T00:00:00"/>
    <n v="598"/>
    <x v="40"/>
  </r>
  <r>
    <s v="LU1867072149 - Pharus Sicav - Electric Mobility NichesA"/>
    <d v="2020-09-18T00:00:00"/>
    <n v="14989.99"/>
    <x v="41"/>
  </r>
  <r>
    <s v="LU1867072495 - Pharus Sicav - Electric Mobility NichesQ"/>
    <d v="2020-09-25T00:00:00"/>
    <n v="-4575.4799999999996"/>
    <x v="42"/>
  </r>
  <r>
    <s v="LU1867072149 - Pharus Sicav - Electric Mobility NichesA"/>
    <d v="2020-10-01T00:00:00"/>
    <n v="-20876"/>
    <x v="43"/>
  </r>
  <r>
    <s v="LU1867072149 - Pharus Sicav - Electric Mobility NichesA"/>
    <d v="2020-10-09T00:00:00"/>
    <n v="54980"/>
    <x v="44"/>
  </r>
  <r>
    <s v="LU1867072495 - Pharus Sicav - Electric Mobility NichesQ"/>
    <d v="2020-10-09T00:00:00"/>
    <n v="22624"/>
    <x v="44"/>
  </r>
  <r>
    <s v="LU1867072149 - Pharus Sicav - Electric Mobility NichesA"/>
    <d v="2020-10-14T00:00:00"/>
    <n v="14989.99"/>
    <x v="45"/>
  </r>
  <r>
    <s v="LU1867072149 - Pharus Sicav - Electric Mobility NichesA"/>
    <d v="2020-10-15T00:00:00"/>
    <n v="598.74"/>
    <x v="46"/>
  </r>
  <r>
    <s v="LU1867072149 - Pharus Sicav - Electric Mobility NichesA"/>
    <d v="2020-10-22T00:00:00"/>
    <n v="1989.99"/>
    <x v="47"/>
  </r>
  <r>
    <s v="LU1867072149 - Pharus Sicav - Electric Mobility NichesA"/>
    <d v="2020-10-23T00:00:00"/>
    <n v="-1922.77"/>
    <x v="48"/>
  </r>
  <r>
    <s v="LU1867072149 - Pharus Sicav - Electric Mobility NichesA"/>
    <d v="2020-10-28T00:00:00"/>
    <n v="14990"/>
    <x v="49"/>
  </r>
  <r>
    <s v="LU1867072149 - Pharus Sicav - Electric Mobility NichesA"/>
    <d v="2020-10-30T00:00:00"/>
    <n v="4990"/>
    <x v="50"/>
  </r>
  <r>
    <s v="LU1867072495 - Pharus Sicav - Electric Mobility NichesQ"/>
    <d v="2020-11-06T00:00:00"/>
    <n v="-230700"/>
    <x v="51"/>
  </r>
  <r>
    <s v="LU1867072149 - Pharus Sicav - Electric Mobility NichesA"/>
    <d v="2020-11-11T00:00:00"/>
    <n v="4989.99"/>
    <x v="52"/>
  </r>
  <r>
    <s v="LU1867072149 - Pharus Sicav - Electric Mobility NichesA"/>
    <d v="2020-11-16T00:00:00"/>
    <n v="598.74"/>
    <x v="53"/>
  </r>
  <r>
    <s v="LU1867072495 - Pharus Sicav - Electric Mobility NichesQ"/>
    <d v="2020-11-16T00:00:00"/>
    <n v="22024"/>
    <x v="53"/>
  </r>
  <r>
    <s v="LU1867072149 - Pharus Sicav - Electric Mobility NichesA"/>
    <d v="2020-11-17T00:00:00"/>
    <n v="65950"/>
    <x v="54"/>
  </r>
  <r>
    <s v="LU1867072495 - Pharus Sicav - Electric Mobility NichesQ"/>
    <d v="2020-11-18T00:00:00"/>
    <n v="2716.12"/>
    <x v="55"/>
  </r>
  <r>
    <s v="LU1867072495 - Pharus Sicav - Electric Mobility NichesQ"/>
    <d v="2020-11-19T00:00:00"/>
    <n v="1481.52"/>
    <x v="56"/>
  </r>
  <r>
    <s v="LU1867072149 - Pharus Sicav - Electric Mobility NichesA"/>
    <d v="2020-11-20T00:00:00"/>
    <n v="4990"/>
    <x v="57"/>
  </r>
  <r>
    <s v="LU1867072495 - Pharus Sicav - Electric Mobility NichesQ"/>
    <d v="2020-11-20T00:00:00"/>
    <n v="40189"/>
    <x v="57"/>
  </r>
  <r>
    <s v="LU1867072495 - Pharus Sicav - Electric Mobility NichesQ"/>
    <d v="2020-11-23T00:00:00"/>
    <n v="18101"/>
    <x v="58"/>
  </r>
  <r>
    <s v="LU1867072149 - Pharus Sicav - Electric Mobility NichesA"/>
    <d v="2020-11-26T00:00:00"/>
    <n v="4990"/>
    <x v="59"/>
  </r>
  <r>
    <s v="LU1867072149 - Pharus Sicav - Electric Mobility NichesA"/>
    <d v="2020-11-27T00:00:00"/>
    <n v="989.99"/>
    <x v="60"/>
  </r>
  <r>
    <s v="LU1867072149 - Pharus Sicav - Electric Mobility NichesA"/>
    <d v="2020-11-30T00:00:00"/>
    <n v="9988"/>
    <x v="61"/>
  </r>
  <r>
    <s v="LU1867072495 - Pharus Sicav - Electric Mobility NichesQ"/>
    <d v="2020-11-30T00:00:00"/>
    <n v="-1578.6"/>
    <x v="61"/>
  </r>
  <r>
    <s v="LU1867072495 - Pharus Sicav - Electric Mobility NichesQ"/>
    <d v="2020-12-02T00:00:00"/>
    <n v="-65677"/>
    <x v="62"/>
  </r>
  <r>
    <s v="LU1867072495 - Pharus Sicav - Electric Mobility NichesQ"/>
    <d v="2020-12-03T00:00:00"/>
    <n v="348636"/>
    <x v="63"/>
  </r>
  <r>
    <s v="LU1867072149 - Pharus Sicav - Electric Mobility NichesA"/>
    <d v="2020-12-04T00:00:00"/>
    <n v="4990"/>
    <x v="64"/>
  </r>
  <r>
    <s v="LU1867072149 - Pharus Sicav - Electric Mobility NichesA"/>
    <d v="2020-12-07T00:00:00"/>
    <n v="6990"/>
    <x v="65"/>
  </r>
  <r>
    <s v="LU1867072149 - Pharus Sicav - Electric Mobility NichesA"/>
    <d v="2020-12-10T00:00:00"/>
    <n v="4897.99"/>
    <x v="66"/>
  </r>
  <r>
    <s v="LU1867072149 - Pharus Sicav - Electric Mobility NichesA"/>
    <d v="2020-12-14T00:00:00"/>
    <n v="29989.99"/>
    <x v="67"/>
  </r>
  <r>
    <s v="LU1867072149 - Pharus Sicav - Electric Mobility NichesA"/>
    <d v="2020-12-15T00:00:00"/>
    <n v="598.74"/>
    <x v="68"/>
  </r>
  <r>
    <s v="LU1867072149 - Pharus Sicav - Electric Mobility NichesA"/>
    <d v="2020-12-18T00:00:00"/>
    <n v="9990"/>
    <x v="69"/>
  </r>
  <r>
    <s v="LU1867072149 - Pharus Sicav - Electric Mobility NichesA"/>
    <d v="2020-12-16T00:00:00"/>
    <n v="2318"/>
    <x v="70"/>
  </r>
  <r>
    <s v="LU1867072149 - Pharus Sicav - Electric Mobility NichesA"/>
    <d v="2020-12-21T00:00:00"/>
    <n v="4989.99"/>
    <x v="71"/>
  </r>
  <r>
    <s v="LU1867072495 - Pharus Sicav - Electric Mobility NichesQ"/>
    <d v="2020-12-21T00:00:00"/>
    <n v="-25834.05"/>
    <x v="71"/>
  </r>
  <r>
    <s v="LU1867072149 - Pharus Sicav - Electric Mobility NichesA"/>
    <d v="2020-12-22T00:00:00"/>
    <n v="55365.99"/>
    <x v="72"/>
  </r>
  <r>
    <s v="LU1867072149 - Pharus Sicav - Electric Mobility NichesA"/>
    <d v="2020-12-23T00:00:00"/>
    <n v="22980"/>
    <x v="73"/>
  </r>
  <r>
    <s v="LU1867072149 - Pharus Sicav - Electric Mobility NichesA"/>
    <d v="2020-12-28T00:00:00"/>
    <n v="1489.99"/>
    <x v="74"/>
  </r>
  <r>
    <s v="LU1867072149 - Pharus Sicav - Electric Mobility NichesA"/>
    <d v="2020-12-30T00:00:00"/>
    <n v="199990"/>
    <x v="75"/>
  </r>
  <r>
    <s v="LU1867072149 - Pharus Sicav - Electric Mobility NichesA"/>
    <d v="2020-01-08T00:00:00"/>
    <n v="39674.85"/>
    <x v="76"/>
  </r>
  <r>
    <s v="LU1867072495 - Pharus Sicav - Electric Mobility NichesQ"/>
    <d v="2020-01-08T00:00:00"/>
    <n v="171217.8"/>
    <x v="76"/>
  </r>
  <r>
    <s v="LU1867072149 - Pharus Sicav - Electric Mobility NichesA"/>
    <d v="2021-01-11T00:00:00"/>
    <n v="1159453.8400000001"/>
    <x v="77"/>
  </r>
  <r>
    <s v="LU1867072222 - Pharus Sicav - Electric Mobility NichesB"/>
    <d v="2021-01-11T00:00:00"/>
    <n v="48561.99"/>
    <x v="77"/>
  </r>
  <r>
    <s v="LU1867072149 - Pharus Sicav - Electric Mobility NichesA"/>
    <d v="2021-01-12T00:00:00"/>
    <n v="107892.96"/>
    <x v="78"/>
  </r>
  <r>
    <s v="LU1867072149 - Pharus Sicav - Electric Mobility NichesA"/>
    <d v="2021-01-13T00:00:00"/>
    <n v="72913.350000000006"/>
    <x v="79"/>
  </r>
  <r>
    <s v="LU1867072495 - Pharus Sicav - Electric Mobility NichesQ"/>
    <d v="2021-01-13T00:00:00"/>
    <n v="177091.20000000001"/>
    <x v="79"/>
  </r>
  <r>
    <s v="LU1867072149 - Pharus Sicav - Electric Mobility NichesA"/>
    <d v="2021-01-14T00:00:00"/>
    <n v="-1525.24"/>
    <x v="80"/>
  </r>
  <r>
    <s v="LU1867072222 - Pharus Sicav - Electric Mobility NichesB"/>
    <d v="2021-01-14T00:00:00"/>
    <n v="250000"/>
    <x v="80"/>
  </r>
  <r>
    <s v="LU1867072495 - Pharus Sicav - Electric Mobility NichesQ"/>
    <d v="2021-01-14T00:00:00"/>
    <n v="15094"/>
    <x v="80"/>
  </r>
  <r>
    <s v="LU1867072149 - Pharus Sicav - Electric Mobility NichesA"/>
    <d v="2021-01-15T00:00:00"/>
    <n v="598.74"/>
    <x v="81"/>
  </r>
  <r>
    <s v="LU1867072149 - Pharus Sicav - Electric Mobility NichesA"/>
    <d v="2001-01-18T00:00:00"/>
    <n v="-17931.14"/>
    <x v="82"/>
  </r>
  <r>
    <s v="LU1867072495 - Pharus Sicav - Electric Mobility NichesQ"/>
    <d v="2021-01-18T00:00:00"/>
    <n v="133482"/>
    <x v="82"/>
  </r>
  <r>
    <s v="LU1867072149 - Pharus Sicav - Electric Mobility NichesA"/>
    <d v="2021-01-19T00:00:00"/>
    <n v="-10902.35"/>
    <x v="83"/>
  </r>
  <r>
    <s v="LU1867072149 - Pharus Sicav - Electric Mobility NichesA"/>
    <d v="2021-01-20T00:00:00"/>
    <n v="75743.17"/>
    <x v="84"/>
  </r>
  <r>
    <s v="LU1867072222 - Pharus Sicav - Electric Mobility NichesB"/>
    <d v="2021-01-20T00:00:00"/>
    <n v="557741.32999999996"/>
    <x v="84"/>
  </r>
  <r>
    <s v="LU1867072495 - Pharus Sicav - Electric Mobility NichesQ"/>
    <d v="2021-01-20T00:00:00"/>
    <n v="7671.5"/>
    <x v="84"/>
  </r>
  <r>
    <s v="LU1867072149 - Pharus Sicav - Electric Mobility NichesA"/>
    <d v="2021-01-21T00:00:00"/>
    <n v="268807.5"/>
    <x v="85"/>
  </r>
  <r>
    <s v="LU1867072222 - Pharus Sicav - Electric Mobility NichesB"/>
    <d v="2021-01-21T00:00:00"/>
    <n v="673.9"/>
    <x v="85"/>
  </r>
  <r>
    <s v="LU1867072149 - Pharus Sicav - Electric Mobility NichesA"/>
    <d v="2021-01-22T00:00:00"/>
    <n v="94425.36"/>
    <x v="86"/>
  </r>
  <r>
    <s v="LU1867072222 - Pharus Sicav - Electric Mobility NichesB"/>
    <d v="2021-01-22T00:00:00"/>
    <n v="148137.69"/>
    <x v="86"/>
  </r>
  <r>
    <s v="LU1867072149 - Pharus Sicav - Electric Mobility NichesA"/>
    <d v="2021-01-25T00:00:00"/>
    <n v="-21421.22"/>
    <x v="87"/>
  </r>
  <r>
    <s v="LU1867072222 - Pharus Sicav - Electric Mobility NichesB"/>
    <d v="2021-01-25T00:00:00"/>
    <n v="527.09"/>
    <x v="87"/>
  </r>
  <r>
    <s v="LU1867072149 - Pharus Sicav - Electric Mobility NichesA"/>
    <d v="2021-01-26T00:00:00"/>
    <n v="75959.960000000006"/>
    <x v="88"/>
  </r>
  <r>
    <s v="LU1867072222 - Pharus Sicav - Electric Mobility NichesB"/>
    <d v="2021-01-26T00:00:00"/>
    <n v="-49891.199999999997"/>
    <x v="88"/>
  </r>
  <r>
    <s v="LU1867072222 - Pharus Sicav - Electric Mobility NichesQ"/>
    <d v="2021-01-26T00:00:00"/>
    <n v="-67019.8"/>
    <x v="88"/>
  </r>
  <r>
    <s v="LU1867072149 - Pharus Sicav - Electric Mobility NichesA"/>
    <d v="2021-01-27T00:00:00"/>
    <n v="14388"/>
    <x v="89"/>
  </r>
  <r>
    <s v="LU1867072222 - Pharus Sicav - Electric Mobility NichesQ"/>
    <d v="2021-01-27T00:00:00"/>
    <n v="2970.46"/>
    <x v="89"/>
  </r>
  <r>
    <s v="LU1867072149 - Pharus Sicav - Electric Mobility NichesA"/>
    <d v="2021-01-28T00:00:00"/>
    <n v="13174.16"/>
    <x v="90"/>
  </r>
  <r>
    <s v="LU1867072222 - Pharus Sicav - Electric Mobility NichesB"/>
    <d v="2021-01-29T00:00:00"/>
    <n v="4573.01"/>
    <x v="90"/>
  </r>
  <r>
    <s v="LU1867072149 - Pharus Sicav - Electric Mobility NichesA"/>
    <d v="2021-02-02T00:00:00"/>
    <n v="32580"/>
    <x v="91"/>
  </r>
  <r>
    <s v="LU1867072149 - Pharus Sicav - Electric Mobility NichesA"/>
    <d v="2021-02-01T00:00:00"/>
    <n v="14987.99"/>
    <x v="92"/>
  </r>
  <r>
    <s v="LU1867072149 - Pharus Sicav - Electric Mobility NichesA"/>
    <d v="2021-02-03T00:00:00"/>
    <n v="14388"/>
    <x v="93"/>
  </r>
  <r>
    <s v="LU1867072149 - Pharus Sicav - Electric Mobility NichesA"/>
    <d v="2021-02-05T00:00:00"/>
    <n v="6296.58"/>
    <x v="94"/>
  </r>
  <r>
    <s v="LU1867072149 - Pharus Sicav - Electric Mobility NichesA"/>
    <d v="2021-02-05T00:00:00"/>
    <n v="50933.93"/>
    <x v="95"/>
  </r>
  <r>
    <s v="LU1867072222 - Pharus Sicav - Electric Mobility NichesB"/>
    <d v="2021-02-05T00:00:00"/>
    <n v="80092.160000000003"/>
    <x v="95"/>
  </r>
  <r>
    <s v="LU1867072222 - Pharus Sicav - Electric Mobility NichesB"/>
    <d v="2021-02-09T00:00:00"/>
    <n v="3749.99"/>
    <x v="96"/>
  </r>
  <r>
    <s v="LU1867072149 - Pharus Sicav - Electric Mobility NichesA"/>
    <d v="2021-02-10T00:00:00"/>
    <n v="5979.6"/>
    <x v="97"/>
  </r>
  <r>
    <s v="LU1867072149 - Pharus Sicav - Electric Mobility NichesA"/>
    <d v="2021-02-11T00:00:00"/>
    <n v="7967.59"/>
    <x v="98"/>
  </r>
  <r>
    <s v="LU1867072149 - Pharus Sicav - Electric Mobility NichesA"/>
    <d v="2021-02-12T00:00:00"/>
    <n v="225532"/>
    <x v="99"/>
  </r>
  <r>
    <s v="LU1867072222 - Pharus Sicav - Electric Mobility NichesB"/>
    <d v="2021-02-12T00:00:00"/>
    <n v="50256"/>
    <x v="99"/>
  </r>
  <r>
    <s v="LU1867072149 - Pharus Sicav - Electric Mobility NichesA"/>
    <d v="2021-02-15T00:00:00"/>
    <n v="1797.49"/>
    <x v="100"/>
  </r>
  <r>
    <s v="LU1867072222 - Pharus Sicav - Electric Mobility NichesB"/>
    <d v="2021-02-17T00:00:00"/>
    <n v="-1370.52"/>
    <x v="101"/>
  </r>
  <r>
    <s v="LU1867072149 - Pharus Sicav - Electric Mobility NichesA"/>
    <d v="2021-02-19T00:00:00"/>
    <n v="158021.51"/>
    <x v="102"/>
  </r>
  <r>
    <s v="LU1867072149 - Pharus Sicav - Electric Mobility NichesA"/>
    <d v="2021-02-22T00:00:00"/>
    <n v="4980.6899999999996"/>
    <x v="103"/>
  </r>
  <r>
    <s v="LU1867072222 - Pharus Sicav - Electric Mobility NichesB"/>
    <d v="2021-02-22T00:00:00"/>
    <n v="349999.98"/>
    <x v="103"/>
  </r>
  <r>
    <s v="LU1867072149 - Pharus Sicav - Electric Mobility NichesA"/>
    <d v="2021-02-26T00:00:00"/>
    <n v="-395018.87"/>
    <x v="104"/>
  </r>
  <r>
    <s v="LU1867072149 - Pharus Sicav - Electric Mobility NichesA"/>
    <d v="2021-03-02T00:00:00"/>
    <n v="83944.25"/>
    <x v="105"/>
  </r>
  <r>
    <s v="LU1867072222 - Pharus Sicav - Electric Mobility NichesB"/>
    <d v="2021-03-02T00:00:00"/>
    <n v="101049"/>
    <x v="105"/>
  </r>
  <r>
    <s v="LU1867072149 - Pharus Sicav - Electric Mobility NichesA"/>
    <d v="2021-03-03T00:00:00"/>
    <n v="35284.300000000003"/>
    <x v="106"/>
  </r>
  <r>
    <s v="LU1867072222 - Pharus Sicav - Electric Mobility NichesB"/>
    <d v="2021-03-08T00:00:00"/>
    <n v="-19.82"/>
    <x v="107"/>
  </r>
  <r>
    <s v="LU1867072149 - Pharus Sicav - Electric Mobility NichesA"/>
    <d v="2021-03-09T00:00:00"/>
    <n v="34891.69"/>
    <x v="108"/>
  </r>
  <r>
    <s v="LU1867072149 - Pharus Sicav - Electric Mobility NichesA"/>
    <d v="2021-03-10T00:00:00"/>
    <n v="41104"/>
    <x v="109"/>
  </r>
  <r>
    <s v="LU1867072149 - Pharus Sicav - Electric Mobility NichesA"/>
    <d v="2021-03-11T00:00:00"/>
    <n v="14680"/>
    <x v="110"/>
  </r>
  <r>
    <s v="LU1867072149 - Pharus Sicav - Electric Mobility NichesA"/>
    <d v="2021-03-12T00:00:00"/>
    <n v="248051"/>
    <x v="111"/>
  </r>
  <r>
    <s v="LU1867072222 - Pharus Sicav - Electric Mobility NichesB"/>
    <d v="2021-03-12T00:00:00"/>
    <n v="102811"/>
    <x v="111"/>
  </r>
  <r>
    <s v="LU1867072149 - Pharus Sicav - Electric Mobility NichesA"/>
    <d v="2021-03-15T00:00:00"/>
    <n v="8632.49"/>
    <x v="112"/>
  </r>
  <r>
    <s v="LU1867072222 - Pharus Sicav - Electric Mobility NichesQ"/>
    <d v="2021-03-15T00:00:00"/>
    <n v="5604.84"/>
    <x v="112"/>
  </r>
  <r>
    <s v="LU1867072149 - Pharus Sicav - Electric Mobility NichesA"/>
    <d v="2021-03-16T00:00:00"/>
    <n v="60112.36"/>
    <x v="113"/>
  </r>
  <r>
    <s v="LU1867072149 - Pharus Sicav - Electric Mobility NichesA"/>
    <d v="2021-03-17T00:00:00"/>
    <n v="56823"/>
    <x v="114"/>
  </r>
  <r>
    <s v="LU1867072149 - Pharus Sicav - Electric Mobility NichesA"/>
    <d v="2021-03-18T00:00:00"/>
    <n v="73877.320000000007"/>
    <x v="115"/>
  </r>
  <r>
    <s v="LU1867072149 - Pharus Sicav - Electric Mobility NichesA"/>
    <d v="2021-03-19T00:00:00"/>
    <n v="4989.99"/>
    <x v="116"/>
  </r>
  <r>
    <s v="LU1867072149 - Pharus Sicav - Electric Mobility NichesA"/>
    <d v="2021-03-22T00:00:00"/>
    <n v="-5259.34"/>
    <x v="117"/>
  </r>
  <r>
    <s v="LU1867072222 - Pharus Sicav - Electric Mobility NichesB"/>
    <d v="2021-03-22T00:00:00"/>
    <n v="1288.7"/>
    <x v="117"/>
  </r>
  <r>
    <s v="LU1867072149 - Pharus Sicav - Electric Mobility NichesA"/>
    <d v="2021-03-23T00:00:00"/>
    <n v="31555.99"/>
    <x v="118"/>
  </r>
  <r>
    <s v="LU1867072222 - Pharus Sicav - Electric Mobility NichesB"/>
    <d v="2021-03-23T00:00:00"/>
    <n v="-153.61000000000001"/>
    <x v="118"/>
  </r>
  <r>
    <s v="LU1867072149 - Pharus Sicav - Electric Mobility NichesA"/>
    <d v="2021-03-24T00:00:00"/>
    <n v="-19901.59"/>
    <x v="119"/>
  </r>
  <r>
    <s v="LU1867072222 - Pharus Sicav - Electric Mobility NichesB"/>
    <d v="2021-03-24T00:00:00"/>
    <n v="782.51"/>
    <x v="119"/>
  </r>
  <r>
    <s v="LU1867072149 - Pharus Sicav - Electric Mobility NichesA"/>
    <d v="2021-03-25T00:00:00"/>
    <n v="32130"/>
    <x v="120"/>
  </r>
  <r>
    <s v="LU1867072222 - Pharus Sicav - Electric Mobility NichesQ"/>
    <d v="2021-03-25T00:00:00"/>
    <n v="-1088.5"/>
    <x v="120"/>
  </r>
  <r>
    <s v="LU1867072149 - Pharus Sicav - Electric Mobility NichesA"/>
    <d v="2021-03-26T00:00:00"/>
    <n v="14979.99"/>
    <x v="121"/>
  </r>
  <r>
    <s v="LU1867072149 - Pharus Sicav - Electric Mobility NichesA"/>
    <d v="2021-03-30T00:00:00"/>
    <n v="4989.99"/>
    <x v="122"/>
  </r>
  <r>
    <s v="LU1867072149 - Pharus Sicav - Electric Mobility NichesA"/>
    <d v="2021-03-31T00:00:00"/>
    <n v="1999.99"/>
    <x v="123"/>
  </r>
  <r>
    <s v="LU1867072149 - Pharus Sicav - Electric Mobility NichesA"/>
    <d v="2021-04-01T00:00:00"/>
    <n v="1989.99"/>
    <x v="124"/>
  </r>
  <r>
    <s v="LU1867072149 - Pharus Sicav - Electric Mobility NichesA"/>
    <d v="2021-04-06T00:00:00"/>
    <n v="29989.99"/>
    <x v="125"/>
  </r>
  <r>
    <s v="LU1867072222 - Pharus Sicav - Electric Mobility NichesQ"/>
    <d v="2021-04-06T00:00:00"/>
    <n v="779.15"/>
    <x v="125"/>
  </r>
  <r>
    <s v="LU1867072149 - Pharus Sicav - Electric Mobility NichesA"/>
    <d v="2021-04-07T00:00:00"/>
    <n v="46669.68"/>
    <x v="126"/>
  </r>
  <r>
    <s v="LU1867072149 - Pharus Sicav - Electric Mobility NichesA"/>
    <d v="2021-04-08T00:00:00"/>
    <n v="57322.49"/>
    <x v="127"/>
  </r>
  <r>
    <s v="LU1867072149 - Pharus Sicav - Electric Mobility NichesA"/>
    <d v="2021-04-09T00:00:00"/>
    <n v="1651.1"/>
    <x v="128"/>
  </r>
  <r>
    <s v="LU1867072222 - Pharus Sicav - Electric Mobility NichesB"/>
    <d v="2021-04-09T00:00:00"/>
    <n v="-154.86000000000001"/>
    <x v="128"/>
  </r>
  <r>
    <s v="LU1867072149 - Pharus Sicav - Electric Mobility NichesA"/>
    <d v="2021-04-13T00:00:00"/>
    <n v="4952.49"/>
    <x v="129"/>
  </r>
  <r>
    <s v="LU1867072222 - Pharus Sicav - Electric Mobility NichesQ"/>
    <d v="2021-04-14T00:00:00"/>
    <n v="479.13"/>
    <x v="130"/>
  </r>
  <r>
    <s v="LU1867072149 - Pharus Sicav - Electric Mobility NichesA"/>
    <d v="2021-04-15T00:00:00"/>
    <n v="30696.66"/>
    <x v="131"/>
  </r>
  <r>
    <s v="LU1867072149 - Pharus Sicav - Electric Mobility NichesA"/>
    <d v="2021-04-16T00:00:00"/>
    <n v="48483.199999999997"/>
    <x v="132"/>
  </r>
  <r>
    <s v="LU1867072149 - Pharus Sicav - Electric Mobility NichesA"/>
    <d v="2021-04-19T00:00:00"/>
    <n v="14989.99"/>
    <x v="133"/>
  </r>
  <r>
    <s v="LU1867072149 - Pharus Sicav - Electric Mobility NichesA"/>
    <d v="2021-04-20T00:00:00"/>
    <n v="735168.45"/>
    <x v="134"/>
  </r>
  <r>
    <s v="LU1867072222 - Pharus Sicav - Electric Mobility NichesB"/>
    <d v="2021-04-20T00:00:00"/>
    <n v="200000"/>
    <x v="134"/>
  </r>
  <r>
    <s v="LU1867072149 - Pharus Sicav - Electric Mobility NichesA"/>
    <d v="2021-04-21T00:00:00"/>
    <n v="54979.99"/>
    <x v="135"/>
  </r>
  <r>
    <s v="LU1867072149 - Pharus Sicav - Electric Mobility NichesA"/>
    <d v="2021-04-22T00:00:00"/>
    <n v="4508.18"/>
    <x v="136"/>
  </r>
  <r>
    <s v="LU1867072222 - Pharus Sicav - Electric Mobility NichesQ"/>
    <d v="2021-04-21T00:00:00"/>
    <n v="947.94"/>
    <x v="135"/>
  </r>
  <r>
    <s v="LU1867072149 - Pharus Sicav - Electric Mobility NichesA"/>
    <d v="2021-04-26T00:00:00"/>
    <n v="13016.4"/>
    <x v="137"/>
  </r>
  <r>
    <s v="LU1867072149 - Pharus Sicav - Electric Mobility NichesA"/>
    <d v="2021-04-27T00:00:00"/>
    <n v="58210.559999999998"/>
    <x v="138"/>
  </r>
  <r>
    <s v="LU1867072149 - Pharus Sicav - Electric Mobility NichesA"/>
    <d v="2021-04-28T00:00:00"/>
    <n v="65556.63"/>
    <x v="139"/>
  </r>
  <r>
    <s v="LU1867072222 - Pharus Sicav - Electric Mobility NichesB"/>
    <d v="2021-04-29T00:00:00"/>
    <n v="40181.4"/>
    <x v="140"/>
  </r>
  <r>
    <s v="LU1867072222 - Pharus Sicav - Electric Mobility NichesB"/>
    <d v="2021-04-30T00:00:00"/>
    <n v="200000"/>
    <x v="141"/>
  </r>
  <r>
    <s v="LU1867072222 - Pharus Sicav - Electric Mobility NichesB"/>
    <d v="2021-05-03T00:00:00"/>
    <n v="-24020.18"/>
    <x v="142"/>
  </r>
  <r>
    <s v="LU1867072222 - Pharus Sicav - Electric Mobility NichesQ"/>
    <d v="2021-05-04T00:00:00"/>
    <n v="-4602.01"/>
    <x v="143"/>
  </r>
  <r>
    <s v="LU1867072149 - Pharus Sicav - Electric Mobility NichesA"/>
    <d v="2021-05-05T00:00:00"/>
    <n v="4062.42"/>
    <x v="144"/>
  </r>
  <r>
    <s v="LU1867072149 - Pharus Sicav - Electric Mobility NichesA"/>
    <d v="2021-05-06T00:00:00"/>
    <n v="5152.62"/>
    <x v="145"/>
  </r>
  <r>
    <s v="LU1867072149 - Pharus Sicav - Electric Mobility NichesA"/>
    <d v="2021-05-07T00:00:00"/>
    <n v="-4544.34"/>
    <x v="146"/>
  </r>
  <r>
    <s v="LU1867072222 - Pharus Sicav - Electric Mobility NichesQ"/>
    <d v="2021-05-07T00:00:00"/>
    <n v="-399025"/>
    <x v="146"/>
  </r>
  <r>
    <s v="LU1867072149 - Pharus Sicav - Electric Mobility NichesA"/>
    <d v="2021-05-10T00:00:00"/>
    <n v="-256.08999999999997"/>
    <x v="147"/>
  </r>
  <r>
    <s v="LU1867072222 - Pharus Sicav - Electric Mobility NichesB"/>
    <d v="2021-05-11T00:00:00"/>
    <n v="3527.7"/>
    <x v="148"/>
  </r>
  <r>
    <s v="LU1867072149 - Pharus Sicav - Electric Mobility NichesA"/>
    <d v="2021-05-12T00:00:00"/>
    <n v="-6937.65"/>
    <x v="149"/>
  </r>
  <r>
    <s v="LU1867072222 - Pharus Sicav - Electric Mobility NichesQ"/>
    <d v="2021-05-12T00:00:00"/>
    <n v="487.92"/>
    <x v="149"/>
  </r>
  <r>
    <s v="LU1867072149 - Pharus Sicav - Electric Mobility NichesA"/>
    <d v="2021-05-14T00:00:00"/>
    <n v="-9024.3700000000008"/>
    <x v="150"/>
  </r>
  <r>
    <s v="LU1867072222 - Pharus Sicav - Electric Mobility NichesB"/>
    <d v="2021-05-14T00:00:00"/>
    <n v="-4371.6400000000003"/>
    <x v="150"/>
  </r>
  <r>
    <s v="LU1867072149 - Pharus Sicav - Electric Mobility NichesA"/>
    <d v="2021-05-17T00:00:00"/>
    <n v="2081.36"/>
    <x v="151"/>
  </r>
  <r>
    <s v="LU1867072149 - Pharus Sicav - Electric Mobility NichesA"/>
    <d v="2021-05-17T00:00:00"/>
    <n v="8086.22"/>
    <x v="151"/>
  </r>
  <r>
    <s v="LU1867072149 - Pharus Sicav - Electric Mobility NichesA"/>
    <d v="2021-05-18T00:00:00"/>
    <n v="41577.199999999997"/>
    <x v="152"/>
  </r>
  <r>
    <s v="LU1867072149 - Pharus Sicav - Electric Mobility NichesA"/>
    <d v="2021-05-20T00:00:00"/>
    <n v="9993"/>
    <x v="153"/>
  </r>
  <r>
    <s v="LU1867072149 - Pharus Sicav - Electric Mobility NichesA"/>
    <d v="2021-05-21T00:00:00"/>
    <n v="9990"/>
    <x v="154"/>
  </r>
  <r>
    <s v="LU1867072149 - Pharus Sicav - Electric Mobility NichesA"/>
    <d v="2021-05-25T00:00:00"/>
    <n v="49977.99"/>
    <x v="155"/>
  </r>
  <r>
    <s v="LU1867072149 - Pharus Sicav - Electric Mobility NichesA"/>
    <d v="2021-05-26T00:00:00"/>
    <n v="9839.99"/>
    <x v="156"/>
  </r>
  <r>
    <s v="LU1867072149 - Pharus Sicav - Electric Mobility NichesA"/>
    <d v="2021-05-27T00:00:00"/>
    <n v="5347.44"/>
    <x v="157"/>
  </r>
  <r>
    <s v="LU1867072149 - Pharus Sicav - Electric Mobility NichesA"/>
    <d v="2021-05-28T00:00:00"/>
    <n v="243259.2"/>
    <x v="158"/>
  </r>
  <r>
    <s v="LU1867072222 - Pharus Sicav - Electric Mobility NichesB"/>
    <d v="2021-05-28T00:00:00"/>
    <n v="-467.91"/>
    <x v="158"/>
  </r>
  <r>
    <s v="LU1867072149 - Pharus Sicav - Electric Mobility NichesA"/>
    <d v="2021-05-31T00:00:00"/>
    <n v="-11172.4"/>
    <x v="159"/>
  </r>
  <r>
    <s v="LU1867072222 - Pharus Sicav - Electric Mobility NichesB"/>
    <d v="2021-05-31T00:00:00"/>
    <n v="10099.200000000001"/>
    <x v="159"/>
  </r>
  <r>
    <s v="LU1867072149 - Pharus Sicav - Electric Mobility NichesA"/>
    <d v="2021-06-04T00:00:00"/>
    <n v="2489.9899999999998"/>
    <x v="160"/>
  </r>
  <r>
    <s v="LU1867072149 - Pharus Sicav - Electric Mobility NichesA"/>
    <d v="2021-06-08T00:00:00"/>
    <n v="-2106.86"/>
    <x v="161"/>
  </r>
  <r>
    <s v="LU1867072222 - Pharus Sicav - Electric Mobility NichesQ"/>
    <d v="2021-06-11T00:00:00"/>
    <n v="476.28"/>
    <x v="162"/>
  </r>
  <r>
    <s v="LU1867072149 - Pharus Sicav - Electric Mobility NichesA"/>
    <d v="2021-06-14T00:00:00"/>
    <n v="4989.99"/>
    <x v="163"/>
  </r>
  <r>
    <s v="LU1867072222 - Pharus Sicav - Electric Mobility NichesQ"/>
    <d v="2021-06-14T00:00:00"/>
    <n v="3505.48"/>
    <x v="163"/>
  </r>
  <r>
    <s v="LU1867072149 - Pharus Sicav - Electric Mobility NichesA"/>
    <d v="2021-06-15T00:00:00"/>
    <n v="-9596.5499999999993"/>
    <x v="164"/>
  </r>
  <r>
    <s v="LU1867072149 - Pharus Sicav - Electric Mobility NichesA"/>
    <d v="2021-06-16T00:00:00"/>
    <n v="10990"/>
    <x v="165"/>
  </r>
  <r>
    <s v="LU1867072149 - Pharus Sicav - Electric Mobility NichesA"/>
    <d v="2021-06-18T00:00:00"/>
    <n v="4989.99"/>
    <x v="166"/>
  </r>
  <r>
    <s v="LU1867072149 - Pharus Sicav - Electric Mobility NichesA"/>
    <d v="2021-06-22T00:00:00"/>
    <n v="-4865.8500000000004"/>
    <x v="167"/>
  </r>
  <r>
    <s v="LU1867072149 - Pharus Sicav - Electric Mobility NichesA"/>
    <d v="2021-06-24T00:00:00"/>
    <n v="-421825"/>
    <x v="168"/>
  </r>
  <r>
    <s v="LU1867072222 - Pharus Sicav - Electric Mobility NichesQ"/>
    <d v="2021-06-24T00:00:00"/>
    <n v="-485377"/>
    <x v="168"/>
  </r>
  <r>
    <s v="LU1867072149 - Pharus Sicav - Electric Mobility NichesA"/>
    <d v="2021-06-25T00:00:00"/>
    <n v="3730.5"/>
    <x v="169"/>
  </r>
  <r>
    <s v="LU1867072222 - Pharus Sicav - Electric Mobility NichesQ"/>
    <d v="2021-06-28T00:00:00"/>
    <n v="-477600"/>
    <x v="170"/>
  </r>
  <r>
    <s v="LU1867072149 - Pharus Sicav - Electric Mobility NichesA"/>
    <d v="2021-07-08T00:00:00"/>
    <n v="5822.7"/>
    <x v="171"/>
  </r>
  <r>
    <s v="LU1867072149 - Pharus Sicav - Electric Mobility NichesA"/>
    <d v="2021-07-09T00:00:00"/>
    <n v="-1936.22"/>
    <x v="172"/>
  </r>
  <r>
    <s v="LU1867072222 - Pharus Sicav - Electric Mobility NichesQ"/>
    <d v="2021-07-08T00:00:00"/>
    <n v="473.25"/>
    <x v="171"/>
  </r>
  <r>
    <s v="LU1867072222 - Pharus Sicav - Electric Mobility NichesB"/>
    <d v="2021-07-13T00:00:00"/>
    <n v="17555.580000000002"/>
    <x v="173"/>
  </r>
  <r>
    <s v="LU1867072222 - Pharus Sicav - Electric Mobility NichesB"/>
    <d v="2021-07-15T00:00:00"/>
    <n v="10041.24"/>
    <x v="174"/>
  </r>
  <r>
    <s v="LU1867072222 - Pharus Sicav - Electric Mobility NichesB"/>
    <d v="2021-07-20T00:00:00"/>
    <n v="-1169.8699999999999"/>
    <x v="175"/>
  </r>
  <r>
    <s v="LU1867072222 - Pharus Sicav - Electric Mobility NichesB"/>
    <d v="2021-07-22T00:00:00"/>
    <n v="49677.15"/>
    <x v="176"/>
  </r>
  <r>
    <s v="LU1867072149 - Pharus Sicav - Electric Mobility NichesA"/>
    <d v="2021-07-26T00:00:00"/>
    <n v="7950.23"/>
    <x v="177"/>
  </r>
  <r>
    <s v="LU1867072222 - Pharus Sicav - Electric Mobility NichesB"/>
    <d v="2021-07-27T00:00:00"/>
    <n v="-14410.49"/>
    <x v="178"/>
  </r>
  <r>
    <s v="LU1867072222 - Pharus Sicav - Electric Mobility NichesB"/>
    <d v="2021-07-28T00:00:00"/>
    <n v="-769.09"/>
    <x v="179"/>
  </r>
  <r>
    <s v="LU1867072149 - Pharus Sicav - Electric Mobility NichesA"/>
    <d v="2021-08-04T00:00:00"/>
    <n v="81937.320000000007"/>
    <x v="180"/>
  </r>
  <r>
    <s v="LU1867072149 - Pharus Sicav - Electric Mobility NichesA"/>
    <d v="2021-08-05T00:00:00"/>
    <n v="2989.99"/>
    <x v="181"/>
  </r>
  <r>
    <s v="LU1867072149 - Pharus Sicav - Electric Mobility NichesA"/>
    <d v="2021-08-06T00:00:00"/>
    <n v="-7595.09"/>
    <x v="182"/>
  </r>
  <r>
    <s v="LU1867072222 - Pharus Sicav - Electric Mobility NichesQ"/>
    <d v="2021-08-06T00:00:00"/>
    <n v="3417.75"/>
    <x v="182"/>
  </r>
  <r>
    <s v="LU1867072149 - Pharus Sicav - Electric Mobility NichesA"/>
    <d v="2021-08-10T00:00:00"/>
    <n v="-16993.900000000001"/>
    <x v="183"/>
  </r>
  <r>
    <s v="LU1867072222 - Pharus Sicav - Electric Mobility NichesB"/>
    <d v="2021-08-10T00:00:00"/>
    <n v="3122.69"/>
    <x v="183"/>
  </r>
  <r>
    <s v="LU1867072149 - Pharus Sicav - Electric Mobility NichesA"/>
    <d v="2021-08-16T00:00:00"/>
    <n v="6142.49"/>
    <x v="184"/>
  </r>
  <r>
    <s v="LU1867072149 - Pharus Sicav - Electric Mobility NichesA"/>
    <d v="2021-08-17T00:00:00"/>
    <n v="3898.73"/>
    <x v="185"/>
  </r>
  <r>
    <s v="LU1867072149 - Pharus Sicav - Electric Mobility NichesA"/>
    <d v="2021-08-20T00:00:00"/>
    <n v="987.99"/>
    <x v="186"/>
  </r>
  <r>
    <s v="LU1867072149 - Pharus Sicav - Electric Mobility NichesA"/>
    <d v="2021-08-25T00:00:00"/>
    <n v="-12059.82"/>
    <x v="187"/>
  </r>
  <r>
    <s v="LU1867072149 - Pharus Sicav - Electric Mobility NichesA"/>
    <d v="2021-08-26T00:00:00"/>
    <n v="2897.99"/>
    <x v="188"/>
  </r>
  <r>
    <s v="LU1867072222 - Pharus Sicav - Electric Mobility NichesQ"/>
    <d v="2021-08-27T00:00:00"/>
    <n v="-8756"/>
    <x v="189"/>
  </r>
  <r>
    <s v="LU1867072149 - Pharus Sicav - Electric Mobility NichesA"/>
    <d v="2021-08-31T00:00:00"/>
    <n v="-9152"/>
    <x v="190"/>
  </r>
  <r>
    <s v="LU1867072149 - Pharus Sicav - Electric Mobility NichesA"/>
    <d v="2021-09-01T00:00:00"/>
    <n v="9144"/>
    <x v="191"/>
  </r>
  <r>
    <s v="LU1867072149 - Pharus Sicav - Electric Mobility NichesA"/>
    <d v="2021-09-02T00:00:00"/>
    <n v="49762.86"/>
    <x v="192"/>
  </r>
  <r>
    <s v="LU1867072149 - Pharus Sicav - Electric Mobility NichesA"/>
    <d v="2021-09-03T00:00:00"/>
    <n v="-77337.460000000006"/>
    <x v="193"/>
  </r>
  <r>
    <s v="LU1867072222 - Pharus Sicav - Electric Mobility NichesQ"/>
    <d v="2021-09-07T00:00:00"/>
    <n v="9427.32"/>
    <x v="194"/>
  </r>
  <r>
    <s v="LU1867072149 - Pharus Sicav - Electric Mobility NichesA"/>
    <d v="2021-09-09T00:00:00"/>
    <n v="5393.15"/>
    <x v="195"/>
  </r>
  <r>
    <s v="LU1867072222 - Pharus Sicav - Electric Mobility NichesQ"/>
    <d v="2021-09-10T00:00:00"/>
    <n v="492.93"/>
    <x v="196"/>
  </r>
  <r>
    <s v="LU1867072149 - Pharus Sicav - Electric Mobility NichesA"/>
    <d v="1931-09-13T00:00:00"/>
    <n v="149951.99"/>
    <x v="197"/>
  </r>
  <r>
    <s v="LU1867072149 - Pharus Sicav - Electric Mobility NichesA"/>
    <d v="1931-09-15T00:00:00"/>
    <n v="21132.49"/>
    <x v="198"/>
  </r>
  <r>
    <s v="LU1867072149 - Pharus Sicav - Electric Mobility NichesA"/>
    <d v="1931-09-16T00:00:00"/>
    <n v="3898.75"/>
    <x v="199"/>
  </r>
  <r>
    <s v="LU1867072149 - Pharus Sicav - Electric Mobility NichesA"/>
    <d v="2021-09-17T00:00:00"/>
    <n v="12100.43"/>
    <x v="200"/>
  </r>
  <r>
    <s v="LU1867072149 - Pharus Sicav - Electric Mobility NichesA"/>
    <d v="2021-09-21T00:00:00"/>
    <n v="13987.99"/>
    <x v="201"/>
  </r>
  <r>
    <s v="LU1867072149 - Pharus Sicav - Electric Mobility NichesA"/>
    <d v="2021-09-23T00:00:00"/>
    <n v="-5424.12"/>
    <x v="202"/>
  </r>
  <r>
    <s v="LU1867072149 - Pharus Sicav - Electric Mobility NichesA"/>
    <d v="2021-09-27T00:00:00"/>
    <n v="-10061.030000000001"/>
    <x v="203"/>
  </r>
  <r>
    <s v="LU1867072222 - Pharus Sicav - Electric Mobility NichesB"/>
    <d v="2021-10-04T00:00:00"/>
    <n v="-40499"/>
    <x v="204"/>
  </r>
  <r>
    <s v="LU1867072149 - Pharus Sicav - Electric Mobility NichesA"/>
    <d v="2021-10-07T00:00:00"/>
    <n v="51814"/>
    <x v="205"/>
  </r>
  <r>
    <s v="LU1867072149 - Pharus Sicav - Electric Mobility NichesA"/>
    <d v="2021-10-08T00:00:00"/>
    <n v="207005.3"/>
    <x v="206"/>
  </r>
  <r>
    <s v="LU1867072222 - Pharus Sicav - Electric Mobility NichesB"/>
    <d v="2021-10-08T00:00:00"/>
    <n v="2270.75"/>
    <x v="206"/>
  </r>
  <r>
    <s v="LU1867072149 - Pharus Sicav - Electric Mobility NichesA"/>
    <d v="2021-10-11T00:00:00"/>
    <n v="19990"/>
    <x v="207"/>
  </r>
  <r>
    <s v="LU1867072222 - Pharus Sicav - Electric Mobility NichesB"/>
    <d v="2021-10-11T00:00:00"/>
    <n v="-117647.03999999999"/>
    <x v="207"/>
  </r>
  <r>
    <s v="LU1867072222 - Pharus Sicav - Electric Mobility NichesQ"/>
    <d v="2021-10-11T00:00:00"/>
    <n v="470.46"/>
    <x v="207"/>
  </r>
  <r>
    <s v="LU1867072149 - Pharus Sicav - Electric Mobility NichesA"/>
    <d v="2021-10-12T00:00:00"/>
    <n v="9989.99"/>
    <x v="208"/>
  </r>
  <r>
    <s v="LU1867072222 - Pharus Sicav - Electric Mobility NichesQ"/>
    <d v="2021-10-12T00:00:00"/>
    <n v="3166.4"/>
    <x v="208"/>
  </r>
  <r>
    <s v="LU1867072149 - Pharus Sicav - Electric Mobility NichesA"/>
    <d v="2021-10-13T00:00:00"/>
    <n v="11211.74"/>
    <x v="209"/>
  </r>
  <r>
    <s v="LU1867072149 - Pharus Sicav - Electric Mobility NichesA"/>
    <d v="2021-10-15T00:00:00"/>
    <n v="1076.58"/>
    <x v="210"/>
  </r>
  <r>
    <s v="LU1867072149 - Pharus Sicav - Electric Mobility NichesA"/>
    <d v="2021-10-18T00:00:00"/>
    <n v="3898.74"/>
    <x v="211"/>
  </r>
  <r>
    <s v="LU1867072222 - Pharus Sicav - Electric Mobility NichesB"/>
    <d v="2021-10-18T00:00:00"/>
    <n v="-32630.58"/>
    <x v="211"/>
  </r>
  <r>
    <s v="LU1867072222 - Pharus Sicav - Electric Mobility NichesB"/>
    <d v="2021-10-20T00:00:00"/>
    <n v="-1311.76"/>
    <x v="212"/>
  </r>
  <r>
    <s v="LU1867072222 - Pharus Sicav - Electric Mobility NichesB"/>
    <d v="2021-10-21T00:00:00"/>
    <n v="-440391.04"/>
    <x v="213"/>
  </r>
  <r>
    <s v="LU1867072222 - Pharus Sicav - Electric Mobility NichesQ"/>
    <d v="2021-10-22T00:00:00"/>
    <n v="810.15"/>
    <x v="214"/>
  </r>
  <r>
    <s v="LU1867072149 - Pharus Sicav - Electric Mobility NichesA"/>
    <d v="2021-10-25T00:00:00"/>
    <n v="5159.99"/>
    <x v="215"/>
  </r>
  <r>
    <s v="LU1867072149 - Pharus Sicav - Electric Mobility NichesA"/>
    <d v="2021-10-26T00:00:00"/>
    <n v="5113.72"/>
    <x v="216"/>
  </r>
  <r>
    <s v="LU1867072222 - Pharus Sicav - Electric Mobility NichesQ"/>
    <d v="2021-10-26T00:00:00"/>
    <n v="4077.25"/>
    <x v="216"/>
  </r>
  <r>
    <s v="LU1867072149 - Pharus Sicav - Electric Mobility NichesA"/>
    <d v="2021-10-29T00:00:00"/>
    <n v="9989.99"/>
    <x v="217"/>
  </r>
  <r>
    <s v="LU1867072149 - Pharus Sicav - Electric Mobility NichesA"/>
    <d v="2021-11-02T00:00:00"/>
    <n v="23558.74"/>
    <x v="218"/>
  </r>
  <r>
    <s v="LU1867072149 - Pharus Sicav - Electric Mobility NichesA"/>
    <d v="2021-11-03T00:00:00"/>
    <n v="12031.5"/>
    <x v="219"/>
  </r>
  <r>
    <s v="LU1867072149 - Pharus Sicav - Electric Mobility NichesA"/>
    <d v="2021-11-04T00:00:00"/>
    <n v="2620.7199999999998"/>
    <x v="220"/>
  </r>
  <r>
    <s v="LU1867072222 - Pharus Sicav - Electric Mobility NichesQ"/>
    <d v="2021-11-04T00:00:00"/>
    <n v="10295.459999999999"/>
    <x v="220"/>
  </r>
  <r>
    <s v="LU1867072149 - Pharus Sicav - Electric Mobility NichesA"/>
    <d v="2021-11-08T00:00:00"/>
    <n v="-747.28"/>
    <x v="221"/>
  </r>
  <r>
    <s v="LU1867072149 - Pharus Sicav - Electric Mobility NichesA"/>
    <d v="2021-11-09T00:00:00"/>
    <n v="3110.27"/>
    <x v="222"/>
  </r>
  <r>
    <s v="LU1867072222 - Pharus Sicav - Electric Mobility NichesQ"/>
    <d v="2021-11-09T00:00:00"/>
    <n v="14929.46"/>
    <x v="222"/>
  </r>
  <r>
    <s v="LU1867072149 - Pharus Sicav - Electric Mobility NichesA"/>
    <d v="2021-11-10T00:00:00"/>
    <n v="56843.21"/>
    <x v="223"/>
  </r>
  <r>
    <s v="LU1867072222 - Pharus Sicav - Electric Mobility NichesQ"/>
    <d v="2021-11-11T00:00:00"/>
    <n v="2456.1"/>
    <x v="224"/>
  </r>
  <r>
    <s v="LU1867072149 - Pharus Sicav - Electric Mobility NichesA"/>
    <d v="2021-11-12T00:00:00"/>
    <n v="4941.76"/>
    <x v="225"/>
  </r>
  <r>
    <s v="LU1867072222 - Pharus Sicav - Electric Mobility NichesQ"/>
    <d v="2021-11-12T00:00:00"/>
    <n v="5394.51"/>
    <x v="225"/>
  </r>
  <r>
    <s v="LU1867072149 - Pharus Sicav - Electric Mobility NichesA"/>
    <d v="2021-11-15T00:00:00"/>
    <n v="-4128.75"/>
    <x v="226"/>
  </r>
  <r>
    <s v="LU1867072149 - Pharus Sicav - Electric Mobility NichesA"/>
    <d v="2021-11-16T00:00:00"/>
    <n v="1230.1099999999999"/>
    <x v="227"/>
  </r>
  <r>
    <s v="LU1867072222 - Pharus Sicav - Electric Mobility NichesQ"/>
    <d v="2021-11-16T00:00:00"/>
    <n v="6146.81"/>
    <x v="227"/>
  </r>
  <r>
    <s v="LU1867072149 - Pharus Sicav - Electric Mobility NichesA"/>
    <d v="2021-11-17T00:00:00"/>
    <n v="-13445.05"/>
    <x v="228"/>
  </r>
  <r>
    <s v="LU1867072149 - Pharus Sicav - Electric Mobility NichesA"/>
    <d v="2021-11-18T00:00:00"/>
    <n v="2700.06"/>
    <x v="229"/>
  </r>
  <r>
    <s v="LU1867072222 - Pharus Sicav - Electric Mobility NichesB"/>
    <d v="2021-11-18T00:00:00"/>
    <n v="-10031.4"/>
    <x v="229"/>
  </r>
  <r>
    <s v="LU1867072222 - Pharus Sicav - Electric Mobility NichesQ"/>
    <d v="2021-11-23T00:00:00"/>
    <n v="7041.72"/>
    <x v="230"/>
  </r>
  <r>
    <s v="LU1867072149 - Pharus Sicav - Electric Mobility NichesA"/>
    <d v="2021-11-25T00:00:00"/>
    <n v="-10675.21"/>
    <x v="231"/>
  </r>
  <r>
    <s v="LU1867072149 - Pharus Sicav - Electric Mobility NichesA"/>
    <d v="2021-11-26T00:00:00"/>
    <n v="9989.99"/>
    <x v="232"/>
  </r>
  <r>
    <s v="LU1867072149 - Pharus Sicav - Electric Mobility NichesA"/>
    <d v="2021-11-29T00:00:00"/>
    <n v="4414.1899999999996"/>
    <x v="233"/>
  </r>
  <r>
    <s v="LU1867072149 - Pharus Sicav - Electric Mobility NichesA"/>
    <d v="2021-11-30T00:00:00"/>
    <n v="1853.97"/>
    <x v="234"/>
  </r>
  <r>
    <s v="LU1867072149 - Pharus Sicav - Electric Mobility NichesA"/>
    <d v="2021-12-01T00:00:00"/>
    <n v="-12174.01"/>
    <x v="235"/>
  </r>
  <r>
    <s v="LU1867072149 - Pharus Sicav - Electric Mobility NichesA"/>
    <d v="2021-12-02T00:00:00"/>
    <n v="9748.0499999999993"/>
    <x v="236"/>
  </r>
  <r>
    <s v="LU1867072222 - Pharus Sicav - Electric Mobility NichesQ"/>
    <d v="2021-12-02T00:00:00"/>
    <n v="599999.99"/>
    <x v="236"/>
  </r>
  <r>
    <s v="LU1867072222 - Pharus Sicav - Electric Mobility NichesQ"/>
    <d v="2021-12-03T00:00:00"/>
    <n v="634.36"/>
    <x v="237"/>
  </r>
  <r>
    <s v="LU1867072149 - Pharus Sicav - Electric Mobility NichesA"/>
    <d v="2021-12-07T00:00:00"/>
    <n v="7056.11"/>
    <x v="238"/>
  </r>
  <r>
    <s v="LU1867072149 - Pharus Sicav - Electric Mobility NichesA"/>
    <d v="2021-12-13T00:00:00"/>
    <n v="2215.06"/>
    <x v="239"/>
  </r>
  <r>
    <s v="LU1867072222 - Pharus Sicav - Electric Mobility NichesQ"/>
    <d v="2021-12-14T00:00:00"/>
    <n v="11423.19"/>
    <x v="240"/>
  </r>
  <r>
    <s v="LU1867072149 - Pharus Sicav - Electric Mobility NichesA"/>
    <d v="2021-12-15T00:00:00"/>
    <n v="6142.5"/>
    <x v="241"/>
  </r>
  <r>
    <s v="LU1867072149 - Pharus Sicav - Electric Mobility NichesA"/>
    <d v="2021-12-16T00:00:00"/>
    <n v="3898.74"/>
    <x v="242"/>
  </r>
  <r>
    <s v="LU1867072149 - Pharus Sicav - Electric Mobility NichesA"/>
    <d v="2021-12-17T00:00:00"/>
    <n v="15854.75"/>
    <x v="243"/>
  </r>
  <r>
    <s v="LU1867072149 - Pharus Sicav - Electric Mobility NichesA"/>
    <d v="2021-12-20T00:00:00"/>
    <n v="3028.6"/>
    <x v="244"/>
  </r>
  <r>
    <s v="LU1867072149 - Pharus Sicav - Electric Mobility NichesA"/>
    <d v="2021-12-21T00:00:00"/>
    <n v="1978.08"/>
    <x v="245"/>
  </r>
  <r>
    <s v="LU1867072149 - Pharus Sicav - Electric Mobility NichesA"/>
    <d v="2021-12-22T00:00:00"/>
    <n v="10316"/>
    <x v="246"/>
  </r>
  <r>
    <s v="LU1867072149 - Pharus Sicav - Electric Mobility NichesA"/>
    <d v="2021-12-23T00:00:00"/>
    <n v="7895.51"/>
    <x v="247"/>
  </r>
  <r>
    <s v="LU1867072149 - Pharus Sicav - Electric Mobility NichesA"/>
    <d v="2021-12-29T00:00:00"/>
    <n v="4989.99"/>
    <x v="248"/>
  </r>
  <r>
    <s v="LU1867072149 - Pharus Sicav - Electric Mobility NichesA"/>
    <d v="2022-01-04T00:00:00"/>
    <n v="21873.040000000001"/>
    <x v="249"/>
  </r>
  <r>
    <s v="LU1867072222 - Pharus Sicav - Electric Mobility NichesQ"/>
    <d v="2022-01-04T00:00:00"/>
    <n v="9691.7999999999993"/>
    <x v="249"/>
  </r>
  <r>
    <s v="LU1867072149 - Pharus Sicav - Electric Mobility NichesA"/>
    <d v="2022-01-05T00:00:00"/>
    <n v="93897.7"/>
    <x v="250"/>
  </r>
  <r>
    <s v="LU1867072149 - Pharus Sicav - Electric Mobility NichesA"/>
    <d v="2022-01-06T00:00:00"/>
    <n v="29685.79"/>
    <x v="251"/>
  </r>
  <r>
    <s v="LU1867072149 - Pharus Sicav - Electric Mobility NichesA"/>
    <d v="2022-01-12T00:00:00"/>
    <n v="20546.5"/>
    <x v="252"/>
  </r>
  <r>
    <m/>
    <m/>
    <m/>
    <x v="2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3D4B7-D88D-4B8E-AAE0-DCE7E60CAF62}" name="Tabella pivot2" cacheId="8" applyNumberFormats="0" applyBorderFormats="0" applyFontFormats="0" applyPatternFormats="0" applyAlignmentFormats="0" applyWidthHeightFormats="1" dataCaption="Valori" updatedVersion="7" minRefreshableVersion="3" useAutoFormatting="1" rowGrandTotals="0" itemPrintTitles="1" createdVersion="6" indent="0" outline="1" outlineData="1" multipleFieldFilters="0" rowHeaderCaption=" ">
  <location ref="A174:B226" firstHeaderRow="1" firstDataRow="1" firstDataCol="1"/>
  <pivotFields count="3">
    <pivotField showAll="0"/>
    <pivotField axis="axisRow" showAll="0">
      <items count="54">
        <item x="9"/>
        <item x="0"/>
        <item x="17"/>
        <item x="10"/>
        <item x="51"/>
        <item x="49"/>
        <item x="16"/>
        <item x="14"/>
        <item x="7"/>
        <item x="4"/>
        <item x="6"/>
        <item x="29"/>
        <item x="2"/>
        <item x="1"/>
        <item x="5"/>
        <item x="19"/>
        <item x="26"/>
        <item m="1" x="52"/>
        <item x="20"/>
        <item x="8"/>
        <item x="11"/>
        <item x="13"/>
        <item x="22"/>
        <item x="24"/>
        <item x="27"/>
        <item x="12"/>
        <item x="31"/>
        <item x="32"/>
        <item x="33"/>
        <item x="34"/>
        <item x="35"/>
        <item x="36"/>
        <item x="37"/>
        <item x="38"/>
        <item x="39"/>
        <item x="41"/>
        <item x="42"/>
        <item x="43"/>
        <item x="44"/>
        <item x="18"/>
        <item x="30"/>
        <item x="50"/>
        <item x="3"/>
        <item x="21"/>
        <item x="23"/>
        <item x="25"/>
        <item x="28"/>
        <item x="40"/>
        <item x="15"/>
        <item x="45"/>
        <item x="46"/>
        <item x="47"/>
        <item x="48"/>
        <item t="default"/>
      </items>
    </pivotField>
    <pivotField dataField="1" showAll="0"/>
  </pivotFields>
  <rowFields count="1">
    <field x="1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rowItems>
  <colItems count="1">
    <i/>
  </colItems>
  <dataFields count="1">
    <dataField name="Somma di % Wgt (P)" fld="2" baseField="0" baseItem="0" numFmtId="176"/>
  </dataFields>
  <formats count="14">
    <format dxfId="280">
      <pivotArea collapsedLevelsAreSubtotals="1" fieldPosition="0">
        <references count="1">
          <reference field="1" count="0"/>
        </references>
      </pivotArea>
    </format>
    <format dxfId="279">
      <pivotArea collapsedLevelsAreSubtotals="1" fieldPosition="0">
        <references count="1">
          <reference field="1" count="0"/>
        </references>
      </pivotArea>
    </format>
    <format dxfId="278">
      <pivotArea collapsedLevelsAreSubtotals="1" fieldPosition="0">
        <references count="1">
          <reference field="1" count="1">
            <x v="12"/>
          </reference>
        </references>
      </pivotArea>
    </format>
    <format dxfId="277">
      <pivotArea dataOnly="0" labelOnly="1" fieldPosition="0">
        <references count="1">
          <reference field="1" count="1">
            <x v="12"/>
          </reference>
        </references>
      </pivotArea>
    </format>
    <format dxfId="276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275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274">
      <pivotArea collapsedLevelsAreSubtotals="1" fieldPosition="0">
        <references count="1">
          <reference field="1" count="1">
            <x v="0"/>
          </reference>
        </references>
      </pivotArea>
    </format>
    <format dxfId="273">
      <pivotArea collapsedLevelsAreSubtotals="1" fieldPosition="0">
        <references count="1">
          <reference field="1" count="1">
            <x v="24"/>
          </reference>
        </references>
      </pivotArea>
    </format>
    <format dxfId="272">
      <pivotArea type="all" dataOnly="0" outline="0" fieldPosition="0"/>
    </format>
    <format dxfId="271">
      <pivotArea outline="0" collapsedLevelsAreSubtotals="1" fieldPosition="0"/>
    </format>
    <format dxfId="270">
      <pivotArea field="1" type="button" dataOnly="0" labelOnly="1" outline="0" axis="axisRow" fieldPosition="0"/>
    </format>
    <format dxfId="269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68">
      <pivotArea dataOnly="0" labelOnly="1" fieldPosition="0">
        <references count="1">
          <reference field="1" count="2">
            <x v="50"/>
            <x v="51"/>
          </reference>
        </references>
      </pivotArea>
    </format>
    <format dxfId="267">
      <pivotArea dataOnly="0" labelOnly="1" outline="0" axis="axisValues" fieldPosition="0"/>
    </format>
  </formats>
  <conditionalFormats count="4">
    <conditionalFormat priority="1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043406-B815-49D1-BC12-52651577F222}" name="Tabella pivot1" cacheId="1" applyNumberFormats="0" applyBorderFormats="0" applyFontFormats="0" applyPatternFormats="0" applyAlignmentFormats="0" applyWidthHeightFormats="1" dataCaption="Valori" updatedVersion="6" minRefreshableVersion="3" useAutoFormatting="1" rowGrandTotals="0" itemPrintTitles="1" createdVersion="6" indent="0" outline="1" outlineData="1" multipleFieldFilters="0">
  <location ref="I102:K119" firstHeaderRow="1" firstDataRow="1" firstDataCol="0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EB075-93AB-4761-B336-4CF0FA8410E5}" name="Tabella pivot3" cacheId="9" applyNumberFormats="0" applyBorderFormats="0" applyFontFormats="0" applyPatternFormats="0" applyAlignmentFormats="0" applyWidthHeightFormats="1" dataCaption="Valori" updatedVersion="7" minRefreshableVersion="3" useAutoFormatting="1" rowGrandTotals="0" itemPrintTitles="1" createdVersion="6" indent="0" outline="1" outlineData="1" multipleFieldFilters="0">
  <location ref="E60:F65" firstHeaderRow="1" firstDataRow="1" firstDataCol="1"/>
  <pivotFields count="4">
    <pivotField showAll="0"/>
    <pivotField showAll="0"/>
    <pivotField dataField="1" showAll="0"/>
    <pivotField axis="axisRow" showAll="0">
      <items count="255">
        <item x="25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0"/>
        <item x="1"/>
        <item x="2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1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9"/>
        <item x="118"/>
        <item x="120"/>
        <item x="121"/>
        <item x="122"/>
        <item x="124"/>
        <item x="12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6"/>
        <item x="141"/>
        <item x="139"/>
        <item x="140"/>
        <item x="142"/>
        <item x="143"/>
        <item x="144"/>
        <item x="145"/>
        <item x="146"/>
        <item x="147"/>
        <item x="149"/>
        <item x="148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9"/>
        <item x="168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1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6"/>
        <item x="205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7"/>
        <item x="236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t="default"/>
      </items>
    </pivotField>
  </pivotFields>
  <rowFields count="1">
    <field x="3"/>
  </rowFields>
  <rowItems count="5">
    <i>
      <x v="249"/>
    </i>
    <i>
      <x v="250"/>
    </i>
    <i>
      <x v="251"/>
    </i>
    <i>
      <x v="252"/>
    </i>
    <i>
      <x v="253"/>
    </i>
  </rowItems>
  <colItems count="1">
    <i/>
  </colItems>
  <dataFields count="1">
    <dataField name="Somma di AMOUNT" fld="2" baseField="0" baseItem="0" numFmtId="172"/>
  </dataFields>
  <formats count="156">
    <format dxfId="180">
      <pivotArea collapsedLevelsAreSubtotals="1" fieldPosition="0">
        <references count="1">
          <reference field="3" count="1">
            <x v="1"/>
          </reference>
        </references>
      </pivotArea>
    </format>
    <format dxfId="179">
      <pivotArea grandRow="1" outline="0" collapsedLevelsAreSubtotals="1" fieldPosition="0"/>
    </format>
    <format dxfId="178">
      <pivotArea collapsedLevelsAreSubtotals="1" fieldPosition="0">
        <references count="1">
          <reference field="3" count="1">
            <x v="2"/>
          </reference>
        </references>
      </pivotArea>
    </format>
    <format dxfId="177">
      <pivotArea collapsedLevelsAreSubtotals="1" fieldPosition="0">
        <references count="1">
          <reference field="3" count="1">
            <x v="3"/>
          </reference>
        </references>
      </pivotArea>
    </format>
    <format dxfId="176">
      <pivotArea collapsedLevelsAreSubtotals="1" fieldPosition="0">
        <references count="1">
          <reference field="3" count="1">
            <x v="4"/>
          </reference>
        </references>
      </pivotArea>
    </format>
    <format dxfId="175">
      <pivotArea collapsedLevelsAreSubtotals="1" fieldPosition="0">
        <references count="1">
          <reference field="3" count="1">
            <x v="5"/>
          </reference>
        </references>
      </pivotArea>
    </format>
    <format dxfId="174">
      <pivotArea collapsedLevelsAreSubtotals="1" fieldPosition="0">
        <references count="1">
          <reference field="3" count="1">
            <x v="6"/>
          </reference>
        </references>
      </pivotArea>
    </format>
    <format dxfId="173">
      <pivotArea collapsedLevelsAreSubtotals="1" fieldPosition="0">
        <references count="1">
          <reference field="3" count="1">
            <x v="7"/>
          </reference>
        </references>
      </pivotArea>
    </format>
    <format dxfId="172">
      <pivotArea collapsedLevelsAreSubtotals="1" fieldPosition="0">
        <references count="1">
          <reference field="3" count="1">
            <x v="8"/>
          </reference>
        </references>
      </pivotArea>
    </format>
    <format dxfId="171">
      <pivotArea collapsedLevelsAreSubtotals="1" fieldPosition="0">
        <references count="1">
          <reference field="3" count="1">
            <x v="9"/>
          </reference>
        </references>
      </pivotArea>
    </format>
    <format dxfId="170">
      <pivotArea collapsedLevelsAreSubtotals="1" fieldPosition="0">
        <references count="1">
          <reference field="3" count="1">
            <x v="10"/>
          </reference>
        </references>
      </pivotArea>
    </format>
    <format dxfId="169">
      <pivotArea collapsedLevelsAreSubtotals="1" fieldPosition="0">
        <references count="1">
          <reference field="3" count="1">
            <x v="11"/>
          </reference>
        </references>
      </pivotArea>
    </format>
    <format dxfId="168">
      <pivotArea collapsedLevelsAreSubtotals="1" fieldPosition="0">
        <references count="1">
          <reference field="3" count="1">
            <x v="12"/>
          </reference>
        </references>
      </pivotArea>
    </format>
    <format dxfId="167">
      <pivotArea collapsedLevelsAreSubtotals="1" fieldPosition="0">
        <references count="1">
          <reference field="3" count="1">
            <x v="13"/>
          </reference>
        </references>
      </pivotArea>
    </format>
    <format dxfId="166">
      <pivotArea collapsedLevelsAreSubtotals="1" fieldPosition="0">
        <references count="1">
          <reference field="3" count="1">
            <x v="14"/>
          </reference>
        </references>
      </pivotArea>
    </format>
    <format dxfId="165">
      <pivotArea collapsedLevelsAreSubtotals="1" fieldPosition="0">
        <references count="1">
          <reference field="3" count="1">
            <x v="15"/>
          </reference>
        </references>
      </pivotArea>
    </format>
    <format dxfId="164">
      <pivotArea collapsedLevelsAreSubtotals="1" fieldPosition="0">
        <references count="1">
          <reference field="3" count="1">
            <x v="16"/>
          </reference>
        </references>
      </pivotArea>
    </format>
    <format dxfId="163">
      <pivotArea collapsedLevelsAreSubtotals="1" fieldPosition="0">
        <references count="1">
          <reference field="3" count="1">
            <x v="17"/>
          </reference>
        </references>
      </pivotArea>
    </format>
    <format dxfId="162">
      <pivotArea collapsedLevelsAreSubtotals="1" fieldPosition="0">
        <references count="1">
          <reference field="3" count="1">
            <x v="18"/>
          </reference>
        </references>
      </pivotArea>
    </format>
    <format dxfId="161">
      <pivotArea collapsedLevelsAreSubtotals="1" fieldPosition="0">
        <references count="1">
          <reference field="3" count="1">
            <x v="19"/>
          </reference>
        </references>
      </pivotArea>
    </format>
    <format dxfId="160">
      <pivotArea collapsedLevelsAreSubtotals="1" fieldPosition="0">
        <references count="1">
          <reference field="3" count="1">
            <x v="23"/>
          </reference>
        </references>
      </pivotArea>
    </format>
    <format dxfId="159">
      <pivotArea collapsedLevelsAreSubtotals="1" fieldPosition="0">
        <references count="1">
          <reference field="3" count="1">
            <x v="24"/>
          </reference>
        </references>
      </pivotArea>
    </format>
    <format dxfId="158">
      <pivotArea collapsedLevelsAreSubtotals="1" fieldPosition="0">
        <references count="1">
          <reference field="3" count="1">
            <x v="25"/>
          </reference>
        </references>
      </pivotArea>
    </format>
    <format dxfId="157">
      <pivotArea collapsedLevelsAreSubtotals="1" fieldPosition="0">
        <references count="1">
          <reference field="3" count="1">
            <x v="26"/>
          </reference>
        </references>
      </pivotArea>
    </format>
    <format dxfId="156">
      <pivotArea collapsedLevelsAreSubtotals="1" fieldPosition="0">
        <references count="1">
          <reference field="3" count="1">
            <x v="27"/>
          </reference>
        </references>
      </pivotArea>
    </format>
    <format dxfId="155">
      <pivotArea collapsedLevelsAreSubtotals="1" fieldPosition="0">
        <references count="1">
          <reference field="3" count="1">
            <x v="28"/>
          </reference>
        </references>
      </pivotArea>
    </format>
    <format dxfId="154">
      <pivotArea collapsedLevelsAreSubtotals="1" fieldPosition="0">
        <references count="1">
          <reference field="3" count="1">
            <x v="29"/>
          </reference>
        </references>
      </pivotArea>
    </format>
    <format dxfId="153">
      <pivotArea collapsedLevelsAreSubtotals="1" fieldPosition="0">
        <references count="1">
          <reference field="3" count="1">
            <x v="30"/>
          </reference>
        </references>
      </pivotArea>
    </format>
    <format dxfId="152">
      <pivotArea collapsedLevelsAreSubtotals="1" fieldPosition="0">
        <references count="1">
          <reference field="3" count="1">
            <x v="31"/>
          </reference>
        </references>
      </pivotArea>
    </format>
    <format dxfId="151">
      <pivotArea collapsedLevelsAreSubtotals="1" fieldPosition="0">
        <references count="1">
          <reference field="3" count="1">
            <x v="32"/>
          </reference>
        </references>
      </pivotArea>
    </format>
    <format dxfId="150">
      <pivotArea collapsedLevelsAreSubtotals="1" fieldPosition="0">
        <references count="1">
          <reference field="3" count="1">
            <x v="33"/>
          </reference>
        </references>
      </pivotArea>
    </format>
    <format dxfId="149">
      <pivotArea collapsedLevelsAreSubtotals="1" fieldPosition="0">
        <references count="1">
          <reference field="3" count="1">
            <x v="34"/>
          </reference>
        </references>
      </pivotArea>
    </format>
    <format dxfId="148">
      <pivotArea collapsedLevelsAreSubtotals="1" fieldPosition="0">
        <references count="1">
          <reference field="3" count="1">
            <x v="35"/>
          </reference>
        </references>
      </pivotArea>
    </format>
    <format dxfId="147">
      <pivotArea collapsedLevelsAreSubtotals="1" fieldPosition="0">
        <references count="1">
          <reference field="3" count="1">
            <x v="36"/>
          </reference>
        </references>
      </pivotArea>
    </format>
    <format dxfId="146">
      <pivotArea collapsedLevelsAreSubtotals="1" fieldPosition="0">
        <references count="1">
          <reference field="3" count="1">
            <x v="37"/>
          </reference>
        </references>
      </pivotArea>
    </format>
    <format dxfId="145">
      <pivotArea collapsedLevelsAreSubtotals="1" fieldPosition="0">
        <references count="1">
          <reference field="3" count="1">
            <x v="38"/>
          </reference>
        </references>
      </pivotArea>
    </format>
    <format dxfId="144">
      <pivotArea collapsedLevelsAreSubtotals="1" fieldPosition="0">
        <references count="1">
          <reference field="3" count="1">
            <x v="39"/>
          </reference>
        </references>
      </pivotArea>
    </format>
    <format dxfId="143">
      <pivotArea collapsedLevelsAreSubtotals="1" fieldPosition="0">
        <references count="1">
          <reference field="3" count="1">
            <x v="40"/>
          </reference>
        </references>
      </pivotArea>
    </format>
    <format dxfId="142">
      <pivotArea collapsedLevelsAreSubtotals="1" fieldPosition="0">
        <references count="1">
          <reference field="3" count="1">
            <x v="41"/>
          </reference>
        </references>
      </pivotArea>
    </format>
    <format dxfId="141">
      <pivotArea collapsedLevelsAreSubtotals="1" fieldPosition="0">
        <references count="1">
          <reference field="3" count="1">
            <x v="42"/>
          </reference>
        </references>
      </pivotArea>
    </format>
    <format dxfId="140">
      <pivotArea collapsedLevelsAreSubtotals="1" fieldPosition="0">
        <references count="1">
          <reference field="3" count="1">
            <x v="43"/>
          </reference>
        </references>
      </pivotArea>
    </format>
    <format dxfId="139">
      <pivotArea collapsedLevelsAreSubtotals="1" fieldPosition="0">
        <references count="1">
          <reference field="3" count="1">
            <x v="44"/>
          </reference>
        </references>
      </pivotArea>
    </format>
    <format dxfId="138">
      <pivotArea collapsedLevelsAreSubtotals="1" fieldPosition="0">
        <references count="1">
          <reference field="3" count="1">
            <x v="45"/>
          </reference>
        </references>
      </pivotArea>
    </format>
    <format dxfId="137">
      <pivotArea collapsedLevelsAreSubtotals="1" fieldPosition="0">
        <references count="1">
          <reference field="3" count="1">
            <x v="46"/>
          </reference>
        </references>
      </pivotArea>
    </format>
    <format dxfId="136">
      <pivotArea collapsedLevelsAreSubtotals="1" fieldPosition="0">
        <references count="1">
          <reference field="3" count="1">
            <x v="47"/>
          </reference>
        </references>
      </pivotArea>
    </format>
    <format dxfId="135">
      <pivotArea collapsedLevelsAreSubtotals="1" fieldPosition="0">
        <references count="1">
          <reference field="3" count="1">
            <x v="48"/>
          </reference>
        </references>
      </pivotArea>
    </format>
    <format dxfId="134">
      <pivotArea collapsedLevelsAreSubtotals="1" fieldPosition="0">
        <references count="1">
          <reference field="3" count="1">
            <x v="49"/>
          </reference>
        </references>
      </pivotArea>
    </format>
    <format dxfId="133">
      <pivotArea collapsedLevelsAreSubtotals="1" fieldPosition="0">
        <references count="1">
          <reference field="3" count="1">
            <x v="50"/>
          </reference>
        </references>
      </pivotArea>
    </format>
    <format dxfId="132">
      <pivotArea collapsedLevelsAreSubtotals="1" fieldPosition="0">
        <references count="1">
          <reference field="3" count="1">
            <x v="51"/>
          </reference>
        </references>
      </pivotArea>
    </format>
    <format dxfId="131">
      <pivotArea collapsedLevelsAreSubtotals="1" fieldPosition="0">
        <references count="1">
          <reference field="3" count="1">
            <x v="52"/>
          </reference>
        </references>
      </pivotArea>
    </format>
    <format dxfId="130">
      <pivotArea collapsedLevelsAreSubtotals="1" fieldPosition="0">
        <references count="1">
          <reference field="3" count="1">
            <x v="53"/>
          </reference>
        </references>
      </pivotArea>
    </format>
    <format dxfId="129">
      <pivotArea collapsedLevelsAreSubtotals="1" fieldPosition="0">
        <references count="1">
          <reference field="3" count="2">
            <x v="54"/>
            <x v="55"/>
          </reference>
        </references>
      </pivotArea>
    </format>
    <format dxfId="128">
      <pivotArea collapsedLevelsAreSubtotals="1" fieldPosition="0">
        <references count="1">
          <reference field="3" count="2">
            <x v="56"/>
            <x v="57"/>
          </reference>
        </references>
      </pivotArea>
    </format>
    <format dxfId="127">
      <pivotArea collapsedLevelsAreSubtotals="1" fieldPosition="0">
        <references count="1">
          <reference field="3" count="1">
            <x v="58"/>
          </reference>
        </references>
      </pivotArea>
    </format>
    <format dxfId="126">
      <pivotArea collapsedLevelsAreSubtotals="1" fieldPosition="0">
        <references count="1">
          <reference field="3" count="1">
            <x v="59"/>
          </reference>
        </references>
      </pivotArea>
    </format>
    <format dxfId="125">
      <pivotArea collapsedLevelsAreSubtotals="1" fieldPosition="0">
        <references count="1">
          <reference field="3" count="1">
            <x v="60"/>
          </reference>
        </references>
      </pivotArea>
    </format>
    <format dxfId="124">
      <pivotArea collapsedLevelsAreSubtotals="1" fieldPosition="0">
        <references count="1">
          <reference field="3" count="1">
            <x v="61"/>
          </reference>
        </references>
      </pivotArea>
    </format>
    <format dxfId="123">
      <pivotArea collapsedLevelsAreSubtotals="1" fieldPosition="0">
        <references count="1">
          <reference field="3" count="1">
            <x v="62"/>
          </reference>
        </references>
      </pivotArea>
    </format>
    <format dxfId="122">
      <pivotArea collapsedLevelsAreSubtotals="1" fieldPosition="0">
        <references count="1">
          <reference field="3" count="1">
            <x v="63"/>
          </reference>
        </references>
      </pivotArea>
    </format>
    <format dxfId="121">
      <pivotArea collapsedLevelsAreSubtotals="1" fieldPosition="0">
        <references count="1">
          <reference field="3" count="1">
            <x v="64"/>
          </reference>
        </references>
      </pivotArea>
    </format>
    <format dxfId="120">
      <pivotArea collapsedLevelsAreSubtotals="1" fieldPosition="0">
        <references count="1">
          <reference field="3" count="2">
            <x v="65"/>
            <x v="66"/>
          </reference>
        </references>
      </pivotArea>
    </format>
    <format dxfId="119">
      <pivotArea collapsedLevelsAreSubtotals="1" fieldPosition="0">
        <references count="1">
          <reference field="3" count="1">
            <x v="67"/>
          </reference>
        </references>
      </pivotArea>
    </format>
    <format dxfId="118">
      <pivotArea collapsedLevelsAreSubtotals="1" fieldPosition="0">
        <references count="1">
          <reference field="3" count="1">
            <x v="68"/>
          </reference>
        </references>
      </pivotArea>
    </format>
    <format dxfId="117">
      <pivotArea collapsedLevelsAreSubtotals="1" fieldPosition="0">
        <references count="1">
          <reference field="3" count="1">
            <x v="69"/>
          </reference>
        </references>
      </pivotArea>
    </format>
    <format dxfId="116">
      <pivotArea collapsedLevelsAreSubtotals="1" fieldPosition="0">
        <references count="1">
          <reference field="3" count="1">
            <x v="70"/>
          </reference>
        </references>
      </pivotArea>
    </format>
    <format dxfId="115">
      <pivotArea collapsedLevelsAreSubtotals="1" fieldPosition="0">
        <references count="1">
          <reference field="3" count="1">
            <x v="71"/>
          </reference>
        </references>
      </pivotArea>
    </format>
    <format dxfId="114">
      <pivotArea collapsedLevelsAreSubtotals="1" fieldPosition="0">
        <references count="1">
          <reference field="3" count="1">
            <x v="72"/>
          </reference>
        </references>
      </pivotArea>
    </format>
    <format dxfId="113">
      <pivotArea collapsedLevelsAreSubtotals="1" fieldPosition="0">
        <references count="1">
          <reference field="3" count="1">
            <x v="73"/>
          </reference>
        </references>
      </pivotArea>
    </format>
    <format dxfId="112">
      <pivotArea collapsedLevelsAreSubtotals="1" fieldPosition="0">
        <references count="1">
          <reference field="3" count="1">
            <x v="74"/>
          </reference>
        </references>
      </pivotArea>
    </format>
    <format dxfId="111">
      <pivotArea collapsedLevelsAreSubtotals="1" fieldPosition="0">
        <references count="1">
          <reference field="3" count="1">
            <x v="75"/>
          </reference>
        </references>
      </pivotArea>
    </format>
    <format dxfId="110">
      <pivotArea collapsedLevelsAreSubtotals="1" fieldPosition="0">
        <references count="1">
          <reference field="3" count="1">
            <x v="76"/>
          </reference>
        </references>
      </pivotArea>
    </format>
    <format dxfId="109">
      <pivotArea collapsedLevelsAreSubtotals="1" fieldPosition="0">
        <references count="1">
          <reference field="3" count="1">
            <x v="77"/>
          </reference>
        </references>
      </pivotArea>
    </format>
    <format dxfId="108">
      <pivotArea collapsedLevelsAreSubtotals="1" fieldPosition="0">
        <references count="1">
          <reference field="3" count="1">
            <x v="78"/>
          </reference>
        </references>
      </pivotArea>
    </format>
    <format dxfId="107">
      <pivotArea collapsedLevelsAreSubtotals="1" fieldPosition="0">
        <references count="1">
          <reference field="3" count="1">
            <x v="79"/>
          </reference>
        </references>
      </pivotArea>
    </format>
    <format dxfId="106">
      <pivotArea collapsedLevelsAreSubtotals="1" fieldPosition="0">
        <references count="1">
          <reference field="3" count="1">
            <x v="80"/>
          </reference>
        </references>
      </pivotArea>
    </format>
    <format dxfId="105">
      <pivotArea collapsedLevelsAreSubtotals="1" fieldPosition="0">
        <references count="1">
          <reference field="3" count="1">
            <x v="81"/>
          </reference>
        </references>
      </pivotArea>
    </format>
    <format dxfId="104">
      <pivotArea collapsedLevelsAreSubtotals="1" fieldPosition="0">
        <references count="1">
          <reference field="3" count="1">
            <x v="82"/>
          </reference>
        </references>
      </pivotArea>
    </format>
    <format dxfId="103">
      <pivotArea collapsedLevelsAreSubtotals="1" fieldPosition="0">
        <references count="1">
          <reference field="3" count="1">
            <x v="83"/>
          </reference>
        </references>
      </pivotArea>
    </format>
    <format dxfId="102">
      <pivotArea collapsedLevelsAreSubtotals="1" fieldPosition="0">
        <references count="1">
          <reference field="3" count="2">
            <x v="84"/>
            <x v="85"/>
          </reference>
        </references>
      </pivotArea>
    </format>
    <format dxfId="101">
      <pivotArea collapsedLevelsAreSubtotals="1" fieldPosition="0">
        <references count="1">
          <reference field="3" count="1">
            <x v="86"/>
          </reference>
        </references>
      </pivotArea>
    </format>
    <format dxfId="100">
      <pivotArea collapsedLevelsAreSubtotals="1" fieldPosition="0">
        <references count="1">
          <reference field="3" count="1">
            <x v="87"/>
          </reference>
        </references>
      </pivotArea>
    </format>
    <format dxfId="99">
      <pivotArea collapsedLevelsAreSubtotals="1" fieldPosition="0">
        <references count="1">
          <reference field="3" count="1">
            <x v="88"/>
          </reference>
        </references>
      </pivotArea>
    </format>
    <format dxfId="98">
      <pivotArea collapsedLevelsAreSubtotals="1" fieldPosition="0">
        <references count="1">
          <reference field="3" count="1">
            <x v="89"/>
          </reference>
        </references>
      </pivotArea>
    </format>
    <format dxfId="97">
      <pivotArea collapsedLevelsAreSubtotals="1" fieldPosition="0">
        <references count="1">
          <reference field="3" count="1">
            <x v="90"/>
          </reference>
        </references>
      </pivotArea>
    </format>
    <format dxfId="96">
      <pivotArea collapsedLevelsAreSubtotals="1" fieldPosition="0">
        <references count="1">
          <reference field="3" count="1">
            <x v="91"/>
          </reference>
        </references>
      </pivotArea>
    </format>
    <format dxfId="95">
      <pivotArea collapsedLevelsAreSubtotals="1" fieldPosition="0">
        <references count="1">
          <reference field="3" count="1">
            <x v="92"/>
          </reference>
        </references>
      </pivotArea>
    </format>
    <format dxfId="94">
      <pivotArea collapsedLevelsAreSubtotals="1" fieldPosition="0">
        <references count="1">
          <reference field="3" count="1">
            <x v="93"/>
          </reference>
        </references>
      </pivotArea>
    </format>
    <format dxfId="93">
      <pivotArea collapsedLevelsAreSubtotals="1" fieldPosition="0">
        <references count="1">
          <reference field="3" count="1">
            <x v="94"/>
          </reference>
        </references>
      </pivotArea>
    </format>
    <format dxfId="92">
      <pivotArea collapsedLevelsAreSubtotals="1" fieldPosition="0">
        <references count="1">
          <reference field="3" count="1">
            <x v="95"/>
          </reference>
        </references>
      </pivotArea>
    </format>
    <format dxfId="91">
      <pivotArea collapsedLevelsAreSubtotals="1" fieldPosition="0">
        <references count="1">
          <reference field="3" count="1">
            <x v="96"/>
          </reference>
        </references>
      </pivotArea>
    </format>
    <format dxfId="90">
      <pivotArea collapsedLevelsAreSubtotals="1" fieldPosition="0">
        <references count="1">
          <reference field="3" count="2">
            <x v="97"/>
            <x v="98"/>
          </reference>
        </references>
      </pivotArea>
    </format>
    <format dxfId="89">
      <pivotArea collapsedLevelsAreSubtotals="1" fieldPosition="0">
        <references count="1">
          <reference field="3" count="1">
            <x v="99"/>
          </reference>
        </references>
      </pivotArea>
    </format>
    <format dxfId="88">
      <pivotArea collapsedLevelsAreSubtotals="1" fieldPosition="0">
        <references count="1">
          <reference field="3" count="1">
            <x v="100"/>
          </reference>
        </references>
      </pivotArea>
    </format>
    <format dxfId="87">
      <pivotArea collapsedLevelsAreSubtotals="1" fieldPosition="0">
        <references count="1">
          <reference field="3" count="1">
            <x v="101"/>
          </reference>
        </references>
      </pivotArea>
    </format>
    <format dxfId="86">
      <pivotArea collapsedLevelsAreSubtotals="1" fieldPosition="0">
        <references count="1">
          <reference field="3" count="2">
            <x v="102"/>
            <x v="103"/>
          </reference>
        </references>
      </pivotArea>
    </format>
    <format dxfId="85">
      <pivotArea collapsedLevelsAreSubtotals="1" fieldPosition="0">
        <references count="1">
          <reference field="3" count="1">
            <x v="104"/>
          </reference>
        </references>
      </pivotArea>
    </format>
    <format dxfId="84">
      <pivotArea collapsedLevelsAreSubtotals="1" fieldPosition="0">
        <references count="1">
          <reference field="3" count="1">
            <x v="105"/>
          </reference>
        </references>
      </pivotArea>
    </format>
    <format dxfId="83">
      <pivotArea collapsedLevelsAreSubtotals="1" fieldPosition="0">
        <references count="1">
          <reference field="3" count="1">
            <x v="106"/>
          </reference>
        </references>
      </pivotArea>
    </format>
    <format dxfId="82">
      <pivotArea collapsedLevelsAreSubtotals="1" fieldPosition="0">
        <references count="1">
          <reference field="3" count="1">
            <x v="107"/>
          </reference>
        </references>
      </pivotArea>
    </format>
    <format dxfId="81">
      <pivotArea collapsedLevelsAreSubtotals="1" fieldPosition="0">
        <references count="1">
          <reference field="3" count="1">
            <x v="108"/>
          </reference>
        </references>
      </pivotArea>
    </format>
    <format dxfId="80">
      <pivotArea collapsedLevelsAreSubtotals="1" fieldPosition="0">
        <references count="1">
          <reference field="3" count="1">
            <x v="109"/>
          </reference>
        </references>
      </pivotArea>
    </format>
    <format dxfId="79">
      <pivotArea collapsedLevelsAreSubtotals="1" fieldPosition="0">
        <references count="1">
          <reference field="3" count="1">
            <x v="110"/>
          </reference>
        </references>
      </pivotArea>
    </format>
    <format dxfId="78">
      <pivotArea collapsedLevelsAreSubtotals="1" fieldPosition="0">
        <references count="1">
          <reference field="3" count="1">
            <x v="111"/>
          </reference>
        </references>
      </pivotArea>
    </format>
    <format dxfId="77">
      <pivotArea collapsedLevelsAreSubtotals="1" fieldPosition="0">
        <references count="1">
          <reference field="3" count="1">
            <x v="112"/>
          </reference>
        </references>
      </pivotArea>
    </format>
    <format dxfId="76">
      <pivotArea collapsedLevelsAreSubtotals="1" fieldPosition="0">
        <references count="1">
          <reference field="3" count="1">
            <x v="113"/>
          </reference>
        </references>
      </pivotArea>
    </format>
    <format dxfId="75">
      <pivotArea collapsedLevelsAreSubtotals="1" fieldPosition="0">
        <references count="1">
          <reference field="3" count="1">
            <x v="114"/>
          </reference>
        </references>
      </pivotArea>
    </format>
    <format dxfId="74">
      <pivotArea collapsedLevelsAreSubtotals="1" fieldPosition="0">
        <references count="1">
          <reference field="3" count="1">
            <x v="115"/>
          </reference>
        </references>
      </pivotArea>
    </format>
    <format dxfId="73">
      <pivotArea collapsedLevelsAreSubtotals="1" fieldPosition="0">
        <references count="1">
          <reference field="3" count="1">
            <x v="116"/>
          </reference>
        </references>
      </pivotArea>
    </format>
    <format dxfId="72">
      <pivotArea collapsedLevelsAreSubtotals="1" fieldPosition="0">
        <references count="1">
          <reference field="3" count="1">
            <x v="117"/>
          </reference>
        </references>
      </pivotArea>
    </format>
    <format dxfId="71">
      <pivotArea collapsedLevelsAreSubtotals="1" fieldPosition="0">
        <references count="1">
          <reference field="3" count="5">
            <x v="118"/>
            <x v="119"/>
            <x v="120"/>
            <x v="121"/>
            <x v="122"/>
          </reference>
        </references>
      </pivotArea>
    </format>
    <format dxfId="70">
      <pivotArea collapsedLevelsAreSubtotals="1" fieldPosition="0">
        <references count="1">
          <reference field="3" count="1">
            <x v="123"/>
          </reference>
        </references>
      </pivotArea>
    </format>
    <format dxfId="69">
      <pivotArea collapsedLevelsAreSubtotals="1" fieldPosition="0">
        <references count="1">
          <reference field="3" count="1">
            <x v="124"/>
          </reference>
        </references>
      </pivotArea>
    </format>
    <format dxfId="68">
      <pivotArea collapsedLevelsAreSubtotals="1" fieldPosition="0">
        <references count="1">
          <reference field="3" count="2">
            <x v="125"/>
            <x v="126"/>
          </reference>
        </references>
      </pivotArea>
    </format>
    <format dxfId="67">
      <pivotArea collapsedLevelsAreSubtotals="1" fieldPosition="0">
        <references count="1">
          <reference field="3" count="1">
            <x v="127"/>
          </reference>
        </references>
      </pivotArea>
    </format>
    <format dxfId="66">
      <pivotArea collapsedLevelsAreSubtotals="1" fieldPosition="0">
        <references count="1">
          <reference field="3" count="1">
            <x v="128"/>
          </reference>
        </references>
      </pivotArea>
    </format>
    <format dxfId="65">
      <pivotArea collapsedLevelsAreSubtotals="1" fieldPosition="0">
        <references count="1">
          <reference field="3" count="1">
            <x v="129"/>
          </reference>
        </references>
      </pivotArea>
    </format>
    <format dxfId="64">
      <pivotArea collapsedLevelsAreSubtotals="1" fieldPosition="0">
        <references count="1">
          <reference field="3" count="1">
            <x v="130"/>
          </reference>
        </references>
      </pivotArea>
    </format>
    <format dxfId="63">
      <pivotArea collapsedLevelsAreSubtotals="1" fieldPosition="0">
        <references count="1">
          <reference field="3" count="1">
            <x v="131"/>
          </reference>
        </references>
      </pivotArea>
    </format>
    <format dxfId="62">
      <pivotArea collapsedLevelsAreSubtotals="1" fieldPosition="0">
        <references count="1">
          <reference field="3" count="1">
            <x v="132"/>
          </reference>
        </references>
      </pivotArea>
    </format>
    <format dxfId="61">
      <pivotArea collapsedLevelsAreSubtotals="1" fieldPosition="0">
        <references count="1">
          <reference field="3" count="1">
            <x v="133"/>
          </reference>
        </references>
      </pivotArea>
    </format>
    <format dxfId="60">
      <pivotArea collapsedLevelsAreSubtotals="1" fieldPosition="0">
        <references count="1">
          <reference field="3" count="1">
            <x v="134"/>
          </reference>
        </references>
      </pivotArea>
    </format>
    <format dxfId="59">
      <pivotArea collapsedLevelsAreSubtotals="1" fieldPosition="0">
        <references count="1">
          <reference field="3" count="1">
            <x v="135"/>
          </reference>
        </references>
      </pivotArea>
    </format>
    <format dxfId="58">
      <pivotArea collapsedLevelsAreSubtotals="1" fieldPosition="0">
        <references count="1">
          <reference field="3" count="1">
            <x v="136"/>
          </reference>
        </references>
      </pivotArea>
    </format>
    <format dxfId="57">
      <pivotArea collapsedLevelsAreSubtotals="1" fieldPosition="0">
        <references count="1">
          <reference field="3" count="1">
            <x v="137"/>
          </reference>
        </references>
      </pivotArea>
    </format>
    <format dxfId="56">
      <pivotArea collapsedLevelsAreSubtotals="1" fieldPosition="0">
        <references count="1">
          <reference field="3" count="1">
            <x v="138"/>
          </reference>
        </references>
      </pivotArea>
    </format>
    <format dxfId="55">
      <pivotArea collapsedLevelsAreSubtotals="1" fieldPosition="0">
        <references count="1">
          <reference field="3" count="1">
            <x v="139"/>
          </reference>
        </references>
      </pivotArea>
    </format>
    <format dxfId="54">
      <pivotArea collapsedLevelsAreSubtotals="1" fieldPosition="0">
        <references count="1">
          <reference field="3" count="1">
            <x v="140"/>
          </reference>
        </references>
      </pivotArea>
    </format>
    <format dxfId="53">
      <pivotArea collapsedLevelsAreSubtotals="1" fieldPosition="0">
        <references count="1">
          <reference field="3" count="1">
            <x v="141"/>
          </reference>
        </references>
      </pivotArea>
    </format>
    <format dxfId="52">
      <pivotArea collapsedLevelsAreSubtotals="1" fieldPosition="0">
        <references count="1">
          <reference field="3" count="1">
            <x v="142"/>
          </reference>
        </references>
      </pivotArea>
    </format>
    <format dxfId="51">
      <pivotArea collapsedLevelsAreSubtotals="1" fieldPosition="0">
        <references count="1">
          <reference field="3" count="1">
            <x v="143"/>
          </reference>
        </references>
      </pivotArea>
    </format>
    <format dxfId="50">
      <pivotArea collapsedLevelsAreSubtotals="1" fieldPosition="0">
        <references count="1">
          <reference field="3" count="1">
            <x v="144"/>
          </reference>
        </references>
      </pivotArea>
    </format>
    <format dxfId="49">
      <pivotArea collapsedLevelsAreSubtotals="1" fieldPosition="0">
        <references count="1">
          <reference field="3" count="1">
            <x v="145"/>
          </reference>
        </references>
      </pivotArea>
    </format>
    <format dxfId="48">
      <pivotArea collapsedLevelsAreSubtotals="1" fieldPosition="0">
        <references count="1">
          <reference field="3" count="1">
            <x v="146"/>
          </reference>
        </references>
      </pivotArea>
    </format>
    <format dxfId="47">
      <pivotArea collapsedLevelsAreSubtotals="1" fieldPosition="0">
        <references count="1">
          <reference field="3" count="1">
            <x v="147"/>
          </reference>
        </references>
      </pivotArea>
    </format>
    <format dxfId="46">
      <pivotArea collapsedLevelsAreSubtotals="1" fieldPosition="0">
        <references count="1">
          <reference field="3" count="1">
            <x v="148"/>
          </reference>
        </references>
      </pivotArea>
    </format>
    <format dxfId="45">
      <pivotArea collapsedLevelsAreSubtotals="1" fieldPosition="0">
        <references count="1">
          <reference field="3" count="1">
            <x v="149"/>
          </reference>
        </references>
      </pivotArea>
    </format>
    <format dxfId="44">
      <pivotArea collapsedLevelsAreSubtotals="1" fieldPosition="0">
        <references count="1">
          <reference field="3" count="1">
            <x v="150"/>
          </reference>
        </references>
      </pivotArea>
    </format>
    <format dxfId="43">
      <pivotArea collapsedLevelsAreSubtotals="1" fieldPosition="0">
        <references count="1">
          <reference field="3" count="1">
            <x v="151"/>
          </reference>
        </references>
      </pivotArea>
    </format>
    <format dxfId="42">
      <pivotArea collapsedLevelsAreSubtotals="1" fieldPosition="0">
        <references count="1">
          <reference field="3" count="1">
            <x v="152"/>
          </reference>
        </references>
      </pivotArea>
    </format>
    <format dxfId="41">
      <pivotArea collapsedLevelsAreSubtotals="1" fieldPosition="0">
        <references count="1">
          <reference field="3" count="1">
            <x v="153"/>
          </reference>
        </references>
      </pivotArea>
    </format>
    <format dxfId="40">
      <pivotArea collapsedLevelsAreSubtotals="1" fieldPosition="0">
        <references count="1">
          <reference field="3" count="1">
            <x v="154"/>
          </reference>
        </references>
      </pivotArea>
    </format>
    <format dxfId="39">
      <pivotArea collapsedLevelsAreSubtotals="1" fieldPosition="0">
        <references count="1">
          <reference field="3" count="2">
            <x v="155"/>
            <x v="156"/>
          </reference>
        </references>
      </pivotArea>
    </format>
    <format dxfId="38">
      <pivotArea collapsedLevelsAreSubtotals="1" fieldPosition="0">
        <references count="1">
          <reference field="3" count="1">
            <x v="157"/>
          </reference>
        </references>
      </pivotArea>
    </format>
    <format dxfId="37">
      <pivotArea collapsedLevelsAreSubtotals="1" fieldPosition="0">
        <references count="1">
          <reference field="3" count="1">
            <x v="158"/>
          </reference>
        </references>
      </pivotArea>
    </format>
    <format dxfId="36">
      <pivotArea collapsedLevelsAreSubtotals="1" fieldPosition="0">
        <references count="1">
          <reference field="3" count="1">
            <x v="159"/>
          </reference>
        </references>
      </pivotArea>
    </format>
    <format dxfId="35">
      <pivotArea collapsedLevelsAreSubtotals="1" fieldPosition="0">
        <references count="1">
          <reference field="3" count="1">
            <x v="160"/>
          </reference>
        </references>
      </pivotArea>
    </format>
    <format dxfId="34">
      <pivotArea collapsedLevelsAreSubtotals="1" fieldPosition="0">
        <references count="1">
          <reference field="3" count="1">
            <x v="161"/>
          </reference>
        </references>
      </pivotArea>
    </format>
    <format dxfId="33">
      <pivotArea collapsedLevelsAreSubtotals="1" fieldPosition="0">
        <references count="1">
          <reference field="3" count="1">
            <x v="162"/>
          </reference>
        </references>
      </pivotArea>
    </format>
    <format dxfId="32">
      <pivotArea collapsedLevelsAreSubtotals="1" fieldPosition="0">
        <references count="1">
          <reference field="3" count="1">
            <x v="163"/>
          </reference>
        </references>
      </pivotArea>
    </format>
    <format dxfId="31">
      <pivotArea collapsedLevelsAreSubtotals="1" fieldPosition="0">
        <references count="1">
          <reference field="3" count="2">
            <x v="164"/>
            <x v="165"/>
          </reference>
        </references>
      </pivotArea>
    </format>
    <format dxfId="30">
      <pivotArea collapsedLevelsAreSubtotals="1" fieldPosition="0">
        <references count="1">
          <reference field="3" count="1">
            <x v="166"/>
          </reference>
        </references>
      </pivotArea>
    </format>
    <format dxfId="29">
      <pivotArea collapsedLevelsAreSubtotals="1" fieldPosition="0">
        <references count="1">
          <reference field="3" count="1">
            <x v="167"/>
          </reference>
        </references>
      </pivotArea>
    </format>
    <format dxfId="28">
      <pivotArea collapsedLevelsAreSubtotals="1" fieldPosition="0">
        <references count="1">
          <reference field="3" count="1">
            <x v="168"/>
          </reference>
        </references>
      </pivotArea>
    </format>
    <format dxfId="27">
      <pivotArea collapsedLevelsAreSubtotals="1" fieldPosition="0">
        <references count="1">
          <reference field="3" count="1">
            <x v="169"/>
          </reference>
        </references>
      </pivotArea>
    </format>
    <format dxfId="26">
      <pivotArea collapsedLevelsAreSubtotals="1" fieldPosition="0">
        <references count="1">
          <reference field="3" count="1">
            <x v="170"/>
          </reference>
        </references>
      </pivotArea>
    </format>
    <format dxfId="2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3" type="dateNewerThan" evalOrder="-1" id="21">
      <autoFilter ref="A1">
        <filterColumn colId="0">
          <customFilters>
            <customFilter operator="greaterThan" val="4456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3CC13D-F7F4-4C3D-9138-5288C5B35819}" name="PivotTable1" cacheId="7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6" indent="0" outline="1" outlineData="1" multipleFieldFilters="0" rowHeaderCaption=" ">
  <location ref="I60:J64" firstHeaderRow="1" firstDataRow="1" firstDataCol="1"/>
  <pivotFields count="20"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77" showAll="0"/>
    <pivotField showAll="0"/>
    <pivotField showAll="0"/>
    <pivotField showAll="0"/>
    <pivotField showAll="0"/>
    <pivotField numFmtId="177" showAll="0"/>
    <pivotField showAll="0"/>
    <pivotField dataField="1" showAll="0"/>
    <pivotField axis="axisRow" showAll="0">
      <items count="5">
        <item x="0"/>
        <item x="3"/>
        <item x="1"/>
        <item x="2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">
        <item x="1"/>
        <item x="0"/>
        <item x="2"/>
        <item t="default"/>
      </items>
    </pivotField>
  </pivotFields>
  <rowFields count="1">
    <field x="17"/>
  </rowFields>
  <rowItems count="4">
    <i>
      <x/>
    </i>
    <i>
      <x v="1"/>
    </i>
    <i>
      <x v="2"/>
    </i>
    <i>
      <x v="3"/>
    </i>
  </rowItems>
  <colItems count="1">
    <i/>
  </colItems>
  <dataFields count="1">
    <dataField name="Sum of Total Cash-out Euro" fld="16" baseField="0" baseItem="1" numFmtId="2"/>
  </dataFields>
  <formats count="1">
    <format dxfId="18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0" type="dateNewerThan" evalOrder="-1" id="1">
      <autoFilter ref="A1">
        <filterColumn colId="0">
          <customFilters>
            <customFilter operator="greaterThan" val="4419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F218F6-05C2-4BDE-A8AD-53701F26751D}" name="Tabella pivot21" cacheId="3" applyNumberFormats="0" applyBorderFormats="0" applyFontFormats="0" applyPatternFormats="0" applyAlignmentFormats="0" applyWidthHeightFormats="1" dataCaption="Valori" updatedVersion="6" minRefreshableVersion="3" useAutoFormatting="1" rowGrandTotals="0" itemPrintTitles="1" createdVersion="6" indent="0" outline="1" outlineData="1" multipleFieldFilters="0">
  <location ref="AI121:AK138" firstHeaderRow="1" firstDataRow="1" firstDataCol="0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formats count="1">
    <format dxfId="182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4B9961-2E52-41C0-8AFA-F27A8AFA3B72}" name="Tabella pivot13" cacheId="2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I92:AK109" firstHeaderRow="1" firstDataRow="1" firstDataCol="0"/>
  <pivotFields count="20"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formats count="1">
    <format dxfId="183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0B950C-5BD0-4700-AFB4-010781411B55}" name="Tabella pivot2" cacheId="6" applyNumberFormats="0" applyBorderFormats="0" applyFontFormats="0" applyPatternFormats="0" applyAlignmentFormats="0" applyWidthHeightFormats="1" dataCaption="Valori" updatedVersion="7" minRefreshableVersion="3" useAutoFormatting="1" rowGrandTotals="0" itemPrintTitles="1" createdVersion="6" indent="0" outline="1" outlineData="1" multipleFieldFilters="0">
  <location ref="B60:C65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14"/>
        <item x="38"/>
        <item x="39"/>
        <item x="41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80"/>
        <item x="79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n="04/07/2021" x="187"/>
        <item x="189"/>
        <item x="190"/>
        <item x="188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18"/>
        <item m="1" x="219"/>
        <item x="217"/>
        <item x="216"/>
        <item t="default"/>
      </items>
    </pivotField>
  </pivotFields>
  <rowFields count="1">
    <field x="19"/>
  </rowFields>
  <rowItems count="5">
    <i>
      <x v="213"/>
    </i>
    <i>
      <x v="214"/>
    </i>
    <i>
      <x v="215"/>
    </i>
    <i>
      <x v="218"/>
    </i>
    <i>
      <x v="219"/>
    </i>
  </rowItems>
  <colItems count="1">
    <i/>
  </colItems>
  <dataFields count="1">
    <dataField name="Somma di Total Cash-out Euro" fld="18" baseField="0" baseItem="0" numFmtId="176"/>
  </dataFields>
  <formats count="2">
    <format dxfId="185">
      <pivotArea dataOnly="0" labelOnly="1" outline="0" axis="axisValues" fieldPosition="0"/>
    </format>
    <format dxfId="18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9" type="dateNewerThan" evalOrder="-1" id="64">
      <autoFilter ref="A1">
        <filterColumn colId="0">
          <customFilters>
            <customFilter operator="greaterThan" val="4453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D8F28C-7EED-467A-B6A8-49C8A1FA54B4}" name="Tabella pivot25" cacheId="4" applyNumberFormats="0" applyBorderFormats="0" applyFontFormats="0" applyPatternFormats="0" applyAlignmentFormats="0" applyWidthHeightFormats="1" dataCaption="Valori" updatedVersion="6" minRefreshableVersion="3" useAutoFormatting="1" rowGrandTotals="0" itemPrintTitles="1" createdVersion="6" indent="0" outline="1" outlineData="1" multipleFieldFilters="0">
  <location ref="DB141:DD158" firstHeaderRow="1" firstDataRow="1" firstDataCol="0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D4D5B2-C082-480C-901B-93DC5BAF6962}" name="Tabella pivot16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>
  <location ref="AP94:AX107" firstHeaderRow="1" firstDataRow="2" firstDataCol="1"/>
  <pivotFields count="23">
    <pivotField numFmtId="14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1"/>
        <item x="9"/>
        <item x="5"/>
        <item x="6"/>
        <item x="2"/>
        <item x="4"/>
        <item x="0"/>
        <item x="3"/>
        <item x="10"/>
        <item x="7"/>
        <item x="8"/>
        <item t="default"/>
      </items>
    </pivotField>
    <pivotField numFmtId="2" showAll="0"/>
    <pivotField showAll="0"/>
    <pivotField showAll="0"/>
    <pivotField numFmtId="172" showAll="0"/>
    <pivotField showAll="0"/>
    <pivotField showAll="0"/>
    <pivotField showAll="0"/>
    <pivotField dataField="1" showAll="0"/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9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ma di Total Cash-out Local" fld="16" baseField="0" baseItem="0" numFmtId="2"/>
  </dataFields>
  <formats count="10">
    <format dxfId="195">
      <pivotArea outline="0" collapsedLevelsAreSubtotals="1" fieldPosition="0"/>
    </format>
    <format dxfId="194">
      <pivotArea outline="0" collapsedLevelsAreSubtotals="1" fieldPosition="0">
        <references count="1">
          <reference field="19" count="1" selected="0" defaultSubtotal="1">
            <x v="6"/>
          </reference>
        </references>
      </pivotArea>
    </format>
    <format dxfId="193">
      <pivotArea grandCol="1" outline="0" collapsedLevelsAreSubtotals="1" fieldPosition="0"/>
    </format>
    <format dxfId="192">
      <pivotArea type="topRight" dataOnly="0" labelOnly="1" outline="0" fieldPosition="0"/>
    </format>
    <format dxfId="191">
      <pivotArea outline="0" collapsedLevelsAreSubtotals="1" fieldPosition="0">
        <references count="1">
          <reference field="19" count="1" selected="0" defaultSubtotal="1">
            <x v="6"/>
          </reference>
        </references>
      </pivotArea>
    </format>
    <format dxfId="190">
      <pivotArea grandCol="1" outline="0" collapsedLevelsAreSubtotals="1" fieldPosition="0"/>
    </format>
    <format dxfId="189">
      <pivotArea type="origin" dataOnly="0" labelOnly="1" outline="0" fieldPosition="0"/>
    </format>
    <format dxfId="188">
      <pivotArea field="8" type="button" dataOnly="0" labelOnly="1" outline="0" axis="axisRow" fieldPosition="0"/>
    </format>
    <format dxfId="187">
      <pivotArea dataOnly="0" labelOnly="1" fieldPosition="0">
        <references count="1">
          <reference field="8" count="0"/>
        </references>
      </pivotArea>
    </format>
    <format dxfId="186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60E187-1C33-4814-8BF9-568A60928183}" name="Tabella pivot12" cacheId="2" applyNumberFormats="0" applyBorderFormats="0" applyFontFormats="0" applyPatternFormats="0" applyAlignmentFormats="0" applyWidthHeightFormats="1" dataCaption="Valori" missingCaption="0" updatedVersion="6" minRefreshableVersion="3" useAutoFormatting="1" itemPrintTitles="1" createdVersion="6" indent="0" outline="1" outlineData="1" multipleFieldFilters="0">
  <location ref="CR94:CT111" firstHeaderRow="1" firstDataRow="1" firstDataCol="0"/>
  <pivotFields count="20"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A9232-D3F9-49F6-9A3B-6AB64FCDA93F}" name="PivotTable1" cacheId="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H13:AI33" firstHeaderRow="1" firstDataRow="1" firstDataCol="1"/>
  <pivotFields count="3">
    <pivotField showAll="0"/>
    <pivotField axis="axisRow" showAll="0" includeNewItemsInFilter="1" defaultSubtotal="0">
      <items count="22">
        <item m="1" x="19"/>
        <item x="15"/>
        <item x="18"/>
        <item x="13"/>
        <item x="12"/>
        <item x="5"/>
        <item x="7"/>
        <item x="11"/>
        <item x="14"/>
        <item x="1"/>
        <item x="4"/>
        <item x="6"/>
        <item x="16"/>
        <item x="17"/>
        <item x="10"/>
        <item x="3"/>
        <item x="2"/>
        <item x="0"/>
        <item x="8"/>
        <item m="1" x="20"/>
        <item m="1" x="21"/>
        <item x="9"/>
      </items>
    </pivotField>
    <pivotField dataField="1" showAll="0"/>
  </pivotFields>
  <rowFields count="1">
    <field x="1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1"/>
    </i>
    <i t="grand">
      <x/>
    </i>
  </rowItems>
  <colItems count="1">
    <i/>
  </colItems>
  <dataFields count="1">
    <dataField name="Sum of amount to be paid EURO" fld="2" baseField="0" baseItem="0" numFmtId="2"/>
  </dataFields>
  <formats count="1"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drawing" Target="../drawings/drawing10.xml"/><Relationship Id="rId5" Type="http://schemas.openxmlformats.org/officeDocument/2006/relationships/pivotTable" Target="../pivotTables/pivotTable6.xml"/><Relationship Id="rId10" Type="http://schemas.openxmlformats.org/officeDocument/2006/relationships/printerSettings" Target="../printerSettings/printerSettings13.bin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35" Type="http://schemas.openxmlformats.org/officeDocument/2006/relationships/ctrlProp" Target="../ctrlProps/ctrlProp332.xml"/><Relationship Id="rId356" Type="http://schemas.openxmlformats.org/officeDocument/2006/relationships/ctrlProp" Target="../ctrlProps/ctrlProp353.xml"/><Relationship Id="rId377" Type="http://schemas.openxmlformats.org/officeDocument/2006/relationships/ctrlProp" Target="../ctrlProps/ctrlProp374.xml"/><Relationship Id="rId398" Type="http://schemas.openxmlformats.org/officeDocument/2006/relationships/ctrlProp" Target="../ctrlProps/ctrlProp395.xml"/><Relationship Id="rId5" Type="http://schemas.openxmlformats.org/officeDocument/2006/relationships/image" Target="../media/image9.emf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25" Type="http://schemas.openxmlformats.org/officeDocument/2006/relationships/ctrlProp" Target="../ctrlProps/ctrlProp322.xml"/><Relationship Id="rId346" Type="http://schemas.openxmlformats.org/officeDocument/2006/relationships/ctrlProp" Target="../ctrlProps/ctrlProp343.xml"/><Relationship Id="rId367" Type="http://schemas.openxmlformats.org/officeDocument/2006/relationships/ctrlProp" Target="../ctrlProps/ctrlProp364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378" Type="http://schemas.openxmlformats.org/officeDocument/2006/relationships/ctrlProp" Target="../ctrlProps/ctrlProp375.xml"/><Relationship Id="rId399" Type="http://schemas.openxmlformats.org/officeDocument/2006/relationships/ctrlProp" Target="../ctrlProps/ctrlProp396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368" Type="http://schemas.openxmlformats.org/officeDocument/2006/relationships/ctrlProp" Target="../ctrlProps/ctrlProp365.xml"/><Relationship Id="rId389" Type="http://schemas.openxmlformats.org/officeDocument/2006/relationships/ctrlProp" Target="../ctrlProps/ctrlProp386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358" Type="http://schemas.openxmlformats.org/officeDocument/2006/relationships/ctrlProp" Target="../ctrlProps/ctrlProp355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ctrlProp" Target="../ctrlProps/ctrlProp345.xml"/><Relationship Id="rId369" Type="http://schemas.openxmlformats.org/officeDocument/2006/relationships/ctrlProp" Target="../ctrlProps/ctrlProp366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359" Type="http://schemas.openxmlformats.org/officeDocument/2006/relationships/ctrlProp" Target="../ctrlProps/ctrlProp356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391" Type="http://schemas.openxmlformats.org/officeDocument/2006/relationships/ctrlProp" Target="../ctrlProps/ctrlProp388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381" Type="http://schemas.openxmlformats.org/officeDocument/2006/relationships/ctrlProp" Target="../ctrlProps/ctrlProp378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371" Type="http://schemas.openxmlformats.org/officeDocument/2006/relationships/ctrlProp" Target="../ctrlProps/ctrlProp368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72" Type="http://schemas.openxmlformats.org/officeDocument/2006/relationships/ctrlProp" Target="../ctrlProps/ctrlProp369.xml"/><Relationship Id="rId393" Type="http://schemas.openxmlformats.org/officeDocument/2006/relationships/ctrlProp" Target="../ctrlProps/ctrlProp390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362" Type="http://schemas.openxmlformats.org/officeDocument/2006/relationships/ctrlProp" Target="../ctrlProps/ctrlProp359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1" Type="http://schemas.openxmlformats.org/officeDocument/2006/relationships/printerSettings" Target="../printerSettings/printerSettings28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ontrol" Target="../activeX/activeX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265625" style="366" bestFit="1" customWidth="1"/>
    <col min="2" max="2" width="9" bestFit="1" customWidth="1"/>
    <col min="3" max="3" width="11.7265625" bestFit="1" customWidth="1"/>
    <col min="4" max="4" width="34.7265625" style="297" bestFit="1" customWidth="1"/>
    <col min="5" max="5" width="104" bestFit="1" customWidth="1"/>
    <col min="6" max="6" width="13.36328125" bestFit="1" customWidth="1"/>
    <col min="7" max="7" width="22" bestFit="1" customWidth="1"/>
  </cols>
  <sheetData>
    <row r="1" spans="1:7" s="365" customFormat="1" ht="44.25" customHeight="1">
      <c r="A1" s="552" t="s">
        <v>19</v>
      </c>
      <c r="B1" s="552" t="s">
        <v>2246</v>
      </c>
      <c r="C1" s="552" t="s">
        <v>2247</v>
      </c>
      <c r="D1" s="552" t="s">
        <v>2248</v>
      </c>
      <c r="E1" s="552" t="s">
        <v>1992</v>
      </c>
      <c r="F1" s="552" t="s">
        <v>2249</v>
      </c>
      <c r="G1" s="552" t="s">
        <v>2250</v>
      </c>
    </row>
    <row r="2" spans="1:7" s="297" customFormat="1" ht="44.25" customHeight="1">
      <c r="A2" s="553" t="s">
        <v>2251</v>
      </c>
      <c r="B2" s="553" t="s">
        <v>2252</v>
      </c>
      <c r="C2" s="553" t="s">
        <v>136</v>
      </c>
      <c r="D2" s="553" t="s">
        <v>2253</v>
      </c>
      <c r="E2" s="553" t="s">
        <v>1430</v>
      </c>
      <c r="F2" s="553" t="s">
        <v>149</v>
      </c>
      <c r="G2" s="553" t="s">
        <v>2254</v>
      </c>
    </row>
    <row r="3" spans="1:7" s="297" customFormat="1" ht="44.25" customHeight="1">
      <c r="A3" t="s">
        <v>2255</v>
      </c>
      <c r="B3" t="s">
        <v>2256</v>
      </c>
      <c r="C3" t="s">
        <v>136</v>
      </c>
      <c r="D3" t="s">
        <v>2257</v>
      </c>
      <c r="E3" t="s">
        <v>2258</v>
      </c>
      <c r="F3" t="s">
        <v>149</v>
      </c>
      <c r="G3" t="s">
        <v>2259</v>
      </c>
    </row>
    <row r="4" spans="1:7" s="297" customFormat="1" ht="44.25" customHeight="1">
      <c r="A4" t="s">
        <v>2260</v>
      </c>
      <c r="B4" t="s">
        <v>2261</v>
      </c>
      <c r="C4" t="s">
        <v>136</v>
      </c>
      <c r="D4" t="s">
        <v>2257</v>
      </c>
      <c r="E4" t="s">
        <v>1430</v>
      </c>
      <c r="F4" t="s">
        <v>149</v>
      </c>
      <c r="G4" t="s">
        <v>2262</v>
      </c>
    </row>
    <row r="5" spans="1:7" s="297" customFormat="1" ht="44.25" customHeight="1">
      <c r="A5" t="s">
        <v>2263</v>
      </c>
      <c r="B5" t="s">
        <v>2264</v>
      </c>
      <c r="C5" t="s">
        <v>136</v>
      </c>
      <c r="D5" t="s">
        <v>2257</v>
      </c>
      <c r="E5" t="s">
        <v>2265</v>
      </c>
      <c r="F5" t="s">
        <v>149</v>
      </c>
      <c r="G5" t="s">
        <v>2266</v>
      </c>
    </row>
    <row r="6" spans="1:7" s="297" customFormat="1" ht="44.25" customHeight="1">
      <c r="A6" t="s">
        <v>2267</v>
      </c>
      <c r="B6" t="s">
        <v>2268</v>
      </c>
      <c r="C6" t="s">
        <v>136</v>
      </c>
      <c r="D6" t="s">
        <v>2253</v>
      </c>
      <c r="E6" t="s">
        <v>2269</v>
      </c>
      <c r="F6" t="s">
        <v>149</v>
      </c>
      <c r="G6" t="s">
        <v>2270</v>
      </c>
    </row>
    <row r="7" spans="1:7" s="297" customFormat="1" ht="44.25" customHeight="1">
      <c r="A7" t="s">
        <v>2271</v>
      </c>
      <c r="B7" t="s">
        <v>2272</v>
      </c>
      <c r="C7" t="s">
        <v>136</v>
      </c>
      <c r="D7" t="s">
        <v>2253</v>
      </c>
      <c r="E7" t="s">
        <v>2269</v>
      </c>
      <c r="F7" t="s">
        <v>149</v>
      </c>
      <c r="G7" t="s">
        <v>2273</v>
      </c>
    </row>
    <row r="8" spans="1:7" s="297" customFormat="1" ht="44.25" customHeight="1">
      <c r="A8" t="s">
        <v>2274</v>
      </c>
      <c r="B8" t="s">
        <v>2275</v>
      </c>
      <c r="C8" t="s">
        <v>136</v>
      </c>
      <c r="D8" t="s">
        <v>2257</v>
      </c>
      <c r="E8" t="s">
        <v>2276</v>
      </c>
      <c r="F8" t="s">
        <v>149</v>
      </c>
      <c r="G8" t="s">
        <v>2277</v>
      </c>
    </row>
    <row r="9" spans="1:7" s="297" customFormat="1" ht="44.25" customHeight="1">
      <c r="A9" t="s">
        <v>2278</v>
      </c>
      <c r="B9" t="s">
        <v>2279</v>
      </c>
      <c r="C9" t="s">
        <v>136</v>
      </c>
      <c r="D9" t="s">
        <v>2253</v>
      </c>
      <c r="E9" t="s">
        <v>1430</v>
      </c>
      <c r="F9" t="s">
        <v>149</v>
      </c>
      <c r="G9" t="s">
        <v>2280</v>
      </c>
    </row>
    <row r="10" spans="1:7" s="297" customFormat="1" ht="44.25" customHeight="1">
      <c r="A10" t="s">
        <v>2281</v>
      </c>
      <c r="B10" t="s">
        <v>2282</v>
      </c>
      <c r="C10" t="s">
        <v>136</v>
      </c>
      <c r="D10" t="s">
        <v>2253</v>
      </c>
      <c r="E10" t="s">
        <v>1430</v>
      </c>
      <c r="F10" t="s">
        <v>149</v>
      </c>
      <c r="G10" t="s">
        <v>2283</v>
      </c>
    </row>
    <row r="11" spans="1:7" s="297" customFormat="1" ht="44.25" customHeight="1">
      <c r="A11" t="s">
        <v>2284</v>
      </c>
      <c r="B11" t="s">
        <v>2285</v>
      </c>
      <c r="C11" t="s">
        <v>136</v>
      </c>
      <c r="D11" t="s">
        <v>2253</v>
      </c>
      <c r="E11" t="s">
        <v>1430</v>
      </c>
      <c r="F11" t="s">
        <v>149</v>
      </c>
      <c r="G11" t="s">
        <v>2286</v>
      </c>
    </row>
    <row r="12" spans="1:7" s="297" customFormat="1" ht="44.25" customHeight="1">
      <c r="A12" t="s">
        <v>2287</v>
      </c>
      <c r="B12" t="s">
        <v>2288</v>
      </c>
      <c r="C12" t="s">
        <v>136</v>
      </c>
      <c r="D12" t="s">
        <v>2253</v>
      </c>
      <c r="E12" t="s">
        <v>1430</v>
      </c>
      <c r="F12" t="s">
        <v>149</v>
      </c>
      <c r="G12" t="s">
        <v>2289</v>
      </c>
    </row>
    <row r="13" spans="1:7" s="297" customFormat="1" ht="44.25" customHeight="1">
      <c r="A13" t="s">
        <v>2290</v>
      </c>
      <c r="B13" t="s">
        <v>2291</v>
      </c>
      <c r="C13" t="s">
        <v>136</v>
      </c>
      <c r="D13" t="s">
        <v>2253</v>
      </c>
      <c r="E13" t="s">
        <v>1430</v>
      </c>
      <c r="F13" t="s">
        <v>149</v>
      </c>
      <c r="G13" t="s">
        <v>2292</v>
      </c>
    </row>
    <row r="14" spans="1:7" s="297" customFormat="1" ht="44.25" customHeight="1">
      <c r="A14" t="s">
        <v>2293</v>
      </c>
      <c r="B14" t="s">
        <v>2294</v>
      </c>
      <c r="C14" t="s">
        <v>136</v>
      </c>
      <c r="D14" t="s">
        <v>2257</v>
      </c>
      <c r="E14" t="s">
        <v>2276</v>
      </c>
      <c r="F14" t="s">
        <v>149</v>
      </c>
      <c r="G14" t="s">
        <v>2295</v>
      </c>
    </row>
    <row r="15" spans="1:7" s="297" customFormat="1" ht="44.25" customHeight="1">
      <c r="A15" t="s">
        <v>2296</v>
      </c>
      <c r="B15" t="s">
        <v>2297</v>
      </c>
      <c r="C15" t="s">
        <v>136</v>
      </c>
      <c r="D15" t="s">
        <v>2253</v>
      </c>
      <c r="E15" t="s">
        <v>1432</v>
      </c>
      <c r="F15" t="s">
        <v>149</v>
      </c>
      <c r="G15" t="s">
        <v>2298</v>
      </c>
    </row>
    <row r="16" spans="1:7" s="297" customFormat="1" ht="44.25" customHeight="1">
      <c r="A16" t="s">
        <v>2299</v>
      </c>
      <c r="B16" t="s">
        <v>2300</v>
      </c>
      <c r="C16" t="s">
        <v>136</v>
      </c>
      <c r="D16" t="s">
        <v>2257</v>
      </c>
      <c r="E16" t="s">
        <v>2276</v>
      </c>
      <c r="F16" t="s">
        <v>149</v>
      </c>
      <c r="G16" t="s">
        <v>2301</v>
      </c>
    </row>
    <row r="17" spans="1:7" s="297" customFormat="1" ht="44.25" customHeight="1">
      <c r="A17" t="s">
        <v>2302</v>
      </c>
      <c r="B17" t="s">
        <v>2303</v>
      </c>
      <c r="C17" t="s">
        <v>136</v>
      </c>
      <c r="D17" t="s">
        <v>2253</v>
      </c>
      <c r="E17" t="s">
        <v>1432</v>
      </c>
      <c r="F17" t="s">
        <v>149</v>
      </c>
      <c r="G17" t="s">
        <v>2304</v>
      </c>
    </row>
    <row r="18" spans="1:7" s="297" customFormat="1" ht="44.25" customHeight="1">
      <c r="A18" t="s">
        <v>2305</v>
      </c>
      <c r="B18" t="s">
        <v>2306</v>
      </c>
      <c r="C18" t="s">
        <v>136</v>
      </c>
      <c r="D18" t="s">
        <v>2253</v>
      </c>
      <c r="E18" t="s">
        <v>1432</v>
      </c>
      <c r="F18" t="s">
        <v>149</v>
      </c>
      <c r="G18" t="s">
        <v>2307</v>
      </c>
    </row>
    <row r="19" spans="1:7" s="297" customFormat="1" ht="44.25" customHeight="1">
      <c r="A19" t="s">
        <v>2308</v>
      </c>
      <c r="B19" t="s">
        <v>2309</v>
      </c>
      <c r="C19" t="s">
        <v>136</v>
      </c>
      <c r="D19" t="s">
        <v>2257</v>
      </c>
      <c r="E19" t="s">
        <v>2310</v>
      </c>
      <c r="F19" t="s">
        <v>149</v>
      </c>
      <c r="G19" t="s">
        <v>2311</v>
      </c>
    </row>
    <row r="20" spans="1:7" s="297" customFormat="1" ht="44.25" customHeight="1">
      <c r="A20" t="s">
        <v>2312</v>
      </c>
      <c r="B20" t="s">
        <v>2313</v>
      </c>
      <c r="C20" t="s">
        <v>136</v>
      </c>
      <c r="D20" t="s">
        <v>2257</v>
      </c>
      <c r="E20" t="s">
        <v>2314</v>
      </c>
      <c r="F20" t="s">
        <v>149</v>
      </c>
      <c r="G20" t="s">
        <v>2315</v>
      </c>
    </row>
    <row r="21" spans="1:7" s="297" customFormat="1" ht="44.25" customHeight="1">
      <c r="A21" t="s">
        <v>2316</v>
      </c>
      <c r="B21" t="s">
        <v>2317</v>
      </c>
      <c r="C21" t="s">
        <v>136</v>
      </c>
      <c r="D21" t="s">
        <v>2253</v>
      </c>
      <c r="E21" t="s">
        <v>1432</v>
      </c>
      <c r="F21" t="s">
        <v>149</v>
      </c>
      <c r="G21" t="s">
        <v>2318</v>
      </c>
    </row>
    <row r="22" spans="1:7" s="297" customFormat="1" ht="44.25" customHeight="1">
      <c r="A22" t="s">
        <v>2319</v>
      </c>
      <c r="B22" t="s">
        <v>2320</v>
      </c>
      <c r="C22" t="s">
        <v>136</v>
      </c>
      <c r="D22" t="s">
        <v>2253</v>
      </c>
      <c r="E22" t="s">
        <v>1430</v>
      </c>
      <c r="F22" t="s">
        <v>149</v>
      </c>
      <c r="G22" t="s">
        <v>2321</v>
      </c>
    </row>
    <row r="23" spans="1:7" s="297" customFormat="1" ht="44.25" customHeight="1">
      <c r="A23" t="s">
        <v>2322</v>
      </c>
      <c r="B23" t="s">
        <v>2323</v>
      </c>
      <c r="C23" t="s">
        <v>136</v>
      </c>
      <c r="D23" t="s">
        <v>2253</v>
      </c>
      <c r="E23" t="s">
        <v>1430</v>
      </c>
      <c r="F23" t="s">
        <v>149</v>
      </c>
      <c r="G23" t="s">
        <v>2324</v>
      </c>
    </row>
    <row r="24" spans="1:7" s="297" customFormat="1" ht="44.25" customHeight="1">
      <c r="A24" t="s">
        <v>2325</v>
      </c>
      <c r="B24" t="s">
        <v>2326</v>
      </c>
      <c r="C24" t="s">
        <v>136</v>
      </c>
      <c r="D24" t="s">
        <v>2253</v>
      </c>
      <c r="E24" t="s">
        <v>1432</v>
      </c>
      <c r="F24" t="s">
        <v>149</v>
      </c>
      <c r="G24" t="s">
        <v>2327</v>
      </c>
    </row>
    <row r="25" spans="1:7" s="297" customFormat="1" ht="44.25" customHeight="1">
      <c r="A25" t="s">
        <v>2328</v>
      </c>
      <c r="B25" t="s">
        <v>2329</v>
      </c>
      <c r="C25" t="s">
        <v>136</v>
      </c>
      <c r="D25" t="s">
        <v>2253</v>
      </c>
      <c r="E25" t="s">
        <v>1430</v>
      </c>
      <c r="F25" t="s">
        <v>149</v>
      </c>
      <c r="G25" t="s">
        <v>2330</v>
      </c>
    </row>
    <row r="26" spans="1:7" s="297" customFormat="1" ht="44.25" customHeight="1">
      <c r="A26" t="s">
        <v>2331</v>
      </c>
      <c r="B26" t="s">
        <v>2332</v>
      </c>
      <c r="C26" t="s">
        <v>136</v>
      </c>
      <c r="D26" t="s">
        <v>2253</v>
      </c>
      <c r="E26" t="s">
        <v>1430</v>
      </c>
      <c r="F26" t="s">
        <v>149</v>
      </c>
      <c r="G26" t="s">
        <v>2333</v>
      </c>
    </row>
    <row r="27" spans="1:7" s="297" customFormat="1" ht="44.25" customHeight="1">
      <c r="A27" t="s">
        <v>2334</v>
      </c>
      <c r="B27" t="s">
        <v>2335</v>
      </c>
      <c r="C27" t="s">
        <v>136</v>
      </c>
      <c r="D27" t="s">
        <v>2253</v>
      </c>
      <c r="E27" t="s">
        <v>1430</v>
      </c>
      <c r="F27" t="s">
        <v>149</v>
      </c>
      <c r="G27" t="s">
        <v>2336</v>
      </c>
    </row>
    <row r="28" spans="1:7" s="297" customFormat="1" ht="44.25" customHeight="1">
      <c r="A28" t="s">
        <v>2337</v>
      </c>
      <c r="B28" t="s">
        <v>2338</v>
      </c>
      <c r="C28" t="s">
        <v>136</v>
      </c>
      <c r="D28" t="s">
        <v>2257</v>
      </c>
      <c r="E28" t="s">
        <v>2269</v>
      </c>
      <c r="F28" t="s">
        <v>149</v>
      </c>
      <c r="G28" t="s">
        <v>2339</v>
      </c>
    </row>
    <row r="29" spans="1:7" s="297" customFormat="1" ht="44.25" customHeight="1">
      <c r="A29" t="s">
        <v>2340</v>
      </c>
      <c r="B29" t="s">
        <v>2341</v>
      </c>
      <c r="C29" t="s">
        <v>136</v>
      </c>
      <c r="D29" t="s">
        <v>2253</v>
      </c>
      <c r="E29" t="s">
        <v>1430</v>
      </c>
      <c r="F29" t="s">
        <v>149</v>
      </c>
      <c r="G29" t="s">
        <v>2342</v>
      </c>
    </row>
    <row r="30" spans="1:7" s="297" customFormat="1" ht="44.25" customHeight="1">
      <c r="A30" t="s">
        <v>2343</v>
      </c>
      <c r="B30" t="s">
        <v>2344</v>
      </c>
      <c r="C30" t="s">
        <v>136</v>
      </c>
      <c r="D30" t="s">
        <v>2257</v>
      </c>
      <c r="E30" t="s">
        <v>1432</v>
      </c>
      <c r="F30" t="s">
        <v>149</v>
      </c>
      <c r="G30" t="s">
        <v>2345</v>
      </c>
    </row>
    <row r="31" spans="1:7" s="297" customFormat="1" ht="44.25" customHeight="1">
      <c r="A31" t="s">
        <v>2346</v>
      </c>
      <c r="B31" t="s">
        <v>2347</v>
      </c>
      <c r="C31" t="s">
        <v>136</v>
      </c>
      <c r="D31" t="s">
        <v>2253</v>
      </c>
      <c r="E31" t="s">
        <v>1432</v>
      </c>
      <c r="F31" t="s">
        <v>149</v>
      </c>
      <c r="G31" t="s">
        <v>2348</v>
      </c>
    </row>
    <row r="32" spans="1:7" s="297" customFormat="1" ht="44.25" customHeight="1">
      <c r="A32" t="s">
        <v>2349</v>
      </c>
      <c r="B32" t="s">
        <v>2350</v>
      </c>
      <c r="C32" t="s">
        <v>136</v>
      </c>
      <c r="D32" t="s">
        <v>2253</v>
      </c>
      <c r="E32" t="s">
        <v>1432</v>
      </c>
      <c r="F32" t="s">
        <v>149</v>
      </c>
      <c r="G32" t="s">
        <v>2351</v>
      </c>
    </row>
    <row r="33" spans="1:7" s="297" customFormat="1" ht="44.25" customHeight="1">
      <c r="A33" t="s">
        <v>2352</v>
      </c>
      <c r="B33" t="s">
        <v>2353</v>
      </c>
      <c r="C33" t="s">
        <v>136</v>
      </c>
      <c r="D33" t="s">
        <v>2257</v>
      </c>
      <c r="E33" t="s">
        <v>2258</v>
      </c>
      <c r="F33" t="s">
        <v>149</v>
      </c>
      <c r="G33" t="s">
        <v>2354</v>
      </c>
    </row>
    <row r="34" spans="1:7" s="297" customFormat="1" ht="44.25" customHeight="1">
      <c r="A34" t="s">
        <v>2355</v>
      </c>
      <c r="B34" t="s">
        <v>2356</v>
      </c>
      <c r="C34" t="s">
        <v>136</v>
      </c>
      <c r="D34" t="s">
        <v>2253</v>
      </c>
      <c r="E34" t="s">
        <v>1432</v>
      </c>
      <c r="F34" t="s">
        <v>149</v>
      </c>
      <c r="G34" t="s">
        <v>2357</v>
      </c>
    </row>
    <row r="35" spans="1:7" s="297" customFormat="1" ht="44.25" customHeight="1">
      <c r="A35" t="s">
        <v>2358</v>
      </c>
      <c r="B35" t="s">
        <v>2359</v>
      </c>
      <c r="C35" t="s">
        <v>136</v>
      </c>
      <c r="D35" t="s">
        <v>2253</v>
      </c>
      <c r="E35" t="s">
        <v>1432</v>
      </c>
      <c r="F35" t="s">
        <v>149</v>
      </c>
      <c r="G35" t="s">
        <v>2360</v>
      </c>
    </row>
    <row r="36" spans="1:7" s="297" customFormat="1" ht="44.25" customHeight="1">
      <c r="A36" t="s">
        <v>2361</v>
      </c>
      <c r="B36" t="s">
        <v>2362</v>
      </c>
      <c r="C36" t="s">
        <v>136</v>
      </c>
      <c r="D36" t="s">
        <v>2253</v>
      </c>
      <c r="E36" t="s">
        <v>1432</v>
      </c>
      <c r="F36" t="s">
        <v>149</v>
      </c>
      <c r="G36" t="s">
        <v>2363</v>
      </c>
    </row>
    <row r="37" spans="1:7" s="297" customFormat="1" ht="44.25" customHeight="1">
      <c r="A37" t="s">
        <v>2364</v>
      </c>
      <c r="B37" t="s">
        <v>2365</v>
      </c>
      <c r="C37" t="s">
        <v>136</v>
      </c>
      <c r="D37" t="s">
        <v>2253</v>
      </c>
      <c r="E37" t="s">
        <v>1432</v>
      </c>
      <c r="F37" t="s">
        <v>149</v>
      </c>
      <c r="G37" t="s">
        <v>2366</v>
      </c>
    </row>
    <row r="38" spans="1:7" s="297" customFormat="1" ht="44.25" customHeight="1">
      <c r="A38" t="s">
        <v>2367</v>
      </c>
      <c r="B38" t="s">
        <v>2368</v>
      </c>
      <c r="C38" t="s">
        <v>136</v>
      </c>
      <c r="D38" t="s">
        <v>2253</v>
      </c>
      <c r="E38" t="s">
        <v>1432</v>
      </c>
      <c r="F38" t="s">
        <v>149</v>
      </c>
      <c r="G38" t="s">
        <v>2369</v>
      </c>
    </row>
    <row r="39" spans="1:7" s="297" customFormat="1" ht="44.25" customHeight="1">
      <c r="A39" t="s">
        <v>2370</v>
      </c>
      <c r="B39" t="s">
        <v>2371</v>
      </c>
      <c r="C39" t="s">
        <v>136</v>
      </c>
      <c r="D39" t="s">
        <v>2253</v>
      </c>
      <c r="E39" t="s">
        <v>1432</v>
      </c>
      <c r="F39" t="s">
        <v>149</v>
      </c>
      <c r="G39" t="s">
        <v>2372</v>
      </c>
    </row>
    <row r="40" spans="1:7" s="297" customFormat="1" ht="44.25" customHeight="1">
      <c r="A40" t="s">
        <v>2373</v>
      </c>
      <c r="B40" t="s">
        <v>2374</v>
      </c>
      <c r="C40" t="s">
        <v>136</v>
      </c>
      <c r="D40" t="s">
        <v>2253</v>
      </c>
      <c r="E40" t="s">
        <v>1432</v>
      </c>
      <c r="F40" t="s">
        <v>149</v>
      </c>
      <c r="G40" t="s">
        <v>2375</v>
      </c>
    </row>
    <row r="41" spans="1:7" s="297" customFormat="1" ht="44.25" customHeight="1">
      <c r="A41" t="s">
        <v>2376</v>
      </c>
      <c r="B41" t="s">
        <v>2377</v>
      </c>
      <c r="C41" t="s">
        <v>136</v>
      </c>
      <c r="D41" t="s">
        <v>2253</v>
      </c>
      <c r="E41" t="s">
        <v>1432</v>
      </c>
      <c r="F41" t="s">
        <v>149</v>
      </c>
      <c r="G41" t="s">
        <v>2378</v>
      </c>
    </row>
    <row r="42" spans="1:7" s="297" customFormat="1" ht="44.25" customHeight="1">
      <c r="A42" t="s">
        <v>2379</v>
      </c>
      <c r="B42" t="s">
        <v>2380</v>
      </c>
      <c r="C42" t="s">
        <v>136</v>
      </c>
      <c r="D42" t="s">
        <v>2253</v>
      </c>
      <c r="E42" t="s">
        <v>1432</v>
      </c>
      <c r="F42" t="s">
        <v>149</v>
      </c>
      <c r="G42" t="s">
        <v>2381</v>
      </c>
    </row>
    <row r="43" spans="1:7" s="297" customFormat="1" ht="44.25" customHeight="1">
      <c r="A43" t="s">
        <v>2382</v>
      </c>
      <c r="B43" t="s">
        <v>2383</v>
      </c>
      <c r="C43" t="s">
        <v>136</v>
      </c>
      <c r="D43" t="s">
        <v>2253</v>
      </c>
      <c r="E43" t="s">
        <v>1432</v>
      </c>
      <c r="F43" t="s">
        <v>149</v>
      </c>
      <c r="G43" t="s">
        <v>2384</v>
      </c>
    </row>
    <row r="44" spans="1:7" s="297" customFormat="1" ht="44.25" customHeight="1">
      <c r="A44" t="s">
        <v>2385</v>
      </c>
      <c r="B44" t="s">
        <v>2386</v>
      </c>
      <c r="C44" t="s">
        <v>136</v>
      </c>
      <c r="D44" t="s">
        <v>2257</v>
      </c>
      <c r="E44" t="s">
        <v>2276</v>
      </c>
      <c r="F44" t="s">
        <v>149</v>
      </c>
      <c r="G44" t="s">
        <v>2387</v>
      </c>
    </row>
    <row r="45" spans="1:7" s="297" customFormat="1" ht="44.25" customHeight="1">
      <c r="A45" t="s">
        <v>2388</v>
      </c>
      <c r="B45" t="s">
        <v>2389</v>
      </c>
      <c r="C45" t="s">
        <v>136</v>
      </c>
      <c r="D45" t="s">
        <v>2253</v>
      </c>
      <c r="E45" t="s">
        <v>2258</v>
      </c>
      <c r="F45" t="s">
        <v>149</v>
      </c>
      <c r="G45" t="s">
        <v>2390</v>
      </c>
    </row>
    <row r="46" spans="1:7" s="297" customFormat="1" ht="44.25" customHeight="1">
      <c r="A46" t="s">
        <v>2391</v>
      </c>
      <c r="B46" t="s">
        <v>2392</v>
      </c>
      <c r="C46" t="s">
        <v>136</v>
      </c>
      <c r="D46" t="s">
        <v>2253</v>
      </c>
      <c r="E46" t="s">
        <v>2258</v>
      </c>
      <c r="F46" t="s">
        <v>149</v>
      </c>
      <c r="G46" t="s">
        <v>2393</v>
      </c>
    </row>
    <row r="47" spans="1:7" s="297" customFormat="1" ht="44.25" customHeight="1">
      <c r="A47" t="s">
        <v>2394</v>
      </c>
      <c r="B47" t="s">
        <v>2395</v>
      </c>
      <c r="C47" t="s">
        <v>136</v>
      </c>
      <c r="D47" t="s">
        <v>2253</v>
      </c>
      <c r="E47" t="s">
        <v>1432</v>
      </c>
      <c r="F47" t="s">
        <v>149</v>
      </c>
      <c r="G47" t="s">
        <v>2396</v>
      </c>
    </row>
    <row r="48" spans="1:7" s="297" customFormat="1" ht="44.25" customHeight="1">
      <c r="A48" t="s">
        <v>136</v>
      </c>
      <c r="B48" t="s">
        <v>2397</v>
      </c>
      <c r="C48" t="s">
        <v>136</v>
      </c>
      <c r="D48" t="s">
        <v>2398</v>
      </c>
      <c r="E48" t="s">
        <v>2399</v>
      </c>
      <c r="F48" t="s">
        <v>149</v>
      </c>
      <c r="G48" t="s">
        <v>2400</v>
      </c>
    </row>
    <row r="49" spans="1:7" s="297" customFormat="1" ht="44.25" customHeight="1">
      <c r="A49" t="s">
        <v>1074</v>
      </c>
      <c r="B49" t="s">
        <v>136</v>
      </c>
      <c r="C49" t="s">
        <v>136</v>
      </c>
      <c r="D49" t="s">
        <v>79</v>
      </c>
      <c r="E49" t="s">
        <v>1482</v>
      </c>
      <c r="F49" t="s">
        <v>149</v>
      </c>
      <c r="G49" t="s">
        <v>2401</v>
      </c>
    </row>
    <row r="50" spans="1:7" s="297" customFormat="1" ht="44.25" customHeight="1">
      <c r="A50" t="s">
        <v>1072</v>
      </c>
      <c r="B50" t="s">
        <v>136</v>
      </c>
      <c r="C50" t="s">
        <v>136</v>
      </c>
      <c r="D50" t="s">
        <v>79</v>
      </c>
      <c r="E50" t="s">
        <v>1629</v>
      </c>
      <c r="F50" t="s">
        <v>149</v>
      </c>
      <c r="G50" t="s">
        <v>2402</v>
      </c>
    </row>
    <row r="51" spans="1:7" s="297" customFormat="1" ht="44.25" customHeight="1">
      <c r="A51" t="s">
        <v>1065</v>
      </c>
      <c r="B51" t="s">
        <v>136</v>
      </c>
      <c r="C51" t="s">
        <v>136</v>
      </c>
      <c r="D51" t="s">
        <v>79</v>
      </c>
      <c r="E51" t="s">
        <v>1628</v>
      </c>
      <c r="F51" t="s">
        <v>149</v>
      </c>
      <c r="G51" t="s">
        <v>2403</v>
      </c>
    </row>
    <row r="52" spans="1:7" s="297" customFormat="1" ht="44.25" customHeight="1">
      <c r="A52" t="s">
        <v>1040</v>
      </c>
      <c r="B52" t="s">
        <v>136</v>
      </c>
      <c r="C52" t="s">
        <v>136</v>
      </c>
      <c r="D52" t="s">
        <v>2257</v>
      </c>
      <c r="E52" t="s">
        <v>1623</v>
      </c>
      <c r="F52" t="s">
        <v>149</v>
      </c>
      <c r="G52" t="s">
        <v>2404</v>
      </c>
    </row>
    <row r="53" spans="1:7" s="297" customFormat="1" ht="44.25" customHeight="1">
      <c r="A53" t="s">
        <v>1039</v>
      </c>
      <c r="B53" t="s">
        <v>136</v>
      </c>
      <c r="C53" t="s">
        <v>136</v>
      </c>
      <c r="D53" t="s">
        <v>2257</v>
      </c>
      <c r="E53" t="s">
        <v>1623</v>
      </c>
      <c r="F53" t="s">
        <v>149</v>
      </c>
      <c r="G53" t="s">
        <v>2405</v>
      </c>
    </row>
    <row r="54" spans="1:7" s="297" customFormat="1" ht="44.25" customHeight="1">
      <c r="A54" t="s">
        <v>1038</v>
      </c>
      <c r="B54" t="s">
        <v>136</v>
      </c>
      <c r="C54" t="s">
        <v>136</v>
      </c>
      <c r="D54" t="s">
        <v>2257</v>
      </c>
      <c r="E54" t="s">
        <v>1623</v>
      </c>
      <c r="F54" t="s">
        <v>149</v>
      </c>
      <c r="G54" t="s">
        <v>2406</v>
      </c>
    </row>
    <row r="55" spans="1:7" s="297" customFormat="1" ht="44.25" customHeight="1">
      <c r="A55" t="s">
        <v>923</v>
      </c>
      <c r="B55" t="s">
        <v>136</v>
      </c>
      <c r="C55" t="s">
        <v>136</v>
      </c>
      <c r="D55" t="s">
        <v>79</v>
      </c>
      <c r="E55" t="s">
        <v>1620</v>
      </c>
      <c r="F55" t="s">
        <v>149</v>
      </c>
      <c r="G55" t="s">
        <v>2407</v>
      </c>
    </row>
    <row r="56" spans="1:7" s="297" customFormat="1" ht="44.25" customHeight="1">
      <c r="A56" t="s">
        <v>922</v>
      </c>
      <c r="B56" t="s">
        <v>136</v>
      </c>
      <c r="C56" t="s">
        <v>136</v>
      </c>
      <c r="D56" t="s">
        <v>79</v>
      </c>
      <c r="E56" t="s">
        <v>1620</v>
      </c>
      <c r="F56" t="s">
        <v>149</v>
      </c>
      <c r="G56" t="s">
        <v>2408</v>
      </c>
    </row>
    <row r="57" spans="1:7" s="297" customFormat="1" ht="44.25" customHeight="1">
      <c r="A57" t="s">
        <v>880</v>
      </c>
      <c r="B57" t="s">
        <v>136</v>
      </c>
      <c r="C57" t="s">
        <v>136</v>
      </c>
      <c r="D57" t="s">
        <v>79</v>
      </c>
      <c r="E57" t="s">
        <v>1605</v>
      </c>
      <c r="F57" t="s">
        <v>149</v>
      </c>
      <c r="G57" t="s">
        <v>2409</v>
      </c>
    </row>
    <row r="58" spans="1:7" s="297" customFormat="1" ht="44.25" customHeight="1">
      <c r="A58" t="s">
        <v>873</v>
      </c>
      <c r="B58" t="s">
        <v>136</v>
      </c>
      <c r="C58" t="s">
        <v>136</v>
      </c>
      <c r="D58" t="s">
        <v>79</v>
      </c>
      <c r="E58" t="s">
        <v>1604</v>
      </c>
      <c r="F58" t="s">
        <v>149</v>
      </c>
      <c r="G58" t="s">
        <v>2410</v>
      </c>
    </row>
    <row r="59" spans="1:7" s="297" customFormat="1" ht="44.25" customHeight="1">
      <c r="A59" t="s">
        <v>872</v>
      </c>
      <c r="B59" t="s">
        <v>136</v>
      </c>
      <c r="C59" t="s">
        <v>136</v>
      </c>
      <c r="D59" t="s">
        <v>2257</v>
      </c>
      <c r="E59" t="s">
        <v>1603</v>
      </c>
      <c r="F59" t="s">
        <v>149</v>
      </c>
      <c r="G59" t="s">
        <v>2411</v>
      </c>
    </row>
    <row r="60" spans="1:7" s="297" customFormat="1" ht="44.25" customHeight="1">
      <c r="A60" t="s">
        <v>871</v>
      </c>
      <c r="B60" t="s">
        <v>136</v>
      </c>
      <c r="C60" t="s">
        <v>136</v>
      </c>
      <c r="D60" t="s">
        <v>2257</v>
      </c>
      <c r="E60" t="s">
        <v>1602</v>
      </c>
      <c r="F60" t="s">
        <v>149</v>
      </c>
      <c r="G60" t="s">
        <v>2412</v>
      </c>
    </row>
    <row r="61" spans="1:7" s="297" customFormat="1" ht="44.25" customHeight="1">
      <c r="A61" t="s">
        <v>870</v>
      </c>
      <c r="B61" t="s">
        <v>136</v>
      </c>
      <c r="C61" t="s">
        <v>136</v>
      </c>
      <c r="D61" t="s">
        <v>2257</v>
      </c>
      <c r="E61" t="s">
        <v>1602</v>
      </c>
      <c r="F61" t="s">
        <v>149</v>
      </c>
      <c r="G61" t="s">
        <v>2413</v>
      </c>
    </row>
    <row r="62" spans="1:7" s="297" customFormat="1" ht="44.25" customHeight="1">
      <c r="A62" t="s">
        <v>847</v>
      </c>
      <c r="B62" t="s">
        <v>136</v>
      </c>
      <c r="C62" t="s">
        <v>136</v>
      </c>
      <c r="D62" t="s">
        <v>79</v>
      </c>
      <c r="E62" t="s">
        <v>1600</v>
      </c>
      <c r="F62" t="s">
        <v>149</v>
      </c>
      <c r="G62" t="s">
        <v>2414</v>
      </c>
    </row>
    <row r="63" spans="1:7" s="297" customFormat="1" ht="44.25" customHeight="1">
      <c r="A63" t="s">
        <v>842</v>
      </c>
      <c r="B63" t="s">
        <v>136</v>
      </c>
      <c r="C63" t="s">
        <v>136</v>
      </c>
      <c r="D63" t="s">
        <v>79</v>
      </c>
      <c r="E63" t="s">
        <v>1597</v>
      </c>
      <c r="F63" t="s">
        <v>149</v>
      </c>
      <c r="G63" t="s">
        <v>2415</v>
      </c>
    </row>
    <row r="64" spans="1:7" s="297" customFormat="1" ht="44.25" customHeight="1">
      <c r="A64" t="s">
        <v>841</v>
      </c>
      <c r="B64" t="s">
        <v>136</v>
      </c>
      <c r="C64" t="s">
        <v>136</v>
      </c>
      <c r="D64" t="s">
        <v>79</v>
      </c>
      <c r="E64" t="s">
        <v>1596</v>
      </c>
      <c r="F64" t="s">
        <v>149</v>
      </c>
      <c r="G64" t="s">
        <v>2416</v>
      </c>
    </row>
    <row r="65" spans="1:7" s="297" customFormat="1" ht="44.25" customHeight="1">
      <c r="A65" t="s">
        <v>832</v>
      </c>
      <c r="B65" t="s">
        <v>136</v>
      </c>
      <c r="C65" t="s">
        <v>136</v>
      </c>
      <c r="D65" t="s">
        <v>79</v>
      </c>
      <c r="E65" t="s">
        <v>1591</v>
      </c>
      <c r="F65" t="s">
        <v>149</v>
      </c>
      <c r="G65" t="s">
        <v>2417</v>
      </c>
    </row>
    <row r="66" spans="1:7" s="297" customFormat="1" ht="44.25" customHeight="1">
      <c r="A66" t="s">
        <v>831</v>
      </c>
      <c r="B66" t="s">
        <v>136</v>
      </c>
      <c r="C66" t="s">
        <v>136</v>
      </c>
      <c r="D66" t="s">
        <v>79</v>
      </c>
      <c r="E66" t="s">
        <v>1590</v>
      </c>
      <c r="F66" t="s">
        <v>149</v>
      </c>
      <c r="G66" t="s">
        <v>2418</v>
      </c>
    </row>
    <row r="67" spans="1:7" s="297" customFormat="1" ht="44.25" customHeight="1">
      <c r="A67" t="s">
        <v>829</v>
      </c>
      <c r="B67" t="s">
        <v>136</v>
      </c>
      <c r="C67" t="s">
        <v>136</v>
      </c>
      <c r="D67" t="s">
        <v>79</v>
      </c>
      <c r="E67" t="s">
        <v>1589</v>
      </c>
      <c r="F67" t="s">
        <v>149</v>
      </c>
      <c r="G67" t="s">
        <v>2419</v>
      </c>
    </row>
    <row r="68" spans="1:7" s="297" customFormat="1" ht="44.25" customHeight="1">
      <c r="A68" t="s">
        <v>801</v>
      </c>
      <c r="B68" t="s">
        <v>136</v>
      </c>
      <c r="C68" t="s">
        <v>136</v>
      </c>
      <c r="D68" t="s">
        <v>2257</v>
      </c>
      <c r="E68" t="s">
        <v>1587</v>
      </c>
      <c r="F68" t="s">
        <v>149</v>
      </c>
      <c r="G68" t="s">
        <v>2420</v>
      </c>
    </row>
    <row r="69" spans="1:7" s="297" customFormat="1" ht="44.25" customHeight="1">
      <c r="A69" t="s">
        <v>750</v>
      </c>
      <c r="B69" t="s">
        <v>136</v>
      </c>
      <c r="C69" t="s">
        <v>136</v>
      </c>
      <c r="D69" t="s">
        <v>79</v>
      </c>
      <c r="E69" t="s">
        <v>1585</v>
      </c>
      <c r="F69" t="s">
        <v>149</v>
      </c>
      <c r="G69" t="s">
        <v>2421</v>
      </c>
    </row>
    <row r="70" spans="1:7" s="297" customFormat="1" ht="44.25" customHeight="1">
      <c r="A70" t="s">
        <v>749</v>
      </c>
      <c r="B70" t="s">
        <v>136</v>
      </c>
      <c r="C70" t="s">
        <v>136</v>
      </c>
      <c r="D70" t="s">
        <v>79</v>
      </c>
      <c r="E70" t="s">
        <v>1585</v>
      </c>
      <c r="F70" t="s">
        <v>149</v>
      </c>
      <c r="G70" t="s">
        <v>2422</v>
      </c>
    </row>
    <row r="71" spans="1:7" s="297" customFormat="1" ht="44.25" customHeight="1">
      <c r="A71" t="s">
        <v>685</v>
      </c>
      <c r="B71" t="s">
        <v>136</v>
      </c>
      <c r="C71" t="s">
        <v>136</v>
      </c>
      <c r="D71" t="s">
        <v>1437</v>
      </c>
      <c r="E71" t="s">
        <v>1583</v>
      </c>
      <c r="F71" t="s">
        <v>149</v>
      </c>
      <c r="G71" t="s">
        <v>2423</v>
      </c>
    </row>
    <row r="72" spans="1:7" s="297" customFormat="1" ht="44.25" customHeight="1">
      <c r="A72" t="s">
        <v>681</v>
      </c>
      <c r="B72" t="s">
        <v>136</v>
      </c>
      <c r="C72" t="s">
        <v>136</v>
      </c>
      <c r="D72" t="s">
        <v>79</v>
      </c>
      <c r="E72" t="s">
        <v>1581</v>
      </c>
      <c r="F72" t="s">
        <v>149</v>
      </c>
      <c r="G72" t="s">
        <v>2424</v>
      </c>
    </row>
    <row r="73" spans="1:7" s="297" customFormat="1" ht="44.25" customHeight="1">
      <c r="A73" t="s">
        <v>640</v>
      </c>
      <c r="B73" t="s">
        <v>136</v>
      </c>
      <c r="C73" t="s">
        <v>136</v>
      </c>
      <c r="D73" t="s">
        <v>79</v>
      </c>
      <c r="E73" t="s">
        <v>1573</v>
      </c>
      <c r="F73" t="s">
        <v>149</v>
      </c>
      <c r="G73" t="s">
        <v>2425</v>
      </c>
    </row>
    <row r="74" spans="1:7" s="297" customFormat="1" ht="44.25" customHeight="1">
      <c r="A74" t="s">
        <v>633</v>
      </c>
      <c r="B74" t="s">
        <v>136</v>
      </c>
      <c r="C74" t="s">
        <v>136</v>
      </c>
      <c r="D74" t="s">
        <v>79</v>
      </c>
      <c r="E74" t="s">
        <v>1571</v>
      </c>
      <c r="F74" t="s">
        <v>149</v>
      </c>
      <c r="G74" t="s">
        <v>2426</v>
      </c>
    </row>
    <row r="75" spans="1:7" s="297" customFormat="1" ht="44.25" customHeight="1">
      <c r="A75" t="s">
        <v>632</v>
      </c>
      <c r="B75" t="s">
        <v>136</v>
      </c>
      <c r="C75" t="s">
        <v>136</v>
      </c>
      <c r="D75" t="s">
        <v>79</v>
      </c>
      <c r="E75" t="s">
        <v>1571</v>
      </c>
      <c r="F75" t="s">
        <v>149</v>
      </c>
      <c r="G75" t="s">
        <v>2427</v>
      </c>
    </row>
    <row r="76" spans="1:7" s="297" customFormat="1" ht="44.25" customHeight="1">
      <c r="A76" t="s">
        <v>629</v>
      </c>
      <c r="B76" t="s">
        <v>136</v>
      </c>
      <c r="C76" t="s">
        <v>136</v>
      </c>
      <c r="D76" t="s">
        <v>79</v>
      </c>
      <c r="E76" t="s">
        <v>1570</v>
      </c>
      <c r="F76" t="s">
        <v>149</v>
      </c>
      <c r="G76" t="s">
        <v>2428</v>
      </c>
    </row>
    <row r="77" spans="1:7" s="297" customFormat="1" ht="44.25" customHeight="1">
      <c r="A77" t="s">
        <v>624</v>
      </c>
      <c r="B77" t="s">
        <v>136</v>
      </c>
      <c r="C77" t="s">
        <v>136</v>
      </c>
      <c r="D77" t="s">
        <v>79</v>
      </c>
      <c r="E77" t="s">
        <v>1569</v>
      </c>
      <c r="F77" t="s">
        <v>149</v>
      </c>
      <c r="G77" t="s">
        <v>2429</v>
      </c>
    </row>
    <row r="78" spans="1:7" s="297" customFormat="1" ht="44.25" customHeight="1">
      <c r="A78" t="s">
        <v>619</v>
      </c>
      <c r="B78" t="s">
        <v>136</v>
      </c>
      <c r="C78" t="s">
        <v>136</v>
      </c>
      <c r="D78" t="s">
        <v>79</v>
      </c>
      <c r="E78" t="s">
        <v>1568</v>
      </c>
      <c r="F78" t="s">
        <v>149</v>
      </c>
      <c r="G78" t="s">
        <v>2430</v>
      </c>
    </row>
    <row r="79" spans="1:7" s="297" customFormat="1" ht="44.25" customHeight="1">
      <c r="A79" t="s">
        <v>612</v>
      </c>
      <c r="B79" t="s">
        <v>136</v>
      </c>
      <c r="C79" t="s">
        <v>136</v>
      </c>
      <c r="D79" t="s">
        <v>2431</v>
      </c>
      <c r="E79" t="s">
        <v>1566</v>
      </c>
      <c r="F79" t="s">
        <v>149</v>
      </c>
      <c r="G79" t="s">
        <v>2432</v>
      </c>
    </row>
    <row r="80" spans="1:7" s="297" customFormat="1" ht="44.25" customHeight="1">
      <c r="A80" t="s">
        <v>610</v>
      </c>
      <c r="B80" t="s">
        <v>136</v>
      </c>
      <c r="C80" t="s">
        <v>136</v>
      </c>
      <c r="D80" t="s">
        <v>2257</v>
      </c>
      <c r="E80" t="s">
        <v>1565</v>
      </c>
      <c r="F80" t="s">
        <v>149</v>
      </c>
      <c r="G80" t="s">
        <v>2433</v>
      </c>
    </row>
    <row r="81" spans="1:7" s="297" customFormat="1" ht="44.25" customHeight="1">
      <c r="A81" t="s">
        <v>604</v>
      </c>
      <c r="B81" t="s">
        <v>136</v>
      </c>
      <c r="C81" t="s">
        <v>136</v>
      </c>
      <c r="D81" t="s">
        <v>79</v>
      </c>
      <c r="E81" t="s">
        <v>1564</v>
      </c>
      <c r="F81" t="s">
        <v>149</v>
      </c>
      <c r="G81" t="s">
        <v>2434</v>
      </c>
    </row>
    <row r="82" spans="1:7" s="297" customFormat="1" ht="44.25" customHeight="1">
      <c r="A82" t="s">
        <v>599</v>
      </c>
      <c r="B82" t="s">
        <v>136</v>
      </c>
      <c r="C82" t="s">
        <v>136</v>
      </c>
      <c r="D82" t="s">
        <v>79</v>
      </c>
      <c r="E82" t="s">
        <v>1563</v>
      </c>
      <c r="F82" t="s">
        <v>149</v>
      </c>
      <c r="G82" t="s">
        <v>2435</v>
      </c>
    </row>
    <row r="83" spans="1:7" s="297" customFormat="1" ht="44.25" customHeight="1">
      <c r="A83" t="s">
        <v>597</v>
      </c>
      <c r="B83" t="s">
        <v>136</v>
      </c>
      <c r="C83" t="s">
        <v>136</v>
      </c>
      <c r="D83" t="s">
        <v>79</v>
      </c>
      <c r="E83" t="s">
        <v>1562</v>
      </c>
      <c r="F83" t="s">
        <v>149</v>
      </c>
      <c r="G83" t="s">
        <v>2436</v>
      </c>
    </row>
    <row r="84" spans="1:7" s="297" customFormat="1" ht="44.25" customHeight="1">
      <c r="A84" t="s">
        <v>596</v>
      </c>
      <c r="B84" t="s">
        <v>136</v>
      </c>
      <c r="C84" t="s">
        <v>136</v>
      </c>
      <c r="D84" t="s">
        <v>79</v>
      </c>
      <c r="E84" t="s">
        <v>1561</v>
      </c>
      <c r="F84" t="s">
        <v>149</v>
      </c>
      <c r="G84" t="s">
        <v>2437</v>
      </c>
    </row>
    <row r="85" spans="1:7" s="297" customFormat="1" ht="44.25" customHeight="1">
      <c r="A85" t="s">
        <v>589</v>
      </c>
      <c r="B85" t="s">
        <v>136</v>
      </c>
      <c r="C85" t="s">
        <v>136</v>
      </c>
      <c r="D85" t="s">
        <v>1525</v>
      </c>
      <c r="E85" t="s">
        <v>1560</v>
      </c>
      <c r="F85" t="s">
        <v>149</v>
      </c>
      <c r="G85" t="s">
        <v>2438</v>
      </c>
    </row>
    <row r="86" spans="1:7" s="297" customFormat="1" ht="44.25" customHeight="1">
      <c r="A86" t="s">
        <v>588</v>
      </c>
      <c r="B86" t="s">
        <v>136</v>
      </c>
      <c r="C86" t="s">
        <v>136</v>
      </c>
      <c r="D86" t="s">
        <v>79</v>
      </c>
      <c r="E86" t="s">
        <v>1560</v>
      </c>
      <c r="F86" t="s">
        <v>149</v>
      </c>
      <c r="G86" t="s">
        <v>2439</v>
      </c>
    </row>
    <row r="87" spans="1:7" s="297" customFormat="1" ht="44.25" customHeight="1">
      <c r="A87" t="s">
        <v>585</v>
      </c>
      <c r="B87" t="s">
        <v>136</v>
      </c>
      <c r="C87" t="s">
        <v>136</v>
      </c>
      <c r="D87" t="s">
        <v>80</v>
      </c>
      <c r="E87" t="s">
        <v>1558</v>
      </c>
      <c r="F87" t="s">
        <v>149</v>
      </c>
      <c r="G87" t="s">
        <v>2440</v>
      </c>
    </row>
    <row r="88" spans="1:7" s="297" customFormat="1" ht="44.25" customHeight="1">
      <c r="A88" t="s">
        <v>565</v>
      </c>
      <c r="B88" t="s">
        <v>136</v>
      </c>
      <c r="C88" t="s">
        <v>136</v>
      </c>
      <c r="D88" t="s">
        <v>80</v>
      </c>
      <c r="E88" t="s">
        <v>1557</v>
      </c>
      <c r="F88" t="s">
        <v>149</v>
      </c>
      <c r="G88" t="s">
        <v>2441</v>
      </c>
    </row>
    <row r="89" spans="1:7" s="297" customFormat="1" ht="44.25" customHeight="1">
      <c r="A89" t="s">
        <v>558</v>
      </c>
      <c r="B89" t="s">
        <v>136</v>
      </c>
      <c r="C89" t="s">
        <v>136</v>
      </c>
      <c r="D89" t="s">
        <v>79</v>
      </c>
      <c r="E89" t="s">
        <v>1556</v>
      </c>
      <c r="F89" t="s">
        <v>149</v>
      </c>
      <c r="G89" t="s">
        <v>2442</v>
      </c>
    </row>
    <row r="90" spans="1:7" s="297" customFormat="1" ht="44.25" customHeight="1">
      <c r="A90" t="s">
        <v>553</v>
      </c>
      <c r="B90" t="s">
        <v>136</v>
      </c>
      <c r="C90" t="s">
        <v>136</v>
      </c>
      <c r="D90" t="s">
        <v>79</v>
      </c>
      <c r="E90" t="s">
        <v>1555</v>
      </c>
      <c r="F90" t="s">
        <v>149</v>
      </c>
      <c r="G90" t="s">
        <v>2443</v>
      </c>
    </row>
    <row r="91" spans="1:7" s="297" customFormat="1" ht="44.25" customHeight="1">
      <c r="A91" t="s">
        <v>552</v>
      </c>
      <c r="B91" t="s">
        <v>136</v>
      </c>
      <c r="C91" t="s">
        <v>136</v>
      </c>
      <c r="D91" t="s">
        <v>79</v>
      </c>
      <c r="E91" t="s">
        <v>1554</v>
      </c>
      <c r="F91" t="s">
        <v>149</v>
      </c>
      <c r="G91" t="s">
        <v>2444</v>
      </c>
    </row>
    <row r="92" spans="1:7" s="297" customFormat="1" ht="44.25" customHeight="1">
      <c r="A92" t="s">
        <v>551</v>
      </c>
      <c r="B92" t="s">
        <v>136</v>
      </c>
      <c r="C92" t="s">
        <v>136</v>
      </c>
      <c r="D92" t="s">
        <v>79</v>
      </c>
      <c r="E92" t="s">
        <v>1554</v>
      </c>
      <c r="F92" t="s">
        <v>149</v>
      </c>
      <c r="G92" t="s">
        <v>2445</v>
      </c>
    </row>
    <row r="93" spans="1:7" s="297" customFormat="1" ht="44.25" customHeight="1">
      <c r="A93" t="s">
        <v>1553</v>
      </c>
      <c r="B93" t="s">
        <v>136</v>
      </c>
      <c r="C93" t="s">
        <v>136</v>
      </c>
      <c r="D93" t="s">
        <v>79</v>
      </c>
      <c r="E93" t="s">
        <v>1552</v>
      </c>
      <c r="F93" t="s">
        <v>149</v>
      </c>
      <c r="G93" t="s">
        <v>2446</v>
      </c>
    </row>
    <row r="94" spans="1:7" s="297" customFormat="1" ht="44.25" customHeight="1">
      <c r="A94" t="s">
        <v>1551</v>
      </c>
      <c r="B94" t="s">
        <v>136</v>
      </c>
      <c r="C94" t="s">
        <v>136</v>
      </c>
      <c r="D94" t="s">
        <v>79</v>
      </c>
      <c r="E94" t="s">
        <v>1552</v>
      </c>
      <c r="F94" t="s">
        <v>149</v>
      </c>
      <c r="G94" t="s">
        <v>2447</v>
      </c>
    </row>
    <row r="95" spans="1:7" s="297" customFormat="1" ht="44.25" customHeight="1">
      <c r="A95" t="s">
        <v>549</v>
      </c>
      <c r="B95" t="s">
        <v>136</v>
      </c>
      <c r="C95" t="s">
        <v>136</v>
      </c>
      <c r="D95" t="s">
        <v>79</v>
      </c>
      <c r="E95" t="s">
        <v>1549</v>
      </c>
      <c r="F95" t="s">
        <v>149</v>
      </c>
      <c r="G95" t="s">
        <v>2448</v>
      </c>
    </row>
    <row r="96" spans="1:7" s="297" customFormat="1" ht="44.25" customHeight="1">
      <c r="A96" t="s">
        <v>546</v>
      </c>
      <c r="B96" t="s">
        <v>136</v>
      </c>
      <c r="C96" t="s">
        <v>136</v>
      </c>
      <c r="D96" t="s">
        <v>79</v>
      </c>
      <c r="E96" t="s">
        <v>1546</v>
      </c>
      <c r="F96" t="s">
        <v>149</v>
      </c>
      <c r="G96" t="s">
        <v>2449</v>
      </c>
    </row>
    <row r="97" spans="1:7" s="297" customFormat="1" ht="44.25" customHeight="1">
      <c r="A97" t="s">
        <v>534</v>
      </c>
      <c r="B97" t="s">
        <v>136</v>
      </c>
      <c r="C97" t="s">
        <v>136</v>
      </c>
      <c r="D97" t="s">
        <v>79</v>
      </c>
      <c r="E97" t="s">
        <v>1543</v>
      </c>
      <c r="F97" t="s">
        <v>149</v>
      </c>
      <c r="G97" t="s">
        <v>2450</v>
      </c>
    </row>
    <row r="98" spans="1:7" s="297" customFormat="1" ht="44.25" customHeight="1">
      <c r="A98" t="s">
        <v>493</v>
      </c>
      <c r="B98" t="s">
        <v>136</v>
      </c>
      <c r="C98" t="s">
        <v>136</v>
      </c>
      <c r="D98" t="s">
        <v>79</v>
      </c>
      <c r="E98" t="s">
        <v>1542</v>
      </c>
      <c r="F98" t="s">
        <v>149</v>
      </c>
      <c r="G98" t="s">
        <v>2451</v>
      </c>
    </row>
    <row r="99" spans="1:7" s="297" customFormat="1" ht="44.25" customHeight="1">
      <c r="A99" t="s">
        <v>486</v>
      </c>
      <c r="B99" t="s">
        <v>136</v>
      </c>
      <c r="C99" t="s">
        <v>136</v>
      </c>
      <c r="D99" t="s">
        <v>79</v>
      </c>
      <c r="E99" t="s">
        <v>1540</v>
      </c>
      <c r="F99" t="s">
        <v>149</v>
      </c>
      <c r="G99" t="s">
        <v>2452</v>
      </c>
    </row>
    <row r="100" spans="1:7" s="297" customFormat="1" ht="44.25" customHeight="1">
      <c r="A100" t="s">
        <v>479</v>
      </c>
      <c r="B100" t="s">
        <v>136</v>
      </c>
      <c r="C100" t="s">
        <v>136</v>
      </c>
      <c r="D100" t="s">
        <v>79</v>
      </c>
      <c r="E100" t="s">
        <v>1537</v>
      </c>
      <c r="F100" t="s">
        <v>149</v>
      </c>
      <c r="G100" t="s">
        <v>2453</v>
      </c>
    </row>
    <row r="101" spans="1:7" s="297" customFormat="1" ht="44.25" customHeight="1">
      <c r="A101" t="s">
        <v>477</v>
      </c>
      <c r="B101" t="s">
        <v>136</v>
      </c>
      <c r="C101" t="s">
        <v>136</v>
      </c>
      <c r="D101" t="s">
        <v>79</v>
      </c>
      <c r="E101" t="s">
        <v>1535</v>
      </c>
      <c r="F101" t="s">
        <v>149</v>
      </c>
      <c r="G101" t="s">
        <v>2454</v>
      </c>
    </row>
    <row r="102" spans="1:7" s="297" customFormat="1" ht="44.25" customHeight="1">
      <c r="A102" t="s">
        <v>476</v>
      </c>
      <c r="B102" t="s">
        <v>136</v>
      </c>
      <c r="C102" t="s">
        <v>136</v>
      </c>
      <c r="D102" t="s">
        <v>79</v>
      </c>
      <c r="E102" t="s">
        <v>1535</v>
      </c>
      <c r="F102" t="s">
        <v>149</v>
      </c>
      <c r="G102" t="s">
        <v>2455</v>
      </c>
    </row>
    <row r="103" spans="1:7" s="297" customFormat="1" ht="44.25" customHeight="1">
      <c r="A103" t="s">
        <v>471</v>
      </c>
      <c r="B103" t="s">
        <v>136</v>
      </c>
      <c r="C103" t="s">
        <v>136</v>
      </c>
      <c r="D103" t="s">
        <v>79</v>
      </c>
      <c r="E103" t="s">
        <v>1533</v>
      </c>
      <c r="F103" t="s">
        <v>149</v>
      </c>
      <c r="G103" t="s">
        <v>2456</v>
      </c>
    </row>
    <row r="104" spans="1:7" s="297" customFormat="1" ht="44.25" customHeight="1">
      <c r="A104" t="s">
        <v>470</v>
      </c>
      <c r="B104" t="s">
        <v>136</v>
      </c>
      <c r="C104" t="s">
        <v>136</v>
      </c>
      <c r="D104" t="s">
        <v>79</v>
      </c>
      <c r="E104" t="s">
        <v>1532</v>
      </c>
      <c r="F104" t="s">
        <v>149</v>
      </c>
      <c r="G104" t="s">
        <v>2457</v>
      </c>
    </row>
    <row r="105" spans="1:7" s="297" customFormat="1" ht="44.25" customHeight="1">
      <c r="A105" t="s">
        <v>466</v>
      </c>
      <c r="B105" t="s">
        <v>136</v>
      </c>
      <c r="C105" t="s">
        <v>136</v>
      </c>
      <c r="D105" t="s">
        <v>79</v>
      </c>
      <c r="E105" t="s">
        <v>1531</v>
      </c>
      <c r="F105" t="s">
        <v>149</v>
      </c>
      <c r="G105" t="s">
        <v>2458</v>
      </c>
    </row>
    <row r="106" spans="1:7" s="297" customFormat="1" ht="44.25" customHeight="1">
      <c r="A106" t="s">
        <v>465</v>
      </c>
      <c r="B106" t="s">
        <v>136</v>
      </c>
      <c r="C106" t="s">
        <v>136</v>
      </c>
      <c r="D106" t="s">
        <v>79</v>
      </c>
      <c r="E106" t="s">
        <v>1531</v>
      </c>
      <c r="F106" t="s">
        <v>149</v>
      </c>
      <c r="G106" t="s">
        <v>2459</v>
      </c>
    </row>
    <row r="107" spans="1:7" s="297" customFormat="1" ht="44.25" customHeight="1">
      <c r="A107" t="s">
        <v>436</v>
      </c>
      <c r="B107" t="s">
        <v>136</v>
      </c>
      <c r="C107" t="s">
        <v>136</v>
      </c>
      <c r="D107" t="s">
        <v>79</v>
      </c>
      <c r="E107" t="s">
        <v>1528</v>
      </c>
      <c r="F107" t="s">
        <v>149</v>
      </c>
      <c r="G107" t="s">
        <v>2460</v>
      </c>
    </row>
    <row r="108" spans="1:7" s="297" customFormat="1" ht="44.25" customHeight="1">
      <c r="A108" t="s">
        <v>435</v>
      </c>
      <c r="B108" t="s">
        <v>136</v>
      </c>
      <c r="C108" t="s">
        <v>136</v>
      </c>
      <c r="D108" t="s">
        <v>79</v>
      </c>
      <c r="E108" t="s">
        <v>1482</v>
      </c>
      <c r="F108" t="s">
        <v>149</v>
      </c>
      <c r="G108" t="s">
        <v>2461</v>
      </c>
    </row>
    <row r="109" spans="1:7" s="297" customFormat="1" ht="44.25" customHeight="1">
      <c r="A109" t="s">
        <v>431</v>
      </c>
      <c r="B109" t="s">
        <v>136</v>
      </c>
      <c r="C109" t="s">
        <v>136</v>
      </c>
      <c r="D109" t="s">
        <v>79</v>
      </c>
      <c r="E109" t="s">
        <v>1482</v>
      </c>
      <c r="F109" t="s">
        <v>149</v>
      </c>
      <c r="G109" t="s">
        <v>2462</v>
      </c>
    </row>
    <row r="110" spans="1:7" s="297" customFormat="1" ht="44.25" customHeight="1">
      <c r="A110" t="s">
        <v>426</v>
      </c>
      <c r="B110" t="s">
        <v>136</v>
      </c>
      <c r="C110" t="s">
        <v>136</v>
      </c>
      <c r="D110" t="s">
        <v>79</v>
      </c>
      <c r="E110" t="s">
        <v>1526</v>
      </c>
      <c r="F110" t="s">
        <v>149</v>
      </c>
      <c r="G110" t="s">
        <v>2463</v>
      </c>
    </row>
    <row r="111" spans="1:7" s="297" customFormat="1" ht="44.25" customHeight="1">
      <c r="A111" t="s">
        <v>352</v>
      </c>
      <c r="B111" t="s">
        <v>136</v>
      </c>
      <c r="C111" t="s">
        <v>136</v>
      </c>
      <c r="D111" t="s">
        <v>2431</v>
      </c>
      <c r="E111" t="s">
        <v>1514</v>
      </c>
      <c r="F111" t="s">
        <v>149</v>
      </c>
      <c r="G111" t="s">
        <v>2464</v>
      </c>
    </row>
    <row r="112" spans="1:7" s="297" customFormat="1" ht="44.25" customHeight="1">
      <c r="A112" t="s">
        <v>347</v>
      </c>
      <c r="B112" t="s">
        <v>136</v>
      </c>
      <c r="C112" t="s">
        <v>136</v>
      </c>
      <c r="D112" t="s">
        <v>2431</v>
      </c>
      <c r="E112" t="s">
        <v>1513</v>
      </c>
      <c r="F112" t="s">
        <v>149</v>
      </c>
      <c r="G112" t="s">
        <v>2465</v>
      </c>
    </row>
    <row r="113" spans="1:7" s="297" customFormat="1" ht="44.25" customHeight="1">
      <c r="A113" t="s">
        <v>346</v>
      </c>
      <c r="B113" t="s">
        <v>136</v>
      </c>
      <c r="C113" t="s">
        <v>136</v>
      </c>
      <c r="D113" t="s">
        <v>2431</v>
      </c>
      <c r="E113" t="s">
        <v>1513</v>
      </c>
      <c r="F113" t="s">
        <v>149</v>
      </c>
      <c r="G113" t="s">
        <v>2466</v>
      </c>
    </row>
    <row r="114" spans="1:7" s="297" customFormat="1" ht="44.25" customHeight="1">
      <c r="A114" t="s">
        <v>344</v>
      </c>
      <c r="B114" t="s">
        <v>136</v>
      </c>
      <c r="C114" t="s">
        <v>136</v>
      </c>
      <c r="D114" t="s">
        <v>79</v>
      </c>
      <c r="E114" t="s">
        <v>1512</v>
      </c>
      <c r="F114" t="s">
        <v>149</v>
      </c>
      <c r="G114" t="s">
        <v>2467</v>
      </c>
    </row>
    <row r="115" spans="1:7" s="297" customFormat="1" ht="44.25" customHeight="1">
      <c r="A115" t="s">
        <v>332</v>
      </c>
      <c r="B115" t="s">
        <v>136</v>
      </c>
      <c r="C115" t="s">
        <v>136</v>
      </c>
      <c r="D115" t="s">
        <v>79</v>
      </c>
      <c r="E115" t="s">
        <v>1511</v>
      </c>
      <c r="F115" t="s">
        <v>149</v>
      </c>
      <c r="G115" t="s">
        <v>2468</v>
      </c>
    </row>
    <row r="116" spans="1:7" s="297" customFormat="1" ht="44.25" customHeight="1">
      <c r="A116" t="s">
        <v>1481</v>
      </c>
      <c r="B116" t="s">
        <v>136</v>
      </c>
      <c r="C116" t="s">
        <v>136</v>
      </c>
      <c r="D116" t="s">
        <v>79</v>
      </c>
      <c r="E116" t="s">
        <v>1482</v>
      </c>
      <c r="F116" t="s">
        <v>149</v>
      </c>
      <c r="G116" t="s">
        <v>2469</v>
      </c>
    </row>
    <row r="117" spans="1:7" s="297" customFormat="1" ht="44.25" customHeight="1">
      <c r="A117" t="s">
        <v>2470</v>
      </c>
      <c r="B117" t="s">
        <v>136</v>
      </c>
      <c r="C117" t="s">
        <v>136</v>
      </c>
      <c r="D117" t="s">
        <v>79</v>
      </c>
      <c r="E117" t="s">
        <v>2471</v>
      </c>
      <c r="F117" t="s">
        <v>149</v>
      </c>
      <c r="G117" t="s">
        <v>2472</v>
      </c>
    </row>
    <row r="118" spans="1:7" s="297" customFormat="1" ht="44.25" customHeight="1">
      <c r="A118" t="s">
        <v>2473</v>
      </c>
      <c r="B118" t="s">
        <v>136</v>
      </c>
      <c r="C118" t="s">
        <v>136</v>
      </c>
      <c r="D118" t="s">
        <v>79</v>
      </c>
      <c r="E118" t="s">
        <v>2471</v>
      </c>
      <c r="F118" t="s">
        <v>149</v>
      </c>
      <c r="G118" t="s">
        <v>2474</v>
      </c>
    </row>
    <row r="119" spans="1:7" s="297" customFormat="1" ht="44.25" customHeight="1">
      <c r="A119" t="s">
        <v>2475</v>
      </c>
      <c r="B119" t="s">
        <v>136</v>
      </c>
      <c r="C119" t="s">
        <v>136</v>
      </c>
      <c r="D119" t="s">
        <v>79</v>
      </c>
      <c r="E119" t="s">
        <v>2471</v>
      </c>
      <c r="F119" t="s">
        <v>149</v>
      </c>
      <c r="G119" t="s">
        <v>2476</v>
      </c>
    </row>
    <row r="120" spans="1:7" s="297" customFormat="1" ht="44.25" customHeight="1">
      <c r="A120" t="s">
        <v>2477</v>
      </c>
      <c r="B120" t="s">
        <v>136</v>
      </c>
      <c r="C120" t="s">
        <v>136</v>
      </c>
      <c r="D120" t="s">
        <v>2257</v>
      </c>
      <c r="E120" t="s">
        <v>2478</v>
      </c>
      <c r="F120" t="s">
        <v>149</v>
      </c>
      <c r="G120" t="s">
        <v>2479</v>
      </c>
    </row>
    <row r="121" spans="1:7" s="297" customFormat="1" ht="44.25" customHeight="1">
      <c r="A121" t="s">
        <v>2480</v>
      </c>
      <c r="B121" t="s">
        <v>136</v>
      </c>
      <c r="C121" t="s">
        <v>136</v>
      </c>
      <c r="D121" t="s">
        <v>2257</v>
      </c>
      <c r="E121" t="s">
        <v>2478</v>
      </c>
      <c r="F121" t="s">
        <v>149</v>
      </c>
      <c r="G121" t="s">
        <v>2481</v>
      </c>
    </row>
    <row r="122" spans="1:7" s="297" customFormat="1" ht="44.25" customHeight="1">
      <c r="A122" t="s">
        <v>2482</v>
      </c>
      <c r="B122" t="s">
        <v>136</v>
      </c>
      <c r="C122" t="s">
        <v>136</v>
      </c>
      <c r="D122" t="s">
        <v>79</v>
      </c>
      <c r="E122" t="s">
        <v>2483</v>
      </c>
      <c r="F122" t="s">
        <v>149</v>
      </c>
      <c r="G122" t="s">
        <v>2484</v>
      </c>
    </row>
    <row r="123" spans="1:7" s="297" customFormat="1" ht="44.25" customHeight="1">
      <c r="A123" t="s">
        <v>2485</v>
      </c>
      <c r="B123" t="s">
        <v>136</v>
      </c>
      <c r="C123" t="s">
        <v>136</v>
      </c>
      <c r="D123" t="s">
        <v>2257</v>
      </c>
      <c r="E123" t="s">
        <v>2486</v>
      </c>
      <c r="F123" t="s">
        <v>149</v>
      </c>
      <c r="G123" t="s">
        <v>2487</v>
      </c>
    </row>
    <row r="124" spans="1:7" s="297" customFormat="1" ht="44.25" customHeight="1">
      <c r="A124" t="s">
        <v>2488</v>
      </c>
      <c r="B124" t="s">
        <v>136</v>
      </c>
      <c r="C124" t="s">
        <v>136</v>
      </c>
      <c r="D124" t="s">
        <v>79</v>
      </c>
      <c r="E124" t="s">
        <v>2489</v>
      </c>
      <c r="F124" t="s">
        <v>149</v>
      </c>
      <c r="G124" t="s">
        <v>2490</v>
      </c>
    </row>
    <row r="125" spans="1:7" s="297" customFormat="1" ht="44.25" customHeight="1">
      <c r="A125" t="s">
        <v>2491</v>
      </c>
      <c r="B125" t="s">
        <v>136</v>
      </c>
      <c r="C125" t="s">
        <v>136</v>
      </c>
      <c r="D125" t="s">
        <v>79</v>
      </c>
      <c r="E125" t="s">
        <v>2492</v>
      </c>
      <c r="F125" t="s">
        <v>149</v>
      </c>
      <c r="G125" t="s">
        <v>2493</v>
      </c>
    </row>
    <row r="126" spans="1:7" s="297" customFormat="1" ht="44.25" customHeight="1">
      <c r="A126" t="s">
        <v>2494</v>
      </c>
      <c r="B126" t="s">
        <v>136</v>
      </c>
      <c r="C126" t="s">
        <v>136</v>
      </c>
      <c r="D126" t="s">
        <v>79</v>
      </c>
      <c r="E126" t="s">
        <v>2495</v>
      </c>
      <c r="F126" t="s">
        <v>149</v>
      </c>
      <c r="G126" t="s">
        <v>2496</v>
      </c>
    </row>
    <row r="127" spans="1:7" s="297" customFormat="1" ht="44.25" customHeight="1">
      <c r="A127" t="s">
        <v>2497</v>
      </c>
      <c r="B127" t="s">
        <v>136</v>
      </c>
      <c r="C127" t="s">
        <v>136</v>
      </c>
      <c r="D127" t="s">
        <v>79</v>
      </c>
      <c r="E127" t="s">
        <v>2498</v>
      </c>
      <c r="F127" t="s">
        <v>149</v>
      </c>
      <c r="G127" t="s">
        <v>2499</v>
      </c>
    </row>
    <row r="128" spans="1:7" s="297" customFormat="1" ht="44.25" customHeight="1">
      <c r="A128" t="s">
        <v>2500</v>
      </c>
      <c r="B128" t="s">
        <v>136</v>
      </c>
      <c r="C128" t="s">
        <v>136</v>
      </c>
      <c r="D128" t="s">
        <v>79</v>
      </c>
      <c r="E128" t="s">
        <v>2501</v>
      </c>
      <c r="F128" t="s">
        <v>149</v>
      </c>
      <c r="G128" t="s">
        <v>2502</v>
      </c>
    </row>
    <row r="129" spans="1:7" s="297" customFormat="1" ht="44.25" customHeight="1">
      <c r="A129" t="s">
        <v>2503</v>
      </c>
      <c r="B129" t="s">
        <v>136</v>
      </c>
      <c r="C129" t="s">
        <v>136</v>
      </c>
      <c r="D129" t="s">
        <v>79</v>
      </c>
      <c r="E129" t="s">
        <v>2501</v>
      </c>
      <c r="F129" t="s">
        <v>149</v>
      </c>
      <c r="G129" t="s">
        <v>2504</v>
      </c>
    </row>
    <row r="130" spans="1:7" s="297" customFormat="1" ht="44.25" customHeight="1">
      <c r="A130" t="s">
        <v>2505</v>
      </c>
      <c r="B130" t="s">
        <v>136</v>
      </c>
      <c r="C130" t="s">
        <v>136</v>
      </c>
      <c r="D130" t="s">
        <v>79</v>
      </c>
      <c r="E130" t="s">
        <v>2501</v>
      </c>
      <c r="F130" t="s">
        <v>149</v>
      </c>
      <c r="G130" t="s">
        <v>2506</v>
      </c>
    </row>
    <row r="131" spans="1:7" s="297" customFormat="1" ht="44.25" customHeight="1">
      <c r="A131" t="s">
        <v>2507</v>
      </c>
      <c r="B131" t="s">
        <v>136</v>
      </c>
      <c r="C131" t="s">
        <v>136</v>
      </c>
      <c r="D131" t="s">
        <v>79</v>
      </c>
      <c r="E131" t="s">
        <v>2501</v>
      </c>
      <c r="F131" t="s">
        <v>149</v>
      </c>
      <c r="G131" t="s">
        <v>2508</v>
      </c>
    </row>
    <row r="132" spans="1:7" s="297" customFormat="1" ht="44.25" customHeight="1">
      <c r="A132" t="s">
        <v>2509</v>
      </c>
      <c r="B132" t="s">
        <v>136</v>
      </c>
      <c r="C132" t="s">
        <v>136</v>
      </c>
      <c r="D132" t="s">
        <v>79</v>
      </c>
      <c r="E132" t="s">
        <v>2501</v>
      </c>
      <c r="F132" t="s">
        <v>149</v>
      </c>
      <c r="G132" t="s">
        <v>2510</v>
      </c>
    </row>
    <row r="133" spans="1:7" s="297" customFormat="1" ht="44.25" customHeight="1">
      <c r="A133" t="s">
        <v>2511</v>
      </c>
      <c r="B133" t="s">
        <v>136</v>
      </c>
      <c r="C133" t="s">
        <v>136</v>
      </c>
      <c r="D133" t="s">
        <v>79</v>
      </c>
      <c r="E133" t="s">
        <v>2501</v>
      </c>
      <c r="F133" t="s">
        <v>149</v>
      </c>
      <c r="G133" t="s">
        <v>2512</v>
      </c>
    </row>
    <row r="134" spans="1:7" s="297" customFormat="1" ht="44.25" customHeight="1">
      <c r="A134" t="s">
        <v>2513</v>
      </c>
      <c r="B134" t="s">
        <v>136</v>
      </c>
      <c r="C134" t="s">
        <v>136</v>
      </c>
      <c r="D134" t="s">
        <v>79</v>
      </c>
      <c r="E134" t="s">
        <v>2514</v>
      </c>
      <c r="F134" t="s">
        <v>149</v>
      </c>
      <c r="G134" t="s">
        <v>2515</v>
      </c>
    </row>
    <row r="135" spans="1:7" s="297" customFormat="1" ht="44.25" customHeight="1">
      <c r="A135" t="s">
        <v>2516</v>
      </c>
      <c r="B135" t="s">
        <v>136</v>
      </c>
      <c r="C135" t="s">
        <v>136</v>
      </c>
      <c r="D135" t="s">
        <v>79</v>
      </c>
      <c r="E135" t="s">
        <v>2517</v>
      </c>
      <c r="F135" t="s">
        <v>149</v>
      </c>
      <c r="G135" t="s">
        <v>2518</v>
      </c>
    </row>
    <row r="136" spans="1:7" s="297" customFormat="1" ht="44.25" customHeight="1">
      <c r="A136" t="s">
        <v>2519</v>
      </c>
      <c r="B136" t="s">
        <v>136</v>
      </c>
      <c r="C136" t="s">
        <v>136</v>
      </c>
      <c r="D136" t="s">
        <v>2257</v>
      </c>
      <c r="E136" t="s">
        <v>1318</v>
      </c>
      <c r="F136" t="s">
        <v>149</v>
      </c>
      <c r="G136" t="s">
        <v>2520</v>
      </c>
    </row>
    <row r="137" spans="1:7" s="297" customFormat="1" ht="44.25" customHeight="1">
      <c r="A137" t="s">
        <v>2521</v>
      </c>
      <c r="B137" t="s">
        <v>136</v>
      </c>
      <c r="C137" t="s">
        <v>136</v>
      </c>
      <c r="D137" t="s">
        <v>2257</v>
      </c>
      <c r="E137" t="s">
        <v>1318</v>
      </c>
      <c r="F137" t="s">
        <v>149</v>
      </c>
      <c r="G137" t="s">
        <v>2522</v>
      </c>
    </row>
    <row r="138" spans="1:7" s="297" customFormat="1" ht="44.25" customHeight="1">
      <c r="A138" t="s">
        <v>2523</v>
      </c>
      <c r="B138" t="s">
        <v>136</v>
      </c>
      <c r="C138" t="s">
        <v>136</v>
      </c>
      <c r="D138" t="s">
        <v>2431</v>
      </c>
      <c r="E138" t="s">
        <v>2524</v>
      </c>
      <c r="F138" t="s">
        <v>149</v>
      </c>
      <c r="G138" t="s">
        <v>2525</v>
      </c>
    </row>
    <row r="139" spans="1:7" s="297" customFormat="1" ht="44.25" customHeight="1">
      <c r="A139" t="s">
        <v>2526</v>
      </c>
      <c r="B139" t="s">
        <v>136</v>
      </c>
      <c r="C139" t="s">
        <v>136</v>
      </c>
      <c r="D139" t="s">
        <v>2257</v>
      </c>
      <c r="E139" t="s">
        <v>2527</v>
      </c>
      <c r="F139" t="s">
        <v>149</v>
      </c>
      <c r="G139" t="s">
        <v>2528</v>
      </c>
    </row>
    <row r="140" spans="1:7" s="297" customFormat="1" ht="44.25" customHeight="1">
      <c r="A140" t="s">
        <v>2529</v>
      </c>
      <c r="B140" t="s">
        <v>136</v>
      </c>
      <c r="C140" t="s">
        <v>136</v>
      </c>
      <c r="D140" t="s">
        <v>2257</v>
      </c>
      <c r="E140" t="s">
        <v>1342</v>
      </c>
      <c r="F140" t="s">
        <v>149</v>
      </c>
      <c r="G140" t="s">
        <v>2530</v>
      </c>
    </row>
    <row r="141" spans="1:7" s="297" customFormat="1" ht="44.25" customHeight="1">
      <c r="A141" t="s">
        <v>2531</v>
      </c>
      <c r="B141" t="s">
        <v>136</v>
      </c>
      <c r="C141" t="s">
        <v>136</v>
      </c>
      <c r="D141" t="s">
        <v>2257</v>
      </c>
      <c r="E141" t="s">
        <v>1342</v>
      </c>
      <c r="F141" t="s">
        <v>149</v>
      </c>
      <c r="G141" t="s">
        <v>2532</v>
      </c>
    </row>
    <row r="142" spans="1:7" s="297" customFormat="1" ht="44.25" customHeight="1">
      <c r="A142" t="s">
        <v>2533</v>
      </c>
      <c r="B142" t="s">
        <v>136</v>
      </c>
      <c r="C142" t="s">
        <v>136</v>
      </c>
      <c r="D142" t="s">
        <v>2257</v>
      </c>
      <c r="E142" t="s">
        <v>2527</v>
      </c>
      <c r="F142" t="s">
        <v>149</v>
      </c>
      <c r="G142" t="s">
        <v>2534</v>
      </c>
    </row>
    <row r="143" spans="1:7" s="297" customFormat="1" ht="44.25" customHeight="1">
      <c r="A143" t="s">
        <v>2535</v>
      </c>
      <c r="B143" t="s">
        <v>136</v>
      </c>
      <c r="C143" t="s">
        <v>136</v>
      </c>
      <c r="D143" t="s">
        <v>79</v>
      </c>
      <c r="E143" t="s">
        <v>2536</v>
      </c>
      <c r="F143" t="s">
        <v>149</v>
      </c>
      <c r="G143" t="s">
        <v>2537</v>
      </c>
    </row>
    <row r="144" spans="1:7" s="297" customFormat="1" ht="44.25" customHeight="1">
      <c r="A144" t="s">
        <v>2538</v>
      </c>
      <c r="B144" t="s">
        <v>136</v>
      </c>
      <c r="C144" t="s">
        <v>136</v>
      </c>
      <c r="D144" t="s">
        <v>79</v>
      </c>
      <c r="E144" t="s">
        <v>2539</v>
      </c>
      <c r="F144" t="s">
        <v>149</v>
      </c>
      <c r="G144" t="s">
        <v>2540</v>
      </c>
    </row>
    <row r="145" spans="1:7" s="297" customFormat="1" ht="44.25" customHeight="1">
      <c r="A145" t="s">
        <v>2541</v>
      </c>
      <c r="B145" t="s">
        <v>136</v>
      </c>
      <c r="C145" t="s">
        <v>136</v>
      </c>
      <c r="D145" t="s">
        <v>2257</v>
      </c>
      <c r="E145" t="s">
        <v>2542</v>
      </c>
      <c r="F145" t="s">
        <v>149</v>
      </c>
      <c r="G145" t="s">
        <v>2543</v>
      </c>
    </row>
    <row r="146" spans="1:7" s="297" customFormat="1" ht="44.25" customHeight="1">
      <c r="A146" t="s">
        <v>2544</v>
      </c>
      <c r="B146" t="s">
        <v>136</v>
      </c>
      <c r="C146" t="s">
        <v>136</v>
      </c>
      <c r="D146" t="s">
        <v>2257</v>
      </c>
      <c r="E146" t="s">
        <v>2545</v>
      </c>
      <c r="F146" t="s">
        <v>149</v>
      </c>
      <c r="G146" t="s">
        <v>2546</v>
      </c>
    </row>
    <row r="147" spans="1:7" s="297" customFormat="1" ht="44.25" customHeight="1">
      <c r="A147" t="s">
        <v>2547</v>
      </c>
      <c r="B147" t="s">
        <v>136</v>
      </c>
      <c r="C147" t="s">
        <v>136</v>
      </c>
      <c r="D147" t="s">
        <v>2257</v>
      </c>
      <c r="E147" t="s">
        <v>1327</v>
      </c>
      <c r="F147" t="s">
        <v>149</v>
      </c>
      <c r="G147" t="s">
        <v>2548</v>
      </c>
    </row>
    <row r="148" spans="1:7" s="297" customFormat="1" ht="44.25" customHeight="1">
      <c r="A148" t="s">
        <v>2549</v>
      </c>
      <c r="B148" t="s">
        <v>2550</v>
      </c>
      <c r="C148" t="s">
        <v>136</v>
      </c>
      <c r="D148" t="s">
        <v>2253</v>
      </c>
      <c r="E148" t="s">
        <v>1430</v>
      </c>
      <c r="F148" t="s">
        <v>149</v>
      </c>
      <c r="G148" t="s">
        <v>2551</v>
      </c>
    </row>
    <row r="149" spans="1:7" s="297" customFormat="1" ht="44.25" customHeight="1">
      <c r="A149" t="s">
        <v>2552</v>
      </c>
      <c r="B149" t="s">
        <v>2553</v>
      </c>
      <c r="C149" t="s">
        <v>136</v>
      </c>
      <c r="D149" t="s">
        <v>2253</v>
      </c>
      <c r="E149" t="s">
        <v>1430</v>
      </c>
      <c r="F149" t="s">
        <v>149</v>
      </c>
      <c r="G149" t="s">
        <v>2554</v>
      </c>
    </row>
    <row r="150" spans="1:7" s="297" customFormat="1" ht="44.25" customHeight="1">
      <c r="A150" t="s">
        <v>2555</v>
      </c>
      <c r="B150" t="s">
        <v>2556</v>
      </c>
      <c r="C150" t="s">
        <v>136</v>
      </c>
      <c r="D150" t="s">
        <v>2253</v>
      </c>
      <c r="E150" t="s">
        <v>1430</v>
      </c>
      <c r="F150" t="s">
        <v>149</v>
      </c>
      <c r="G150" t="s">
        <v>2557</v>
      </c>
    </row>
    <row r="151" spans="1:7" s="297" customFormat="1" ht="44.25" customHeight="1">
      <c r="A151" t="s">
        <v>2558</v>
      </c>
      <c r="B151" t="s">
        <v>2559</v>
      </c>
      <c r="C151" t="s">
        <v>136</v>
      </c>
      <c r="D151" t="s">
        <v>2253</v>
      </c>
      <c r="E151" t="s">
        <v>1430</v>
      </c>
      <c r="F151" t="s">
        <v>149</v>
      </c>
      <c r="G151" t="s">
        <v>2560</v>
      </c>
    </row>
    <row r="152" spans="1:7" s="297" customFormat="1" ht="44.25" customHeight="1">
      <c r="A152" t="s">
        <v>2561</v>
      </c>
      <c r="B152" t="s">
        <v>2562</v>
      </c>
      <c r="C152" t="s">
        <v>136</v>
      </c>
      <c r="D152" t="s">
        <v>2253</v>
      </c>
      <c r="E152" t="s">
        <v>1430</v>
      </c>
      <c r="F152" t="s">
        <v>149</v>
      </c>
      <c r="G152" t="s">
        <v>2563</v>
      </c>
    </row>
    <row r="153" spans="1:7" s="297" customFormat="1" ht="44.25" customHeight="1">
      <c r="A153" t="s">
        <v>2564</v>
      </c>
      <c r="B153" t="s">
        <v>2565</v>
      </c>
      <c r="C153" t="s">
        <v>136</v>
      </c>
      <c r="D153" t="s">
        <v>2253</v>
      </c>
      <c r="E153" t="s">
        <v>1430</v>
      </c>
      <c r="F153" t="s">
        <v>149</v>
      </c>
      <c r="G153" t="s">
        <v>2566</v>
      </c>
    </row>
    <row r="154" spans="1:7" s="297" customFormat="1" ht="44.25" customHeight="1">
      <c r="A154" t="s">
        <v>2567</v>
      </c>
      <c r="B154" t="s">
        <v>2568</v>
      </c>
      <c r="C154" t="s">
        <v>136</v>
      </c>
      <c r="D154" t="s">
        <v>2257</v>
      </c>
      <c r="E154" t="s">
        <v>2276</v>
      </c>
      <c r="F154" t="s">
        <v>149</v>
      </c>
      <c r="G154" t="s">
        <v>2569</v>
      </c>
    </row>
    <row r="155" spans="1:7" s="297" customFormat="1" ht="44.25" customHeight="1">
      <c r="A155" t="s">
        <v>2570</v>
      </c>
      <c r="B155" t="s">
        <v>136</v>
      </c>
      <c r="C155" t="s">
        <v>136</v>
      </c>
      <c r="D155" t="s">
        <v>2257</v>
      </c>
      <c r="E155" t="s">
        <v>1322</v>
      </c>
      <c r="F155" t="s">
        <v>149</v>
      </c>
      <c r="G155" t="s">
        <v>2571</v>
      </c>
    </row>
    <row r="156" spans="1:7" s="297" customFormat="1" ht="44.25" customHeight="1">
      <c r="A156" t="s">
        <v>2572</v>
      </c>
      <c r="B156" t="s">
        <v>2573</v>
      </c>
      <c r="C156" t="s">
        <v>136</v>
      </c>
      <c r="D156" t="s">
        <v>2253</v>
      </c>
      <c r="E156" t="s">
        <v>1432</v>
      </c>
      <c r="F156" t="s">
        <v>149</v>
      </c>
      <c r="G156" t="s">
        <v>2574</v>
      </c>
    </row>
    <row r="157" spans="1:7" s="297" customFormat="1" ht="44.25" customHeight="1">
      <c r="A157" t="s">
        <v>136</v>
      </c>
      <c r="B157" t="s">
        <v>136</v>
      </c>
      <c r="C157" t="s">
        <v>1618</v>
      </c>
      <c r="D157" t="s">
        <v>2257</v>
      </c>
      <c r="E157" t="s">
        <v>1499</v>
      </c>
      <c r="F157" t="s">
        <v>149</v>
      </c>
      <c r="G157" t="s">
        <v>2575</v>
      </c>
    </row>
    <row r="158" spans="1:7" s="297" customFormat="1" ht="44.25" customHeight="1">
      <c r="A158" t="s">
        <v>136</v>
      </c>
      <c r="B158" t="s">
        <v>136</v>
      </c>
      <c r="C158" t="s">
        <v>1617</v>
      </c>
      <c r="D158" t="s">
        <v>2257</v>
      </c>
      <c r="E158" t="s">
        <v>1499</v>
      </c>
      <c r="F158" t="s">
        <v>149</v>
      </c>
      <c r="G158" t="s">
        <v>2576</v>
      </c>
    </row>
    <row r="159" spans="1:7" s="297" customFormat="1" ht="44.25" customHeight="1">
      <c r="A159" t="s">
        <v>136</v>
      </c>
      <c r="B159" t="s">
        <v>136</v>
      </c>
      <c r="C159" t="s">
        <v>1616</v>
      </c>
      <c r="D159" t="s">
        <v>2257</v>
      </c>
      <c r="E159" t="s">
        <v>1612</v>
      </c>
      <c r="F159" t="s">
        <v>149</v>
      </c>
      <c r="G159" t="s">
        <v>2577</v>
      </c>
    </row>
    <row r="160" spans="1:7" s="297" customFormat="1" ht="44.25" customHeight="1">
      <c r="A160" t="s">
        <v>136</v>
      </c>
      <c r="B160" t="s">
        <v>136</v>
      </c>
      <c r="C160" t="s">
        <v>1615</v>
      </c>
      <c r="D160" t="s">
        <v>2257</v>
      </c>
      <c r="E160" t="s">
        <v>1612</v>
      </c>
      <c r="F160" t="s">
        <v>149</v>
      </c>
      <c r="G160" t="s">
        <v>2578</v>
      </c>
    </row>
    <row r="161" spans="1:7" s="297" customFormat="1" ht="44.25" customHeight="1">
      <c r="A161" t="s">
        <v>136</v>
      </c>
      <c r="B161" t="s">
        <v>136</v>
      </c>
      <c r="C161" t="s">
        <v>1614</v>
      </c>
      <c r="D161" t="s">
        <v>2257</v>
      </c>
      <c r="E161" t="s">
        <v>1612</v>
      </c>
      <c r="F161" t="s">
        <v>149</v>
      </c>
      <c r="G161" t="s">
        <v>2579</v>
      </c>
    </row>
    <row r="162" spans="1:7" s="297" customFormat="1" ht="44.25" customHeight="1">
      <c r="A162" t="s">
        <v>136</v>
      </c>
      <c r="B162" t="s">
        <v>136</v>
      </c>
      <c r="C162" t="s">
        <v>1609</v>
      </c>
      <c r="D162" t="s">
        <v>2257</v>
      </c>
      <c r="E162" t="s">
        <v>1610</v>
      </c>
      <c r="F162" t="s">
        <v>149</v>
      </c>
      <c r="G162" t="s">
        <v>2580</v>
      </c>
    </row>
    <row r="163" spans="1:7" s="297" customFormat="1" ht="44.25" customHeight="1">
      <c r="A163" t="s">
        <v>136</v>
      </c>
      <c r="B163" t="s">
        <v>136</v>
      </c>
      <c r="C163" t="s">
        <v>1608</v>
      </c>
      <c r="D163" t="s">
        <v>2257</v>
      </c>
      <c r="E163" t="s">
        <v>1607</v>
      </c>
      <c r="F163" t="s">
        <v>149</v>
      </c>
      <c r="G163" t="s">
        <v>2581</v>
      </c>
    </row>
    <row r="164" spans="1:7" s="297" customFormat="1" ht="44.25" customHeight="1">
      <c r="A164" t="s">
        <v>136</v>
      </c>
      <c r="B164" t="s">
        <v>136</v>
      </c>
      <c r="C164" t="s">
        <v>2582</v>
      </c>
      <c r="D164" t="s">
        <v>79</v>
      </c>
      <c r="E164" t="s">
        <v>2501</v>
      </c>
      <c r="F164" t="s">
        <v>149</v>
      </c>
      <c r="G164" t="s">
        <v>2583</v>
      </c>
    </row>
    <row r="165" spans="1:7" s="297" customFormat="1" ht="44.25" customHeight="1">
      <c r="A165" t="s">
        <v>136</v>
      </c>
      <c r="B165" t="s">
        <v>136</v>
      </c>
      <c r="C165" t="s">
        <v>2584</v>
      </c>
      <c r="D165" t="s">
        <v>79</v>
      </c>
      <c r="E165" t="s">
        <v>2501</v>
      </c>
      <c r="F165" t="s">
        <v>149</v>
      </c>
      <c r="G165" t="s">
        <v>2585</v>
      </c>
    </row>
    <row r="166" spans="1:7" s="297" customFormat="1" ht="44.25" customHeight="1">
      <c r="A166" t="s">
        <v>2586</v>
      </c>
      <c r="B166" t="s">
        <v>136</v>
      </c>
      <c r="C166" t="s">
        <v>136</v>
      </c>
      <c r="D166" t="s">
        <v>2257</v>
      </c>
      <c r="E166" t="s">
        <v>1327</v>
      </c>
      <c r="F166" t="s">
        <v>149</v>
      </c>
      <c r="G166" t="s">
        <v>2587</v>
      </c>
    </row>
    <row r="167" spans="1:7" s="297" customFormat="1" ht="44.25" customHeight="1">
      <c r="A167" t="s">
        <v>2588</v>
      </c>
      <c r="B167" t="s">
        <v>136</v>
      </c>
      <c r="C167" t="s">
        <v>136</v>
      </c>
      <c r="D167" t="s">
        <v>2257</v>
      </c>
      <c r="E167" t="s">
        <v>2589</v>
      </c>
      <c r="F167" t="s">
        <v>149</v>
      </c>
      <c r="G167" t="s">
        <v>2590</v>
      </c>
    </row>
    <row r="168" spans="1:7" s="297" customFormat="1" ht="44.25" customHeight="1">
      <c r="A168" t="s">
        <v>2591</v>
      </c>
      <c r="B168" t="s">
        <v>2592</v>
      </c>
      <c r="C168" t="s">
        <v>136</v>
      </c>
      <c r="D168" t="s">
        <v>79</v>
      </c>
      <c r="E168" t="s">
        <v>2593</v>
      </c>
      <c r="F168" t="s">
        <v>149</v>
      </c>
      <c r="G168" t="s">
        <v>2594</v>
      </c>
    </row>
    <row r="169" spans="1:7" s="297" customFormat="1" ht="44.25" customHeight="1">
      <c r="A169" t="s">
        <v>2595</v>
      </c>
      <c r="B169" t="s">
        <v>2596</v>
      </c>
      <c r="C169" t="s">
        <v>136</v>
      </c>
      <c r="D169" t="s">
        <v>79</v>
      </c>
      <c r="E169" t="s">
        <v>2593</v>
      </c>
      <c r="F169" t="s">
        <v>149</v>
      </c>
      <c r="G169" t="s">
        <v>2597</v>
      </c>
    </row>
    <row r="170" spans="1:7" s="297" customFormat="1" ht="44.25" customHeight="1">
      <c r="A170" t="s">
        <v>2598</v>
      </c>
      <c r="B170" t="s">
        <v>2599</v>
      </c>
      <c r="C170" t="s">
        <v>136</v>
      </c>
      <c r="D170" t="s">
        <v>79</v>
      </c>
      <c r="E170" t="s">
        <v>2600</v>
      </c>
      <c r="F170" t="s">
        <v>149</v>
      </c>
      <c r="G170" t="s">
        <v>2601</v>
      </c>
    </row>
    <row r="171" spans="1:7" s="297" customFormat="1" ht="44.25" customHeight="1">
      <c r="A171" t="s">
        <v>2602</v>
      </c>
      <c r="B171" t="s">
        <v>2603</v>
      </c>
      <c r="C171" t="s">
        <v>136</v>
      </c>
      <c r="D171" t="s">
        <v>79</v>
      </c>
      <c r="E171" t="s">
        <v>2600</v>
      </c>
      <c r="F171" t="s">
        <v>149</v>
      </c>
      <c r="G171" t="s">
        <v>2604</v>
      </c>
    </row>
    <row r="172" spans="1:7" s="297" customFormat="1" ht="44.25" customHeight="1">
      <c r="A172" t="s">
        <v>2605</v>
      </c>
      <c r="B172" t="s">
        <v>2606</v>
      </c>
      <c r="C172" t="s">
        <v>136</v>
      </c>
      <c r="D172" t="s">
        <v>79</v>
      </c>
      <c r="E172" t="s">
        <v>2607</v>
      </c>
      <c r="F172" t="s">
        <v>149</v>
      </c>
      <c r="G172" t="s">
        <v>2608</v>
      </c>
    </row>
    <row r="173" spans="1:7" s="297" customFormat="1" ht="44.25" customHeight="1">
      <c r="A173" t="s">
        <v>2609</v>
      </c>
      <c r="B173" t="s">
        <v>2610</v>
      </c>
      <c r="C173" t="s">
        <v>136</v>
      </c>
      <c r="D173" t="s">
        <v>79</v>
      </c>
      <c r="E173" t="s">
        <v>2611</v>
      </c>
      <c r="F173" t="s">
        <v>149</v>
      </c>
      <c r="G173" t="s">
        <v>2612</v>
      </c>
    </row>
    <row r="174" spans="1:7" s="297" customFormat="1" ht="44.25" customHeight="1">
      <c r="A174" t="s">
        <v>1059</v>
      </c>
      <c r="B174" t="s">
        <v>136</v>
      </c>
      <c r="C174" t="s">
        <v>136</v>
      </c>
      <c r="D174" t="s">
        <v>79</v>
      </c>
      <c r="E174" t="s">
        <v>1626</v>
      </c>
      <c r="F174" t="s">
        <v>149</v>
      </c>
      <c r="G174" t="s">
        <v>2613</v>
      </c>
    </row>
    <row r="175" spans="1:7" s="297" customFormat="1" ht="44.25" customHeight="1">
      <c r="A175" t="s">
        <v>136</v>
      </c>
      <c r="B175" t="s">
        <v>136</v>
      </c>
      <c r="C175" t="s">
        <v>1619</v>
      </c>
      <c r="D175" t="s">
        <v>2257</v>
      </c>
      <c r="E175" t="s">
        <v>1499</v>
      </c>
      <c r="F175" t="s">
        <v>149</v>
      </c>
      <c r="G175" t="s">
        <v>2614</v>
      </c>
    </row>
    <row r="176" spans="1:7" s="297" customFormat="1" ht="44.25" customHeight="1">
      <c r="A176" t="s">
        <v>844</v>
      </c>
      <c r="B176" t="s">
        <v>136</v>
      </c>
      <c r="C176" t="s">
        <v>136</v>
      </c>
      <c r="D176" t="s">
        <v>79</v>
      </c>
      <c r="E176" t="s">
        <v>1598</v>
      </c>
      <c r="F176" t="s">
        <v>149</v>
      </c>
      <c r="G176" t="s">
        <v>2615</v>
      </c>
    </row>
    <row r="177" spans="1:7" s="297" customFormat="1" ht="44.25" customHeight="1">
      <c r="A177" t="s">
        <v>136</v>
      </c>
      <c r="B177" t="s">
        <v>2616</v>
      </c>
      <c r="C177" t="s">
        <v>1595</v>
      </c>
      <c r="D177" t="s">
        <v>79</v>
      </c>
      <c r="E177" t="s">
        <v>1594</v>
      </c>
      <c r="F177" t="s">
        <v>149</v>
      </c>
      <c r="G177" t="s">
        <v>2617</v>
      </c>
    </row>
    <row r="178" spans="1:7" s="297" customFormat="1" ht="44.25" customHeight="1">
      <c r="A178" t="s">
        <v>834</v>
      </c>
      <c r="B178" t="s">
        <v>136</v>
      </c>
      <c r="C178" t="s">
        <v>136</v>
      </c>
      <c r="D178" t="s">
        <v>79</v>
      </c>
      <c r="E178" t="s">
        <v>1593</v>
      </c>
      <c r="F178" t="s">
        <v>149</v>
      </c>
      <c r="G178" t="s">
        <v>2618</v>
      </c>
    </row>
    <row r="179" spans="1:7" s="297" customFormat="1" ht="44.25" customHeight="1">
      <c r="A179" t="s">
        <v>136</v>
      </c>
      <c r="B179" t="s">
        <v>2619</v>
      </c>
      <c r="C179" t="s">
        <v>1576</v>
      </c>
      <c r="D179" t="s">
        <v>79</v>
      </c>
      <c r="E179" t="s">
        <v>1577</v>
      </c>
      <c r="F179" t="s">
        <v>149</v>
      </c>
      <c r="G179" t="s">
        <v>2620</v>
      </c>
    </row>
    <row r="180" spans="1:7" s="297" customFormat="1" ht="44.25" customHeight="1">
      <c r="A180" t="s">
        <v>613</v>
      </c>
      <c r="B180" t="s">
        <v>136</v>
      </c>
      <c r="C180" t="s">
        <v>136</v>
      </c>
      <c r="D180" t="s">
        <v>2431</v>
      </c>
      <c r="E180" t="s">
        <v>1567</v>
      </c>
      <c r="F180" t="s">
        <v>149</v>
      </c>
      <c r="G180" t="s">
        <v>2621</v>
      </c>
    </row>
    <row r="181" spans="1:7" s="297" customFormat="1" ht="44.25" customHeight="1">
      <c r="A181" t="s">
        <v>348</v>
      </c>
      <c r="B181" t="s">
        <v>136</v>
      </c>
      <c r="C181" t="s">
        <v>136</v>
      </c>
      <c r="D181" t="s">
        <v>2431</v>
      </c>
      <c r="E181" t="s">
        <v>1513</v>
      </c>
      <c r="F181" t="s">
        <v>149</v>
      </c>
      <c r="G181" t="s">
        <v>2622</v>
      </c>
    </row>
    <row r="182" spans="1:7" s="297" customFormat="1" ht="44.25" customHeight="1">
      <c r="A182" t="s">
        <v>136</v>
      </c>
      <c r="B182" t="s">
        <v>2623</v>
      </c>
      <c r="C182" t="s">
        <v>136</v>
      </c>
      <c r="D182" t="s">
        <v>2624</v>
      </c>
      <c r="E182" t="s">
        <v>2625</v>
      </c>
      <c r="F182" t="s">
        <v>149</v>
      </c>
      <c r="G182" t="s">
        <v>2626</v>
      </c>
    </row>
    <row r="183" spans="1:7" s="297" customFormat="1" ht="44.25" customHeight="1">
      <c r="A183" t="s">
        <v>2627</v>
      </c>
      <c r="B183" t="s">
        <v>2628</v>
      </c>
      <c r="C183" t="s">
        <v>136</v>
      </c>
      <c r="D183" t="s">
        <v>79</v>
      </c>
      <c r="E183" t="s">
        <v>2629</v>
      </c>
      <c r="F183" t="s">
        <v>149</v>
      </c>
      <c r="G183" t="s">
        <v>2630</v>
      </c>
    </row>
    <row r="184" spans="1:7" s="297" customFormat="1" ht="44.25" customHeight="1">
      <c r="A184" t="s">
        <v>2631</v>
      </c>
      <c r="B184" t="s">
        <v>2632</v>
      </c>
      <c r="C184" t="s">
        <v>136</v>
      </c>
      <c r="D184" t="s">
        <v>79</v>
      </c>
      <c r="E184" t="s">
        <v>2633</v>
      </c>
      <c r="F184" t="s">
        <v>149</v>
      </c>
      <c r="G184" t="s">
        <v>2634</v>
      </c>
    </row>
    <row r="185" spans="1:7" s="297" customFormat="1" ht="44.25" customHeight="1">
      <c r="A185" t="s">
        <v>2635</v>
      </c>
      <c r="B185" t="s">
        <v>2636</v>
      </c>
      <c r="C185" t="s">
        <v>136</v>
      </c>
      <c r="D185" t="s">
        <v>79</v>
      </c>
      <c r="E185" t="s">
        <v>2637</v>
      </c>
      <c r="F185" t="s">
        <v>149</v>
      </c>
      <c r="G185" t="s">
        <v>2638</v>
      </c>
    </row>
    <row r="186" spans="1:7" s="297" customFormat="1" ht="44.25" customHeight="1">
      <c r="A186" t="s">
        <v>136</v>
      </c>
      <c r="B186" t="s">
        <v>2639</v>
      </c>
      <c r="C186" t="s">
        <v>136</v>
      </c>
      <c r="D186" t="s">
        <v>2624</v>
      </c>
      <c r="E186" t="s">
        <v>2625</v>
      </c>
      <c r="F186" t="s">
        <v>149</v>
      </c>
      <c r="G186" t="s">
        <v>2640</v>
      </c>
    </row>
    <row r="187" spans="1:7" s="297" customFormat="1" ht="44.25" customHeight="1">
      <c r="A187" t="s">
        <v>2641</v>
      </c>
      <c r="B187" t="s">
        <v>2642</v>
      </c>
      <c r="C187" t="s">
        <v>136</v>
      </c>
      <c r="D187" t="s">
        <v>79</v>
      </c>
      <c r="E187" t="s">
        <v>2643</v>
      </c>
      <c r="F187" t="s">
        <v>149</v>
      </c>
      <c r="G187" t="s">
        <v>2644</v>
      </c>
    </row>
    <row r="188" spans="1:7" s="297" customFormat="1" ht="44.25" customHeight="1">
      <c r="A188" t="s">
        <v>2645</v>
      </c>
      <c r="B188" t="s">
        <v>2646</v>
      </c>
      <c r="C188" t="s">
        <v>136</v>
      </c>
      <c r="D188" t="s">
        <v>79</v>
      </c>
      <c r="E188" t="s">
        <v>2647</v>
      </c>
      <c r="F188" t="s">
        <v>149</v>
      </c>
      <c r="G188" t="s">
        <v>2648</v>
      </c>
    </row>
    <row r="189" spans="1:7" s="297" customFormat="1" ht="44.25" customHeight="1">
      <c r="A189" t="s">
        <v>2649</v>
      </c>
      <c r="B189" t="s">
        <v>2650</v>
      </c>
      <c r="C189" t="s">
        <v>136</v>
      </c>
      <c r="D189" t="s">
        <v>2257</v>
      </c>
      <c r="E189" t="s">
        <v>1607</v>
      </c>
      <c r="F189" t="s">
        <v>149</v>
      </c>
      <c r="G189" t="s">
        <v>2651</v>
      </c>
    </row>
    <row r="190" spans="1:7" s="297" customFormat="1" ht="44.25" customHeight="1">
      <c r="A190" t="s">
        <v>136</v>
      </c>
      <c r="B190" t="s">
        <v>2652</v>
      </c>
      <c r="C190" t="s">
        <v>136</v>
      </c>
      <c r="D190" t="s">
        <v>2257</v>
      </c>
      <c r="E190" t="s">
        <v>1607</v>
      </c>
      <c r="F190" t="s">
        <v>149</v>
      </c>
      <c r="G190" t="s">
        <v>2653</v>
      </c>
    </row>
    <row r="191" spans="1:7" s="297" customFormat="1" ht="44.25" customHeight="1">
      <c r="A191" t="s">
        <v>136</v>
      </c>
      <c r="B191" t="s">
        <v>2654</v>
      </c>
      <c r="C191" t="s">
        <v>136</v>
      </c>
      <c r="D191" t="s">
        <v>2257</v>
      </c>
      <c r="E191" t="s">
        <v>2399</v>
      </c>
      <c r="F191" t="s">
        <v>149</v>
      </c>
      <c r="G191" t="s">
        <v>2655</v>
      </c>
    </row>
    <row r="192" spans="1:7" s="297" customFormat="1" ht="44.25" customHeight="1">
      <c r="A192" t="s">
        <v>2656</v>
      </c>
      <c r="B192" t="s">
        <v>2657</v>
      </c>
      <c r="C192" t="s">
        <v>136</v>
      </c>
      <c r="D192" t="s">
        <v>2257</v>
      </c>
      <c r="E192" t="s">
        <v>1607</v>
      </c>
      <c r="F192" t="s">
        <v>149</v>
      </c>
      <c r="G192" t="s">
        <v>2658</v>
      </c>
    </row>
    <row r="193" spans="1:7" s="297" customFormat="1" ht="44.25" customHeight="1">
      <c r="A193" t="s">
        <v>2659</v>
      </c>
      <c r="B193" t="s">
        <v>2660</v>
      </c>
      <c r="C193" t="s">
        <v>136</v>
      </c>
      <c r="D193" t="s">
        <v>2257</v>
      </c>
      <c r="E193" t="s">
        <v>1607</v>
      </c>
      <c r="F193" t="s">
        <v>149</v>
      </c>
      <c r="G193" t="s">
        <v>2661</v>
      </c>
    </row>
    <row r="194" spans="1:7" s="297" customFormat="1" ht="44.25" customHeight="1">
      <c r="A194" t="s">
        <v>2662</v>
      </c>
      <c r="B194" t="s">
        <v>2663</v>
      </c>
      <c r="C194" t="s">
        <v>136</v>
      </c>
      <c r="D194" t="s">
        <v>2257</v>
      </c>
      <c r="E194" t="s">
        <v>1607</v>
      </c>
      <c r="F194" t="s">
        <v>149</v>
      </c>
      <c r="G194" t="s">
        <v>2664</v>
      </c>
    </row>
    <row r="195" spans="1:7" s="297" customFormat="1" ht="44.25" customHeight="1">
      <c r="A195" t="s">
        <v>2665</v>
      </c>
      <c r="B195" t="s">
        <v>2666</v>
      </c>
      <c r="C195" t="s">
        <v>136</v>
      </c>
      <c r="D195" t="s">
        <v>2257</v>
      </c>
      <c r="E195" t="s">
        <v>1607</v>
      </c>
      <c r="F195" t="s">
        <v>149</v>
      </c>
      <c r="G195" t="s">
        <v>2667</v>
      </c>
    </row>
    <row r="196" spans="1:7" s="297" customFormat="1" ht="44.25" customHeight="1">
      <c r="A196" t="s">
        <v>2668</v>
      </c>
      <c r="B196" t="s">
        <v>2669</v>
      </c>
      <c r="C196" t="s">
        <v>136</v>
      </c>
      <c r="D196" t="s">
        <v>2257</v>
      </c>
      <c r="E196" t="s">
        <v>1607</v>
      </c>
      <c r="F196" t="s">
        <v>149</v>
      </c>
      <c r="G196" t="s">
        <v>2670</v>
      </c>
    </row>
    <row r="197" spans="1:7" s="297" customFormat="1" ht="44.25" customHeight="1">
      <c r="A197" t="s">
        <v>2671</v>
      </c>
      <c r="B197" t="s">
        <v>2672</v>
      </c>
      <c r="C197" t="s">
        <v>136</v>
      </c>
      <c r="D197" t="s">
        <v>2257</v>
      </c>
      <c r="E197" t="s">
        <v>1607</v>
      </c>
      <c r="F197" t="s">
        <v>149</v>
      </c>
      <c r="G197" t="s">
        <v>2673</v>
      </c>
    </row>
    <row r="198" spans="1:7" s="297" customFormat="1" ht="44.25" customHeight="1">
      <c r="A198" t="s">
        <v>2674</v>
      </c>
      <c r="B198" t="s">
        <v>2675</v>
      </c>
      <c r="C198" t="s">
        <v>136</v>
      </c>
      <c r="D198" t="s">
        <v>2257</v>
      </c>
      <c r="E198" t="s">
        <v>1607</v>
      </c>
      <c r="F198" t="s">
        <v>149</v>
      </c>
      <c r="G198" t="s">
        <v>2676</v>
      </c>
    </row>
    <row r="199" spans="1:7" s="297" customFormat="1" ht="44.25" customHeight="1">
      <c r="A199" t="s">
        <v>2677</v>
      </c>
      <c r="B199" t="s">
        <v>2678</v>
      </c>
      <c r="C199" t="s">
        <v>136</v>
      </c>
      <c r="D199" t="s">
        <v>2257</v>
      </c>
      <c r="E199" t="s">
        <v>1607</v>
      </c>
      <c r="F199" t="s">
        <v>149</v>
      </c>
      <c r="G199" t="s">
        <v>2679</v>
      </c>
    </row>
    <row r="200" spans="1:7" s="297" customFormat="1" ht="44.25" customHeight="1">
      <c r="A200" t="s">
        <v>2680</v>
      </c>
      <c r="B200" t="s">
        <v>2681</v>
      </c>
      <c r="C200" t="s">
        <v>136</v>
      </c>
      <c r="D200" t="s">
        <v>2257</v>
      </c>
      <c r="E200" t="s">
        <v>1607</v>
      </c>
      <c r="F200" t="s">
        <v>149</v>
      </c>
      <c r="G200" t="s">
        <v>2682</v>
      </c>
    </row>
    <row r="201" spans="1:7" s="297" customFormat="1" ht="44.25" customHeight="1">
      <c r="A201" t="s">
        <v>2683</v>
      </c>
      <c r="B201" t="s">
        <v>2684</v>
      </c>
      <c r="C201" t="s">
        <v>136</v>
      </c>
      <c r="D201" t="s">
        <v>2257</v>
      </c>
      <c r="E201" t="s">
        <v>2685</v>
      </c>
      <c r="F201" t="s">
        <v>149</v>
      </c>
      <c r="G201" t="s">
        <v>2686</v>
      </c>
    </row>
    <row r="202" spans="1:7" s="297" customFormat="1" ht="44.25" customHeight="1">
      <c r="A202" t="s">
        <v>2687</v>
      </c>
      <c r="B202" t="s">
        <v>2688</v>
      </c>
      <c r="C202" t="s">
        <v>136</v>
      </c>
      <c r="D202" t="s">
        <v>2257</v>
      </c>
      <c r="E202" t="s">
        <v>1607</v>
      </c>
      <c r="F202" t="s">
        <v>149</v>
      </c>
      <c r="G202" t="s">
        <v>2689</v>
      </c>
    </row>
    <row r="203" spans="1:7" s="297" customFormat="1" ht="44.25" customHeight="1">
      <c r="A203" t="s">
        <v>2690</v>
      </c>
      <c r="B203" t="s">
        <v>2691</v>
      </c>
      <c r="C203" t="s">
        <v>136</v>
      </c>
      <c r="D203" t="s">
        <v>2257</v>
      </c>
      <c r="E203" t="s">
        <v>1607</v>
      </c>
      <c r="F203" t="s">
        <v>149</v>
      </c>
      <c r="G203" t="s">
        <v>2692</v>
      </c>
    </row>
    <row r="204" spans="1:7" s="297" customFormat="1" ht="44.25" customHeight="1">
      <c r="A204" t="s">
        <v>2693</v>
      </c>
      <c r="B204" t="s">
        <v>2694</v>
      </c>
      <c r="C204" t="s">
        <v>136</v>
      </c>
      <c r="D204" t="s">
        <v>79</v>
      </c>
      <c r="E204" t="s">
        <v>2695</v>
      </c>
      <c r="F204" t="s">
        <v>149</v>
      </c>
      <c r="G204" t="s">
        <v>2696</v>
      </c>
    </row>
    <row r="205" spans="1:7" s="297" customFormat="1" ht="44.25" customHeight="1">
      <c r="A205" t="s">
        <v>2697</v>
      </c>
      <c r="B205" t="s">
        <v>2698</v>
      </c>
      <c r="C205" t="s">
        <v>136</v>
      </c>
      <c r="D205" t="s">
        <v>79</v>
      </c>
      <c r="E205" t="s">
        <v>2695</v>
      </c>
      <c r="F205" t="s">
        <v>149</v>
      </c>
      <c r="G205" t="s">
        <v>2699</v>
      </c>
    </row>
    <row r="206" spans="1:7" s="297" customFormat="1" ht="44.25" customHeight="1">
      <c r="A206" t="s">
        <v>2700</v>
      </c>
      <c r="B206" t="s">
        <v>2701</v>
      </c>
      <c r="C206" t="s">
        <v>136</v>
      </c>
      <c r="D206" t="s">
        <v>2257</v>
      </c>
      <c r="E206" t="s">
        <v>2695</v>
      </c>
      <c r="F206" t="s">
        <v>149</v>
      </c>
      <c r="G206" t="s">
        <v>2702</v>
      </c>
    </row>
    <row r="207" spans="1:7" s="297" customFormat="1" ht="44.25" customHeight="1">
      <c r="A207" t="s">
        <v>298</v>
      </c>
      <c r="B207" t="s">
        <v>2703</v>
      </c>
      <c r="C207" t="s">
        <v>136</v>
      </c>
      <c r="D207" t="s">
        <v>2257</v>
      </c>
      <c r="E207" t="s">
        <v>1504</v>
      </c>
      <c r="F207" t="s">
        <v>149</v>
      </c>
      <c r="G207" t="s">
        <v>2704</v>
      </c>
    </row>
    <row r="208" spans="1:7" s="297" customFormat="1" ht="44.25" customHeight="1">
      <c r="A208" t="s">
        <v>2705</v>
      </c>
      <c r="B208" t="s">
        <v>2706</v>
      </c>
      <c r="C208" t="s">
        <v>136</v>
      </c>
      <c r="D208" t="s">
        <v>2257</v>
      </c>
      <c r="E208" t="s">
        <v>1504</v>
      </c>
      <c r="F208" t="s">
        <v>149</v>
      </c>
      <c r="G208" t="s">
        <v>2707</v>
      </c>
    </row>
    <row r="209" spans="1:7" s="297" customFormat="1" ht="44.25" customHeight="1">
      <c r="A209" t="s">
        <v>2708</v>
      </c>
      <c r="B209" t="s">
        <v>2709</v>
      </c>
      <c r="C209" t="s">
        <v>136</v>
      </c>
      <c r="D209" t="s">
        <v>2257</v>
      </c>
      <c r="E209" t="s">
        <v>2685</v>
      </c>
      <c r="F209" t="s">
        <v>149</v>
      </c>
      <c r="G209" t="s">
        <v>2710</v>
      </c>
    </row>
    <row r="210" spans="1:7" s="297" customFormat="1" ht="44.25" customHeight="1">
      <c r="A210" t="s">
        <v>2711</v>
      </c>
      <c r="B210" t="s">
        <v>2712</v>
      </c>
      <c r="C210" t="s">
        <v>136</v>
      </c>
      <c r="D210" t="s">
        <v>2257</v>
      </c>
      <c r="E210" t="s">
        <v>1607</v>
      </c>
      <c r="F210" t="s">
        <v>149</v>
      </c>
      <c r="G210" t="s">
        <v>2713</v>
      </c>
    </row>
    <row r="211" spans="1:7" s="297" customFormat="1" ht="44.25" customHeight="1">
      <c r="A211" t="s">
        <v>2714</v>
      </c>
      <c r="B211" t="s">
        <v>2715</v>
      </c>
      <c r="C211" t="s">
        <v>136</v>
      </c>
      <c r="D211" t="s">
        <v>2257</v>
      </c>
      <c r="E211" t="s">
        <v>1607</v>
      </c>
      <c r="F211" t="s">
        <v>149</v>
      </c>
      <c r="G211" t="s">
        <v>2716</v>
      </c>
    </row>
    <row r="212" spans="1:7" s="297" customFormat="1" ht="44.25" customHeight="1">
      <c r="A212" t="s">
        <v>2717</v>
      </c>
      <c r="B212" t="s">
        <v>2718</v>
      </c>
      <c r="C212" t="s">
        <v>136</v>
      </c>
      <c r="D212" t="s">
        <v>2257</v>
      </c>
      <c r="E212" t="s">
        <v>1607</v>
      </c>
      <c r="F212" t="s">
        <v>149</v>
      </c>
      <c r="G212" t="s">
        <v>2719</v>
      </c>
    </row>
    <row r="213" spans="1:7" s="297" customFormat="1" ht="44.25" customHeight="1">
      <c r="A213" t="s">
        <v>2720</v>
      </c>
      <c r="B213" t="s">
        <v>2721</v>
      </c>
      <c r="C213" t="s">
        <v>136</v>
      </c>
      <c r="D213" t="s">
        <v>2257</v>
      </c>
      <c r="E213" t="s">
        <v>1607</v>
      </c>
      <c r="F213" t="s">
        <v>149</v>
      </c>
      <c r="G213" t="s">
        <v>2722</v>
      </c>
    </row>
    <row r="214" spans="1:7" s="297" customFormat="1" ht="44.25" customHeight="1">
      <c r="A214" t="s">
        <v>2723</v>
      </c>
      <c r="B214" t="s">
        <v>2724</v>
      </c>
      <c r="C214" t="s">
        <v>136</v>
      </c>
      <c r="D214" t="s">
        <v>2257</v>
      </c>
      <c r="E214" t="s">
        <v>1607</v>
      </c>
      <c r="F214" t="s">
        <v>149</v>
      </c>
      <c r="G214" t="s">
        <v>2725</v>
      </c>
    </row>
    <row r="215" spans="1:7" s="297" customFormat="1" ht="44.25" customHeight="1">
      <c r="A215" t="s">
        <v>2726</v>
      </c>
      <c r="B215" t="s">
        <v>2727</v>
      </c>
      <c r="C215" t="s">
        <v>136</v>
      </c>
      <c r="D215" t="s">
        <v>2257</v>
      </c>
      <c r="E215" t="s">
        <v>1607</v>
      </c>
      <c r="F215" t="s">
        <v>149</v>
      </c>
      <c r="G215" t="s">
        <v>2728</v>
      </c>
    </row>
    <row r="216" spans="1:7" s="297" customFormat="1" ht="44.25" customHeight="1">
      <c r="A216" t="s">
        <v>2729</v>
      </c>
      <c r="B216" t="s">
        <v>2730</v>
      </c>
      <c r="C216" t="s">
        <v>136</v>
      </c>
      <c r="D216" t="s">
        <v>2257</v>
      </c>
      <c r="E216" t="s">
        <v>1607</v>
      </c>
      <c r="F216" t="s">
        <v>149</v>
      </c>
      <c r="G216" t="s">
        <v>2731</v>
      </c>
    </row>
    <row r="217" spans="1:7" s="297" customFormat="1" ht="44.25" customHeight="1">
      <c r="A217" t="s">
        <v>2732</v>
      </c>
      <c r="B217" t="s">
        <v>2733</v>
      </c>
      <c r="C217" t="s">
        <v>136</v>
      </c>
      <c r="D217" t="s">
        <v>2257</v>
      </c>
      <c r="E217" t="s">
        <v>1607</v>
      </c>
      <c r="F217" t="s">
        <v>149</v>
      </c>
      <c r="G217" t="s">
        <v>2734</v>
      </c>
    </row>
    <row r="218" spans="1:7" s="297" customFormat="1" ht="44.25" customHeight="1">
      <c r="A218" t="s">
        <v>2735</v>
      </c>
      <c r="B218" t="s">
        <v>2736</v>
      </c>
      <c r="C218" t="s">
        <v>136</v>
      </c>
      <c r="D218" t="s">
        <v>2257</v>
      </c>
      <c r="E218" t="s">
        <v>1607</v>
      </c>
      <c r="F218" t="s">
        <v>149</v>
      </c>
      <c r="G218" t="s">
        <v>2737</v>
      </c>
    </row>
    <row r="219" spans="1:7" s="297" customFormat="1" ht="44.25" customHeight="1">
      <c r="A219" t="s">
        <v>2738</v>
      </c>
      <c r="B219" t="s">
        <v>2739</v>
      </c>
      <c r="C219" t="s">
        <v>136</v>
      </c>
      <c r="D219" t="s">
        <v>2257</v>
      </c>
      <c r="E219" t="s">
        <v>1607</v>
      </c>
      <c r="F219" t="s">
        <v>149</v>
      </c>
      <c r="G219" t="s">
        <v>2740</v>
      </c>
    </row>
    <row r="220" spans="1:7" s="297" customFormat="1" ht="44.25" customHeight="1">
      <c r="A220" t="s">
        <v>2741</v>
      </c>
      <c r="B220" t="s">
        <v>2742</v>
      </c>
      <c r="C220" t="s">
        <v>136</v>
      </c>
      <c r="D220" t="s">
        <v>2257</v>
      </c>
      <c r="E220" t="s">
        <v>1607</v>
      </c>
      <c r="F220" t="s">
        <v>149</v>
      </c>
      <c r="G220" t="s">
        <v>2743</v>
      </c>
    </row>
    <row r="221" spans="1:7" s="297" customFormat="1" ht="44.25" customHeight="1">
      <c r="A221" t="s">
        <v>2744</v>
      </c>
      <c r="B221" t="s">
        <v>2745</v>
      </c>
      <c r="C221" t="s">
        <v>136</v>
      </c>
      <c r="D221" t="s">
        <v>2257</v>
      </c>
      <c r="E221" t="s">
        <v>1607</v>
      </c>
      <c r="F221" t="s">
        <v>149</v>
      </c>
      <c r="G221" t="s">
        <v>2746</v>
      </c>
    </row>
    <row r="222" spans="1:7" s="297" customFormat="1" ht="44.25" customHeight="1">
      <c r="A222" t="s">
        <v>2747</v>
      </c>
      <c r="B222" t="s">
        <v>2748</v>
      </c>
      <c r="C222" t="s">
        <v>136</v>
      </c>
      <c r="D222" t="s">
        <v>2257</v>
      </c>
      <c r="E222" t="s">
        <v>1607</v>
      </c>
      <c r="F222" t="s">
        <v>149</v>
      </c>
      <c r="G222" t="s">
        <v>2749</v>
      </c>
    </row>
    <row r="223" spans="1:7" s="297" customFormat="1" ht="44.25" customHeight="1">
      <c r="A223" t="s">
        <v>2750</v>
      </c>
      <c r="B223" t="s">
        <v>2751</v>
      </c>
      <c r="C223" t="s">
        <v>136</v>
      </c>
      <c r="D223" t="s">
        <v>2257</v>
      </c>
      <c r="E223" t="s">
        <v>1607</v>
      </c>
      <c r="F223" t="s">
        <v>149</v>
      </c>
      <c r="G223" t="s">
        <v>2752</v>
      </c>
    </row>
    <row r="224" spans="1:7" s="297" customFormat="1" ht="44.25" customHeight="1">
      <c r="A224" t="s">
        <v>2753</v>
      </c>
      <c r="B224" t="s">
        <v>2754</v>
      </c>
      <c r="C224" t="s">
        <v>136</v>
      </c>
      <c r="D224" t="s">
        <v>2257</v>
      </c>
      <c r="E224" t="s">
        <v>1607</v>
      </c>
      <c r="F224" t="s">
        <v>149</v>
      </c>
      <c r="G224" t="s">
        <v>2755</v>
      </c>
    </row>
    <row r="225" spans="1:7" s="297" customFormat="1" ht="44.25" customHeight="1">
      <c r="A225" t="s">
        <v>2756</v>
      </c>
      <c r="B225" t="s">
        <v>2757</v>
      </c>
      <c r="C225" t="s">
        <v>136</v>
      </c>
      <c r="D225" t="s">
        <v>2257</v>
      </c>
      <c r="E225" t="s">
        <v>1607</v>
      </c>
      <c r="F225" t="s">
        <v>149</v>
      </c>
      <c r="G225" t="s">
        <v>2758</v>
      </c>
    </row>
    <row r="226" spans="1:7" s="297" customFormat="1" ht="44.25" customHeight="1">
      <c r="A226" t="s">
        <v>2759</v>
      </c>
      <c r="B226" t="s">
        <v>2760</v>
      </c>
      <c r="C226" t="s">
        <v>136</v>
      </c>
      <c r="D226" t="s">
        <v>2257</v>
      </c>
      <c r="E226" t="s">
        <v>1607</v>
      </c>
      <c r="F226" t="s">
        <v>149</v>
      </c>
      <c r="G226" t="s">
        <v>2761</v>
      </c>
    </row>
    <row r="227" spans="1:7" s="297" customFormat="1" ht="44.25" customHeight="1">
      <c r="A227" t="s">
        <v>2762</v>
      </c>
      <c r="B227" t="s">
        <v>2763</v>
      </c>
      <c r="C227" t="s">
        <v>136</v>
      </c>
      <c r="D227" t="s">
        <v>2257</v>
      </c>
      <c r="E227" t="s">
        <v>1607</v>
      </c>
      <c r="F227" t="s">
        <v>149</v>
      </c>
      <c r="G227" t="s">
        <v>2764</v>
      </c>
    </row>
    <row r="228" spans="1:7" s="297" customFormat="1" ht="44.25" customHeight="1">
      <c r="A228" t="s">
        <v>2765</v>
      </c>
      <c r="B228" t="s">
        <v>2766</v>
      </c>
      <c r="C228" t="s">
        <v>136</v>
      </c>
      <c r="D228" t="s">
        <v>2257</v>
      </c>
      <c r="E228" t="s">
        <v>1607</v>
      </c>
      <c r="F228" t="s">
        <v>149</v>
      </c>
      <c r="G228" t="s">
        <v>2767</v>
      </c>
    </row>
    <row r="229" spans="1:7" s="297" customFormat="1" ht="44.25" customHeight="1">
      <c r="A229" t="s">
        <v>2768</v>
      </c>
      <c r="B229" t="s">
        <v>2769</v>
      </c>
      <c r="C229" t="s">
        <v>136</v>
      </c>
      <c r="D229" t="s">
        <v>2257</v>
      </c>
      <c r="E229" t="s">
        <v>1607</v>
      </c>
      <c r="F229" t="s">
        <v>149</v>
      </c>
      <c r="G229" t="s">
        <v>2770</v>
      </c>
    </row>
    <row r="230" spans="1:7" s="297" customFormat="1" ht="44.25" customHeight="1">
      <c r="A230" t="s">
        <v>2771</v>
      </c>
      <c r="B230" t="s">
        <v>2772</v>
      </c>
      <c r="C230" t="s">
        <v>136</v>
      </c>
      <c r="D230" t="s">
        <v>2257</v>
      </c>
      <c r="E230" t="s">
        <v>1607</v>
      </c>
      <c r="F230" t="s">
        <v>149</v>
      </c>
      <c r="G230" t="s">
        <v>2773</v>
      </c>
    </row>
    <row r="231" spans="1:7" s="297" customFormat="1" ht="44.25" customHeight="1">
      <c r="A231" t="s">
        <v>2774</v>
      </c>
      <c r="B231" t="s">
        <v>2775</v>
      </c>
      <c r="C231" t="s">
        <v>136</v>
      </c>
      <c r="D231" t="s">
        <v>2257</v>
      </c>
      <c r="E231" t="s">
        <v>1607</v>
      </c>
      <c r="F231" t="s">
        <v>149</v>
      </c>
      <c r="G231" t="s">
        <v>2776</v>
      </c>
    </row>
    <row r="232" spans="1:7" s="297" customFormat="1" ht="44.25" customHeight="1">
      <c r="A232" t="s">
        <v>2777</v>
      </c>
      <c r="B232" t="s">
        <v>2778</v>
      </c>
      <c r="C232" t="s">
        <v>136</v>
      </c>
      <c r="D232" t="s">
        <v>2257</v>
      </c>
      <c r="E232" t="s">
        <v>1607</v>
      </c>
      <c r="F232" t="s">
        <v>149</v>
      </c>
      <c r="G232" t="s">
        <v>2779</v>
      </c>
    </row>
    <row r="233" spans="1:7" s="297" customFormat="1" ht="44.25" customHeight="1">
      <c r="A233" t="s">
        <v>2780</v>
      </c>
      <c r="B233" t="s">
        <v>2781</v>
      </c>
      <c r="C233" t="s">
        <v>136</v>
      </c>
      <c r="D233" t="s">
        <v>2257</v>
      </c>
      <c r="E233" t="s">
        <v>1607</v>
      </c>
      <c r="F233" t="s">
        <v>149</v>
      </c>
      <c r="G233" t="s">
        <v>2782</v>
      </c>
    </row>
    <row r="234" spans="1:7" s="297" customFormat="1" ht="44.25" customHeight="1">
      <c r="A234" t="s">
        <v>2783</v>
      </c>
      <c r="B234" t="s">
        <v>2784</v>
      </c>
      <c r="C234" t="s">
        <v>136</v>
      </c>
      <c r="D234" t="s">
        <v>2257</v>
      </c>
      <c r="E234" t="s">
        <v>1607</v>
      </c>
      <c r="F234" t="s">
        <v>149</v>
      </c>
      <c r="G234" t="s">
        <v>2785</v>
      </c>
    </row>
    <row r="235" spans="1:7" s="297" customFormat="1" ht="44.25" customHeight="1">
      <c r="A235" t="s">
        <v>2786</v>
      </c>
      <c r="B235" t="s">
        <v>2787</v>
      </c>
      <c r="C235" t="s">
        <v>136</v>
      </c>
      <c r="D235" t="s">
        <v>2257</v>
      </c>
      <c r="E235" t="s">
        <v>1607</v>
      </c>
      <c r="F235" t="s">
        <v>149</v>
      </c>
      <c r="G235" t="s">
        <v>2788</v>
      </c>
    </row>
    <row r="236" spans="1:7" s="297" customFormat="1" ht="44.25" customHeight="1">
      <c r="A236" t="s">
        <v>2789</v>
      </c>
      <c r="B236" t="s">
        <v>2790</v>
      </c>
      <c r="C236" t="s">
        <v>136</v>
      </c>
      <c r="D236" t="s">
        <v>2257</v>
      </c>
      <c r="E236" t="s">
        <v>1607</v>
      </c>
      <c r="F236" t="s">
        <v>149</v>
      </c>
      <c r="G236" t="s">
        <v>2791</v>
      </c>
    </row>
    <row r="237" spans="1:7" s="297" customFormat="1" ht="44.25" customHeight="1">
      <c r="A237" t="s">
        <v>2792</v>
      </c>
      <c r="B237" t="s">
        <v>2793</v>
      </c>
      <c r="C237" t="s">
        <v>136</v>
      </c>
      <c r="D237" t="s">
        <v>2257</v>
      </c>
      <c r="E237" t="s">
        <v>1607</v>
      </c>
      <c r="F237" t="s">
        <v>149</v>
      </c>
      <c r="G237" t="s">
        <v>2794</v>
      </c>
    </row>
    <row r="238" spans="1:7" s="297" customFormat="1" ht="44.25" customHeight="1">
      <c r="A238" t="s">
        <v>2795</v>
      </c>
      <c r="B238" t="s">
        <v>2796</v>
      </c>
      <c r="C238" t="s">
        <v>136</v>
      </c>
      <c r="D238" t="s">
        <v>2257</v>
      </c>
      <c r="E238" t="s">
        <v>1607</v>
      </c>
      <c r="F238" t="s">
        <v>149</v>
      </c>
      <c r="G238" t="s">
        <v>2797</v>
      </c>
    </row>
    <row r="239" spans="1:7" s="297" customFormat="1" ht="44.25" customHeight="1">
      <c r="A239" t="s">
        <v>2798</v>
      </c>
      <c r="B239" t="s">
        <v>2799</v>
      </c>
      <c r="C239" t="s">
        <v>136</v>
      </c>
      <c r="D239" t="s">
        <v>2257</v>
      </c>
      <c r="E239" t="s">
        <v>1607</v>
      </c>
      <c r="F239" t="s">
        <v>149</v>
      </c>
      <c r="G239" t="s">
        <v>2800</v>
      </c>
    </row>
    <row r="240" spans="1:7" s="297" customFormat="1" ht="44.25" customHeight="1">
      <c r="A240" t="s">
        <v>2801</v>
      </c>
      <c r="B240" t="s">
        <v>2802</v>
      </c>
      <c r="C240" t="s">
        <v>136</v>
      </c>
      <c r="D240" t="s">
        <v>2257</v>
      </c>
      <c r="E240" t="s">
        <v>1607</v>
      </c>
      <c r="F240" t="s">
        <v>149</v>
      </c>
      <c r="G240" t="s">
        <v>2803</v>
      </c>
    </row>
    <row r="241" spans="1:7" s="297" customFormat="1" ht="44.25" customHeight="1">
      <c r="A241" t="s">
        <v>2804</v>
      </c>
      <c r="B241" t="s">
        <v>2805</v>
      </c>
      <c r="C241" t="s">
        <v>136</v>
      </c>
      <c r="D241" t="s">
        <v>2257</v>
      </c>
      <c r="E241" t="s">
        <v>1607</v>
      </c>
      <c r="F241" t="s">
        <v>149</v>
      </c>
      <c r="G241" t="s">
        <v>2806</v>
      </c>
    </row>
    <row r="242" spans="1:7" s="297" customFormat="1" ht="44.25" customHeight="1">
      <c r="A242" t="s">
        <v>2807</v>
      </c>
      <c r="B242" t="s">
        <v>2808</v>
      </c>
      <c r="C242" t="s">
        <v>136</v>
      </c>
      <c r="D242" t="s">
        <v>2257</v>
      </c>
      <c r="E242" t="s">
        <v>1607</v>
      </c>
      <c r="F242" t="s">
        <v>149</v>
      </c>
      <c r="G242" t="s">
        <v>2809</v>
      </c>
    </row>
    <row r="243" spans="1:7" s="297" customFormat="1" ht="44.25" customHeight="1">
      <c r="A243" t="s">
        <v>2810</v>
      </c>
      <c r="B243" t="s">
        <v>2811</v>
      </c>
      <c r="C243" t="s">
        <v>136</v>
      </c>
      <c r="D243" t="s">
        <v>2257</v>
      </c>
      <c r="E243" t="s">
        <v>1607</v>
      </c>
      <c r="F243" t="s">
        <v>149</v>
      </c>
      <c r="G243" t="s">
        <v>2812</v>
      </c>
    </row>
    <row r="244" spans="1:7" s="297" customFormat="1" ht="44.25" customHeight="1">
      <c r="A244" t="s">
        <v>2813</v>
      </c>
      <c r="B244" t="s">
        <v>2814</v>
      </c>
      <c r="C244" t="s">
        <v>136</v>
      </c>
      <c r="D244" t="s">
        <v>2257</v>
      </c>
      <c r="E244" t="s">
        <v>1607</v>
      </c>
      <c r="F244" t="s">
        <v>149</v>
      </c>
      <c r="G244" t="s">
        <v>2815</v>
      </c>
    </row>
    <row r="245" spans="1:7" s="297" customFormat="1" ht="44.25" customHeight="1">
      <c r="A245" t="s">
        <v>2816</v>
      </c>
      <c r="B245" t="s">
        <v>2817</v>
      </c>
      <c r="C245" t="s">
        <v>136</v>
      </c>
      <c r="D245" t="s">
        <v>2257</v>
      </c>
      <c r="E245" t="s">
        <v>1607</v>
      </c>
      <c r="F245" t="s">
        <v>149</v>
      </c>
      <c r="G245" t="s">
        <v>2818</v>
      </c>
    </row>
    <row r="246" spans="1:7" s="297" customFormat="1" ht="44.25" customHeight="1">
      <c r="A246" t="s">
        <v>2819</v>
      </c>
      <c r="B246" t="s">
        <v>2820</v>
      </c>
      <c r="C246" t="s">
        <v>136</v>
      </c>
      <c r="D246" t="s">
        <v>2257</v>
      </c>
      <c r="E246" t="s">
        <v>1607</v>
      </c>
      <c r="F246" t="s">
        <v>149</v>
      </c>
      <c r="G246" t="s">
        <v>2821</v>
      </c>
    </row>
    <row r="247" spans="1:7" s="297" customFormat="1" ht="44.25" customHeight="1">
      <c r="A247" t="s">
        <v>2822</v>
      </c>
      <c r="B247" t="s">
        <v>2823</v>
      </c>
      <c r="C247" t="s">
        <v>136</v>
      </c>
      <c r="D247" t="s">
        <v>2257</v>
      </c>
      <c r="E247" t="s">
        <v>1607</v>
      </c>
      <c r="F247" t="s">
        <v>149</v>
      </c>
      <c r="G247" t="s">
        <v>2824</v>
      </c>
    </row>
    <row r="248" spans="1:7" s="297" customFormat="1" ht="44.25" customHeight="1">
      <c r="A248" t="s">
        <v>136</v>
      </c>
      <c r="B248" t="s">
        <v>2825</v>
      </c>
      <c r="C248" t="s">
        <v>136</v>
      </c>
      <c r="D248" t="s">
        <v>2257</v>
      </c>
      <c r="E248" t="s">
        <v>1607</v>
      </c>
      <c r="F248" t="s">
        <v>149</v>
      </c>
      <c r="G248" t="s">
        <v>2826</v>
      </c>
    </row>
    <row r="249" spans="1:7" s="297" customFormat="1" ht="44.25" customHeight="1">
      <c r="A249" t="s">
        <v>2827</v>
      </c>
      <c r="B249" t="s">
        <v>2828</v>
      </c>
      <c r="C249" t="s">
        <v>136</v>
      </c>
      <c r="D249" t="s">
        <v>2257</v>
      </c>
      <c r="E249" t="s">
        <v>1607</v>
      </c>
      <c r="F249" t="s">
        <v>149</v>
      </c>
      <c r="G249" t="s">
        <v>2829</v>
      </c>
    </row>
    <row r="250" spans="1:7" s="297" customFormat="1" ht="44.25" customHeight="1">
      <c r="A250" t="s">
        <v>136</v>
      </c>
      <c r="B250" t="s">
        <v>2830</v>
      </c>
      <c r="C250" t="s">
        <v>136</v>
      </c>
      <c r="D250" t="s">
        <v>2257</v>
      </c>
      <c r="E250" t="s">
        <v>1607</v>
      </c>
      <c r="F250" t="s">
        <v>149</v>
      </c>
      <c r="G250" t="s">
        <v>2831</v>
      </c>
    </row>
    <row r="251" spans="1:7" s="297" customFormat="1" ht="44.25" customHeight="1">
      <c r="A251" t="s">
        <v>2832</v>
      </c>
      <c r="B251" t="s">
        <v>2833</v>
      </c>
      <c r="C251" t="s">
        <v>136</v>
      </c>
      <c r="D251" t="s">
        <v>2257</v>
      </c>
      <c r="E251" t="s">
        <v>1607</v>
      </c>
      <c r="F251" t="s">
        <v>149</v>
      </c>
      <c r="G251" t="s">
        <v>2834</v>
      </c>
    </row>
    <row r="252" spans="1:7" s="297" customFormat="1" ht="44.25" customHeight="1">
      <c r="A252" t="s">
        <v>2835</v>
      </c>
      <c r="B252" t="s">
        <v>2836</v>
      </c>
      <c r="C252" t="s">
        <v>136</v>
      </c>
      <c r="D252" t="s">
        <v>2257</v>
      </c>
      <c r="E252" t="s">
        <v>1607</v>
      </c>
      <c r="F252" t="s">
        <v>149</v>
      </c>
      <c r="G252" t="s">
        <v>2837</v>
      </c>
    </row>
    <row r="253" spans="1:7" s="297" customFormat="1" ht="44.25" customHeight="1">
      <c r="A253" t="s">
        <v>2838</v>
      </c>
      <c r="B253" t="s">
        <v>2839</v>
      </c>
      <c r="C253" t="s">
        <v>136</v>
      </c>
      <c r="D253" t="s">
        <v>2257</v>
      </c>
      <c r="E253" t="s">
        <v>1607</v>
      </c>
      <c r="F253" t="s">
        <v>149</v>
      </c>
      <c r="G253" t="s">
        <v>2840</v>
      </c>
    </row>
    <row r="254" spans="1:7" s="297" customFormat="1" ht="44.25" customHeight="1">
      <c r="A254" t="s">
        <v>2841</v>
      </c>
      <c r="B254" t="s">
        <v>2842</v>
      </c>
      <c r="C254" t="s">
        <v>136</v>
      </c>
      <c r="D254" t="s">
        <v>2257</v>
      </c>
      <c r="E254" t="s">
        <v>1607</v>
      </c>
      <c r="F254" t="s">
        <v>149</v>
      </c>
      <c r="G254" t="s">
        <v>2843</v>
      </c>
    </row>
    <row r="255" spans="1:7" s="297" customFormat="1" ht="44.25" customHeight="1">
      <c r="A255" t="s">
        <v>2844</v>
      </c>
      <c r="B255" t="s">
        <v>2845</v>
      </c>
      <c r="C255" t="s">
        <v>136</v>
      </c>
      <c r="D255" t="s">
        <v>2257</v>
      </c>
      <c r="E255" t="s">
        <v>1607</v>
      </c>
      <c r="F255" t="s">
        <v>149</v>
      </c>
      <c r="G255" t="s">
        <v>2846</v>
      </c>
    </row>
    <row r="256" spans="1:7" s="297" customFormat="1" ht="44.25" customHeight="1">
      <c r="A256" t="s">
        <v>2847</v>
      </c>
      <c r="B256" t="s">
        <v>2848</v>
      </c>
      <c r="C256" t="s">
        <v>136</v>
      </c>
      <c r="D256" t="s">
        <v>2257</v>
      </c>
      <c r="E256" t="s">
        <v>1607</v>
      </c>
      <c r="F256" t="s">
        <v>149</v>
      </c>
      <c r="G256" t="s">
        <v>2849</v>
      </c>
    </row>
    <row r="257" spans="1:7" s="297" customFormat="1" ht="44.25" customHeight="1">
      <c r="A257" t="s">
        <v>279</v>
      </c>
      <c r="B257" t="s">
        <v>2850</v>
      </c>
      <c r="C257" t="s">
        <v>136</v>
      </c>
      <c r="D257" t="s">
        <v>2257</v>
      </c>
      <c r="E257" t="s">
        <v>1607</v>
      </c>
      <c r="F257" t="s">
        <v>149</v>
      </c>
      <c r="G257" t="s">
        <v>2851</v>
      </c>
    </row>
    <row r="258" spans="1:7" s="297" customFormat="1" ht="44.25" customHeight="1">
      <c r="A258" t="s">
        <v>2852</v>
      </c>
      <c r="B258" t="s">
        <v>2853</v>
      </c>
      <c r="C258" t="s">
        <v>136</v>
      </c>
      <c r="D258" t="s">
        <v>2257</v>
      </c>
      <c r="E258" t="s">
        <v>1607</v>
      </c>
      <c r="F258" t="s">
        <v>149</v>
      </c>
      <c r="G258" t="s">
        <v>2854</v>
      </c>
    </row>
    <row r="259" spans="1:7" s="297" customFormat="1" ht="44.25" customHeight="1">
      <c r="A259" t="s">
        <v>2855</v>
      </c>
      <c r="B259" t="s">
        <v>2856</v>
      </c>
      <c r="C259" t="s">
        <v>136</v>
      </c>
      <c r="D259" t="s">
        <v>2257</v>
      </c>
      <c r="E259" t="s">
        <v>1607</v>
      </c>
      <c r="F259" t="s">
        <v>149</v>
      </c>
      <c r="G259" t="s">
        <v>2857</v>
      </c>
    </row>
    <row r="260" spans="1:7" s="297" customFormat="1" ht="44.25" customHeight="1">
      <c r="A260" t="s">
        <v>2858</v>
      </c>
      <c r="B260" t="s">
        <v>2859</v>
      </c>
      <c r="C260" t="s">
        <v>136</v>
      </c>
      <c r="D260" t="s">
        <v>2257</v>
      </c>
      <c r="E260" t="s">
        <v>1607</v>
      </c>
      <c r="F260" t="s">
        <v>149</v>
      </c>
      <c r="G260" t="s">
        <v>2860</v>
      </c>
    </row>
    <row r="261" spans="1:7" s="297" customFormat="1" ht="44.25" customHeight="1">
      <c r="A261" t="s">
        <v>2861</v>
      </c>
      <c r="B261" t="s">
        <v>2862</v>
      </c>
      <c r="C261" t="s">
        <v>136</v>
      </c>
      <c r="D261" t="s">
        <v>2257</v>
      </c>
      <c r="E261" t="s">
        <v>1607</v>
      </c>
      <c r="F261" t="s">
        <v>149</v>
      </c>
      <c r="G261" t="s">
        <v>2863</v>
      </c>
    </row>
    <row r="262" spans="1:7" s="297" customFormat="1" ht="44.25" customHeight="1">
      <c r="A262" t="s">
        <v>2864</v>
      </c>
      <c r="B262" t="s">
        <v>2865</v>
      </c>
      <c r="C262" t="s">
        <v>136</v>
      </c>
      <c r="D262" t="s">
        <v>2257</v>
      </c>
      <c r="E262" t="s">
        <v>1607</v>
      </c>
      <c r="F262" t="s">
        <v>149</v>
      </c>
      <c r="G262" t="s">
        <v>2866</v>
      </c>
    </row>
    <row r="263" spans="1:7" s="297" customFormat="1" ht="44.25" customHeight="1">
      <c r="A263" t="s">
        <v>2867</v>
      </c>
      <c r="B263" t="s">
        <v>2868</v>
      </c>
      <c r="C263" t="s">
        <v>136</v>
      </c>
      <c r="D263" t="s">
        <v>2257</v>
      </c>
      <c r="E263" t="s">
        <v>1607</v>
      </c>
      <c r="F263" t="s">
        <v>149</v>
      </c>
      <c r="G263" t="s">
        <v>2869</v>
      </c>
    </row>
    <row r="264" spans="1:7" s="297" customFormat="1" ht="44.25" customHeight="1">
      <c r="A264" t="s">
        <v>2870</v>
      </c>
      <c r="B264" t="s">
        <v>2871</v>
      </c>
      <c r="C264" t="s">
        <v>136</v>
      </c>
      <c r="D264" t="s">
        <v>2257</v>
      </c>
      <c r="E264" t="s">
        <v>1607</v>
      </c>
      <c r="F264" t="s">
        <v>149</v>
      </c>
      <c r="G264" t="s">
        <v>2872</v>
      </c>
    </row>
    <row r="265" spans="1:7" s="297" customFormat="1" ht="44.25" customHeight="1">
      <c r="A265" t="s">
        <v>136</v>
      </c>
      <c r="B265" t="s">
        <v>2873</v>
      </c>
      <c r="C265" t="s">
        <v>136</v>
      </c>
      <c r="D265" t="s">
        <v>2257</v>
      </c>
      <c r="E265" t="s">
        <v>2695</v>
      </c>
      <c r="F265" t="s">
        <v>149</v>
      </c>
      <c r="G265" t="s">
        <v>2874</v>
      </c>
    </row>
    <row r="266" spans="1:7" s="297" customFormat="1" ht="44.25" customHeight="1">
      <c r="A266" t="s">
        <v>2875</v>
      </c>
      <c r="B266" t="s">
        <v>2876</v>
      </c>
      <c r="C266" t="s">
        <v>136</v>
      </c>
      <c r="D266" t="s">
        <v>2257</v>
      </c>
      <c r="E266" t="s">
        <v>1607</v>
      </c>
      <c r="F266" t="s">
        <v>149</v>
      </c>
      <c r="G266" t="s">
        <v>2877</v>
      </c>
    </row>
    <row r="267" spans="1:7" s="297" customFormat="1" ht="44.25" customHeight="1">
      <c r="A267" t="s">
        <v>2878</v>
      </c>
      <c r="B267" t="s">
        <v>2879</v>
      </c>
      <c r="C267" t="s">
        <v>136</v>
      </c>
      <c r="D267" t="s">
        <v>2257</v>
      </c>
      <c r="E267" t="s">
        <v>1607</v>
      </c>
      <c r="F267" t="s">
        <v>149</v>
      </c>
      <c r="G267" t="s">
        <v>2880</v>
      </c>
    </row>
    <row r="268" spans="1:7" s="297" customFormat="1" ht="44.25" customHeight="1">
      <c r="A268" t="s">
        <v>246</v>
      </c>
      <c r="B268" t="s">
        <v>2881</v>
      </c>
      <c r="C268" t="s">
        <v>136</v>
      </c>
      <c r="D268" t="s">
        <v>2257</v>
      </c>
      <c r="E268" t="s">
        <v>2882</v>
      </c>
      <c r="F268" t="s">
        <v>149</v>
      </c>
      <c r="G268" t="s">
        <v>2883</v>
      </c>
    </row>
    <row r="269" spans="1:7" s="297" customFormat="1" ht="44.25" customHeight="1">
      <c r="A269" t="s">
        <v>2884</v>
      </c>
      <c r="B269" t="s">
        <v>2885</v>
      </c>
      <c r="C269" t="s">
        <v>136</v>
      </c>
      <c r="D269" t="s">
        <v>2257</v>
      </c>
      <c r="E269" t="s">
        <v>1607</v>
      </c>
      <c r="F269" t="s">
        <v>149</v>
      </c>
      <c r="G269" t="s">
        <v>2886</v>
      </c>
    </row>
    <row r="270" spans="1:7" s="297" customFormat="1" ht="44.25" customHeight="1">
      <c r="A270" t="s">
        <v>2887</v>
      </c>
      <c r="B270" t="s">
        <v>2888</v>
      </c>
      <c r="C270" t="s">
        <v>136</v>
      </c>
      <c r="D270" t="s">
        <v>2257</v>
      </c>
      <c r="E270" t="s">
        <v>1607</v>
      </c>
      <c r="F270" t="s">
        <v>149</v>
      </c>
      <c r="G270" t="s">
        <v>2889</v>
      </c>
    </row>
    <row r="271" spans="1:7" s="297" customFormat="1" ht="44.25" customHeight="1">
      <c r="A271" t="s">
        <v>2890</v>
      </c>
      <c r="B271" t="s">
        <v>2891</v>
      </c>
      <c r="C271" t="s">
        <v>136</v>
      </c>
      <c r="D271" t="s">
        <v>2257</v>
      </c>
      <c r="E271" t="s">
        <v>1607</v>
      </c>
      <c r="F271" t="s">
        <v>149</v>
      </c>
      <c r="G271" t="s">
        <v>2892</v>
      </c>
    </row>
    <row r="272" spans="1:7" s="297" customFormat="1" ht="44.25" customHeight="1">
      <c r="A272" t="s">
        <v>2893</v>
      </c>
      <c r="B272" t="s">
        <v>2894</v>
      </c>
      <c r="C272" t="s">
        <v>136</v>
      </c>
      <c r="D272" t="s">
        <v>2257</v>
      </c>
      <c r="E272" t="s">
        <v>1607</v>
      </c>
      <c r="F272" t="s">
        <v>149</v>
      </c>
      <c r="G272" t="s">
        <v>2895</v>
      </c>
    </row>
    <row r="273" spans="1:7" s="297" customFormat="1" ht="44.25" customHeight="1">
      <c r="A273" t="s">
        <v>2896</v>
      </c>
      <c r="B273" t="s">
        <v>2897</v>
      </c>
      <c r="C273" t="s">
        <v>136</v>
      </c>
      <c r="D273" t="s">
        <v>2257</v>
      </c>
      <c r="E273" t="s">
        <v>1607</v>
      </c>
      <c r="F273" t="s">
        <v>149</v>
      </c>
      <c r="G273" t="s">
        <v>2898</v>
      </c>
    </row>
    <row r="274" spans="1:7" s="297" customFormat="1" ht="44.25" customHeight="1">
      <c r="A274" t="s">
        <v>2899</v>
      </c>
      <c r="B274" t="s">
        <v>2900</v>
      </c>
      <c r="C274" t="s">
        <v>136</v>
      </c>
      <c r="D274" t="s">
        <v>2257</v>
      </c>
      <c r="E274" t="s">
        <v>1607</v>
      </c>
      <c r="F274" t="s">
        <v>149</v>
      </c>
      <c r="G274" t="s">
        <v>2901</v>
      </c>
    </row>
    <row r="275" spans="1:7" s="297" customFormat="1" ht="44.25" customHeight="1">
      <c r="A275" t="s">
        <v>2902</v>
      </c>
      <c r="B275" t="s">
        <v>2903</v>
      </c>
      <c r="C275" t="s">
        <v>136</v>
      </c>
      <c r="D275" t="s">
        <v>2257</v>
      </c>
      <c r="E275" t="s">
        <v>1607</v>
      </c>
      <c r="F275" t="s">
        <v>149</v>
      </c>
      <c r="G275" t="s">
        <v>2904</v>
      </c>
    </row>
    <row r="276" spans="1:7" s="297" customFormat="1" ht="44.25" customHeight="1">
      <c r="A276" t="s">
        <v>2905</v>
      </c>
      <c r="B276" t="s">
        <v>2906</v>
      </c>
      <c r="C276" t="s">
        <v>136</v>
      </c>
      <c r="D276" t="s">
        <v>2257</v>
      </c>
      <c r="E276" t="s">
        <v>2399</v>
      </c>
      <c r="F276" t="s">
        <v>149</v>
      </c>
      <c r="G276" t="s">
        <v>2907</v>
      </c>
    </row>
    <row r="277" spans="1:7" s="297" customFormat="1" ht="44.25" customHeight="1">
      <c r="A277" t="s">
        <v>2908</v>
      </c>
      <c r="B277" t="s">
        <v>2909</v>
      </c>
      <c r="C277" t="s">
        <v>136</v>
      </c>
      <c r="D277" t="s">
        <v>2257</v>
      </c>
      <c r="E277" t="s">
        <v>2399</v>
      </c>
      <c r="F277" t="s">
        <v>149</v>
      </c>
      <c r="G277" t="s">
        <v>2910</v>
      </c>
    </row>
    <row r="278" spans="1:7" s="297" customFormat="1" ht="44.25" customHeight="1">
      <c r="A278" t="s">
        <v>2911</v>
      </c>
      <c r="B278" t="s">
        <v>2912</v>
      </c>
      <c r="C278" t="s">
        <v>136</v>
      </c>
      <c r="D278" t="s">
        <v>2257</v>
      </c>
      <c r="E278" t="s">
        <v>2399</v>
      </c>
      <c r="F278" t="s">
        <v>149</v>
      </c>
      <c r="G278" t="s">
        <v>2913</v>
      </c>
    </row>
    <row r="279" spans="1:7" s="297" customFormat="1" ht="44.25" customHeight="1">
      <c r="A279" t="s">
        <v>2914</v>
      </c>
      <c r="B279" t="s">
        <v>2915</v>
      </c>
      <c r="C279" t="s">
        <v>136</v>
      </c>
      <c r="D279" t="s">
        <v>2257</v>
      </c>
      <c r="E279" t="s">
        <v>2399</v>
      </c>
      <c r="F279" t="s">
        <v>149</v>
      </c>
      <c r="G279" t="s">
        <v>2916</v>
      </c>
    </row>
    <row r="280" spans="1:7" s="297" customFormat="1" ht="44.25" customHeight="1">
      <c r="A280" t="s">
        <v>2917</v>
      </c>
      <c r="B280" t="s">
        <v>2918</v>
      </c>
      <c r="C280" t="s">
        <v>136</v>
      </c>
      <c r="D280" t="s">
        <v>2257</v>
      </c>
      <c r="E280" t="s">
        <v>2399</v>
      </c>
      <c r="F280" t="s">
        <v>149</v>
      </c>
      <c r="G280" t="s">
        <v>2919</v>
      </c>
    </row>
    <row r="281" spans="1:7" s="297" customFormat="1" ht="44.25" customHeight="1">
      <c r="A281" t="s">
        <v>2920</v>
      </c>
      <c r="B281" t="s">
        <v>2921</v>
      </c>
      <c r="C281" t="s">
        <v>136</v>
      </c>
      <c r="D281" t="s">
        <v>2257</v>
      </c>
      <c r="E281" t="s">
        <v>2399</v>
      </c>
      <c r="F281" t="s">
        <v>149</v>
      </c>
      <c r="G281" t="s">
        <v>2922</v>
      </c>
    </row>
    <row r="282" spans="1:7" s="297" customFormat="1" ht="44.25" customHeight="1">
      <c r="A282" t="s">
        <v>2923</v>
      </c>
      <c r="B282" t="s">
        <v>2924</v>
      </c>
      <c r="C282" t="s">
        <v>136</v>
      </c>
      <c r="D282" t="s">
        <v>2257</v>
      </c>
      <c r="E282" t="s">
        <v>1607</v>
      </c>
      <c r="F282" t="s">
        <v>149</v>
      </c>
      <c r="G282" t="s">
        <v>2925</v>
      </c>
    </row>
    <row r="283" spans="1:7" s="297" customFormat="1" ht="44.25" customHeight="1">
      <c r="A283" t="s">
        <v>2926</v>
      </c>
      <c r="B283" t="s">
        <v>2927</v>
      </c>
      <c r="C283" t="s">
        <v>136</v>
      </c>
      <c r="D283" t="s">
        <v>2257</v>
      </c>
      <c r="E283" t="s">
        <v>2399</v>
      </c>
      <c r="F283" t="s">
        <v>149</v>
      </c>
      <c r="G283" t="s">
        <v>2928</v>
      </c>
    </row>
    <row r="284" spans="1:7" s="297" customFormat="1" ht="44.25" customHeight="1">
      <c r="A284" t="s">
        <v>2929</v>
      </c>
      <c r="B284" t="s">
        <v>2930</v>
      </c>
      <c r="C284" t="s">
        <v>136</v>
      </c>
      <c r="D284" t="s">
        <v>2257</v>
      </c>
      <c r="E284" t="s">
        <v>1607</v>
      </c>
      <c r="F284" t="s">
        <v>149</v>
      </c>
      <c r="G284" t="s">
        <v>2931</v>
      </c>
    </row>
    <row r="285" spans="1:7" s="297" customFormat="1" ht="44.25" customHeight="1">
      <c r="A285" t="s">
        <v>2932</v>
      </c>
      <c r="B285" t="s">
        <v>2933</v>
      </c>
      <c r="C285" t="s">
        <v>136</v>
      </c>
      <c r="D285" t="s">
        <v>2257</v>
      </c>
      <c r="E285" t="s">
        <v>1503</v>
      </c>
      <c r="F285" t="s">
        <v>149</v>
      </c>
      <c r="G285" t="s">
        <v>2934</v>
      </c>
    </row>
    <row r="286" spans="1:7" s="297" customFormat="1" ht="44.25" customHeight="1">
      <c r="A286" t="s">
        <v>2935</v>
      </c>
      <c r="B286" t="s">
        <v>2936</v>
      </c>
      <c r="C286" t="s">
        <v>136</v>
      </c>
      <c r="D286" t="s">
        <v>2257</v>
      </c>
      <c r="E286" t="s">
        <v>2695</v>
      </c>
      <c r="F286" t="s">
        <v>149</v>
      </c>
      <c r="G286" t="s">
        <v>2937</v>
      </c>
    </row>
    <row r="287" spans="1:7" s="297" customFormat="1" ht="44.25" customHeight="1">
      <c r="A287" t="s">
        <v>2938</v>
      </c>
      <c r="B287" t="s">
        <v>2939</v>
      </c>
      <c r="C287" t="s">
        <v>136</v>
      </c>
      <c r="D287" t="s">
        <v>2257</v>
      </c>
      <c r="E287" t="s">
        <v>2695</v>
      </c>
      <c r="F287" t="s">
        <v>149</v>
      </c>
      <c r="G287" t="s">
        <v>2940</v>
      </c>
    </row>
    <row r="288" spans="1:7" s="297" customFormat="1" ht="44.25" customHeight="1">
      <c r="A288" t="s">
        <v>297</v>
      </c>
      <c r="B288" t="s">
        <v>2941</v>
      </c>
      <c r="C288" t="s">
        <v>136</v>
      </c>
      <c r="D288" t="s">
        <v>2257</v>
      </c>
      <c r="E288" t="s">
        <v>1503</v>
      </c>
      <c r="F288" t="s">
        <v>149</v>
      </c>
      <c r="G288" t="s">
        <v>2942</v>
      </c>
    </row>
    <row r="289" spans="1:7" s="297" customFormat="1" ht="44.25" customHeight="1">
      <c r="A289" t="s">
        <v>2943</v>
      </c>
      <c r="B289" t="s">
        <v>2944</v>
      </c>
      <c r="C289" t="s">
        <v>136</v>
      </c>
      <c r="D289" t="s">
        <v>2257</v>
      </c>
      <c r="E289" t="s">
        <v>1607</v>
      </c>
      <c r="F289" t="s">
        <v>149</v>
      </c>
      <c r="G289" t="s">
        <v>2945</v>
      </c>
    </row>
    <row r="290" spans="1:7" s="297" customFormat="1" ht="44.25" customHeight="1">
      <c r="A290" t="s">
        <v>2946</v>
      </c>
      <c r="B290" t="s">
        <v>2947</v>
      </c>
      <c r="C290" t="s">
        <v>136</v>
      </c>
      <c r="D290" t="s">
        <v>2257</v>
      </c>
      <c r="E290" t="s">
        <v>2685</v>
      </c>
      <c r="F290" t="s">
        <v>149</v>
      </c>
      <c r="G290" t="s">
        <v>2948</v>
      </c>
    </row>
    <row r="291" spans="1:7" s="297" customFormat="1" ht="44.25" customHeight="1">
      <c r="A291" t="s">
        <v>2949</v>
      </c>
      <c r="B291" t="s">
        <v>2950</v>
      </c>
      <c r="C291" t="s">
        <v>136</v>
      </c>
      <c r="D291" t="s">
        <v>2257</v>
      </c>
      <c r="E291" t="s">
        <v>2685</v>
      </c>
      <c r="F291" t="s">
        <v>149</v>
      </c>
      <c r="G291" t="s">
        <v>2951</v>
      </c>
    </row>
    <row r="292" spans="1:7" s="297" customFormat="1" ht="44.25" customHeight="1">
      <c r="A292" t="s">
        <v>2952</v>
      </c>
      <c r="B292" t="s">
        <v>2953</v>
      </c>
      <c r="C292" t="s">
        <v>136</v>
      </c>
      <c r="D292" t="s">
        <v>2257</v>
      </c>
      <c r="E292" t="s">
        <v>2685</v>
      </c>
      <c r="F292" t="s">
        <v>149</v>
      </c>
      <c r="G292" t="s">
        <v>2954</v>
      </c>
    </row>
    <row r="293" spans="1:7" s="297" customFormat="1" ht="44.25" customHeight="1">
      <c r="A293" t="s">
        <v>2955</v>
      </c>
      <c r="B293" t="s">
        <v>2956</v>
      </c>
      <c r="C293" t="s">
        <v>136</v>
      </c>
      <c r="D293" t="s">
        <v>2257</v>
      </c>
      <c r="E293" t="s">
        <v>2399</v>
      </c>
      <c r="F293" t="s">
        <v>149</v>
      </c>
      <c r="G293" t="s">
        <v>2957</v>
      </c>
    </row>
    <row r="294" spans="1:7" s="297" customFormat="1" ht="44.25" customHeight="1">
      <c r="A294" t="s">
        <v>2958</v>
      </c>
      <c r="B294" t="s">
        <v>2959</v>
      </c>
      <c r="C294" t="s">
        <v>136</v>
      </c>
      <c r="D294" t="s">
        <v>2257</v>
      </c>
      <c r="E294" t="s">
        <v>1607</v>
      </c>
      <c r="F294" t="s">
        <v>149</v>
      </c>
      <c r="G294" t="s">
        <v>2960</v>
      </c>
    </row>
    <row r="295" spans="1:7" s="297" customFormat="1" ht="44.25" customHeight="1">
      <c r="A295" t="s">
        <v>2961</v>
      </c>
      <c r="B295" t="s">
        <v>2962</v>
      </c>
      <c r="C295" t="s">
        <v>136</v>
      </c>
      <c r="D295" t="s">
        <v>2257</v>
      </c>
      <c r="E295" t="s">
        <v>2399</v>
      </c>
      <c r="F295" t="s">
        <v>149</v>
      </c>
      <c r="G295" t="s">
        <v>2963</v>
      </c>
    </row>
    <row r="296" spans="1:7" s="297" customFormat="1" ht="44.25" customHeight="1">
      <c r="A296" t="s">
        <v>2964</v>
      </c>
      <c r="B296" t="s">
        <v>2965</v>
      </c>
      <c r="C296" t="s">
        <v>136</v>
      </c>
      <c r="D296" t="s">
        <v>2257</v>
      </c>
      <c r="E296" t="s">
        <v>2399</v>
      </c>
      <c r="F296" t="s">
        <v>149</v>
      </c>
      <c r="G296" t="s">
        <v>2966</v>
      </c>
    </row>
    <row r="297" spans="1:7" s="297" customFormat="1" ht="44.25" customHeight="1">
      <c r="A297" t="s">
        <v>2967</v>
      </c>
      <c r="B297" t="s">
        <v>2968</v>
      </c>
      <c r="C297" t="s">
        <v>136</v>
      </c>
      <c r="D297" t="s">
        <v>2257</v>
      </c>
      <c r="E297" t="s">
        <v>2399</v>
      </c>
      <c r="F297" t="s">
        <v>149</v>
      </c>
      <c r="G297" t="s">
        <v>2969</v>
      </c>
    </row>
    <row r="298" spans="1:7" s="297" customFormat="1" ht="44.25" customHeight="1">
      <c r="A298" t="s">
        <v>2970</v>
      </c>
      <c r="B298" t="s">
        <v>2971</v>
      </c>
      <c r="C298" t="s">
        <v>136</v>
      </c>
      <c r="D298" t="s">
        <v>2257</v>
      </c>
      <c r="E298" t="s">
        <v>1607</v>
      </c>
      <c r="F298" t="s">
        <v>149</v>
      </c>
      <c r="G298" t="s">
        <v>2972</v>
      </c>
    </row>
    <row r="299" spans="1:7" s="297" customFormat="1" ht="44.25" customHeight="1">
      <c r="A299" t="s">
        <v>2973</v>
      </c>
      <c r="B299" t="s">
        <v>2974</v>
      </c>
      <c r="C299" t="s">
        <v>136</v>
      </c>
      <c r="D299" t="s">
        <v>2257</v>
      </c>
      <c r="E299" t="s">
        <v>1607</v>
      </c>
      <c r="F299" t="s">
        <v>149</v>
      </c>
      <c r="G299" t="s">
        <v>2975</v>
      </c>
    </row>
    <row r="300" spans="1:7" s="297" customFormat="1" ht="44.25" customHeight="1">
      <c r="A300" t="s">
        <v>2976</v>
      </c>
      <c r="B300" t="s">
        <v>2977</v>
      </c>
      <c r="C300" t="s">
        <v>136</v>
      </c>
      <c r="D300" t="s">
        <v>2257</v>
      </c>
      <c r="E300" t="s">
        <v>1607</v>
      </c>
      <c r="F300" t="s">
        <v>149</v>
      </c>
      <c r="G300" t="s">
        <v>2978</v>
      </c>
    </row>
    <row r="301" spans="1:7" s="297" customFormat="1" ht="44.25" customHeight="1">
      <c r="A301" t="s">
        <v>2979</v>
      </c>
      <c r="B301" t="s">
        <v>2980</v>
      </c>
      <c r="C301" t="s">
        <v>136</v>
      </c>
      <c r="D301" t="s">
        <v>2257</v>
      </c>
      <c r="E301" t="s">
        <v>1607</v>
      </c>
      <c r="F301" t="s">
        <v>149</v>
      </c>
      <c r="G301" t="s">
        <v>2981</v>
      </c>
    </row>
    <row r="302" spans="1:7" s="297" customFormat="1" ht="44.25" customHeight="1">
      <c r="A302" t="s">
        <v>2982</v>
      </c>
      <c r="B302" t="s">
        <v>2983</v>
      </c>
      <c r="C302" t="s">
        <v>136</v>
      </c>
      <c r="D302" t="s">
        <v>2257</v>
      </c>
      <c r="E302" t="s">
        <v>1607</v>
      </c>
      <c r="F302" t="s">
        <v>149</v>
      </c>
      <c r="G302" t="s">
        <v>2984</v>
      </c>
    </row>
    <row r="303" spans="1:7" s="297" customFormat="1" ht="44.25" customHeight="1">
      <c r="A303" t="s">
        <v>2985</v>
      </c>
      <c r="B303" t="s">
        <v>2986</v>
      </c>
      <c r="C303" t="s">
        <v>136</v>
      </c>
      <c r="D303" t="s">
        <v>2257</v>
      </c>
      <c r="E303" t="s">
        <v>1607</v>
      </c>
      <c r="F303" t="s">
        <v>149</v>
      </c>
      <c r="G303" t="s">
        <v>2987</v>
      </c>
    </row>
    <row r="304" spans="1:7" s="297" customFormat="1" ht="44.25" customHeight="1">
      <c r="A304" t="s">
        <v>2988</v>
      </c>
      <c r="B304" t="s">
        <v>2989</v>
      </c>
      <c r="C304" t="s">
        <v>136</v>
      </c>
      <c r="D304" t="s">
        <v>2257</v>
      </c>
      <c r="E304" t="s">
        <v>1607</v>
      </c>
      <c r="F304" t="s">
        <v>149</v>
      </c>
      <c r="G304" t="s">
        <v>2990</v>
      </c>
    </row>
    <row r="305" spans="1:7" s="297" customFormat="1" ht="44.25" customHeight="1">
      <c r="A305" t="s">
        <v>2991</v>
      </c>
      <c r="B305" t="s">
        <v>2992</v>
      </c>
      <c r="C305" t="s">
        <v>136</v>
      </c>
      <c r="D305" t="s">
        <v>2257</v>
      </c>
      <c r="E305" t="s">
        <v>1607</v>
      </c>
      <c r="F305" t="s">
        <v>149</v>
      </c>
      <c r="G305" t="s">
        <v>2993</v>
      </c>
    </row>
    <row r="306" spans="1:7" s="297" customFormat="1" ht="44.25" customHeight="1">
      <c r="A306" t="s">
        <v>2994</v>
      </c>
      <c r="B306" t="s">
        <v>2995</v>
      </c>
      <c r="C306" t="s">
        <v>136</v>
      </c>
      <c r="D306" t="s">
        <v>2257</v>
      </c>
      <c r="E306" t="s">
        <v>1607</v>
      </c>
      <c r="F306" t="s">
        <v>149</v>
      </c>
      <c r="G306" t="s">
        <v>2996</v>
      </c>
    </row>
    <row r="307" spans="1:7" s="297" customFormat="1" ht="44.25" customHeight="1">
      <c r="A307" t="s">
        <v>2997</v>
      </c>
      <c r="B307" t="s">
        <v>2998</v>
      </c>
      <c r="C307" t="s">
        <v>136</v>
      </c>
      <c r="D307" t="s">
        <v>2257</v>
      </c>
      <c r="E307" t="s">
        <v>1607</v>
      </c>
      <c r="F307" t="s">
        <v>149</v>
      </c>
      <c r="G307" t="s">
        <v>2999</v>
      </c>
    </row>
    <row r="308" spans="1:7" s="297" customFormat="1" ht="44.25" customHeight="1">
      <c r="A308" t="s">
        <v>3000</v>
      </c>
      <c r="B308" t="s">
        <v>3001</v>
      </c>
      <c r="C308" t="s">
        <v>136</v>
      </c>
      <c r="D308" t="s">
        <v>2257</v>
      </c>
      <c r="E308" t="s">
        <v>1607</v>
      </c>
      <c r="F308" t="s">
        <v>149</v>
      </c>
      <c r="G308" t="s">
        <v>3002</v>
      </c>
    </row>
    <row r="309" spans="1:7" s="297" customFormat="1" ht="44.25" customHeight="1">
      <c r="A309" t="s">
        <v>3003</v>
      </c>
      <c r="B309" t="s">
        <v>3004</v>
      </c>
      <c r="C309" t="s">
        <v>136</v>
      </c>
      <c r="D309" t="s">
        <v>79</v>
      </c>
      <c r="E309" t="s">
        <v>3005</v>
      </c>
      <c r="F309" t="s">
        <v>149</v>
      </c>
      <c r="G309" t="s">
        <v>3006</v>
      </c>
    </row>
    <row r="310" spans="1:7" s="297" customFormat="1" ht="44.25" customHeight="1">
      <c r="A310" t="s">
        <v>3007</v>
      </c>
      <c r="B310" t="s">
        <v>3008</v>
      </c>
      <c r="C310" t="s">
        <v>136</v>
      </c>
      <c r="D310" t="s">
        <v>2257</v>
      </c>
      <c r="E310" t="s">
        <v>1607</v>
      </c>
      <c r="F310" t="s">
        <v>149</v>
      </c>
      <c r="G310" t="s">
        <v>3009</v>
      </c>
    </row>
    <row r="311" spans="1:7" s="297" customFormat="1" ht="44.25" customHeight="1">
      <c r="A311" t="s">
        <v>3010</v>
      </c>
      <c r="B311" t="s">
        <v>3011</v>
      </c>
      <c r="C311" t="s">
        <v>136</v>
      </c>
      <c r="D311" t="s">
        <v>2257</v>
      </c>
      <c r="E311" t="s">
        <v>1607</v>
      </c>
      <c r="F311" t="s">
        <v>149</v>
      </c>
      <c r="G311" t="s">
        <v>3012</v>
      </c>
    </row>
    <row r="312" spans="1:7" s="297" customFormat="1" ht="44.25" customHeight="1">
      <c r="A312" t="s">
        <v>3013</v>
      </c>
      <c r="B312" t="s">
        <v>3014</v>
      </c>
      <c r="C312" t="s">
        <v>136</v>
      </c>
      <c r="D312" t="s">
        <v>2257</v>
      </c>
      <c r="E312" t="s">
        <v>1607</v>
      </c>
      <c r="F312" t="s">
        <v>149</v>
      </c>
      <c r="G312" t="s">
        <v>3015</v>
      </c>
    </row>
    <row r="313" spans="1:7" s="297" customFormat="1" ht="44.25" customHeight="1">
      <c r="A313" t="s">
        <v>3016</v>
      </c>
      <c r="B313" t="s">
        <v>3017</v>
      </c>
      <c r="C313" t="s">
        <v>136</v>
      </c>
      <c r="D313" t="s">
        <v>2257</v>
      </c>
      <c r="E313" t="s">
        <v>1607</v>
      </c>
      <c r="F313" t="s">
        <v>149</v>
      </c>
      <c r="G313" t="s">
        <v>3018</v>
      </c>
    </row>
    <row r="314" spans="1:7" s="297" customFormat="1" ht="44.25" customHeight="1">
      <c r="A314" t="s">
        <v>3019</v>
      </c>
      <c r="B314" t="s">
        <v>3020</v>
      </c>
      <c r="C314" t="s">
        <v>136</v>
      </c>
      <c r="D314" t="s">
        <v>2257</v>
      </c>
      <c r="E314" t="s">
        <v>1607</v>
      </c>
      <c r="F314" t="s">
        <v>149</v>
      </c>
      <c r="G314" t="s">
        <v>3021</v>
      </c>
    </row>
    <row r="315" spans="1:7" s="297" customFormat="1" ht="44.25" customHeight="1">
      <c r="A315" t="s">
        <v>3022</v>
      </c>
      <c r="B315" t="s">
        <v>3023</v>
      </c>
      <c r="C315" t="s">
        <v>136</v>
      </c>
      <c r="D315" t="s">
        <v>2257</v>
      </c>
      <c r="E315" t="s">
        <v>1607</v>
      </c>
      <c r="F315" t="s">
        <v>149</v>
      </c>
      <c r="G315" t="s">
        <v>3024</v>
      </c>
    </row>
    <row r="316" spans="1:7" s="297" customFormat="1" ht="44.25" customHeight="1">
      <c r="A316" t="s">
        <v>3025</v>
      </c>
      <c r="B316" t="s">
        <v>3026</v>
      </c>
      <c r="C316" t="s">
        <v>136</v>
      </c>
      <c r="D316" t="s">
        <v>2257</v>
      </c>
      <c r="E316" t="s">
        <v>1607</v>
      </c>
      <c r="F316" t="s">
        <v>149</v>
      </c>
      <c r="G316" t="s">
        <v>3027</v>
      </c>
    </row>
    <row r="317" spans="1:7" s="297" customFormat="1" ht="44.25" customHeight="1">
      <c r="A317" t="s">
        <v>3028</v>
      </c>
      <c r="B317" t="s">
        <v>3029</v>
      </c>
      <c r="C317" t="s">
        <v>136</v>
      </c>
      <c r="D317" t="s">
        <v>2257</v>
      </c>
      <c r="E317" t="s">
        <v>1607</v>
      </c>
      <c r="F317" t="s">
        <v>149</v>
      </c>
      <c r="G317" t="s">
        <v>3030</v>
      </c>
    </row>
    <row r="318" spans="1:7" s="297" customFormat="1" ht="44.25" customHeight="1">
      <c r="A318" t="s">
        <v>3031</v>
      </c>
      <c r="B318" t="s">
        <v>3032</v>
      </c>
      <c r="C318" t="s">
        <v>136</v>
      </c>
      <c r="D318" t="s">
        <v>2257</v>
      </c>
      <c r="E318" t="s">
        <v>1607</v>
      </c>
      <c r="F318" t="s">
        <v>149</v>
      </c>
      <c r="G318" t="s">
        <v>3033</v>
      </c>
    </row>
    <row r="319" spans="1:7" s="297" customFormat="1" ht="44.25" customHeight="1">
      <c r="A319" t="s">
        <v>3034</v>
      </c>
      <c r="B319" t="s">
        <v>3035</v>
      </c>
      <c r="C319" t="s">
        <v>136</v>
      </c>
      <c r="D319" t="s">
        <v>2257</v>
      </c>
      <c r="E319" t="s">
        <v>1607</v>
      </c>
      <c r="F319" t="s">
        <v>149</v>
      </c>
      <c r="G319" t="s">
        <v>3036</v>
      </c>
    </row>
    <row r="320" spans="1:7" s="297" customFormat="1" ht="44.25" customHeight="1">
      <c r="A320" t="s">
        <v>3037</v>
      </c>
      <c r="B320" t="s">
        <v>3038</v>
      </c>
      <c r="C320" t="s">
        <v>136</v>
      </c>
      <c r="D320" t="s">
        <v>2257</v>
      </c>
      <c r="E320" t="s">
        <v>1607</v>
      </c>
      <c r="F320" t="s">
        <v>149</v>
      </c>
      <c r="G320" t="s">
        <v>3039</v>
      </c>
    </row>
    <row r="321" spans="1:7" s="297" customFormat="1" ht="44.25" customHeight="1">
      <c r="A321" t="s">
        <v>3040</v>
      </c>
      <c r="B321" t="s">
        <v>3041</v>
      </c>
      <c r="C321" t="s">
        <v>136</v>
      </c>
      <c r="D321" t="s">
        <v>2257</v>
      </c>
      <c r="E321" t="s">
        <v>1607</v>
      </c>
      <c r="F321" t="s">
        <v>149</v>
      </c>
      <c r="G321" t="s">
        <v>3042</v>
      </c>
    </row>
    <row r="322" spans="1:7" s="297" customFormat="1" ht="44.25" customHeight="1">
      <c r="A322" t="s">
        <v>3043</v>
      </c>
      <c r="B322" t="s">
        <v>3044</v>
      </c>
      <c r="C322" t="s">
        <v>136</v>
      </c>
      <c r="D322" t="s">
        <v>2257</v>
      </c>
      <c r="E322" t="s">
        <v>1607</v>
      </c>
      <c r="F322" t="s">
        <v>149</v>
      </c>
      <c r="G322" t="s">
        <v>3045</v>
      </c>
    </row>
    <row r="323" spans="1:7" s="297" customFormat="1" ht="44.25" customHeight="1">
      <c r="A323" t="s">
        <v>3046</v>
      </c>
      <c r="B323" t="s">
        <v>3047</v>
      </c>
      <c r="C323" t="s">
        <v>136</v>
      </c>
      <c r="D323" t="s">
        <v>2257</v>
      </c>
      <c r="E323" t="s">
        <v>1607</v>
      </c>
      <c r="F323" t="s">
        <v>149</v>
      </c>
      <c r="G323" t="s">
        <v>3048</v>
      </c>
    </row>
    <row r="324" spans="1:7" s="297" customFormat="1" ht="44.25" customHeight="1">
      <c r="A324" t="s">
        <v>3049</v>
      </c>
      <c r="B324" t="s">
        <v>3050</v>
      </c>
      <c r="C324" t="s">
        <v>136</v>
      </c>
      <c r="D324" t="s">
        <v>2257</v>
      </c>
      <c r="E324" t="s">
        <v>1607</v>
      </c>
      <c r="F324" t="s">
        <v>149</v>
      </c>
      <c r="G324" t="s">
        <v>3051</v>
      </c>
    </row>
    <row r="325" spans="1:7" s="297" customFormat="1" ht="44.25" customHeight="1">
      <c r="A325" t="s">
        <v>248</v>
      </c>
      <c r="B325" t="s">
        <v>3052</v>
      </c>
      <c r="C325" t="s">
        <v>136</v>
      </c>
      <c r="D325" t="s">
        <v>2257</v>
      </c>
      <c r="E325" t="s">
        <v>1607</v>
      </c>
      <c r="F325" t="s">
        <v>149</v>
      </c>
      <c r="G325" t="s">
        <v>3053</v>
      </c>
    </row>
    <row r="326" spans="1:7" s="297" customFormat="1" ht="44.25" customHeight="1">
      <c r="A326" t="s">
        <v>1418</v>
      </c>
      <c r="B326" t="s">
        <v>3054</v>
      </c>
      <c r="C326" t="s">
        <v>136</v>
      </c>
      <c r="D326" t="s">
        <v>2257</v>
      </c>
      <c r="E326" t="s">
        <v>1607</v>
      </c>
      <c r="F326" t="s">
        <v>149</v>
      </c>
      <c r="G326" t="s">
        <v>3055</v>
      </c>
    </row>
    <row r="327" spans="1:7" s="297" customFormat="1" ht="44.25" customHeight="1">
      <c r="A327" t="s">
        <v>3056</v>
      </c>
      <c r="B327" t="s">
        <v>3057</v>
      </c>
      <c r="C327" t="s">
        <v>136</v>
      </c>
      <c r="D327" t="s">
        <v>2257</v>
      </c>
      <c r="E327" t="s">
        <v>1607</v>
      </c>
      <c r="F327" t="s">
        <v>149</v>
      </c>
      <c r="G327" t="s">
        <v>3058</v>
      </c>
    </row>
    <row r="328" spans="1:7" s="297" customFormat="1" ht="44.25" customHeight="1">
      <c r="A328" t="s">
        <v>3059</v>
      </c>
      <c r="B328" t="s">
        <v>3060</v>
      </c>
      <c r="C328" t="s">
        <v>136</v>
      </c>
      <c r="D328" t="s">
        <v>2257</v>
      </c>
      <c r="E328" t="s">
        <v>1607</v>
      </c>
      <c r="F328" t="s">
        <v>149</v>
      </c>
      <c r="G328" t="s">
        <v>3061</v>
      </c>
    </row>
    <row r="329" spans="1:7" s="297" customFormat="1" ht="44.25" customHeight="1">
      <c r="A329" t="s">
        <v>3062</v>
      </c>
      <c r="B329" t="s">
        <v>3063</v>
      </c>
      <c r="C329" t="s">
        <v>136</v>
      </c>
      <c r="D329" t="s">
        <v>2257</v>
      </c>
      <c r="E329" t="s">
        <v>1607</v>
      </c>
      <c r="F329" t="s">
        <v>149</v>
      </c>
      <c r="G329" t="s">
        <v>3064</v>
      </c>
    </row>
    <row r="330" spans="1:7" s="297" customFormat="1" ht="44.25" customHeight="1">
      <c r="A330" t="s">
        <v>3065</v>
      </c>
      <c r="B330" t="s">
        <v>3066</v>
      </c>
      <c r="C330" t="s">
        <v>136</v>
      </c>
      <c r="D330" t="s">
        <v>2257</v>
      </c>
      <c r="E330" t="s">
        <v>1607</v>
      </c>
      <c r="F330" t="s">
        <v>149</v>
      </c>
      <c r="G330" t="s">
        <v>3067</v>
      </c>
    </row>
    <row r="331" spans="1:7" s="297" customFormat="1" ht="44.25" customHeight="1">
      <c r="A331" t="s">
        <v>3068</v>
      </c>
      <c r="B331" t="s">
        <v>3069</v>
      </c>
      <c r="C331" t="s">
        <v>136</v>
      </c>
      <c r="D331" t="s">
        <v>2257</v>
      </c>
      <c r="E331" t="s">
        <v>1607</v>
      </c>
      <c r="F331" t="s">
        <v>149</v>
      </c>
      <c r="G331" t="s">
        <v>3070</v>
      </c>
    </row>
    <row r="332" spans="1:7" s="297" customFormat="1" ht="44.25" customHeight="1">
      <c r="A332" t="s">
        <v>3071</v>
      </c>
      <c r="B332" t="s">
        <v>3072</v>
      </c>
      <c r="C332" t="s">
        <v>136</v>
      </c>
      <c r="D332" t="s">
        <v>2257</v>
      </c>
      <c r="E332" t="s">
        <v>1607</v>
      </c>
      <c r="F332" t="s">
        <v>149</v>
      </c>
      <c r="G332" t="s">
        <v>3073</v>
      </c>
    </row>
    <row r="333" spans="1:7" s="297" customFormat="1" ht="44.25" customHeight="1">
      <c r="A333" t="s">
        <v>3074</v>
      </c>
      <c r="B333" t="s">
        <v>3075</v>
      </c>
      <c r="C333" t="s">
        <v>136</v>
      </c>
      <c r="D333" t="s">
        <v>2257</v>
      </c>
      <c r="E333" t="s">
        <v>1607</v>
      </c>
      <c r="F333" t="s">
        <v>149</v>
      </c>
      <c r="G333" t="s">
        <v>3076</v>
      </c>
    </row>
    <row r="334" spans="1:7" s="297" customFormat="1" ht="44.25" customHeight="1">
      <c r="A334" t="s">
        <v>3077</v>
      </c>
      <c r="B334" t="s">
        <v>3078</v>
      </c>
      <c r="C334" t="s">
        <v>136</v>
      </c>
      <c r="D334" t="s">
        <v>2257</v>
      </c>
      <c r="E334" t="s">
        <v>1607</v>
      </c>
      <c r="F334" t="s">
        <v>149</v>
      </c>
      <c r="G334" t="s">
        <v>3079</v>
      </c>
    </row>
    <row r="335" spans="1:7" s="297" customFormat="1" ht="44.25" customHeight="1">
      <c r="A335" t="s">
        <v>1419</v>
      </c>
      <c r="B335" t="s">
        <v>3080</v>
      </c>
      <c r="C335" t="s">
        <v>136</v>
      </c>
      <c r="D335" t="s">
        <v>2257</v>
      </c>
      <c r="E335" t="s">
        <v>1607</v>
      </c>
      <c r="F335" t="s">
        <v>149</v>
      </c>
      <c r="G335" t="s">
        <v>3081</v>
      </c>
    </row>
    <row r="336" spans="1:7" s="297" customFormat="1" ht="44.25" customHeight="1">
      <c r="A336" t="s">
        <v>1417</v>
      </c>
      <c r="B336" t="s">
        <v>3082</v>
      </c>
      <c r="C336" t="s">
        <v>136</v>
      </c>
      <c r="D336" t="s">
        <v>2257</v>
      </c>
      <c r="E336" t="s">
        <v>1607</v>
      </c>
      <c r="F336" t="s">
        <v>149</v>
      </c>
      <c r="G336" t="s">
        <v>3083</v>
      </c>
    </row>
    <row r="337" spans="1:7" s="297" customFormat="1" ht="44.25" customHeight="1">
      <c r="A337" t="s">
        <v>1422</v>
      </c>
      <c r="B337" t="s">
        <v>3084</v>
      </c>
      <c r="C337" t="s">
        <v>136</v>
      </c>
      <c r="D337" t="s">
        <v>2257</v>
      </c>
      <c r="E337" t="s">
        <v>1607</v>
      </c>
      <c r="F337" t="s">
        <v>149</v>
      </c>
      <c r="G337" t="s">
        <v>3085</v>
      </c>
    </row>
    <row r="338" spans="1:7" s="297" customFormat="1" ht="44.25" customHeight="1">
      <c r="A338" t="s">
        <v>3086</v>
      </c>
      <c r="B338" t="s">
        <v>3087</v>
      </c>
      <c r="C338" t="s">
        <v>136</v>
      </c>
      <c r="D338" t="s">
        <v>2398</v>
      </c>
      <c r="E338" t="s">
        <v>2399</v>
      </c>
      <c r="F338" t="s">
        <v>149</v>
      </c>
      <c r="G338" t="s">
        <v>3088</v>
      </c>
    </row>
    <row r="339" spans="1:7" s="297" customFormat="1" ht="44.25" customHeight="1">
      <c r="A339" t="s">
        <v>3089</v>
      </c>
      <c r="B339" t="s">
        <v>3090</v>
      </c>
      <c r="C339" t="s">
        <v>136</v>
      </c>
      <c r="D339" t="s">
        <v>2257</v>
      </c>
      <c r="E339" t="s">
        <v>1607</v>
      </c>
      <c r="F339" t="s">
        <v>149</v>
      </c>
      <c r="G339" t="s">
        <v>3091</v>
      </c>
    </row>
    <row r="340" spans="1:7" s="297" customFormat="1" ht="44.25" customHeight="1">
      <c r="A340" t="s">
        <v>1388</v>
      </c>
      <c r="B340" t="s">
        <v>3092</v>
      </c>
      <c r="C340" t="s">
        <v>136</v>
      </c>
      <c r="D340" t="s">
        <v>2257</v>
      </c>
      <c r="E340" t="s">
        <v>1607</v>
      </c>
      <c r="F340" t="s">
        <v>149</v>
      </c>
      <c r="G340" t="s">
        <v>3093</v>
      </c>
    </row>
    <row r="341" spans="1:7" s="297" customFormat="1" ht="44.25" customHeight="1">
      <c r="A341" t="s">
        <v>1393</v>
      </c>
      <c r="B341" t="s">
        <v>3094</v>
      </c>
      <c r="C341" t="s">
        <v>136</v>
      </c>
      <c r="D341" t="s">
        <v>2257</v>
      </c>
      <c r="E341" t="s">
        <v>1607</v>
      </c>
      <c r="F341" t="s">
        <v>149</v>
      </c>
      <c r="G341" t="s">
        <v>3095</v>
      </c>
    </row>
    <row r="342" spans="1:7" s="297" customFormat="1" ht="44.25" customHeight="1">
      <c r="A342" t="s">
        <v>1392</v>
      </c>
      <c r="B342" t="s">
        <v>3096</v>
      </c>
      <c r="C342" t="s">
        <v>136</v>
      </c>
      <c r="D342" t="s">
        <v>2257</v>
      </c>
      <c r="E342" t="s">
        <v>1607</v>
      </c>
      <c r="F342" t="s">
        <v>149</v>
      </c>
      <c r="G342" t="s">
        <v>3097</v>
      </c>
    </row>
    <row r="343" spans="1:7" s="297" customFormat="1" ht="44.25" customHeight="1">
      <c r="A343" t="s">
        <v>1412</v>
      </c>
      <c r="B343" t="s">
        <v>3098</v>
      </c>
      <c r="C343" t="s">
        <v>136</v>
      </c>
      <c r="D343" t="s">
        <v>2257</v>
      </c>
      <c r="E343" t="s">
        <v>1607</v>
      </c>
      <c r="F343" t="s">
        <v>149</v>
      </c>
      <c r="G343" t="s">
        <v>3099</v>
      </c>
    </row>
    <row r="344" spans="1:7" s="297" customFormat="1" ht="44.25" customHeight="1">
      <c r="A344" t="s">
        <v>1408</v>
      </c>
      <c r="B344" t="s">
        <v>3100</v>
      </c>
      <c r="C344" t="s">
        <v>136</v>
      </c>
      <c r="D344" t="s">
        <v>2257</v>
      </c>
      <c r="E344" t="s">
        <v>1607</v>
      </c>
      <c r="F344" t="s">
        <v>149</v>
      </c>
      <c r="G344" t="s">
        <v>3101</v>
      </c>
    </row>
    <row r="345" spans="1:7" s="297" customFormat="1" ht="44.25" customHeight="1">
      <c r="A345" t="s">
        <v>1409</v>
      </c>
      <c r="B345" t="s">
        <v>3102</v>
      </c>
      <c r="C345" t="s">
        <v>136</v>
      </c>
      <c r="D345" t="s">
        <v>2257</v>
      </c>
      <c r="E345" t="s">
        <v>1607</v>
      </c>
      <c r="F345" t="s">
        <v>149</v>
      </c>
      <c r="G345" t="s">
        <v>3103</v>
      </c>
    </row>
    <row r="346" spans="1:7" s="297" customFormat="1" ht="44.25" customHeight="1">
      <c r="A346" t="s">
        <v>1413</v>
      </c>
      <c r="B346" t="s">
        <v>3104</v>
      </c>
      <c r="C346" t="s">
        <v>136</v>
      </c>
      <c r="D346" t="s">
        <v>2257</v>
      </c>
      <c r="E346" t="s">
        <v>1607</v>
      </c>
      <c r="F346" t="s">
        <v>149</v>
      </c>
      <c r="G346" t="s">
        <v>3105</v>
      </c>
    </row>
    <row r="347" spans="1:7" s="297" customFormat="1" ht="44.25" customHeight="1">
      <c r="A347" t="s">
        <v>1397</v>
      </c>
      <c r="B347" t="s">
        <v>3106</v>
      </c>
      <c r="C347" t="s">
        <v>136</v>
      </c>
      <c r="D347" t="s">
        <v>2257</v>
      </c>
      <c r="E347" t="s">
        <v>1607</v>
      </c>
      <c r="F347" t="s">
        <v>149</v>
      </c>
      <c r="G347" t="s">
        <v>3107</v>
      </c>
    </row>
    <row r="348" spans="1:7" s="297" customFormat="1" ht="44.25" customHeight="1">
      <c r="A348" t="s">
        <v>1403</v>
      </c>
      <c r="B348" t="s">
        <v>3108</v>
      </c>
      <c r="C348" t="s">
        <v>136</v>
      </c>
      <c r="D348" t="s">
        <v>2257</v>
      </c>
      <c r="E348" t="s">
        <v>1607</v>
      </c>
      <c r="F348" t="s">
        <v>149</v>
      </c>
      <c r="G348" t="s">
        <v>3109</v>
      </c>
    </row>
    <row r="349" spans="1:7" s="297" customFormat="1" ht="44.25" customHeight="1">
      <c r="A349" t="s">
        <v>1424</v>
      </c>
      <c r="B349" t="s">
        <v>3110</v>
      </c>
      <c r="C349" t="s">
        <v>136</v>
      </c>
      <c r="D349" t="s">
        <v>2257</v>
      </c>
      <c r="E349" t="s">
        <v>1607</v>
      </c>
      <c r="F349" t="s">
        <v>149</v>
      </c>
      <c r="G349" t="s">
        <v>3111</v>
      </c>
    </row>
    <row r="350" spans="1:7" s="297" customFormat="1" ht="44.25" customHeight="1">
      <c r="A350" t="s">
        <v>3112</v>
      </c>
      <c r="B350" t="s">
        <v>3113</v>
      </c>
      <c r="C350" t="s">
        <v>136</v>
      </c>
      <c r="D350" t="s">
        <v>2257</v>
      </c>
      <c r="E350" t="s">
        <v>1607</v>
      </c>
      <c r="F350" t="s">
        <v>149</v>
      </c>
      <c r="G350" t="s">
        <v>3114</v>
      </c>
    </row>
    <row r="351" spans="1:7" s="297" customFormat="1" ht="44.25" customHeight="1">
      <c r="A351" t="s">
        <v>1425</v>
      </c>
      <c r="B351" t="s">
        <v>3115</v>
      </c>
      <c r="C351" t="s">
        <v>136</v>
      </c>
      <c r="D351" t="s">
        <v>2257</v>
      </c>
      <c r="E351" t="s">
        <v>1607</v>
      </c>
      <c r="F351" t="s">
        <v>149</v>
      </c>
      <c r="G351" t="s">
        <v>3116</v>
      </c>
    </row>
    <row r="352" spans="1:7" s="297" customFormat="1" ht="44.25" customHeight="1">
      <c r="A352" t="s">
        <v>3117</v>
      </c>
      <c r="B352" t="s">
        <v>3118</v>
      </c>
      <c r="C352" t="s">
        <v>136</v>
      </c>
      <c r="D352" t="s">
        <v>2257</v>
      </c>
      <c r="E352" t="s">
        <v>1607</v>
      </c>
      <c r="F352" t="s">
        <v>149</v>
      </c>
      <c r="G352" t="s">
        <v>3119</v>
      </c>
    </row>
    <row r="353" spans="1:7" s="297" customFormat="1" ht="44.25" customHeight="1">
      <c r="A353" t="s">
        <v>1386</v>
      </c>
      <c r="B353" t="s">
        <v>3120</v>
      </c>
      <c r="C353" t="s">
        <v>136</v>
      </c>
      <c r="D353" t="s">
        <v>2257</v>
      </c>
      <c r="E353" t="s">
        <v>1607</v>
      </c>
      <c r="F353" t="s">
        <v>149</v>
      </c>
      <c r="G353" t="s">
        <v>3121</v>
      </c>
    </row>
    <row r="354" spans="1:7" s="297" customFormat="1" ht="44.25" customHeight="1">
      <c r="A354" t="s">
        <v>275</v>
      </c>
      <c r="B354" t="s">
        <v>3122</v>
      </c>
      <c r="C354" t="s">
        <v>136</v>
      </c>
      <c r="D354" t="s">
        <v>2257</v>
      </c>
      <c r="E354" t="s">
        <v>1607</v>
      </c>
      <c r="F354" t="s">
        <v>149</v>
      </c>
      <c r="G354" t="s">
        <v>3123</v>
      </c>
    </row>
    <row r="355" spans="1:7" s="297" customFormat="1" ht="44.25" customHeight="1">
      <c r="A355" t="s">
        <v>274</v>
      </c>
      <c r="B355" t="s">
        <v>3124</v>
      </c>
      <c r="C355" t="s">
        <v>136</v>
      </c>
      <c r="D355" t="s">
        <v>2257</v>
      </c>
      <c r="E355" t="s">
        <v>1607</v>
      </c>
      <c r="F355" t="s">
        <v>149</v>
      </c>
      <c r="G355" t="s">
        <v>3125</v>
      </c>
    </row>
    <row r="356" spans="1:7" s="297" customFormat="1" ht="44.25" customHeight="1">
      <c r="A356" t="s">
        <v>266</v>
      </c>
      <c r="B356" t="s">
        <v>3126</v>
      </c>
      <c r="C356" t="s">
        <v>136</v>
      </c>
      <c r="D356" t="s">
        <v>2257</v>
      </c>
      <c r="E356" t="s">
        <v>1607</v>
      </c>
      <c r="F356" t="s">
        <v>149</v>
      </c>
      <c r="G356" t="s">
        <v>3127</v>
      </c>
    </row>
    <row r="357" spans="1:7" s="297" customFormat="1" ht="44.25" customHeight="1">
      <c r="A357" t="s">
        <v>261</v>
      </c>
      <c r="B357" t="s">
        <v>3128</v>
      </c>
      <c r="C357" t="s">
        <v>136</v>
      </c>
      <c r="D357" t="s">
        <v>2257</v>
      </c>
      <c r="E357" t="s">
        <v>1607</v>
      </c>
      <c r="F357" t="s">
        <v>149</v>
      </c>
      <c r="G357" t="s">
        <v>3129</v>
      </c>
    </row>
    <row r="358" spans="1:7" s="297" customFormat="1" ht="44.25" customHeight="1">
      <c r="A358" t="s">
        <v>264</v>
      </c>
      <c r="B358" t="s">
        <v>3130</v>
      </c>
      <c r="C358" t="s">
        <v>136</v>
      </c>
      <c r="D358" t="s">
        <v>2257</v>
      </c>
      <c r="E358" t="s">
        <v>1607</v>
      </c>
      <c r="F358" t="s">
        <v>149</v>
      </c>
      <c r="G358" t="s">
        <v>3131</v>
      </c>
    </row>
    <row r="359" spans="1:7" s="297" customFormat="1" ht="44.25" customHeight="1">
      <c r="A359" t="s">
        <v>271</v>
      </c>
      <c r="B359" t="s">
        <v>3132</v>
      </c>
      <c r="C359" t="s">
        <v>136</v>
      </c>
      <c r="D359" t="s">
        <v>2257</v>
      </c>
      <c r="E359" t="s">
        <v>1607</v>
      </c>
      <c r="F359" t="s">
        <v>149</v>
      </c>
      <c r="G359" t="s">
        <v>3133</v>
      </c>
    </row>
    <row r="360" spans="1:7" s="297" customFormat="1" ht="44.25" customHeight="1">
      <c r="A360" t="s">
        <v>267</v>
      </c>
      <c r="B360" t="s">
        <v>3134</v>
      </c>
      <c r="C360" t="s">
        <v>136</v>
      </c>
      <c r="D360" t="s">
        <v>2257</v>
      </c>
      <c r="E360" t="s">
        <v>1607</v>
      </c>
      <c r="F360" t="s">
        <v>149</v>
      </c>
      <c r="G360" t="s">
        <v>3135</v>
      </c>
    </row>
    <row r="361" spans="1:7" s="297" customFormat="1" ht="44.25" customHeight="1">
      <c r="A361" t="s">
        <v>258</v>
      </c>
      <c r="B361" t="s">
        <v>3136</v>
      </c>
      <c r="C361" t="s">
        <v>136</v>
      </c>
      <c r="D361" t="s">
        <v>2257</v>
      </c>
      <c r="E361" t="s">
        <v>1607</v>
      </c>
      <c r="F361" t="s">
        <v>149</v>
      </c>
      <c r="G361" t="s">
        <v>3137</v>
      </c>
    </row>
    <row r="362" spans="1:7" s="297" customFormat="1" ht="44.25" customHeight="1">
      <c r="A362" t="s">
        <v>255</v>
      </c>
      <c r="B362" t="s">
        <v>3138</v>
      </c>
      <c r="C362" t="s">
        <v>136</v>
      </c>
      <c r="D362" t="s">
        <v>2257</v>
      </c>
      <c r="E362" t="s">
        <v>1607</v>
      </c>
      <c r="F362" t="s">
        <v>149</v>
      </c>
      <c r="G362" t="s">
        <v>3139</v>
      </c>
    </row>
    <row r="363" spans="1:7" s="297" customFormat="1" ht="44.25" customHeight="1">
      <c r="A363" t="s">
        <v>259</v>
      </c>
      <c r="B363" t="s">
        <v>3140</v>
      </c>
      <c r="C363" t="s">
        <v>136</v>
      </c>
      <c r="D363" t="s">
        <v>2257</v>
      </c>
      <c r="E363" t="s">
        <v>1607</v>
      </c>
      <c r="F363" t="s">
        <v>149</v>
      </c>
      <c r="G363" t="s">
        <v>3141</v>
      </c>
    </row>
    <row r="364" spans="1:7" s="297" customFormat="1" ht="44.25" customHeight="1">
      <c r="A364" t="s">
        <v>265</v>
      </c>
      <c r="B364" t="s">
        <v>3142</v>
      </c>
      <c r="C364" t="s">
        <v>136</v>
      </c>
      <c r="D364" t="s">
        <v>2257</v>
      </c>
      <c r="E364" t="s">
        <v>1607</v>
      </c>
      <c r="F364" t="s">
        <v>149</v>
      </c>
      <c r="G364" t="s">
        <v>3143</v>
      </c>
    </row>
    <row r="365" spans="1:7" s="297" customFormat="1" ht="44.25" customHeight="1">
      <c r="A365" t="s">
        <v>252</v>
      </c>
      <c r="B365" t="s">
        <v>3144</v>
      </c>
      <c r="C365" t="s">
        <v>136</v>
      </c>
      <c r="D365" t="s">
        <v>2257</v>
      </c>
      <c r="E365" t="s">
        <v>1607</v>
      </c>
      <c r="F365" t="s">
        <v>149</v>
      </c>
      <c r="G365" t="s">
        <v>3145</v>
      </c>
    </row>
    <row r="366" spans="1:7" s="297" customFormat="1" ht="44.25" customHeight="1">
      <c r="A366" t="s">
        <v>917</v>
      </c>
      <c r="B366" t="s">
        <v>3146</v>
      </c>
      <c r="C366" t="s">
        <v>136</v>
      </c>
      <c r="D366" t="s">
        <v>2257</v>
      </c>
      <c r="E366" t="s">
        <v>1607</v>
      </c>
      <c r="F366" t="s">
        <v>149</v>
      </c>
      <c r="G366" t="s">
        <v>3147</v>
      </c>
    </row>
    <row r="367" spans="1:7" s="297" customFormat="1" ht="44.25" customHeight="1">
      <c r="A367" t="s">
        <v>915</v>
      </c>
      <c r="B367" t="s">
        <v>3148</v>
      </c>
      <c r="C367" t="s">
        <v>136</v>
      </c>
      <c r="D367" t="s">
        <v>2257</v>
      </c>
      <c r="E367" t="s">
        <v>1607</v>
      </c>
      <c r="F367" t="s">
        <v>149</v>
      </c>
      <c r="G367" t="s">
        <v>3149</v>
      </c>
    </row>
    <row r="368" spans="1:7" s="297" customFormat="1" ht="44.25" customHeight="1">
      <c r="A368" t="s">
        <v>914</v>
      </c>
      <c r="B368" t="s">
        <v>3150</v>
      </c>
      <c r="C368" t="s">
        <v>136</v>
      </c>
      <c r="D368" t="s">
        <v>2257</v>
      </c>
      <c r="E368" t="s">
        <v>1607</v>
      </c>
      <c r="F368" t="s">
        <v>149</v>
      </c>
      <c r="G368" t="s">
        <v>3151</v>
      </c>
    </row>
    <row r="369" spans="1:7" s="297" customFormat="1" ht="44.25" customHeight="1">
      <c r="A369" t="s">
        <v>3152</v>
      </c>
      <c r="B369" t="s">
        <v>3153</v>
      </c>
      <c r="C369" t="s">
        <v>136</v>
      </c>
      <c r="D369" t="s">
        <v>2257</v>
      </c>
      <c r="E369" t="s">
        <v>1607</v>
      </c>
      <c r="F369" t="s">
        <v>149</v>
      </c>
      <c r="G369" t="s">
        <v>3154</v>
      </c>
    </row>
    <row r="370" spans="1:7" s="297" customFormat="1" ht="44.25" customHeight="1">
      <c r="A370" t="s">
        <v>3155</v>
      </c>
      <c r="B370" t="s">
        <v>3156</v>
      </c>
      <c r="C370" t="s">
        <v>136</v>
      </c>
      <c r="D370" t="s">
        <v>2257</v>
      </c>
      <c r="E370" t="s">
        <v>1607</v>
      </c>
      <c r="F370" t="s">
        <v>149</v>
      </c>
      <c r="G370" t="s">
        <v>3157</v>
      </c>
    </row>
    <row r="371" spans="1:7" s="297" customFormat="1" ht="44.25" customHeight="1">
      <c r="A371" t="s">
        <v>3158</v>
      </c>
      <c r="B371" t="s">
        <v>3159</v>
      </c>
      <c r="C371" t="s">
        <v>136</v>
      </c>
      <c r="D371" t="s">
        <v>2257</v>
      </c>
      <c r="E371" t="s">
        <v>1607</v>
      </c>
      <c r="F371" t="s">
        <v>149</v>
      </c>
      <c r="G371" t="s">
        <v>3160</v>
      </c>
    </row>
    <row r="372" spans="1:7" s="297" customFormat="1" ht="44.25" customHeight="1">
      <c r="A372" t="s">
        <v>319</v>
      </c>
      <c r="B372" t="s">
        <v>3161</v>
      </c>
      <c r="C372" t="s">
        <v>136</v>
      </c>
      <c r="D372" t="s">
        <v>2257</v>
      </c>
      <c r="E372" t="s">
        <v>3162</v>
      </c>
      <c r="F372" t="s">
        <v>149</v>
      </c>
      <c r="G372" t="s">
        <v>3163</v>
      </c>
    </row>
    <row r="373" spans="1:7" s="297" customFormat="1" ht="44.25" customHeight="1">
      <c r="A373" t="s">
        <v>3164</v>
      </c>
      <c r="B373" t="s">
        <v>3165</v>
      </c>
      <c r="C373" t="s">
        <v>136</v>
      </c>
      <c r="D373" t="s">
        <v>2257</v>
      </c>
      <c r="E373" t="s">
        <v>1607</v>
      </c>
      <c r="F373" t="s">
        <v>149</v>
      </c>
      <c r="G373" t="s">
        <v>3166</v>
      </c>
    </row>
    <row r="374" spans="1:7" s="297" customFormat="1" ht="44.25" customHeight="1">
      <c r="A374" t="s">
        <v>488</v>
      </c>
      <c r="B374" t="s">
        <v>3167</v>
      </c>
      <c r="C374" t="s">
        <v>136</v>
      </c>
      <c r="D374" t="s">
        <v>2257</v>
      </c>
      <c r="E374" t="s">
        <v>3168</v>
      </c>
      <c r="F374" t="s">
        <v>149</v>
      </c>
      <c r="G374" t="s">
        <v>3169</v>
      </c>
    </row>
    <row r="375" spans="1:7" s="297" customFormat="1" ht="44.25" customHeight="1">
      <c r="A375" t="s">
        <v>136</v>
      </c>
      <c r="B375" t="s">
        <v>3170</v>
      </c>
      <c r="C375" t="s">
        <v>136</v>
      </c>
      <c r="D375" t="s">
        <v>2257</v>
      </c>
      <c r="E375" t="s">
        <v>1607</v>
      </c>
      <c r="F375" t="s">
        <v>149</v>
      </c>
      <c r="G375" t="s">
        <v>3171</v>
      </c>
    </row>
    <row r="376" spans="1:7" s="297" customFormat="1" ht="44.25" customHeight="1">
      <c r="A376" t="s">
        <v>3172</v>
      </c>
      <c r="B376" t="s">
        <v>3173</v>
      </c>
      <c r="C376" t="s">
        <v>136</v>
      </c>
      <c r="D376" t="s">
        <v>79</v>
      </c>
      <c r="E376" t="s">
        <v>3174</v>
      </c>
      <c r="F376" t="s">
        <v>149</v>
      </c>
      <c r="G376" t="s">
        <v>3175</v>
      </c>
    </row>
    <row r="377" spans="1:7" s="297" customFormat="1" ht="44.25" customHeight="1">
      <c r="A377" t="s">
        <v>308</v>
      </c>
      <c r="B377" t="s">
        <v>3176</v>
      </c>
      <c r="C377" t="s">
        <v>136</v>
      </c>
      <c r="D377" t="s">
        <v>2257</v>
      </c>
      <c r="E377" t="s">
        <v>3162</v>
      </c>
      <c r="F377" t="s">
        <v>149</v>
      </c>
      <c r="G377" t="s">
        <v>3177</v>
      </c>
    </row>
    <row r="378" spans="1:7" s="297" customFormat="1" ht="44.25" customHeight="1">
      <c r="A378" t="s">
        <v>919</v>
      </c>
      <c r="B378" t="s">
        <v>3178</v>
      </c>
      <c r="C378" t="s">
        <v>136</v>
      </c>
      <c r="D378" t="s">
        <v>2257</v>
      </c>
      <c r="E378" t="s">
        <v>3162</v>
      </c>
      <c r="F378" t="s">
        <v>149</v>
      </c>
      <c r="G378" t="s">
        <v>3179</v>
      </c>
    </row>
    <row r="379" spans="1:7" s="297" customFormat="1" ht="44.25" customHeight="1">
      <c r="A379" t="s">
        <v>3180</v>
      </c>
      <c r="B379" t="s">
        <v>3181</v>
      </c>
      <c r="C379" t="s">
        <v>136</v>
      </c>
      <c r="D379" t="s">
        <v>2257</v>
      </c>
      <c r="E379" t="s">
        <v>1607</v>
      </c>
      <c r="F379" t="s">
        <v>149</v>
      </c>
      <c r="G379" t="s">
        <v>3182</v>
      </c>
    </row>
    <row r="380" spans="1:7" s="297" customFormat="1" ht="44.25" customHeight="1">
      <c r="A380" t="s">
        <v>136</v>
      </c>
      <c r="B380" t="s">
        <v>3183</v>
      </c>
      <c r="C380" t="s">
        <v>136</v>
      </c>
      <c r="D380" t="s">
        <v>2257</v>
      </c>
      <c r="E380" t="s">
        <v>2695</v>
      </c>
      <c r="F380" t="s">
        <v>149</v>
      </c>
      <c r="G380" t="s">
        <v>3184</v>
      </c>
    </row>
    <row r="381" spans="1:7" s="297" customFormat="1" ht="44.25" customHeight="1">
      <c r="A381" t="s">
        <v>3185</v>
      </c>
      <c r="B381" t="s">
        <v>3186</v>
      </c>
      <c r="C381" t="s">
        <v>136</v>
      </c>
      <c r="D381" t="s">
        <v>2257</v>
      </c>
      <c r="E381" t="s">
        <v>1607</v>
      </c>
      <c r="F381" t="s">
        <v>149</v>
      </c>
      <c r="G381" t="s">
        <v>3187</v>
      </c>
    </row>
    <row r="382" spans="1:7" s="297" customFormat="1" ht="44.25" customHeight="1">
      <c r="A382" t="s">
        <v>250</v>
      </c>
      <c r="B382" t="s">
        <v>3188</v>
      </c>
      <c r="C382" t="s">
        <v>136</v>
      </c>
      <c r="D382" t="s">
        <v>2257</v>
      </c>
      <c r="E382" t="s">
        <v>1496</v>
      </c>
      <c r="F382" t="s">
        <v>149</v>
      </c>
      <c r="G382" t="s">
        <v>3189</v>
      </c>
    </row>
    <row r="383" spans="1:7" s="297" customFormat="1" ht="44.25" customHeight="1">
      <c r="A383" t="s">
        <v>278</v>
      </c>
      <c r="B383" t="s">
        <v>3190</v>
      </c>
      <c r="C383" t="s">
        <v>136</v>
      </c>
      <c r="D383" t="s">
        <v>2253</v>
      </c>
      <c r="E383" t="s">
        <v>1607</v>
      </c>
      <c r="F383" t="s">
        <v>149</v>
      </c>
      <c r="G383" t="s">
        <v>3191</v>
      </c>
    </row>
    <row r="384" spans="1:7" s="297" customFormat="1" ht="44.25" customHeight="1">
      <c r="A384" t="s">
        <v>316</v>
      </c>
      <c r="B384" t="s">
        <v>3192</v>
      </c>
      <c r="C384" t="s">
        <v>136</v>
      </c>
      <c r="D384" t="s">
        <v>2257</v>
      </c>
      <c r="E384" t="s">
        <v>3162</v>
      </c>
      <c r="F384" t="s">
        <v>149</v>
      </c>
      <c r="G384" t="s">
        <v>3193</v>
      </c>
    </row>
    <row r="385" spans="1:7" s="297" customFormat="1" ht="44.25" customHeight="1">
      <c r="A385" t="s">
        <v>3194</v>
      </c>
      <c r="B385" t="s">
        <v>3195</v>
      </c>
      <c r="C385" t="s">
        <v>136</v>
      </c>
      <c r="D385" t="s">
        <v>79</v>
      </c>
      <c r="E385" t="s">
        <v>3196</v>
      </c>
      <c r="F385" t="s">
        <v>149</v>
      </c>
      <c r="G385" t="s">
        <v>3197</v>
      </c>
    </row>
    <row r="386" spans="1:7" s="297" customFormat="1" ht="44.25" customHeight="1">
      <c r="A386" t="s">
        <v>3198</v>
      </c>
      <c r="B386" t="s">
        <v>3199</v>
      </c>
      <c r="C386" t="s">
        <v>136</v>
      </c>
      <c r="D386" t="s">
        <v>2257</v>
      </c>
      <c r="E386" t="s">
        <v>1607</v>
      </c>
      <c r="F386" t="s">
        <v>149</v>
      </c>
      <c r="G386" t="s">
        <v>3200</v>
      </c>
    </row>
    <row r="387" spans="1:7" s="297" customFormat="1" ht="44.25" customHeight="1">
      <c r="A387" t="s">
        <v>287</v>
      </c>
      <c r="B387" t="s">
        <v>3201</v>
      </c>
      <c r="C387" t="s">
        <v>136</v>
      </c>
      <c r="D387" t="s">
        <v>2257</v>
      </c>
      <c r="E387" t="s">
        <v>1607</v>
      </c>
      <c r="F387" t="s">
        <v>149</v>
      </c>
      <c r="G387" t="s">
        <v>3202</v>
      </c>
    </row>
    <row r="388" spans="1:7" s="297" customFormat="1" ht="44.25" customHeight="1">
      <c r="A388" t="s">
        <v>3203</v>
      </c>
      <c r="B388" t="s">
        <v>3204</v>
      </c>
      <c r="C388" t="s">
        <v>136</v>
      </c>
      <c r="D388" t="s">
        <v>2257</v>
      </c>
      <c r="E388" t="s">
        <v>3162</v>
      </c>
      <c r="F388" t="s">
        <v>149</v>
      </c>
      <c r="G388" t="s">
        <v>3205</v>
      </c>
    </row>
    <row r="389" spans="1:7" s="297" customFormat="1" ht="44.25" customHeight="1">
      <c r="A389" t="s">
        <v>3206</v>
      </c>
      <c r="B389" t="s">
        <v>3207</v>
      </c>
      <c r="C389" t="s">
        <v>136</v>
      </c>
      <c r="D389" t="s">
        <v>2257</v>
      </c>
      <c r="E389" t="s">
        <v>1503</v>
      </c>
      <c r="F389" t="s">
        <v>149</v>
      </c>
      <c r="G389" t="s">
        <v>3208</v>
      </c>
    </row>
    <row r="390" spans="1:7" s="297" customFormat="1" ht="44.25" customHeight="1">
      <c r="A390" t="s">
        <v>3209</v>
      </c>
      <c r="B390" t="s">
        <v>3210</v>
      </c>
      <c r="C390" t="s">
        <v>136</v>
      </c>
      <c r="D390" t="s">
        <v>2257</v>
      </c>
      <c r="E390" t="s">
        <v>1607</v>
      </c>
      <c r="F390" t="s">
        <v>149</v>
      </c>
      <c r="G390" t="s">
        <v>3211</v>
      </c>
    </row>
    <row r="391" spans="1:7" s="297" customFormat="1" ht="44.25" customHeight="1">
      <c r="A391" t="s">
        <v>3212</v>
      </c>
      <c r="B391" t="s">
        <v>3213</v>
      </c>
      <c r="C391" t="s">
        <v>136</v>
      </c>
      <c r="D391" t="s">
        <v>2257</v>
      </c>
      <c r="E391" t="s">
        <v>2399</v>
      </c>
      <c r="F391" t="s">
        <v>149</v>
      </c>
      <c r="G391" t="s">
        <v>3214</v>
      </c>
    </row>
    <row r="392" spans="1:7" s="297" customFormat="1" ht="44.25" customHeight="1">
      <c r="A392" t="s">
        <v>3215</v>
      </c>
      <c r="B392" t="s">
        <v>3216</v>
      </c>
      <c r="C392" t="s">
        <v>136</v>
      </c>
      <c r="D392" t="s">
        <v>2257</v>
      </c>
      <c r="E392" t="s">
        <v>2399</v>
      </c>
      <c r="F392" t="s">
        <v>149</v>
      </c>
      <c r="G392" t="s">
        <v>3217</v>
      </c>
    </row>
    <row r="393" spans="1:7" s="297" customFormat="1" ht="44.25" customHeight="1">
      <c r="A393" t="s">
        <v>3218</v>
      </c>
      <c r="B393" t="s">
        <v>3219</v>
      </c>
      <c r="C393" t="s">
        <v>136</v>
      </c>
      <c r="D393" t="s">
        <v>2257</v>
      </c>
      <c r="E393" t="s">
        <v>2399</v>
      </c>
      <c r="F393" t="s">
        <v>149</v>
      </c>
      <c r="G393" t="s">
        <v>3220</v>
      </c>
    </row>
    <row r="394" spans="1:7" s="297" customFormat="1" ht="44.25" customHeight="1">
      <c r="A394" t="s">
        <v>3221</v>
      </c>
      <c r="B394" t="s">
        <v>3222</v>
      </c>
      <c r="C394" t="s">
        <v>136</v>
      </c>
      <c r="D394" t="s">
        <v>2257</v>
      </c>
      <c r="E394" t="s">
        <v>2399</v>
      </c>
      <c r="F394" t="s">
        <v>149</v>
      </c>
      <c r="G394" t="s">
        <v>3223</v>
      </c>
    </row>
    <row r="395" spans="1:7" s="297" customFormat="1" ht="44.25" customHeight="1">
      <c r="A395" t="s">
        <v>3224</v>
      </c>
      <c r="B395" t="s">
        <v>3225</v>
      </c>
      <c r="C395" t="s">
        <v>136</v>
      </c>
      <c r="D395" t="s">
        <v>2257</v>
      </c>
      <c r="E395" t="s">
        <v>2399</v>
      </c>
      <c r="F395" t="s">
        <v>149</v>
      </c>
      <c r="G395" t="s">
        <v>3226</v>
      </c>
    </row>
    <row r="396" spans="1:7" s="297" customFormat="1" ht="44.25" customHeight="1">
      <c r="A396" t="s">
        <v>3227</v>
      </c>
      <c r="B396" t="s">
        <v>3228</v>
      </c>
      <c r="C396" t="s">
        <v>136</v>
      </c>
      <c r="D396" t="s">
        <v>2257</v>
      </c>
      <c r="E396" t="s">
        <v>2399</v>
      </c>
      <c r="F396" t="s">
        <v>149</v>
      </c>
      <c r="G396" t="s">
        <v>3229</v>
      </c>
    </row>
    <row r="397" spans="1:7" s="297" customFormat="1" ht="44.25" customHeight="1">
      <c r="A397" t="s">
        <v>3230</v>
      </c>
      <c r="B397" t="s">
        <v>3231</v>
      </c>
      <c r="C397" t="s">
        <v>136</v>
      </c>
      <c r="D397" t="s">
        <v>2257</v>
      </c>
      <c r="E397" t="s">
        <v>2399</v>
      </c>
      <c r="F397" t="s">
        <v>149</v>
      </c>
      <c r="G397" t="s">
        <v>3232</v>
      </c>
    </row>
    <row r="398" spans="1:7" s="297" customFormat="1" ht="44.25" customHeight="1">
      <c r="A398" t="s">
        <v>3233</v>
      </c>
      <c r="B398" t="s">
        <v>3234</v>
      </c>
      <c r="C398" t="s">
        <v>136</v>
      </c>
      <c r="D398" t="s">
        <v>2257</v>
      </c>
      <c r="E398" t="s">
        <v>1607</v>
      </c>
      <c r="F398" t="s">
        <v>149</v>
      </c>
      <c r="G398" t="s">
        <v>3235</v>
      </c>
    </row>
    <row r="399" spans="1:7" s="297" customFormat="1" ht="44.25" customHeight="1">
      <c r="A399" t="s">
        <v>249</v>
      </c>
      <c r="B399" t="s">
        <v>3236</v>
      </c>
      <c r="C399" t="s">
        <v>136</v>
      </c>
      <c r="D399" t="s">
        <v>2257</v>
      </c>
      <c r="E399" t="s">
        <v>1607</v>
      </c>
      <c r="F399" t="s">
        <v>149</v>
      </c>
      <c r="G399" t="s">
        <v>3237</v>
      </c>
    </row>
    <row r="400" spans="1:7" s="297" customFormat="1" ht="44.25" customHeight="1">
      <c r="A400" t="s">
        <v>247</v>
      </c>
      <c r="B400" t="s">
        <v>3238</v>
      </c>
      <c r="C400" t="s">
        <v>136</v>
      </c>
      <c r="D400" t="s">
        <v>2257</v>
      </c>
      <c r="E400" t="s">
        <v>1607</v>
      </c>
      <c r="F400" t="s">
        <v>149</v>
      </c>
      <c r="G400" t="s">
        <v>3239</v>
      </c>
    </row>
    <row r="401" spans="1:7" s="297" customFormat="1" ht="44.25" customHeight="1">
      <c r="A401" t="s">
        <v>908</v>
      </c>
      <c r="B401" t="s">
        <v>3240</v>
      </c>
      <c r="C401" t="s">
        <v>136</v>
      </c>
      <c r="D401" t="s">
        <v>2257</v>
      </c>
      <c r="E401" t="s">
        <v>3241</v>
      </c>
      <c r="F401" t="s">
        <v>149</v>
      </c>
      <c r="G401" t="s">
        <v>3242</v>
      </c>
    </row>
    <row r="402" spans="1:7" s="297" customFormat="1" ht="44.25" customHeight="1">
      <c r="A402" t="s">
        <v>313</v>
      </c>
      <c r="B402" t="s">
        <v>3243</v>
      </c>
      <c r="C402" t="s">
        <v>136</v>
      </c>
      <c r="D402" t="s">
        <v>2257</v>
      </c>
      <c r="E402" t="s">
        <v>3162</v>
      </c>
      <c r="F402" t="s">
        <v>149</v>
      </c>
      <c r="G402" t="s">
        <v>3244</v>
      </c>
    </row>
    <row r="403" spans="1:7" s="297" customFormat="1" ht="44.25" customHeight="1">
      <c r="A403" t="s">
        <v>314</v>
      </c>
      <c r="B403" t="s">
        <v>3245</v>
      </c>
      <c r="C403" t="s">
        <v>136</v>
      </c>
      <c r="D403" t="s">
        <v>2257</v>
      </c>
      <c r="E403" t="s">
        <v>3162</v>
      </c>
      <c r="F403" t="s">
        <v>149</v>
      </c>
      <c r="G403" t="s">
        <v>3246</v>
      </c>
    </row>
    <row r="404" spans="1:7" s="297" customFormat="1" ht="44.25" customHeight="1">
      <c r="A404" t="s">
        <v>3247</v>
      </c>
      <c r="B404" t="s">
        <v>3248</v>
      </c>
      <c r="C404" t="s">
        <v>136</v>
      </c>
      <c r="D404" t="s">
        <v>2257</v>
      </c>
      <c r="E404" t="s">
        <v>3162</v>
      </c>
      <c r="F404" t="s">
        <v>149</v>
      </c>
      <c r="G404" t="s">
        <v>3249</v>
      </c>
    </row>
    <row r="405" spans="1:7" s="297" customFormat="1" ht="44.25" customHeight="1">
      <c r="A405" t="s">
        <v>3250</v>
      </c>
      <c r="B405" t="s">
        <v>3251</v>
      </c>
      <c r="C405" t="s">
        <v>136</v>
      </c>
      <c r="D405" t="s">
        <v>2257</v>
      </c>
      <c r="E405" t="s">
        <v>3162</v>
      </c>
      <c r="F405" t="s">
        <v>149</v>
      </c>
      <c r="G405" t="s">
        <v>3252</v>
      </c>
    </row>
    <row r="406" spans="1:7" s="297" customFormat="1" ht="44.25" customHeight="1">
      <c r="A406" t="s">
        <v>916</v>
      </c>
      <c r="B406" t="s">
        <v>3253</v>
      </c>
      <c r="C406" t="s">
        <v>136</v>
      </c>
      <c r="D406" t="s">
        <v>2257</v>
      </c>
      <c r="E406" t="s">
        <v>1607</v>
      </c>
      <c r="F406" t="s">
        <v>149</v>
      </c>
      <c r="G406" t="s">
        <v>3254</v>
      </c>
    </row>
    <row r="407" spans="1:7" s="297" customFormat="1" ht="44.25" customHeight="1">
      <c r="A407" t="s">
        <v>3255</v>
      </c>
      <c r="B407" t="s">
        <v>3256</v>
      </c>
      <c r="C407" t="s">
        <v>136</v>
      </c>
      <c r="D407" t="s">
        <v>2257</v>
      </c>
      <c r="E407" t="s">
        <v>1607</v>
      </c>
      <c r="F407" t="s">
        <v>149</v>
      </c>
      <c r="G407" t="s">
        <v>3257</v>
      </c>
    </row>
    <row r="408" spans="1:7" s="297" customFormat="1" ht="44.25" customHeight="1">
      <c r="A408" t="s">
        <v>3258</v>
      </c>
      <c r="B408" t="s">
        <v>3259</v>
      </c>
      <c r="C408" t="s">
        <v>136</v>
      </c>
      <c r="D408" t="s">
        <v>2257</v>
      </c>
      <c r="E408" t="s">
        <v>1607</v>
      </c>
      <c r="F408" t="s">
        <v>149</v>
      </c>
      <c r="G408" t="s">
        <v>3260</v>
      </c>
    </row>
    <row r="409" spans="1:7" s="297" customFormat="1" ht="44.25" customHeight="1">
      <c r="A409" t="s">
        <v>1613</v>
      </c>
      <c r="B409" t="s">
        <v>3261</v>
      </c>
      <c r="C409" t="s">
        <v>136</v>
      </c>
      <c r="D409" t="s">
        <v>2257</v>
      </c>
      <c r="E409" t="s">
        <v>1607</v>
      </c>
      <c r="F409" t="s">
        <v>149</v>
      </c>
      <c r="G409" t="s">
        <v>3262</v>
      </c>
    </row>
    <row r="410" spans="1:7" s="297" customFormat="1" ht="44.25" customHeight="1">
      <c r="A410" t="s">
        <v>3263</v>
      </c>
      <c r="B410" t="s">
        <v>3264</v>
      </c>
      <c r="C410" t="s">
        <v>136</v>
      </c>
      <c r="D410" t="s">
        <v>2257</v>
      </c>
      <c r="E410" t="s">
        <v>1607</v>
      </c>
      <c r="F410" t="s">
        <v>149</v>
      </c>
      <c r="G410" t="s">
        <v>3265</v>
      </c>
    </row>
    <row r="411" spans="1:7" s="297" customFormat="1" ht="44.25" customHeight="1">
      <c r="A411" t="s">
        <v>3266</v>
      </c>
      <c r="B411" t="s">
        <v>3267</v>
      </c>
      <c r="C411" t="s">
        <v>136</v>
      </c>
      <c r="D411" t="s">
        <v>2257</v>
      </c>
      <c r="E411" t="s">
        <v>1607</v>
      </c>
      <c r="F411" t="s">
        <v>149</v>
      </c>
      <c r="G411" t="s">
        <v>3268</v>
      </c>
    </row>
    <row r="412" spans="1:7" s="297" customFormat="1" ht="44.25" customHeight="1">
      <c r="A412" t="s">
        <v>3269</v>
      </c>
      <c r="B412" t="s">
        <v>3270</v>
      </c>
      <c r="C412" t="s">
        <v>136</v>
      </c>
      <c r="D412" t="s">
        <v>2257</v>
      </c>
      <c r="E412" t="s">
        <v>1607</v>
      </c>
      <c r="F412" t="s">
        <v>149</v>
      </c>
      <c r="G412" t="s">
        <v>3271</v>
      </c>
    </row>
    <row r="413" spans="1:7" s="297" customFormat="1" ht="44.25" customHeight="1">
      <c r="A413" t="s">
        <v>1501</v>
      </c>
      <c r="B413" t="s">
        <v>3272</v>
      </c>
      <c r="C413" t="s">
        <v>136</v>
      </c>
      <c r="D413" t="s">
        <v>2257</v>
      </c>
      <c r="E413" t="s">
        <v>1607</v>
      </c>
      <c r="F413" t="s">
        <v>149</v>
      </c>
      <c r="G413" t="s">
        <v>3273</v>
      </c>
    </row>
    <row r="414" spans="1:7" s="297" customFormat="1" ht="44.25" customHeight="1">
      <c r="A414" t="s">
        <v>136</v>
      </c>
      <c r="B414" t="s">
        <v>3274</v>
      </c>
      <c r="C414" t="s">
        <v>136</v>
      </c>
      <c r="D414" t="s">
        <v>2257</v>
      </c>
      <c r="E414" t="s">
        <v>1607</v>
      </c>
      <c r="F414" t="s">
        <v>149</v>
      </c>
      <c r="G414" t="s">
        <v>3275</v>
      </c>
    </row>
    <row r="415" spans="1:7" s="297" customFormat="1" ht="44.25" customHeight="1">
      <c r="A415" t="s">
        <v>3276</v>
      </c>
      <c r="B415" t="s">
        <v>3277</v>
      </c>
      <c r="C415" t="s">
        <v>136</v>
      </c>
      <c r="D415" t="s">
        <v>2257</v>
      </c>
      <c r="E415" t="s">
        <v>2685</v>
      </c>
      <c r="F415" t="s">
        <v>149</v>
      </c>
      <c r="G415" t="s">
        <v>3278</v>
      </c>
    </row>
    <row r="416" spans="1:7" s="297" customFormat="1" ht="44.25" customHeight="1">
      <c r="A416" t="s">
        <v>3279</v>
      </c>
      <c r="B416" t="s">
        <v>3280</v>
      </c>
      <c r="C416" t="s">
        <v>136</v>
      </c>
      <c r="D416" t="s">
        <v>2257</v>
      </c>
      <c r="E416" t="s">
        <v>1607</v>
      </c>
      <c r="F416" t="s">
        <v>149</v>
      </c>
      <c r="G416" t="s">
        <v>3281</v>
      </c>
    </row>
    <row r="417" spans="1:7" s="297" customFormat="1" ht="44.25" customHeight="1">
      <c r="A417" t="s">
        <v>3282</v>
      </c>
      <c r="B417" t="s">
        <v>3283</v>
      </c>
      <c r="C417" t="s">
        <v>136</v>
      </c>
      <c r="D417" t="s">
        <v>2257</v>
      </c>
      <c r="E417" t="s">
        <v>1607</v>
      </c>
      <c r="F417" t="s">
        <v>149</v>
      </c>
      <c r="G417" t="s">
        <v>3284</v>
      </c>
    </row>
    <row r="418" spans="1:7" s="297" customFormat="1" ht="44.25" customHeight="1">
      <c r="A418" t="s">
        <v>3285</v>
      </c>
      <c r="B418" t="s">
        <v>3286</v>
      </c>
      <c r="C418" t="s">
        <v>136</v>
      </c>
      <c r="D418" t="s">
        <v>2257</v>
      </c>
      <c r="E418" t="s">
        <v>1607</v>
      </c>
      <c r="F418" t="s">
        <v>149</v>
      </c>
      <c r="G418" t="s">
        <v>3287</v>
      </c>
    </row>
    <row r="419" spans="1:7" s="297" customFormat="1" ht="44.25" customHeight="1">
      <c r="A419" t="s">
        <v>3288</v>
      </c>
      <c r="B419" t="s">
        <v>3289</v>
      </c>
      <c r="C419" t="s">
        <v>136</v>
      </c>
      <c r="D419" t="s">
        <v>2257</v>
      </c>
      <c r="E419" t="s">
        <v>1607</v>
      </c>
      <c r="F419" t="s">
        <v>149</v>
      </c>
      <c r="G419" t="s">
        <v>3290</v>
      </c>
    </row>
    <row r="420" spans="1:7" s="297" customFormat="1" ht="44.25" customHeight="1">
      <c r="A420" t="s">
        <v>3291</v>
      </c>
      <c r="B420" t="s">
        <v>3292</v>
      </c>
      <c r="C420" t="s">
        <v>136</v>
      </c>
      <c r="D420" t="s">
        <v>2257</v>
      </c>
      <c r="E420" t="s">
        <v>1607</v>
      </c>
      <c r="F420" t="s">
        <v>149</v>
      </c>
      <c r="G420" t="s">
        <v>3293</v>
      </c>
    </row>
    <row r="421" spans="1:7" s="297" customFormat="1" ht="44.25" customHeight="1">
      <c r="A421" t="s">
        <v>3294</v>
      </c>
      <c r="B421" t="s">
        <v>3295</v>
      </c>
      <c r="C421" t="s">
        <v>136</v>
      </c>
      <c r="D421" t="s">
        <v>2257</v>
      </c>
      <c r="E421" t="s">
        <v>1607</v>
      </c>
      <c r="F421" t="s">
        <v>149</v>
      </c>
      <c r="G421" t="s">
        <v>3296</v>
      </c>
    </row>
    <row r="422" spans="1:7" s="297" customFormat="1" ht="44.25" customHeight="1">
      <c r="A422" t="s">
        <v>3297</v>
      </c>
      <c r="B422" t="s">
        <v>3298</v>
      </c>
      <c r="C422" t="s">
        <v>136</v>
      </c>
      <c r="D422" t="s">
        <v>2257</v>
      </c>
      <c r="E422" t="s">
        <v>1607</v>
      </c>
      <c r="F422" t="s">
        <v>149</v>
      </c>
      <c r="G422" t="s">
        <v>3299</v>
      </c>
    </row>
    <row r="423" spans="1:7" s="297" customFormat="1" ht="44.25" customHeight="1">
      <c r="A423" t="s">
        <v>3300</v>
      </c>
      <c r="B423" t="s">
        <v>3301</v>
      </c>
      <c r="C423" t="s">
        <v>136</v>
      </c>
      <c r="D423" t="s">
        <v>2257</v>
      </c>
      <c r="E423" t="s">
        <v>1607</v>
      </c>
      <c r="F423" t="s">
        <v>149</v>
      </c>
      <c r="G423" t="s">
        <v>3302</v>
      </c>
    </row>
    <row r="424" spans="1:7" s="297" customFormat="1" ht="44.25" customHeight="1">
      <c r="A424" t="s">
        <v>3303</v>
      </c>
      <c r="B424" t="s">
        <v>3304</v>
      </c>
      <c r="C424" t="s">
        <v>136</v>
      </c>
      <c r="D424" t="s">
        <v>2257</v>
      </c>
      <c r="E424" t="s">
        <v>1607</v>
      </c>
      <c r="F424" t="s">
        <v>149</v>
      </c>
      <c r="G424" t="s">
        <v>3305</v>
      </c>
    </row>
    <row r="425" spans="1:7" s="297" customFormat="1" ht="44.25" customHeight="1">
      <c r="A425" t="s">
        <v>3306</v>
      </c>
      <c r="B425" t="s">
        <v>3307</v>
      </c>
      <c r="C425" t="s">
        <v>136</v>
      </c>
      <c r="D425" t="s">
        <v>2257</v>
      </c>
      <c r="E425" t="s">
        <v>1607</v>
      </c>
      <c r="F425" t="s">
        <v>149</v>
      </c>
      <c r="G425" t="s">
        <v>3308</v>
      </c>
    </row>
    <row r="426" spans="1:7" s="297" customFormat="1" ht="44.25" customHeight="1">
      <c r="A426" t="s">
        <v>3309</v>
      </c>
      <c r="B426" t="s">
        <v>3310</v>
      </c>
      <c r="C426" t="s">
        <v>136</v>
      </c>
      <c r="D426" t="s">
        <v>2257</v>
      </c>
      <c r="E426" t="s">
        <v>1607</v>
      </c>
      <c r="F426" t="s">
        <v>149</v>
      </c>
      <c r="G426" t="s">
        <v>3311</v>
      </c>
    </row>
    <row r="427" spans="1:7" s="297" customFormat="1" ht="44.25" customHeight="1">
      <c r="A427" t="s">
        <v>3312</v>
      </c>
      <c r="B427" t="s">
        <v>3313</v>
      </c>
      <c r="C427" t="s">
        <v>136</v>
      </c>
      <c r="D427" t="s">
        <v>2257</v>
      </c>
      <c r="E427" t="s">
        <v>1607</v>
      </c>
      <c r="F427" t="s">
        <v>149</v>
      </c>
      <c r="G427" t="s">
        <v>3314</v>
      </c>
    </row>
    <row r="428" spans="1:7" s="297" customFormat="1" ht="44.25" customHeight="1">
      <c r="A428" t="s">
        <v>3315</v>
      </c>
      <c r="B428" t="s">
        <v>3316</v>
      </c>
      <c r="C428" t="s">
        <v>136</v>
      </c>
      <c r="D428" t="s">
        <v>2257</v>
      </c>
      <c r="E428" t="s">
        <v>1607</v>
      </c>
      <c r="F428" t="s">
        <v>149</v>
      </c>
      <c r="G428" t="s">
        <v>3317</v>
      </c>
    </row>
    <row r="429" spans="1:7" s="297" customFormat="1" ht="44.25" customHeight="1">
      <c r="A429" t="s">
        <v>3318</v>
      </c>
      <c r="B429" t="s">
        <v>3319</v>
      </c>
      <c r="C429" t="s">
        <v>136</v>
      </c>
      <c r="D429" t="s">
        <v>2257</v>
      </c>
      <c r="E429" t="s">
        <v>1607</v>
      </c>
      <c r="F429" t="s">
        <v>149</v>
      </c>
      <c r="G429" t="s">
        <v>3320</v>
      </c>
    </row>
    <row r="430" spans="1:7" s="297" customFormat="1" ht="44.25" customHeight="1">
      <c r="A430" t="s">
        <v>3321</v>
      </c>
      <c r="B430" t="s">
        <v>3322</v>
      </c>
      <c r="C430" t="s">
        <v>136</v>
      </c>
      <c r="D430" t="s">
        <v>2257</v>
      </c>
      <c r="E430" t="s">
        <v>1607</v>
      </c>
      <c r="F430" t="s">
        <v>149</v>
      </c>
      <c r="G430" t="s">
        <v>3323</v>
      </c>
    </row>
    <row r="431" spans="1:7" s="297" customFormat="1" ht="44.25" customHeight="1">
      <c r="A431" t="s">
        <v>3324</v>
      </c>
      <c r="B431" t="s">
        <v>3325</v>
      </c>
      <c r="C431" t="s">
        <v>136</v>
      </c>
      <c r="D431" t="s">
        <v>2257</v>
      </c>
      <c r="E431" t="s">
        <v>1607</v>
      </c>
      <c r="F431" t="s">
        <v>149</v>
      </c>
      <c r="G431" t="s">
        <v>3326</v>
      </c>
    </row>
    <row r="432" spans="1:7" s="297" customFormat="1" ht="44.25" customHeight="1">
      <c r="A432" t="s">
        <v>3327</v>
      </c>
      <c r="B432" t="s">
        <v>3328</v>
      </c>
      <c r="C432" t="s">
        <v>136</v>
      </c>
      <c r="D432" t="s">
        <v>2257</v>
      </c>
      <c r="E432" t="s">
        <v>2685</v>
      </c>
      <c r="F432" t="s">
        <v>149</v>
      </c>
      <c r="G432" t="s">
        <v>3329</v>
      </c>
    </row>
    <row r="433" spans="1:7" s="297" customFormat="1" ht="44.25" customHeight="1">
      <c r="A433" t="s">
        <v>3330</v>
      </c>
      <c r="B433" t="s">
        <v>3331</v>
      </c>
      <c r="C433" t="s">
        <v>136</v>
      </c>
      <c r="D433" t="s">
        <v>2257</v>
      </c>
      <c r="E433" t="s">
        <v>2695</v>
      </c>
      <c r="F433" t="s">
        <v>149</v>
      </c>
      <c r="G433" t="s">
        <v>3332</v>
      </c>
    </row>
    <row r="434" spans="1:7" s="297" customFormat="1" ht="44.25" customHeight="1">
      <c r="A434" t="s">
        <v>311</v>
      </c>
      <c r="B434" t="s">
        <v>3333</v>
      </c>
      <c r="C434" t="s">
        <v>136</v>
      </c>
      <c r="D434" t="s">
        <v>2257</v>
      </c>
      <c r="E434" t="s">
        <v>3162</v>
      </c>
      <c r="F434" t="s">
        <v>149</v>
      </c>
      <c r="G434" t="s">
        <v>3334</v>
      </c>
    </row>
    <row r="435" spans="1:7" s="297" customFormat="1" ht="44.25" customHeight="1">
      <c r="A435" t="s">
        <v>910</v>
      </c>
      <c r="B435" t="s">
        <v>3335</v>
      </c>
      <c r="C435" t="s">
        <v>136</v>
      </c>
      <c r="D435" t="s">
        <v>2257</v>
      </c>
      <c r="E435" t="s">
        <v>1607</v>
      </c>
      <c r="F435" t="s">
        <v>149</v>
      </c>
      <c r="G435" t="s">
        <v>3336</v>
      </c>
    </row>
    <row r="436" spans="1:7" s="297" customFormat="1" ht="44.25" customHeight="1">
      <c r="A436" t="s">
        <v>3337</v>
      </c>
      <c r="B436" t="s">
        <v>3338</v>
      </c>
      <c r="C436" t="s">
        <v>136</v>
      </c>
      <c r="D436" t="s">
        <v>79</v>
      </c>
      <c r="E436" t="s">
        <v>3339</v>
      </c>
      <c r="F436" t="s">
        <v>149</v>
      </c>
      <c r="G436" t="s">
        <v>3340</v>
      </c>
    </row>
    <row r="437" spans="1:7" s="297" customFormat="1" ht="44.25" customHeight="1">
      <c r="A437" t="s">
        <v>3341</v>
      </c>
      <c r="B437" t="s">
        <v>3342</v>
      </c>
      <c r="C437" t="s">
        <v>136</v>
      </c>
      <c r="D437" t="s">
        <v>2257</v>
      </c>
      <c r="E437" t="s">
        <v>2685</v>
      </c>
      <c r="F437" t="s">
        <v>149</v>
      </c>
      <c r="G437" t="s">
        <v>3343</v>
      </c>
    </row>
    <row r="438" spans="1:7" s="297" customFormat="1" ht="44.25" customHeight="1">
      <c r="A438" t="s">
        <v>284</v>
      </c>
      <c r="B438" t="s">
        <v>3344</v>
      </c>
      <c r="C438" t="s">
        <v>136</v>
      </c>
      <c r="D438" t="s">
        <v>2257</v>
      </c>
      <c r="E438" t="s">
        <v>1607</v>
      </c>
      <c r="F438" t="s">
        <v>149</v>
      </c>
      <c r="G438" t="s">
        <v>3345</v>
      </c>
    </row>
    <row r="439" spans="1:7" s="297" customFormat="1" ht="44.25" customHeight="1">
      <c r="A439" t="s">
        <v>906</v>
      </c>
      <c r="B439" t="s">
        <v>3346</v>
      </c>
      <c r="C439" t="s">
        <v>136</v>
      </c>
      <c r="D439" t="s">
        <v>2257</v>
      </c>
      <c r="E439" t="s">
        <v>3347</v>
      </c>
      <c r="F439" t="s">
        <v>149</v>
      </c>
      <c r="G439" t="s">
        <v>3348</v>
      </c>
    </row>
    <row r="440" spans="1:7" s="297" customFormat="1" ht="44.25" customHeight="1">
      <c r="A440" t="s">
        <v>3349</v>
      </c>
      <c r="B440" t="s">
        <v>3350</v>
      </c>
      <c r="C440" t="s">
        <v>136</v>
      </c>
      <c r="D440" t="s">
        <v>2257</v>
      </c>
      <c r="E440" t="s">
        <v>3162</v>
      </c>
      <c r="F440" t="s">
        <v>149</v>
      </c>
      <c r="G440" t="s">
        <v>3351</v>
      </c>
    </row>
    <row r="441" spans="1:7" s="297" customFormat="1" ht="44.25" customHeight="1">
      <c r="A441" t="s">
        <v>3352</v>
      </c>
      <c r="B441" t="s">
        <v>3353</v>
      </c>
      <c r="C441" t="s">
        <v>136</v>
      </c>
      <c r="D441" t="s">
        <v>2253</v>
      </c>
      <c r="E441" t="s">
        <v>1607</v>
      </c>
      <c r="F441" t="s">
        <v>149</v>
      </c>
      <c r="G441" t="s">
        <v>3354</v>
      </c>
    </row>
    <row r="442" spans="1:7" s="297" customFormat="1" ht="44.25" customHeight="1">
      <c r="A442" t="s">
        <v>3355</v>
      </c>
      <c r="B442" t="s">
        <v>3356</v>
      </c>
      <c r="C442" t="s">
        <v>136</v>
      </c>
      <c r="D442" t="s">
        <v>2257</v>
      </c>
      <c r="E442" t="s">
        <v>3162</v>
      </c>
      <c r="F442" t="s">
        <v>149</v>
      </c>
      <c r="G442" t="s">
        <v>3357</v>
      </c>
    </row>
    <row r="443" spans="1:7" s="297" customFormat="1" ht="44.25" customHeight="1">
      <c r="A443" t="s">
        <v>293</v>
      </c>
      <c r="B443" t="s">
        <v>3358</v>
      </c>
      <c r="C443" t="s">
        <v>136</v>
      </c>
      <c r="D443" t="s">
        <v>2257</v>
      </c>
      <c r="E443" t="s">
        <v>1607</v>
      </c>
      <c r="F443" t="s">
        <v>149</v>
      </c>
      <c r="G443" t="s">
        <v>3359</v>
      </c>
    </row>
    <row r="444" spans="1:7" s="297" customFormat="1" ht="44.25" customHeight="1">
      <c r="A444" t="s">
        <v>907</v>
      </c>
      <c r="B444" t="s">
        <v>3360</v>
      </c>
      <c r="C444" t="s">
        <v>136</v>
      </c>
      <c r="D444" t="s">
        <v>2257</v>
      </c>
      <c r="E444" t="s">
        <v>3361</v>
      </c>
      <c r="F444" t="s">
        <v>149</v>
      </c>
      <c r="G444" t="s">
        <v>3362</v>
      </c>
    </row>
    <row r="445" spans="1:7" s="297" customFormat="1" ht="44.25" customHeight="1">
      <c r="A445" t="s">
        <v>3363</v>
      </c>
      <c r="B445" t="s">
        <v>3364</v>
      </c>
      <c r="C445" t="s">
        <v>136</v>
      </c>
      <c r="D445" t="s">
        <v>2257</v>
      </c>
      <c r="E445" t="s">
        <v>1607</v>
      </c>
      <c r="F445" t="s">
        <v>149</v>
      </c>
      <c r="G445" t="s">
        <v>3365</v>
      </c>
    </row>
    <row r="446" spans="1:7" s="297" customFormat="1" ht="44.25" customHeight="1">
      <c r="A446" t="s">
        <v>3366</v>
      </c>
      <c r="B446" t="s">
        <v>3367</v>
      </c>
      <c r="C446" t="s">
        <v>136</v>
      </c>
      <c r="D446" t="s">
        <v>2257</v>
      </c>
      <c r="E446" t="s">
        <v>1607</v>
      </c>
      <c r="F446" t="s">
        <v>149</v>
      </c>
      <c r="G446" t="s">
        <v>3368</v>
      </c>
    </row>
    <row r="447" spans="1:7" s="297" customFormat="1" ht="44.25" customHeight="1">
      <c r="A447" t="s">
        <v>3369</v>
      </c>
      <c r="B447" t="s">
        <v>3370</v>
      </c>
      <c r="C447" t="s">
        <v>136</v>
      </c>
      <c r="D447" t="s">
        <v>2257</v>
      </c>
      <c r="E447" t="s">
        <v>1607</v>
      </c>
      <c r="F447" t="s">
        <v>149</v>
      </c>
      <c r="G447" t="s">
        <v>3371</v>
      </c>
    </row>
    <row r="448" spans="1:7" s="297" customFormat="1" ht="44.25" customHeight="1">
      <c r="A448" t="s">
        <v>904</v>
      </c>
      <c r="B448" t="s">
        <v>3372</v>
      </c>
      <c r="C448" t="s">
        <v>136</v>
      </c>
      <c r="D448" t="s">
        <v>2257</v>
      </c>
      <c r="E448" t="s">
        <v>3361</v>
      </c>
      <c r="F448" t="s">
        <v>149</v>
      </c>
      <c r="G448" t="s">
        <v>3373</v>
      </c>
    </row>
    <row r="449" spans="1:7" s="297" customFormat="1" ht="44.25" customHeight="1">
      <c r="A449" t="s">
        <v>3374</v>
      </c>
      <c r="B449" t="s">
        <v>3375</v>
      </c>
      <c r="C449" t="s">
        <v>136</v>
      </c>
      <c r="D449" t="s">
        <v>2257</v>
      </c>
      <c r="E449" t="s">
        <v>3162</v>
      </c>
      <c r="F449" t="s">
        <v>149</v>
      </c>
      <c r="G449" t="s">
        <v>3376</v>
      </c>
    </row>
    <row r="450" spans="1:7" s="297" customFormat="1" ht="44.25" customHeight="1">
      <c r="A450" t="s">
        <v>291</v>
      </c>
      <c r="B450" t="s">
        <v>3377</v>
      </c>
      <c r="C450" t="s">
        <v>136</v>
      </c>
      <c r="D450" t="s">
        <v>2257</v>
      </c>
      <c r="E450" t="s">
        <v>1607</v>
      </c>
      <c r="F450" t="s">
        <v>149</v>
      </c>
      <c r="G450" t="s">
        <v>3378</v>
      </c>
    </row>
    <row r="451" spans="1:7" s="297" customFormat="1" ht="44.25" customHeight="1">
      <c r="A451" t="s">
        <v>3379</v>
      </c>
      <c r="B451" t="s">
        <v>3380</v>
      </c>
      <c r="C451" t="s">
        <v>136</v>
      </c>
      <c r="D451" t="s">
        <v>79</v>
      </c>
      <c r="E451" t="s">
        <v>3381</v>
      </c>
      <c r="F451" t="s">
        <v>149</v>
      </c>
      <c r="G451" t="s">
        <v>3382</v>
      </c>
    </row>
    <row r="452" spans="1:7" s="297" customFormat="1" ht="44.25" customHeight="1">
      <c r="A452" t="s">
        <v>136</v>
      </c>
      <c r="B452" t="s">
        <v>3383</v>
      </c>
      <c r="C452" t="s">
        <v>136</v>
      </c>
      <c r="D452" t="s">
        <v>2624</v>
      </c>
      <c r="E452" t="s">
        <v>3381</v>
      </c>
      <c r="F452" t="s">
        <v>149</v>
      </c>
      <c r="G452" t="s">
        <v>3384</v>
      </c>
    </row>
    <row r="453" spans="1:7" s="297" customFormat="1" ht="44.25" customHeight="1">
      <c r="A453" t="s">
        <v>3385</v>
      </c>
      <c r="B453" t="s">
        <v>3386</v>
      </c>
      <c r="C453" t="s">
        <v>136</v>
      </c>
      <c r="D453" t="s">
        <v>2257</v>
      </c>
      <c r="E453" t="s">
        <v>1607</v>
      </c>
      <c r="F453" t="s">
        <v>149</v>
      </c>
      <c r="G453" t="s">
        <v>3387</v>
      </c>
    </row>
    <row r="454" spans="1:7" s="297" customFormat="1" ht="44.25" customHeight="1">
      <c r="A454" t="s">
        <v>3388</v>
      </c>
      <c r="B454" t="s">
        <v>3389</v>
      </c>
      <c r="C454" t="s">
        <v>136</v>
      </c>
      <c r="D454" t="s">
        <v>2257</v>
      </c>
      <c r="E454" t="s">
        <v>1607</v>
      </c>
      <c r="F454" t="s">
        <v>149</v>
      </c>
      <c r="G454" t="s">
        <v>3390</v>
      </c>
    </row>
    <row r="455" spans="1:7" s="297" customFormat="1" ht="44.25" customHeight="1">
      <c r="A455" t="s">
        <v>3391</v>
      </c>
      <c r="B455" t="s">
        <v>3392</v>
      </c>
      <c r="C455" t="s">
        <v>136</v>
      </c>
      <c r="D455" t="s">
        <v>2257</v>
      </c>
      <c r="E455" t="s">
        <v>1607</v>
      </c>
      <c r="F455" t="s">
        <v>149</v>
      </c>
      <c r="G455" t="s">
        <v>3393</v>
      </c>
    </row>
    <row r="456" spans="1:7" s="297" customFormat="1" ht="44.25" customHeight="1">
      <c r="A456" t="s">
        <v>3394</v>
      </c>
      <c r="B456" t="s">
        <v>3395</v>
      </c>
      <c r="C456" t="s">
        <v>136</v>
      </c>
      <c r="D456" t="s">
        <v>2257</v>
      </c>
      <c r="E456" t="s">
        <v>1607</v>
      </c>
      <c r="F456" t="s">
        <v>149</v>
      </c>
      <c r="G456" t="s">
        <v>3396</v>
      </c>
    </row>
    <row r="457" spans="1:7" s="297" customFormat="1" ht="44.25" customHeight="1">
      <c r="A457" t="s">
        <v>3397</v>
      </c>
      <c r="B457" t="s">
        <v>3398</v>
      </c>
      <c r="C457" t="s">
        <v>136</v>
      </c>
      <c r="D457" t="s">
        <v>2257</v>
      </c>
      <c r="E457" t="s">
        <v>1607</v>
      </c>
      <c r="F457" t="s">
        <v>149</v>
      </c>
      <c r="G457" t="s">
        <v>3399</v>
      </c>
    </row>
    <row r="458" spans="1:7" s="297" customFormat="1" ht="44.25" customHeight="1">
      <c r="A458" t="s">
        <v>3400</v>
      </c>
      <c r="B458" t="s">
        <v>3401</v>
      </c>
      <c r="C458" t="s">
        <v>136</v>
      </c>
      <c r="D458" t="s">
        <v>2257</v>
      </c>
      <c r="E458" t="s">
        <v>3402</v>
      </c>
      <c r="F458" t="s">
        <v>149</v>
      </c>
      <c r="G458" t="s">
        <v>3403</v>
      </c>
    </row>
    <row r="459" spans="1:7" s="297" customFormat="1" ht="44.25" customHeight="1">
      <c r="A459" t="s">
        <v>679</v>
      </c>
      <c r="B459" t="s">
        <v>3404</v>
      </c>
      <c r="C459" t="s">
        <v>136</v>
      </c>
      <c r="D459" t="s">
        <v>79</v>
      </c>
      <c r="E459" t="s">
        <v>3405</v>
      </c>
      <c r="F459" t="s">
        <v>149</v>
      </c>
      <c r="G459" t="s">
        <v>3406</v>
      </c>
    </row>
    <row r="460" spans="1:7" s="297" customFormat="1" ht="44.25" customHeight="1">
      <c r="A460" t="s">
        <v>3407</v>
      </c>
      <c r="B460" t="s">
        <v>3408</v>
      </c>
      <c r="C460" t="s">
        <v>136</v>
      </c>
      <c r="D460" t="s">
        <v>79</v>
      </c>
      <c r="E460" t="s">
        <v>3409</v>
      </c>
      <c r="F460" t="s">
        <v>149</v>
      </c>
      <c r="G460" t="s">
        <v>3410</v>
      </c>
    </row>
    <row r="461" spans="1:7" s="297" customFormat="1" ht="44.25" customHeight="1">
      <c r="A461" t="s">
        <v>1054</v>
      </c>
      <c r="B461" t="s">
        <v>3411</v>
      </c>
      <c r="C461" t="s">
        <v>136</v>
      </c>
      <c r="D461" t="s">
        <v>79</v>
      </c>
      <c r="E461" t="s">
        <v>3412</v>
      </c>
      <c r="F461" t="s">
        <v>149</v>
      </c>
      <c r="G461" t="s">
        <v>3413</v>
      </c>
    </row>
    <row r="462" spans="1:7" s="297" customFormat="1" ht="44.25" customHeight="1">
      <c r="A462" t="s">
        <v>3414</v>
      </c>
      <c r="B462" t="s">
        <v>3415</v>
      </c>
      <c r="C462" t="s">
        <v>136</v>
      </c>
      <c r="D462" t="s">
        <v>79</v>
      </c>
      <c r="E462" t="s">
        <v>3416</v>
      </c>
      <c r="F462" t="s">
        <v>149</v>
      </c>
      <c r="G462" t="s">
        <v>3417</v>
      </c>
    </row>
    <row r="463" spans="1:7" s="297" customFormat="1" ht="44.25" customHeight="1">
      <c r="A463" t="s">
        <v>3418</v>
      </c>
      <c r="B463" t="s">
        <v>3419</v>
      </c>
      <c r="C463" t="s">
        <v>136</v>
      </c>
      <c r="D463" t="s">
        <v>2257</v>
      </c>
      <c r="E463" t="s">
        <v>3420</v>
      </c>
      <c r="F463" t="s">
        <v>149</v>
      </c>
      <c r="G463" t="s">
        <v>3421</v>
      </c>
    </row>
    <row r="464" spans="1:7" s="297" customFormat="1" ht="44.25" customHeight="1">
      <c r="A464" t="s">
        <v>838</v>
      </c>
      <c r="B464" t="s">
        <v>3422</v>
      </c>
      <c r="C464" t="s">
        <v>136</v>
      </c>
      <c r="D464" t="s">
        <v>2257</v>
      </c>
      <c r="E464" t="s">
        <v>3423</v>
      </c>
      <c r="F464" t="s">
        <v>149</v>
      </c>
      <c r="G464" t="s">
        <v>3424</v>
      </c>
    </row>
    <row r="465" spans="1:7" s="297" customFormat="1" ht="44.25" customHeight="1">
      <c r="A465" t="s">
        <v>3425</v>
      </c>
      <c r="B465" t="s">
        <v>3426</v>
      </c>
      <c r="C465" t="s">
        <v>136</v>
      </c>
      <c r="D465" t="s">
        <v>2257</v>
      </c>
      <c r="E465" t="s">
        <v>3427</v>
      </c>
      <c r="F465" t="s">
        <v>149</v>
      </c>
      <c r="G465" t="s">
        <v>3428</v>
      </c>
    </row>
    <row r="466" spans="1:7" s="297" customFormat="1" ht="44.25" customHeight="1">
      <c r="A466" t="s">
        <v>607</v>
      </c>
      <c r="B466" t="s">
        <v>3429</v>
      </c>
      <c r="C466" t="s">
        <v>136</v>
      </c>
      <c r="D466" t="s">
        <v>2257</v>
      </c>
      <c r="E466" t="s">
        <v>3430</v>
      </c>
      <c r="F466" t="s">
        <v>149</v>
      </c>
      <c r="G466" t="s">
        <v>3431</v>
      </c>
    </row>
    <row r="467" spans="1:7" s="297" customFormat="1" ht="44.25" customHeight="1">
      <c r="A467" t="s">
        <v>606</v>
      </c>
      <c r="B467" t="s">
        <v>3432</v>
      </c>
      <c r="C467" t="s">
        <v>136</v>
      </c>
      <c r="D467" t="s">
        <v>2257</v>
      </c>
      <c r="E467" t="s">
        <v>3430</v>
      </c>
      <c r="F467" t="s">
        <v>149</v>
      </c>
      <c r="G467" t="s">
        <v>3433</v>
      </c>
    </row>
    <row r="468" spans="1:7" s="297" customFormat="1" ht="44.25" customHeight="1">
      <c r="A468" t="s">
        <v>3434</v>
      </c>
      <c r="B468" t="s">
        <v>3435</v>
      </c>
      <c r="C468" t="s">
        <v>136</v>
      </c>
      <c r="D468" t="s">
        <v>79</v>
      </c>
      <c r="E468" t="s">
        <v>3436</v>
      </c>
      <c r="F468" t="s">
        <v>149</v>
      </c>
      <c r="G468" t="s">
        <v>3437</v>
      </c>
    </row>
    <row r="469" spans="1:7" s="297" customFormat="1" ht="44.25" customHeight="1">
      <c r="A469" t="s">
        <v>3438</v>
      </c>
      <c r="B469" t="s">
        <v>3439</v>
      </c>
      <c r="C469" t="s">
        <v>136</v>
      </c>
      <c r="D469" t="s">
        <v>79</v>
      </c>
      <c r="E469" t="s">
        <v>3412</v>
      </c>
      <c r="F469" t="s">
        <v>149</v>
      </c>
      <c r="G469" t="s">
        <v>3440</v>
      </c>
    </row>
    <row r="470" spans="1:7" s="297" customFormat="1" ht="44.25" customHeight="1">
      <c r="A470" t="s">
        <v>3441</v>
      </c>
      <c r="B470" t="s">
        <v>3442</v>
      </c>
      <c r="C470" t="s">
        <v>136</v>
      </c>
      <c r="D470" t="s">
        <v>2257</v>
      </c>
      <c r="E470" t="s">
        <v>3427</v>
      </c>
      <c r="F470" t="s">
        <v>149</v>
      </c>
      <c r="G470" t="s">
        <v>3443</v>
      </c>
    </row>
    <row r="471" spans="1:7" s="297" customFormat="1" ht="44.25" customHeight="1">
      <c r="A471" t="s">
        <v>820</v>
      </c>
      <c r="B471" t="s">
        <v>3444</v>
      </c>
      <c r="C471" t="s">
        <v>136</v>
      </c>
      <c r="D471" t="s">
        <v>2257</v>
      </c>
      <c r="E471" t="s">
        <v>3423</v>
      </c>
      <c r="F471" t="s">
        <v>149</v>
      </c>
      <c r="G471" t="s">
        <v>3445</v>
      </c>
    </row>
    <row r="472" spans="1:7" s="297" customFormat="1" ht="44.25" customHeight="1">
      <c r="A472" t="s">
        <v>819</v>
      </c>
      <c r="B472" t="s">
        <v>3446</v>
      </c>
      <c r="C472" t="s">
        <v>136</v>
      </c>
      <c r="D472" t="s">
        <v>2257</v>
      </c>
      <c r="E472" t="s">
        <v>3423</v>
      </c>
      <c r="F472" t="s">
        <v>149</v>
      </c>
      <c r="G472" t="s">
        <v>3447</v>
      </c>
    </row>
    <row r="473" spans="1:7" s="297" customFormat="1" ht="44.25" customHeight="1">
      <c r="A473" t="s">
        <v>3448</v>
      </c>
      <c r="B473" t="s">
        <v>3449</v>
      </c>
      <c r="C473" t="s">
        <v>136</v>
      </c>
      <c r="D473" t="s">
        <v>2257</v>
      </c>
      <c r="E473" t="s">
        <v>3450</v>
      </c>
      <c r="F473" t="s">
        <v>149</v>
      </c>
      <c r="G473" t="s">
        <v>3451</v>
      </c>
    </row>
    <row r="474" spans="1:7" s="297" customFormat="1" ht="44.25" customHeight="1">
      <c r="A474" t="s">
        <v>3452</v>
      </c>
      <c r="B474" t="s">
        <v>3453</v>
      </c>
      <c r="C474" t="s">
        <v>136</v>
      </c>
      <c r="D474" t="s">
        <v>79</v>
      </c>
      <c r="E474" t="s">
        <v>3412</v>
      </c>
      <c r="F474" t="s">
        <v>149</v>
      </c>
      <c r="G474" t="s">
        <v>3454</v>
      </c>
    </row>
    <row r="475" spans="1:7" s="297" customFormat="1" ht="44.25" customHeight="1">
      <c r="A475" t="s">
        <v>3455</v>
      </c>
      <c r="B475" t="s">
        <v>3456</v>
      </c>
      <c r="C475" t="s">
        <v>136</v>
      </c>
      <c r="D475" t="s">
        <v>2257</v>
      </c>
      <c r="E475" t="s">
        <v>3405</v>
      </c>
      <c r="F475" t="s">
        <v>149</v>
      </c>
      <c r="G475" t="s">
        <v>3457</v>
      </c>
    </row>
    <row r="476" spans="1:7" s="297" customFormat="1" ht="44.25" customHeight="1">
      <c r="A476" t="s">
        <v>3458</v>
      </c>
      <c r="B476" t="s">
        <v>3459</v>
      </c>
      <c r="C476" t="s">
        <v>136</v>
      </c>
      <c r="D476" t="s">
        <v>79</v>
      </c>
      <c r="E476" t="s">
        <v>3412</v>
      </c>
      <c r="F476" t="s">
        <v>149</v>
      </c>
      <c r="G476" t="s">
        <v>3460</v>
      </c>
    </row>
    <row r="477" spans="1:7" s="297" customFormat="1" ht="44.25" customHeight="1">
      <c r="A477" t="s">
        <v>3461</v>
      </c>
      <c r="B477" t="s">
        <v>3462</v>
      </c>
      <c r="C477" t="s">
        <v>136</v>
      </c>
      <c r="D477" t="s">
        <v>79</v>
      </c>
      <c r="E477" t="s">
        <v>3416</v>
      </c>
      <c r="F477" t="s">
        <v>149</v>
      </c>
      <c r="G477" t="s">
        <v>3463</v>
      </c>
    </row>
    <row r="478" spans="1:7" s="297" customFormat="1" ht="44.25" customHeight="1">
      <c r="A478" t="s">
        <v>818</v>
      </c>
      <c r="B478" t="s">
        <v>3464</v>
      </c>
      <c r="C478" t="s">
        <v>136</v>
      </c>
      <c r="D478" t="s">
        <v>2257</v>
      </c>
      <c r="E478" t="s">
        <v>3423</v>
      </c>
      <c r="F478" t="s">
        <v>149</v>
      </c>
      <c r="G478" t="s">
        <v>3465</v>
      </c>
    </row>
    <row r="479" spans="1:7" s="297" customFormat="1" ht="44.25" customHeight="1">
      <c r="A479" t="s">
        <v>605</v>
      </c>
      <c r="B479" t="s">
        <v>3466</v>
      </c>
      <c r="C479" t="s">
        <v>136</v>
      </c>
      <c r="D479" t="s">
        <v>79</v>
      </c>
      <c r="E479" t="s">
        <v>3430</v>
      </c>
      <c r="F479" t="s">
        <v>149</v>
      </c>
      <c r="G479" t="s">
        <v>3467</v>
      </c>
    </row>
    <row r="480" spans="1:7" s="297" customFormat="1" ht="44.25" customHeight="1">
      <c r="A480" t="s">
        <v>609</v>
      </c>
      <c r="B480" t="s">
        <v>3468</v>
      </c>
      <c r="C480" t="s">
        <v>136</v>
      </c>
      <c r="D480" t="s">
        <v>79</v>
      </c>
      <c r="E480" t="s">
        <v>3430</v>
      </c>
      <c r="F480" t="s">
        <v>149</v>
      </c>
      <c r="G480" t="s">
        <v>3469</v>
      </c>
    </row>
    <row r="481" spans="1:7" s="297" customFormat="1" ht="44.25" customHeight="1">
      <c r="A481" t="s">
        <v>3400</v>
      </c>
      <c r="B481" t="s">
        <v>3401</v>
      </c>
      <c r="C481" t="s">
        <v>136</v>
      </c>
      <c r="D481" t="s">
        <v>2257</v>
      </c>
      <c r="E481" t="s">
        <v>3402</v>
      </c>
      <c r="F481" t="s">
        <v>149</v>
      </c>
      <c r="G481" t="s">
        <v>3470</v>
      </c>
    </row>
    <row r="482" spans="1:7" s="297" customFormat="1" ht="44.25" customHeight="1">
      <c r="A482" t="s">
        <v>830</v>
      </c>
      <c r="B482" t="s">
        <v>3471</v>
      </c>
      <c r="C482" t="s">
        <v>136</v>
      </c>
      <c r="D482" t="s">
        <v>79</v>
      </c>
      <c r="E482" t="s">
        <v>1592</v>
      </c>
      <c r="F482" t="s">
        <v>149</v>
      </c>
      <c r="G482" t="s">
        <v>3472</v>
      </c>
    </row>
    <row r="483" spans="1:7" s="297" customFormat="1" ht="44.25" customHeight="1">
      <c r="A483" t="s">
        <v>3473</v>
      </c>
      <c r="B483" t="s">
        <v>3474</v>
      </c>
      <c r="C483" t="s">
        <v>136</v>
      </c>
      <c r="D483" t="s">
        <v>79</v>
      </c>
      <c r="E483" t="s">
        <v>3475</v>
      </c>
      <c r="F483" t="s">
        <v>149</v>
      </c>
      <c r="G483" t="s">
        <v>3476</v>
      </c>
    </row>
    <row r="484" spans="1:7" s="297" customFormat="1" ht="44.25" customHeight="1">
      <c r="A484" t="s">
        <v>444</v>
      </c>
      <c r="B484" t="s">
        <v>3477</v>
      </c>
      <c r="C484" t="s">
        <v>136</v>
      </c>
      <c r="D484" t="s">
        <v>79</v>
      </c>
      <c r="E484" t="s">
        <v>3478</v>
      </c>
      <c r="F484" t="s">
        <v>149</v>
      </c>
      <c r="G484" t="s">
        <v>3479</v>
      </c>
    </row>
    <row r="485" spans="1:7" s="297" customFormat="1" ht="44.25" customHeight="1">
      <c r="A485" t="s">
        <v>3480</v>
      </c>
      <c r="B485" t="s">
        <v>3481</v>
      </c>
      <c r="C485" t="s">
        <v>136</v>
      </c>
      <c r="D485" t="s">
        <v>79</v>
      </c>
      <c r="E485" t="s">
        <v>3482</v>
      </c>
      <c r="F485" t="s">
        <v>149</v>
      </c>
      <c r="G485" t="s">
        <v>3483</v>
      </c>
    </row>
    <row r="486" spans="1:7" s="297" customFormat="1" ht="44.25" customHeight="1">
      <c r="A486" t="s">
        <v>1057</v>
      </c>
      <c r="B486" t="s">
        <v>3484</v>
      </c>
      <c r="C486" t="s">
        <v>136</v>
      </c>
      <c r="D486" t="s">
        <v>79</v>
      </c>
      <c r="E486" t="s">
        <v>3485</v>
      </c>
      <c r="F486" t="s">
        <v>149</v>
      </c>
      <c r="G486" t="s">
        <v>3486</v>
      </c>
    </row>
    <row r="487" spans="1:7" s="297" customFormat="1" ht="44.25" customHeight="1">
      <c r="A487" t="s">
        <v>3487</v>
      </c>
      <c r="B487" t="s">
        <v>3488</v>
      </c>
      <c r="C487" t="s">
        <v>136</v>
      </c>
      <c r="D487" t="s">
        <v>79</v>
      </c>
      <c r="E487" t="s">
        <v>3478</v>
      </c>
      <c r="F487" t="s">
        <v>149</v>
      </c>
      <c r="G487" t="s">
        <v>3489</v>
      </c>
    </row>
    <row r="488" spans="1:7" s="297" customFormat="1" ht="44.25" customHeight="1">
      <c r="A488" t="s">
        <v>3490</v>
      </c>
      <c r="B488" t="s">
        <v>3491</v>
      </c>
      <c r="C488" t="s">
        <v>136</v>
      </c>
      <c r="D488" t="s">
        <v>79</v>
      </c>
      <c r="E488" t="s">
        <v>3492</v>
      </c>
      <c r="F488" t="s">
        <v>149</v>
      </c>
      <c r="G488" t="s">
        <v>3493</v>
      </c>
    </row>
    <row r="489" spans="1:7" s="297" customFormat="1" ht="44.25" customHeight="1">
      <c r="A489" t="s">
        <v>3414</v>
      </c>
      <c r="B489" t="s">
        <v>3415</v>
      </c>
      <c r="C489" t="s">
        <v>136</v>
      </c>
      <c r="D489" t="s">
        <v>79</v>
      </c>
      <c r="E489" t="s">
        <v>3416</v>
      </c>
      <c r="F489" t="s">
        <v>149</v>
      </c>
      <c r="G489" t="s">
        <v>3494</v>
      </c>
    </row>
    <row r="490" spans="1:7" s="297" customFormat="1" ht="44.25" customHeight="1">
      <c r="A490" t="s">
        <v>3495</v>
      </c>
      <c r="B490" t="s">
        <v>3496</v>
      </c>
      <c r="C490" t="s">
        <v>136</v>
      </c>
      <c r="D490" t="s">
        <v>79</v>
      </c>
      <c r="E490" t="s">
        <v>3497</v>
      </c>
      <c r="F490" t="s">
        <v>149</v>
      </c>
      <c r="G490" t="s">
        <v>3498</v>
      </c>
    </row>
    <row r="491" spans="1:7" s="297" customFormat="1" ht="44.25" customHeight="1">
      <c r="A491" t="s">
        <v>3499</v>
      </c>
      <c r="B491" t="s">
        <v>3500</v>
      </c>
      <c r="C491" t="s">
        <v>136</v>
      </c>
      <c r="D491" t="s">
        <v>79</v>
      </c>
      <c r="E491" t="s">
        <v>3497</v>
      </c>
      <c r="F491" t="s">
        <v>149</v>
      </c>
      <c r="G491" t="s">
        <v>3501</v>
      </c>
    </row>
    <row r="492" spans="1:7" s="297" customFormat="1" ht="44.25" customHeight="1">
      <c r="A492" t="s">
        <v>1058</v>
      </c>
      <c r="B492" t="s">
        <v>3502</v>
      </c>
      <c r="C492" t="s">
        <v>136</v>
      </c>
      <c r="D492" t="s">
        <v>79</v>
      </c>
      <c r="E492" t="s">
        <v>3503</v>
      </c>
      <c r="F492" t="s">
        <v>149</v>
      </c>
      <c r="G492" t="s">
        <v>3504</v>
      </c>
    </row>
    <row r="493" spans="1:7" s="297" customFormat="1" ht="44.25" customHeight="1">
      <c r="A493" t="s">
        <v>838</v>
      </c>
      <c r="B493" t="s">
        <v>3422</v>
      </c>
      <c r="C493" t="s">
        <v>136</v>
      </c>
      <c r="D493" t="s">
        <v>2257</v>
      </c>
      <c r="E493" t="s">
        <v>3423</v>
      </c>
      <c r="F493" t="s">
        <v>149</v>
      </c>
      <c r="G493" t="s">
        <v>3505</v>
      </c>
    </row>
    <row r="494" spans="1:7" s="297" customFormat="1" ht="44.25" customHeight="1">
      <c r="A494" t="s">
        <v>570</v>
      </c>
      <c r="B494" t="s">
        <v>3506</v>
      </c>
      <c r="C494" t="s">
        <v>136</v>
      </c>
      <c r="D494" t="s">
        <v>79</v>
      </c>
      <c r="E494" t="s">
        <v>3507</v>
      </c>
      <c r="F494" t="s">
        <v>149</v>
      </c>
      <c r="G494" t="s">
        <v>3508</v>
      </c>
    </row>
    <row r="495" spans="1:7" s="297" customFormat="1" ht="44.25" customHeight="1">
      <c r="A495" t="s">
        <v>569</v>
      </c>
      <c r="B495" t="s">
        <v>3509</v>
      </c>
      <c r="C495" t="s">
        <v>136</v>
      </c>
      <c r="D495" t="s">
        <v>79</v>
      </c>
      <c r="E495" t="s">
        <v>3507</v>
      </c>
      <c r="F495" t="s">
        <v>149</v>
      </c>
      <c r="G495" t="s">
        <v>3510</v>
      </c>
    </row>
    <row r="496" spans="1:7" s="297" customFormat="1" ht="44.25" customHeight="1">
      <c r="A496" t="s">
        <v>3511</v>
      </c>
      <c r="B496" t="s">
        <v>3512</v>
      </c>
      <c r="C496" t="s">
        <v>136</v>
      </c>
      <c r="D496" t="s">
        <v>79</v>
      </c>
      <c r="E496" t="s">
        <v>3513</v>
      </c>
      <c r="F496" t="s">
        <v>149</v>
      </c>
      <c r="G496" t="s">
        <v>3514</v>
      </c>
    </row>
    <row r="497" spans="1:7" s="297" customFormat="1" ht="44.25" customHeight="1">
      <c r="A497" t="s">
        <v>430</v>
      </c>
      <c r="B497" t="s">
        <v>3515</v>
      </c>
      <c r="C497" t="s">
        <v>136</v>
      </c>
      <c r="D497" t="s">
        <v>79</v>
      </c>
      <c r="E497" t="s">
        <v>3516</v>
      </c>
      <c r="F497" t="s">
        <v>149</v>
      </c>
      <c r="G497" t="s">
        <v>3517</v>
      </c>
    </row>
    <row r="498" spans="1:7" s="297" customFormat="1" ht="44.25" customHeight="1">
      <c r="A498" t="s">
        <v>607</v>
      </c>
      <c r="B498" t="s">
        <v>3429</v>
      </c>
      <c r="C498" t="s">
        <v>136</v>
      </c>
      <c r="D498" t="s">
        <v>2257</v>
      </c>
      <c r="E498" t="s">
        <v>3430</v>
      </c>
      <c r="F498" t="s">
        <v>149</v>
      </c>
      <c r="G498" t="s">
        <v>3518</v>
      </c>
    </row>
    <row r="499" spans="1:7" s="297" customFormat="1" ht="44.25" customHeight="1">
      <c r="A499" t="s">
        <v>606</v>
      </c>
      <c r="B499" t="s">
        <v>3432</v>
      </c>
      <c r="C499" t="s">
        <v>136</v>
      </c>
      <c r="D499" t="s">
        <v>2257</v>
      </c>
      <c r="E499" t="s">
        <v>3430</v>
      </c>
      <c r="F499" t="s">
        <v>149</v>
      </c>
      <c r="G499" t="s">
        <v>3519</v>
      </c>
    </row>
    <row r="500" spans="1:7" s="297" customFormat="1" ht="44.25" customHeight="1">
      <c r="A500" t="s">
        <v>3434</v>
      </c>
      <c r="B500" t="s">
        <v>3435</v>
      </c>
      <c r="C500" t="s">
        <v>136</v>
      </c>
      <c r="D500" t="s">
        <v>79</v>
      </c>
      <c r="E500" t="s">
        <v>3436</v>
      </c>
      <c r="F500" t="s">
        <v>149</v>
      </c>
      <c r="G500" t="s">
        <v>3520</v>
      </c>
    </row>
    <row r="501" spans="1:7" s="297" customFormat="1" ht="44.25" customHeight="1">
      <c r="A501" t="s">
        <v>649</v>
      </c>
      <c r="B501" t="s">
        <v>3521</v>
      </c>
      <c r="C501" t="s">
        <v>136</v>
      </c>
      <c r="D501" t="s">
        <v>79</v>
      </c>
      <c r="E501" t="s">
        <v>3522</v>
      </c>
      <c r="F501" t="s">
        <v>149</v>
      </c>
      <c r="G501" t="s">
        <v>3523</v>
      </c>
    </row>
    <row r="502" spans="1:7" s="297" customFormat="1" ht="44.25" customHeight="1">
      <c r="A502" t="s">
        <v>3524</v>
      </c>
      <c r="B502" t="s">
        <v>3525</v>
      </c>
      <c r="C502" t="s">
        <v>136</v>
      </c>
      <c r="D502" t="s">
        <v>2257</v>
      </c>
      <c r="E502" t="s">
        <v>1592</v>
      </c>
      <c r="F502" t="s">
        <v>149</v>
      </c>
      <c r="G502" t="s">
        <v>3526</v>
      </c>
    </row>
    <row r="503" spans="1:7" s="297" customFormat="1" ht="44.25" customHeight="1">
      <c r="A503" t="s">
        <v>825</v>
      </c>
      <c r="B503" t="s">
        <v>3527</v>
      </c>
      <c r="C503" t="s">
        <v>136</v>
      </c>
      <c r="D503" t="s">
        <v>79</v>
      </c>
      <c r="E503" t="s">
        <v>3528</v>
      </c>
      <c r="F503" t="s">
        <v>149</v>
      </c>
      <c r="G503" t="s">
        <v>3529</v>
      </c>
    </row>
    <row r="504" spans="1:7" s="297" customFormat="1" ht="44.25" customHeight="1">
      <c r="A504" t="s">
        <v>557</v>
      </c>
      <c r="B504" t="s">
        <v>3530</v>
      </c>
      <c r="C504" t="s">
        <v>136</v>
      </c>
      <c r="D504" t="s">
        <v>79</v>
      </c>
      <c r="E504" t="s">
        <v>3507</v>
      </c>
      <c r="F504" t="s">
        <v>149</v>
      </c>
      <c r="G504" t="s">
        <v>3531</v>
      </c>
    </row>
    <row r="505" spans="1:7" s="297" customFormat="1" ht="44.25" customHeight="1">
      <c r="A505" t="s">
        <v>3532</v>
      </c>
      <c r="B505" t="s">
        <v>3533</v>
      </c>
      <c r="C505" t="s">
        <v>136</v>
      </c>
      <c r="D505" t="s">
        <v>79</v>
      </c>
      <c r="E505" t="s">
        <v>3534</v>
      </c>
      <c r="F505" t="s">
        <v>149</v>
      </c>
      <c r="G505" t="s">
        <v>3535</v>
      </c>
    </row>
    <row r="506" spans="1:7" s="297" customFormat="1" ht="44.25" customHeight="1">
      <c r="A506" t="s">
        <v>820</v>
      </c>
      <c r="B506" t="s">
        <v>3444</v>
      </c>
      <c r="C506" t="s">
        <v>136</v>
      </c>
      <c r="D506" t="s">
        <v>2257</v>
      </c>
      <c r="E506" t="s">
        <v>3423</v>
      </c>
      <c r="F506" t="s">
        <v>149</v>
      </c>
      <c r="G506" t="s">
        <v>3536</v>
      </c>
    </row>
    <row r="507" spans="1:7" s="297" customFormat="1" ht="44.25" customHeight="1">
      <c r="A507" t="s">
        <v>819</v>
      </c>
      <c r="B507" t="s">
        <v>3446</v>
      </c>
      <c r="C507" t="s">
        <v>136</v>
      </c>
      <c r="D507" t="s">
        <v>2257</v>
      </c>
      <c r="E507" t="s">
        <v>3423</v>
      </c>
      <c r="F507" t="s">
        <v>149</v>
      </c>
      <c r="G507" t="s">
        <v>3537</v>
      </c>
    </row>
    <row r="508" spans="1:7" s="297" customFormat="1" ht="44.25" customHeight="1">
      <c r="A508" t="s">
        <v>1027</v>
      </c>
      <c r="B508" t="s">
        <v>3538</v>
      </c>
      <c r="C508" t="s">
        <v>136</v>
      </c>
      <c r="D508" t="s">
        <v>79</v>
      </c>
      <c r="E508" t="s">
        <v>3503</v>
      </c>
      <c r="F508" t="s">
        <v>149</v>
      </c>
      <c r="G508" t="s">
        <v>3539</v>
      </c>
    </row>
    <row r="509" spans="1:7" s="297" customFormat="1" ht="44.25" customHeight="1">
      <c r="A509" t="s">
        <v>614</v>
      </c>
      <c r="B509" t="s">
        <v>3540</v>
      </c>
      <c r="C509" t="s">
        <v>136</v>
      </c>
      <c r="D509" t="s">
        <v>79</v>
      </c>
      <c r="E509" t="s">
        <v>3513</v>
      </c>
      <c r="F509" t="s">
        <v>149</v>
      </c>
      <c r="G509" t="s">
        <v>3541</v>
      </c>
    </row>
    <row r="510" spans="1:7" s="297" customFormat="1" ht="44.25" customHeight="1">
      <c r="A510" t="s">
        <v>572</v>
      </c>
      <c r="B510" t="s">
        <v>3542</v>
      </c>
      <c r="C510" t="s">
        <v>136</v>
      </c>
      <c r="D510" t="s">
        <v>79</v>
      </c>
      <c r="E510" t="s">
        <v>3507</v>
      </c>
      <c r="F510" t="s">
        <v>149</v>
      </c>
      <c r="G510" t="s">
        <v>3543</v>
      </c>
    </row>
    <row r="511" spans="1:7" s="297" customFormat="1" ht="44.25" customHeight="1">
      <c r="A511" t="s">
        <v>3544</v>
      </c>
      <c r="B511" t="s">
        <v>3545</v>
      </c>
      <c r="C511" t="s">
        <v>136</v>
      </c>
      <c r="D511" t="s">
        <v>79</v>
      </c>
      <c r="E511" t="s">
        <v>3546</v>
      </c>
      <c r="F511" t="s">
        <v>149</v>
      </c>
      <c r="G511" t="s">
        <v>3547</v>
      </c>
    </row>
    <row r="512" spans="1:7" s="297" customFormat="1" ht="44.25" customHeight="1">
      <c r="A512" t="s">
        <v>3548</v>
      </c>
      <c r="B512" t="s">
        <v>3549</v>
      </c>
      <c r="C512" t="s">
        <v>136</v>
      </c>
      <c r="D512" t="s">
        <v>79</v>
      </c>
      <c r="E512" t="s">
        <v>3522</v>
      </c>
      <c r="F512" t="s">
        <v>149</v>
      </c>
      <c r="G512" t="s">
        <v>3550</v>
      </c>
    </row>
    <row r="513" spans="1:7" s="297" customFormat="1" ht="44.25" customHeight="1">
      <c r="A513" t="s">
        <v>3551</v>
      </c>
      <c r="B513" t="s">
        <v>3552</v>
      </c>
      <c r="C513" t="s">
        <v>136</v>
      </c>
      <c r="D513" t="s">
        <v>79</v>
      </c>
      <c r="E513" t="s">
        <v>3497</v>
      </c>
      <c r="F513" t="s">
        <v>149</v>
      </c>
      <c r="G513" t="s">
        <v>3553</v>
      </c>
    </row>
    <row r="514" spans="1:7" s="297" customFormat="1" ht="44.25" customHeight="1">
      <c r="A514" t="s">
        <v>3554</v>
      </c>
      <c r="B514" t="s">
        <v>3555</v>
      </c>
      <c r="C514" t="s">
        <v>136</v>
      </c>
      <c r="D514" t="s">
        <v>79</v>
      </c>
      <c r="E514" t="s">
        <v>3556</v>
      </c>
      <c r="F514" t="s">
        <v>149</v>
      </c>
      <c r="G514" t="s">
        <v>3557</v>
      </c>
    </row>
    <row r="515" spans="1:7" s="297" customFormat="1" ht="44.25" customHeight="1">
      <c r="A515" t="s">
        <v>571</v>
      </c>
      <c r="B515" t="s">
        <v>3558</v>
      </c>
      <c r="C515" t="s">
        <v>136</v>
      </c>
      <c r="D515" t="s">
        <v>79</v>
      </c>
      <c r="E515" t="s">
        <v>3507</v>
      </c>
      <c r="F515" t="s">
        <v>149</v>
      </c>
      <c r="G515" t="s">
        <v>3559</v>
      </c>
    </row>
    <row r="516" spans="1:7" s="297" customFormat="1" ht="44.25" customHeight="1">
      <c r="A516" t="s">
        <v>3560</v>
      </c>
      <c r="B516" t="s">
        <v>3561</v>
      </c>
      <c r="C516" t="s">
        <v>136</v>
      </c>
      <c r="D516" t="s">
        <v>79</v>
      </c>
      <c r="E516" t="s">
        <v>3492</v>
      </c>
      <c r="F516" t="s">
        <v>149</v>
      </c>
      <c r="G516" t="s">
        <v>3562</v>
      </c>
    </row>
    <row r="517" spans="1:7" s="297" customFormat="1" ht="44.25" customHeight="1">
      <c r="A517" t="s">
        <v>3563</v>
      </c>
      <c r="B517" t="s">
        <v>3564</v>
      </c>
      <c r="C517" t="s">
        <v>136</v>
      </c>
      <c r="D517" t="s">
        <v>79</v>
      </c>
      <c r="E517" t="s">
        <v>3565</v>
      </c>
      <c r="F517" t="s">
        <v>149</v>
      </c>
      <c r="G517" t="s">
        <v>3566</v>
      </c>
    </row>
    <row r="518" spans="1:7" s="297" customFormat="1" ht="44.25" customHeight="1">
      <c r="A518" t="s">
        <v>3461</v>
      </c>
      <c r="B518" t="s">
        <v>3462</v>
      </c>
      <c r="C518" t="s">
        <v>136</v>
      </c>
      <c r="D518" t="s">
        <v>79</v>
      </c>
      <c r="E518" t="s">
        <v>3416</v>
      </c>
      <c r="F518" t="s">
        <v>149</v>
      </c>
      <c r="G518" t="s">
        <v>3567</v>
      </c>
    </row>
    <row r="519" spans="1:7" s="297" customFormat="1" ht="44.25" customHeight="1">
      <c r="A519" t="s">
        <v>560</v>
      </c>
      <c r="B519" t="s">
        <v>3568</v>
      </c>
      <c r="C519" t="s">
        <v>136</v>
      </c>
      <c r="D519" t="s">
        <v>79</v>
      </c>
      <c r="E519" t="s">
        <v>3565</v>
      </c>
      <c r="F519" t="s">
        <v>149</v>
      </c>
      <c r="G519" t="s">
        <v>3569</v>
      </c>
    </row>
    <row r="520" spans="1:7" s="297" customFormat="1" ht="44.25" customHeight="1">
      <c r="A520" t="s">
        <v>3570</v>
      </c>
      <c r="B520" t="s">
        <v>3571</v>
      </c>
      <c r="C520" t="s">
        <v>136</v>
      </c>
      <c r="D520" t="s">
        <v>79</v>
      </c>
      <c r="E520" t="s">
        <v>1592</v>
      </c>
      <c r="F520" t="s">
        <v>149</v>
      </c>
      <c r="G520" t="s">
        <v>3572</v>
      </c>
    </row>
    <row r="521" spans="1:7" s="297" customFormat="1" ht="44.25" customHeight="1">
      <c r="A521" t="s">
        <v>818</v>
      </c>
      <c r="B521" t="s">
        <v>3464</v>
      </c>
      <c r="C521" t="s">
        <v>136</v>
      </c>
      <c r="D521" t="s">
        <v>2257</v>
      </c>
      <c r="E521" t="s">
        <v>3423</v>
      </c>
      <c r="F521" t="s">
        <v>149</v>
      </c>
      <c r="G521" t="s">
        <v>3573</v>
      </c>
    </row>
    <row r="522" spans="1:7" s="297" customFormat="1" ht="44.25" customHeight="1">
      <c r="A522" t="s">
        <v>3574</v>
      </c>
      <c r="B522" t="s">
        <v>3575</v>
      </c>
      <c r="C522" t="s">
        <v>136</v>
      </c>
      <c r="D522" t="s">
        <v>79</v>
      </c>
      <c r="E522" t="s">
        <v>3576</v>
      </c>
      <c r="F522" t="s">
        <v>149</v>
      </c>
      <c r="G522" t="s">
        <v>3577</v>
      </c>
    </row>
    <row r="523" spans="1:7" s="297" customFormat="1" ht="44.25" customHeight="1">
      <c r="A523" t="s">
        <v>605</v>
      </c>
      <c r="B523" t="s">
        <v>3466</v>
      </c>
      <c r="C523" t="s">
        <v>136</v>
      </c>
      <c r="D523" t="s">
        <v>79</v>
      </c>
      <c r="E523" t="s">
        <v>3430</v>
      </c>
      <c r="F523" t="s">
        <v>149</v>
      </c>
      <c r="G523" t="s">
        <v>3578</v>
      </c>
    </row>
    <row r="524" spans="1:7" s="297" customFormat="1" ht="44.25" customHeight="1">
      <c r="A524" t="s">
        <v>887</v>
      </c>
      <c r="B524" t="s">
        <v>3579</v>
      </c>
      <c r="C524" t="s">
        <v>136</v>
      </c>
      <c r="D524" t="s">
        <v>2257</v>
      </c>
      <c r="E524" t="s">
        <v>3580</v>
      </c>
      <c r="F524" t="s">
        <v>149</v>
      </c>
      <c r="G524" t="s">
        <v>3581</v>
      </c>
    </row>
    <row r="525" spans="1:7" s="297" customFormat="1" ht="44.25" customHeight="1">
      <c r="A525" t="s">
        <v>609</v>
      </c>
      <c r="B525" t="s">
        <v>3468</v>
      </c>
      <c r="C525" t="s">
        <v>136</v>
      </c>
      <c r="D525" t="s">
        <v>79</v>
      </c>
      <c r="E525" t="s">
        <v>3430</v>
      </c>
      <c r="F525" t="s">
        <v>149</v>
      </c>
      <c r="G525" t="s">
        <v>3582</v>
      </c>
    </row>
    <row r="526" spans="1:7" s="297" customFormat="1" ht="44.25" customHeight="1">
      <c r="A526" t="s">
        <v>577</v>
      </c>
      <c r="B526" t="s">
        <v>3583</v>
      </c>
      <c r="C526" t="s">
        <v>136</v>
      </c>
      <c r="D526" t="s">
        <v>79</v>
      </c>
      <c r="E526" t="s">
        <v>3584</v>
      </c>
      <c r="F526" t="s">
        <v>149</v>
      </c>
      <c r="G526" t="s">
        <v>3585</v>
      </c>
    </row>
    <row r="527" spans="1:7" s="297" customFormat="1" ht="44.25" customHeight="1">
      <c r="A527" t="s">
        <v>2627</v>
      </c>
      <c r="B527" t="s">
        <v>2628</v>
      </c>
      <c r="C527" t="s">
        <v>136</v>
      </c>
      <c r="D527" t="s">
        <v>79</v>
      </c>
      <c r="E527" t="s">
        <v>2629</v>
      </c>
      <c r="F527" t="s">
        <v>149</v>
      </c>
      <c r="G527" t="s">
        <v>3586</v>
      </c>
    </row>
    <row r="528" spans="1:7" s="297" customFormat="1" ht="44.25" customHeight="1">
      <c r="A528" t="s">
        <v>3587</v>
      </c>
      <c r="B528" t="s">
        <v>3588</v>
      </c>
      <c r="C528" t="s">
        <v>136</v>
      </c>
      <c r="D528" t="s">
        <v>79</v>
      </c>
      <c r="E528" t="s">
        <v>3589</v>
      </c>
      <c r="F528" t="s">
        <v>149</v>
      </c>
      <c r="G528" t="s">
        <v>3590</v>
      </c>
    </row>
    <row r="529" spans="1:7" s="297" customFormat="1" ht="44.25" customHeight="1">
      <c r="A529" t="s">
        <v>3591</v>
      </c>
      <c r="B529" t="s">
        <v>3592</v>
      </c>
      <c r="C529" t="s">
        <v>136</v>
      </c>
      <c r="D529" t="s">
        <v>2257</v>
      </c>
      <c r="E529" t="s">
        <v>3593</v>
      </c>
      <c r="F529" t="s">
        <v>149</v>
      </c>
      <c r="G529" t="s">
        <v>3594</v>
      </c>
    </row>
    <row r="530" spans="1:7" s="297" customFormat="1" ht="44.25" customHeight="1">
      <c r="A530" t="s">
        <v>418</v>
      </c>
      <c r="B530" t="s">
        <v>3595</v>
      </c>
      <c r="C530" t="s">
        <v>136</v>
      </c>
      <c r="D530" t="s">
        <v>2257</v>
      </c>
      <c r="E530" t="s">
        <v>1524</v>
      </c>
      <c r="F530" t="s">
        <v>149</v>
      </c>
      <c r="G530" t="s">
        <v>3596</v>
      </c>
    </row>
    <row r="531" spans="1:7" s="297" customFormat="1" ht="44.25" customHeight="1">
      <c r="A531" t="s">
        <v>3597</v>
      </c>
      <c r="B531" t="s">
        <v>3598</v>
      </c>
      <c r="C531" t="s">
        <v>136</v>
      </c>
      <c r="D531" t="s">
        <v>79</v>
      </c>
      <c r="E531" t="s">
        <v>3599</v>
      </c>
      <c r="F531" t="s">
        <v>149</v>
      </c>
      <c r="G531" t="s">
        <v>3600</v>
      </c>
    </row>
    <row r="532" spans="1:7" s="297" customFormat="1" ht="44.25" customHeight="1">
      <c r="A532" t="s">
        <v>3601</v>
      </c>
      <c r="B532" t="s">
        <v>3602</v>
      </c>
      <c r="C532" t="s">
        <v>136</v>
      </c>
      <c r="D532" t="s">
        <v>79</v>
      </c>
      <c r="E532" t="s">
        <v>3603</v>
      </c>
      <c r="F532" t="s">
        <v>149</v>
      </c>
      <c r="G532" t="s">
        <v>3604</v>
      </c>
    </row>
    <row r="533" spans="1:7" s="297" customFormat="1" ht="44.25" customHeight="1">
      <c r="A533" t="s">
        <v>3605</v>
      </c>
      <c r="B533" t="s">
        <v>3606</v>
      </c>
      <c r="C533" t="s">
        <v>136</v>
      </c>
      <c r="D533" t="s">
        <v>79</v>
      </c>
      <c r="E533" t="s">
        <v>3607</v>
      </c>
      <c r="F533" t="s">
        <v>149</v>
      </c>
      <c r="G533" t="s">
        <v>3608</v>
      </c>
    </row>
    <row r="534" spans="1:7" s="297" customFormat="1" ht="44.25" customHeight="1">
      <c r="A534" t="s">
        <v>3609</v>
      </c>
      <c r="B534" t="s">
        <v>3610</v>
      </c>
      <c r="C534" t="s">
        <v>136</v>
      </c>
      <c r="D534" t="s">
        <v>79</v>
      </c>
      <c r="E534" t="s">
        <v>3611</v>
      </c>
      <c r="F534" t="s">
        <v>149</v>
      </c>
      <c r="G534" t="s">
        <v>3612</v>
      </c>
    </row>
    <row r="535" spans="1:7" s="297" customFormat="1" ht="44.25" customHeight="1">
      <c r="A535" t="s">
        <v>3613</v>
      </c>
      <c r="B535" t="s">
        <v>3614</v>
      </c>
      <c r="C535" t="s">
        <v>136</v>
      </c>
      <c r="D535" t="s">
        <v>79</v>
      </c>
      <c r="E535" t="s">
        <v>3615</v>
      </c>
      <c r="F535" t="s">
        <v>149</v>
      </c>
      <c r="G535" t="s">
        <v>3616</v>
      </c>
    </row>
    <row r="536" spans="1:7" s="297" customFormat="1" ht="44.25" customHeight="1">
      <c r="A536" t="s">
        <v>3617</v>
      </c>
      <c r="B536" t="s">
        <v>3618</v>
      </c>
      <c r="C536" t="s">
        <v>136</v>
      </c>
      <c r="D536" t="s">
        <v>79</v>
      </c>
      <c r="E536" t="s">
        <v>3619</v>
      </c>
      <c r="F536" t="s">
        <v>149</v>
      </c>
      <c r="G536" t="s">
        <v>3620</v>
      </c>
    </row>
    <row r="537" spans="1:7" s="297" customFormat="1" ht="44.25" customHeight="1">
      <c r="A537" t="s">
        <v>3621</v>
      </c>
      <c r="B537" t="s">
        <v>3622</v>
      </c>
      <c r="C537" t="s">
        <v>136</v>
      </c>
      <c r="D537" t="s">
        <v>79</v>
      </c>
      <c r="E537" t="s">
        <v>3623</v>
      </c>
      <c r="F537" t="s">
        <v>149</v>
      </c>
      <c r="G537" t="s">
        <v>3624</v>
      </c>
    </row>
    <row r="538" spans="1:7" s="297" customFormat="1" ht="44.25" customHeight="1">
      <c r="A538" t="s">
        <v>3625</v>
      </c>
      <c r="B538" t="s">
        <v>3626</v>
      </c>
      <c r="C538" t="s">
        <v>136</v>
      </c>
      <c r="D538" t="s">
        <v>79</v>
      </c>
      <c r="E538" t="s">
        <v>3627</v>
      </c>
      <c r="F538" t="s">
        <v>149</v>
      </c>
      <c r="G538" t="s">
        <v>3628</v>
      </c>
    </row>
    <row r="539" spans="1:7" s="297" customFormat="1" ht="44.25" customHeight="1">
      <c r="A539" t="s">
        <v>3629</v>
      </c>
      <c r="B539" t="s">
        <v>3630</v>
      </c>
      <c r="C539" t="s">
        <v>136</v>
      </c>
      <c r="D539" t="s">
        <v>79</v>
      </c>
      <c r="E539" t="s">
        <v>3631</v>
      </c>
      <c r="F539" t="s">
        <v>149</v>
      </c>
      <c r="G539" t="s">
        <v>3632</v>
      </c>
    </row>
    <row r="540" spans="1:7" s="297" customFormat="1" ht="44.25" customHeight="1">
      <c r="A540" t="s">
        <v>3633</v>
      </c>
      <c r="B540" t="s">
        <v>3634</v>
      </c>
      <c r="C540" t="s">
        <v>136</v>
      </c>
      <c r="D540" t="s">
        <v>79</v>
      </c>
      <c r="E540" t="s">
        <v>3635</v>
      </c>
      <c r="F540" t="s">
        <v>149</v>
      </c>
      <c r="G540" t="s">
        <v>3636</v>
      </c>
    </row>
    <row r="541" spans="1:7" s="297" customFormat="1" ht="44.25" customHeight="1">
      <c r="A541" t="s">
        <v>3637</v>
      </c>
      <c r="B541" t="s">
        <v>3638</v>
      </c>
      <c r="C541" t="s">
        <v>136</v>
      </c>
      <c r="D541" t="s">
        <v>79</v>
      </c>
      <c r="E541" t="s">
        <v>3639</v>
      </c>
      <c r="F541" t="s">
        <v>149</v>
      </c>
      <c r="G541" t="s">
        <v>3640</v>
      </c>
    </row>
    <row r="542" spans="1:7" s="297" customFormat="1" ht="44.25" customHeight="1">
      <c r="A542" t="s">
        <v>3641</v>
      </c>
      <c r="B542" t="s">
        <v>3642</v>
      </c>
      <c r="C542" t="s">
        <v>136</v>
      </c>
      <c r="D542" t="s">
        <v>79</v>
      </c>
      <c r="E542" t="s">
        <v>3643</v>
      </c>
      <c r="F542" t="s">
        <v>149</v>
      </c>
      <c r="G542" t="s">
        <v>3644</v>
      </c>
    </row>
    <row r="543" spans="1:7" s="297" customFormat="1" ht="44.25" customHeight="1">
      <c r="A543" t="s">
        <v>3645</v>
      </c>
      <c r="B543" t="s">
        <v>3646</v>
      </c>
      <c r="C543" t="s">
        <v>136</v>
      </c>
      <c r="D543" t="s">
        <v>79</v>
      </c>
      <c r="E543" t="s">
        <v>3647</v>
      </c>
      <c r="F543" t="s">
        <v>149</v>
      </c>
      <c r="G543" t="s">
        <v>3648</v>
      </c>
    </row>
    <row r="544" spans="1:7" s="297" customFormat="1" ht="44.25" customHeight="1">
      <c r="A544" t="s">
        <v>3649</v>
      </c>
      <c r="B544" t="s">
        <v>3650</v>
      </c>
      <c r="C544" t="s">
        <v>136</v>
      </c>
      <c r="D544" t="s">
        <v>79</v>
      </c>
      <c r="E544" t="s">
        <v>3651</v>
      </c>
      <c r="F544" t="s">
        <v>149</v>
      </c>
      <c r="G544" t="s">
        <v>3652</v>
      </c>
    </row>
    <row r="545" spans="1:7" s="297" customFormat="1" ht="44.25" customHeight="1">
      <c r="A545" t="s">
        <v>3653</v>
      </c>
      <c r="B545" t="s">
        <v>3654</v>
      </c>
      <c r="C545" t="s">
        <v>136</v>
      </c>
      <c r="D545" t="s">
        <v>79</v>
      </c>
      <c r="E545" t="s">
        <v>3655</v>
      </c>
      <c r="F545" t="s">
        <v>149</v>
      </c>
      <c r="G545" t="s">
        <v>3656</v>
      </c>
    </row>
    <row r="546" spans="1:7" s="297" customFormat="1" ht="44.25" customHeight="1">
      <c r="A546" t="s">
        <v>3657</v>
      </c>
      <c r="B546" t="s">
        <v>3658</v>
      </c>
      <c r="C546" t="s">
        <v>136</v>
      </c>
      <c r="D546" t="s">
        <v>79</v>
      </c>
      <c r="E546" t="s">
        <v>3659</v>
      </c>
      <c r="F546" t="s">
        <v>149</v>
      </c>
      <c r="G546" t="s">
        <v>3660</v>
      </c>
    </row>
    <row r="547" spans="1:7" s="297" customFormat="1" ht="44.25" customHeight="1">
      <c r="A547" t="s">
        <v>3661</v>
      </c>
      <c r="B547" t="s">
        <v>3662</v>
      </c>
      <c r="C547" t="s">
        <v>136</v>
      </c>
      <c r="D547" t="s">
        <v>79</v>
      </c>
      <c r="E547" t="s">
        <v>3663</v>
      </c>
      <c r="F547" t="s">
        <v>149</v>
      </c>
      <c r="G547" t="s">
        <v>3664</v>
      </c>
    </row>
    <row r="548" spans="1:7" s="297" customFormat="1" ht="44.25" customHeight="1">
      <c r="A548" t="s">
        <v>3665</v>
      </c>
      <c r="B548" t="s">
        <v>3666</v>
      </c>
      <c r="C548" t="s">
        <v>136</v>
      </c>
      <c r="D548" t="s">
        <v>79</v>
      </c>
      <c r="E548" t="s">
        <v>3667</v>
      </c>
      <c r="F548" t="s">
        <v>149</v>
      </c>
      <c r="G548" t="s">
        <v>3668</v>
      </c>
    </row>
    <row r="549" spans="1:7" s="297" customFormat="1" ht="44.25" customHeight="1">
      <c r="A549" t="s">
        <v>3669</v>
      </c>
      <c r="B549" t="s">
        <v>3670</v>
      </c>
      <c r="C549" t="s">
        <v>136</v>
      </c>
      <c r="D549" t="s">
        <v>79</v>
      </c>
      <c r="E549" t="s">
        <v>3671</v>
      </c>
      <c r="F549" t="s">
        <v>149</v>
      </c>
      <c r="G549" t="s">
        <v>3672</v>
      </c>
    </row>
    <row r="550" spans="1:7" s="297" customFormat="1" ht="44.25" customHeight="1">
      <c r="A550" t="s">
        <v>3673</v>
      </c>
      <c r="B550" t="s">
        <v>3674</v>
      </c>
      <c r="C550" t="s">
        <v>136</v>
      </c>
      <c r="D550" t="s">
        <v>79</v>
      </c>
      <c r="E550" t="s">
        <v>3675</v>
      </c>
      <c r="F550" t="s">
        <v>149</v>
      </c>
      <c r="G550" t="s">
        <v>3676</v>
      </c>
    </row>
    <row r="551" spans="1:7" s="297" customFormat="1" ht="44.25" customHeight="1">
      <c r="A551" t="s">
        <v>3677</v>
      </c>
      <c r="B551" t="s">
        <v>3678</v>
      </c>
      <c r="C551" t="s">
        <v>136</v>
      </c>
      <c r="D551" t="s">
        <v>79</v>
      </c>
      <c r="E551" t="s">
        <v>3679</v>
      </c>
      <c r="F551" t="s">
        <v>149</v>
      </c>
      <c r="G551" t="s">
        <v>3680</v>
      </c>
    </row>
    <row r="552" spans="1:7" s="297" customFormat="1" ht="44.25" customHeight="1">
      <c r="A552" t="s">
        <v>3681</v>
      </c>
      <c r="B552" t="s">
        <v>3682</v>
      </c>
      <c r="C552" t="s">
        <v>136</v>
      </c>
      <c r="D552" t="s">
        <v>79</v>
      </c>
      <c r="E552" t="s">
        <v>3683</v>
      </c>
      <c r="F552" t="s">
        <v>149</v>
      </c>
      <c r="G552" t="s">
        <v>3684</v>
      </c>
    </row>
    <row r="553" spans="1:7" s="297" customFormat="1" ht="44.25" customHeight="1">
      <c r="A553" t="s">
        <v>865</v>
      </c>
      <c r="B553" t="s">
        <v>3685</v>
      </c>
      <c r="C553" t="s">
        <v>136</v>
      </c>
      <c r="D553" t="s">
        <v>79</v>
      </c>
      <c r="E553" t="s">
        <v>3686</v>
      </c>
      <c r="F553" t="s">
        <v>149</v>
      </c>
      <c r="G553" t="s">
        <v>3687</v>
      </c>
    </row>
    <row r="554" spans="1:7" s="297" customFormat="1" ht="44.25" customHeight="1">
      <c r="A554" t="s">
        <v>469</v>
      </c>
      <c r="B554" t="s">
        <v>3688</v>
      </c>
      <c r="C554" t="s">
        <v>136</v>
      </c>
      <c r="D554" t="s">
        <v>79</v>
      </c>
      <c r="E554" t="s">
        <v>3689</v>
      </c>
      <c r="F554" t="s">
        <v>149</v>
      </c>
      <c r="G554" t="s">
        <v>3690</v>
      </c>
    </row>
    <row r="555" spans="1:7" s="297" customFormat="1" ht="44.25" customHeight="1">
      <c r="A555" t="s">
        <v>869</v>
      </c>
      <c r="B555" t="s">
        <v>3691</v>
      </c>
      <c r="C555" t="s">
        <v>136</v>
      </c>
      <c r="D555" t="s">
        <v>79</v>
      </c>
      <c r="E555" t="s">
        <v>1601</v>
      </c>
      <c r="F555" t="s">
        <v>149</v>
      </c>
      <c r="G555" t="s">
        <v>3692</v>
      </c>
    </row>
    <row r="556" spans="1:7" s="297" customFormat="1" ht="44.25" customHeight="1">
      <c r="A556" t="s">
        <v>3693</v>
      </c>
      <c r="B556" t="s">
        <v>3694</v>
      </c>
      <c r="C556" t="s">
        <v>136</v>
      </c>
      <c r="D556" t="s">
        <v>79</v>
      </c>
      <c r="E556" t="s">
        <v>3695</v>
      </c>
      <c r="F556" t="s">
        <v>149</v>
      </c>
      <c r="G556" t="s">
        <v>3696</v>
      </c>
    </row>
    <row r="557" spans="1:7" s="297" customFormat="1" ht="44.25" customHeight="1">
      <c r="A557" t="s">
        <v>3697</v>
      </c>
      <c r="B557" t="s">
        <v>3698</v>
      </c>
      <c r="C557" t="s">
        <v>136</v>
      </c>
      <c r="D557" t="s">
        <v>79</v>
      </c>
      <c r="E557" t="s">
        <v>3699</v>
      </c>
      <c r="F557" t="s">
        <v>149</v>
      </c>
      <c r="G557" t="s">
        <v>3700</v>
      </c>
    </row>
    <row r="558" spans="1:7" s="297" customFormat="1" ht="44.25" customHeight="1">
      <c r="A558" t="s">
        <v>3701</v>
      </c>
      <c r="B558" t="s">
        <v>3702</v>
      </c>
      <c r="C558" t="s">
        <v>136</v>
      </c>
      <c r="D558" t="s">
        <v>79</v>
      </c>
      <c r="E558" t="s">
        <v>3703</v>
      </c>
      <c r="F558" t="s">
        <v>149</v>
      </c>
      <c r="G558" t="s">
        <v>3704</v>
      </c>
    </row>
    <row r="559" spans="1:7" s="297" customFormat="1" ht="44.25" customHeight="1">
      <c r="A559" t="s">
        <v>3705</v>
      </c>
      <c r="B559" t="s">
        <v>3706</v>
      </c>
      <c r="C559" t="s">
        <v>136</v>
      </c>
      <c r="D559" t="s">
        <v>2257</v>
      </c>
      <c r="E559" t="s">
        <v>1584</v>
      </c>
      <c r="F559" t="s">
        <v>149</v>
      </c>
      <c r="G559" t="s">
        <v>3707</v>
      </c>
    </row>
    <row r="560" spans="1:7" s="297" customFormat="1" ht="44.25" customHeight="1">
      <c r="A560" t="s">
        <v>3708</v>
      </c>
      <c r="B560" t="s">
        <v>3709</v>
      </c>
      <c r="C560" t="s">
        <v>136</v>
      </c>
      <c r="D560" t="s">
        <v>2257</v>
      </c>
      <c r="E560" t="s">
        <v>1584</v>
      </c>
      <c r="F560" t="s">
        <v>149</v>
      </c>
      <c r="G560" t="s">
        <v>3710</v>
      </c>
    </row>
    <row r="561" spans="1:7" s="297" customFormat="1" ht="44.25" customHeight="1">
      <c r="A561" t="s">
        <v>3711</v>
      </c>
      <c r="B561" t="s">
        <v>3712</v>
      </c>
      <c r="C561" t="s">
        <v>136</v>
      </c>
      <c r="D561" t="s">
        <v>2257</v>
      </c>
      <c r="E561" t="s">
        <v>2276</v>
      </c>
      <c r="F561" t="s">
        <v>149</v>
      </c>
      <c r="G561" t="s">
        <v>3713</v>
      </c>
    </row>
    <row r="562" spans="1:7" s="297" customFormat="1" ht="44.25" customHeight="1">
      <c r="A562" t="s">
        <v>3714</v>
      </c>
      <c r="B562" t="s">
        <v>3715</v>
      </c>
      <c r="C562" t="s">
        <v>136</v>
      </c>
      <c r="D562" t="s">
        <v>79</v>
      </c>
      <c r="E562" t="s">
        <v>3703</v>
      </c>
      <c r="F562" t="s">
        <v>149</v>
      </c>
      <c r="G562" t="s">
        <v>3716</v>
      </c>
    </row>
    <row r="563" spans="1:7" s="297" customFormat="1" ht="44.25" customHeight="1">
      <c r="A563" t="s">
        <v>3717</v>
      </c>
      <c r="B563" t="s">
        <v>3718</v>
      </c>
      <c r="C563" t="s">
        <v>136</v>
      </c>
      <c r="D563" t="s">
        <v>2253</v>
      </c>
      <c r="E563" t="s">
        <v>1430</v>
      </c>
      <c r="F563" t="s">
        <v>149</v>
      </c>
      <c r="G563" t="s">
        <v>3719</v>
      </c>
    </row>
    <row r="564" spans="1:7" s="297" customFormat="1" ht="44.25" customHeight="1">
      <c r="A564" t="s">
        <v>3720</v>
      </c>
      <c r="B564" t="s">
        <v>3721</v>
      </c>
      <c r="C564" t="s">
        <v>136</v>
      </c>
      <c r="D564" t="s">
        <v>2253</v>
      </c>
      <c r="E564" t="s">
        <v>1430</v>
      </c>
      <c r="F564" t="s">
        <v>149</v>
      </c>
      <c r="G564" t="s">
        <v>3722</v>
      </c>
    </row>
    <row r="565" spans="1:7" s="297" customFormat="1" ht="44.25" customHeight="1">
      <c r="A565" t="s">
        <v>3723</v>
      </c>
      <c r="B565" t="s">
        <v>3724</v>
      </c>
      <c r="C565" t="s">
        <v>136</v>
      </c>
      <c r="D565" t="s">
        <v>2257</v>
      </c>
      <c r="E565" t="s">
        <v>2276</v>
      </c>
      <c r="F565" t="s">
        <v>149</v>
      </c>
      <c r="G565" t="s">
        <v>3725</v>
      </c>
    </row>
    <row r="566" spans="1:7" s="297" customFormat="1" ht="44.25" customHeight="1">
      <c r="A566" t="s">
        <v>3726</v>
      </c>
      <c r="B566" t="s">
        <v>3727</v>
      </c>
      <c r="C566" t="s">
        <v>136</v>
      </c>
      <c r="D566" t="s">
        <v>2257</v>
      </c>
      <c r="E566" t="s">
        <v>1430</v>
      </c>
      <c r="F566" t="s">
        <v>149</v>
      </c>
      <c r="G566" t="s">
        <v>3728</v>
      </c>
    </row>
    <row r="567" spans="1:7" s="297" customFormat="1" ht="44.25" customHeight="1">
      <c r="A567" t="s">
        <v>3729</v>
      </c>
      <c r="B567" t="s">
        <v>3730</v>
      </c>
      <c r="C567" t="s">
        <v>136</v>
      </c>
      <c r="D567" t="s">
        <v>2253</v>
      </c>
      <c r="E567" t="s">
        <v>1430</v>
      </c>
      <c r="F567" t="s">
        <v>149</v>
      </c>
      <c r="G567" t="s">
        <v>3731</v>
      </c>
    </row>
    <row r="568" spans="1:7" s="297" customFormat="1" ht="44.25" customHeight="1">
      <c r="A568" t="s">
        <v>3732</v>
      </c>
      <c r="B568" t="s">
        <v>3733</v>
      </c>
      <c r="C568" t="s">
        <v>136</v>
      </c>
      <c r="D568" t="s">
        <v>2257</v>
      </c>
      <c r="E568" t="s">
        <v>2276</v>
      </c>
      <c r="F568" t="s">
        <v>149</v>
      </c>
      <c r="G568" t="s">
        <v>3734</v>
      </c>
    </row>
    <row r="569" spans="1:7" s="297" customFormat="1" ht="44.25" customHeight="1">
      <c r="A569" t="s">
        <v>3735</v>
      </c>
      <c r="B569" t="s">
        <v>3736</v>
      </c>
      <c r="C569" t="s">
        <v>136</v>
      </c>
      <c r="D569" t="s">
        <v>2253</v>
      </c>
      <c r="E569" t="s">
        <v>3737</v>
      </c>
      <c r="F569" t="s">
        <v>149</v>
      </c>
      <c r="G569" t="s">
        <v>3738</v>
      </c>
    </row>
    <row r="570" spans="1:7" s="297" customFormat="1" ht="44.25" customHeight="1">
      <c r="A570" t="s">
        <v>3739</v>
      </c>
      <c r="B570" t="s">
        <v>3740</v>
      </c>
      <c r="C570" t="s">
        <v>136</v>
      </c>
      <c r="D570" t="s">
        <v>2253</v>
      </c>
      <c r="E570" t="s">
        <v>2258</v>
      </c>
      <c r="F570" t="s">
        <v>149</v>
      </c>
      <c r="G570" t="s">
        <v>3741</v>
      </c>
    </row>
    <row r="571" spans="1:7" s="297" customFormat="1" ht="44.25" customHeight="1">
      <c r="A571" t="s">
        <v>3742</v>
      </c>
      <c r="B571" t="s">
        <v>3743</v>
      </c>
      <c r="C571" t="s">
        <v>136</v>
      </c>
      <c r="D571" t="s">
        <v>2253</v>
      </c>
      <c r="E571" t="s">
        <v>1432</v>
      </c>
      <c r="F571" t="s">
        <v>149</v>
      </c>
      <c r="G571" t="s">
        <v>3744</v>
      </c>
    </row>
    <row r="572" spans="1:7" s="297" customFormat="1" ht="44.25" customHeight="1">
      <c r="A572" t="s">
        <v>3745</v>
      </c>
      <c r="B572" t="s">
        <v>3746</v>
      </c>
      <c r="C572" t="s">
        <v>136</v>
      </c>
      <c r="D572" t="s">
        <v>2253</v>
      </c>
      <c r="E572" t="s">
        <v>1432</v>
      </c>
      <c r="F572" t="s">
        <v>149</v>
      </c>
      <c r="G572" t="s">
        <v>3747</v>
      </c>
    </row>
    <row r="573" spans="1:7" s="297" customFormat="1" ht="44.25" customHeight="1">
      <c r="A573" t="s">
        <v>3748</v>
      </c>
      <c r="B573" t="s">
        <v>3749</v>
      </c>
      <c r="C573" t="s">
        <v>136</v>
      </c>
      <c r="D573" t="s">
        <v>2253</v>
      </c>
      <c r="E573" t="s">
        <v>1432</v>
      </c>
      <c r="F573" t="s">
        <v>149</v>
      </c>
      <c r="G573" t="s">
        <v>3750</v>
      </c>
    </row>
    <row r="574" spans="1:7" s="297" customFormat="1" ht="44.25" customHeight="1">
      <c r="A574" t="s">
        <v>3751</v>
      </c>
      <c r="B574" t="s">
        <v>3752</v>
      </c>
      <c r="C574" t="s">
        <v>136</v>
      </c>
      <c r="D574" t="s">
        <v>2253</v>
      </c>
      <c r="E574" t="s">
        <v>1432</v>
      </c>
      <c r="F574" t="s">
        <v>149</v>
      </c>
      <c r="G574" t="s">
        <v>3753</v>
      </c>
    </row>
    <row r="575" spans="1:7" s="297" customFormat="1" ht="44.25" customHeight="1">
      <c r="A575" t="s">
        <v>3754</v>
      </c>
      <c r="B575" t="s">
        <v>3755</v>
      </c>
      <c r="C575" t="s">
        <v>136</v>
      </c>
      <c r="D575" t="s">
        <v>2253</v>
      </c>
      <c r="E575" t="s">
        <v>1432</v>
      </c>
      <c r="F575" t="s">
        <v>149</v>
      </c>
      <c r="G575" t="s">
        <v>3756</v>
      </c>
    </row>
    <row r="576" spans="1:7" s="297" customFormat="1" ht="44.25" customHeight="1">
      <c r="A576" t="s">
        <v>3757</v>
      </c>
      <c r="B576" t="s">
        <v>3758</v>
      </c>
      <c r="C576" t="s">
        <v>136</v>
      </c>
      <c r="D576" t="s">
        <v>2257</v>
      </c>
      <c r="E576" t="s">
        <v>3759</v>
      </c>
      <c r="F576" t="s">
        <v>149</v>
      </c>
      <c r="G576" t="s">
        <v>3760</v>
      </c>
    </row>
    <row r="577" spans="1:7" s="297" customFormat="1" ht="44.25" customHeight="1">
      <c r="A577" t="s">
        <v>3761</v>
      </c>
      <c r="B577" t="s">
        <v>3762</v>
      </c>
      <c r="C577" t="s">
        <v>136</v>
      </c>
      <c r="D577" t="s">
        <v>2253</v>
      </c>
      <c r="E577" t="s">
        <v>1430</v>
      </c>
      <c r="F577" t="s">
        <v>149</v>
      </c>
      <c r="G577" t="s">
        <v>3763</v>
      </c>
    </row>
    <row r="578" spans="1:7" s="297" customFormat="1" ht="44.25" customHeight="1">
      <c r="A578" t="s">
        <v>3764</v>
      </c>
      <c r="B578" t="s">
        <v>3765</v>
      </c>
      <c r="C578" t="s">
        <v>136</v>
      </c>
      <c r="D578" t="s">
        <v>2253</v>
      </c>
      <c r="E578" t="s">
        <v>1430</v>
      </c>
      <c r="F578" t="s">
        <v>149</v>
      </c>
      <c r="G578" t="s">
        <v>3766</v>
      </c>
    </row>
    <row r="579" spans="1:7" s="297" customFormat="1" ht="44.25" customHeight="1">
      <c r="A579" t="s">
        <v>3767</v>
      </c>
      <c r="B579" t="s">
        <v>3768</v>
      </c>
      <c r="C579" t="s">
        <v>136</v>
      </c>
      <c r="D579" t="s">
        <v>2253</v>
      </c>
      <c r="E579" t="s">
        <v>1432</v>
      </c>
      <c r="F579" t="s">
        <v>149</v>
      </c>
      <c r="G579" t="s">
        <v>3769</v>
      </c>
    </row>
    <row r="580" spans="1:7" s="297" customFormat="1" ht="44.25" customHeight="1">
      <c r="A580" t="s">
        <v>3770</v>
      </c>
      <c r="B580" t="s">
        <v>3771</v>
      </c>
      <c r="C580" t="s">
        <v>136</v>
      </c>
      <c r="D580" t="s">
        <v>2253</v>
      </c>
      <c r="E580" t="s">
        <v>1432</v>
      </c>
      <c r="F580" t="s">
        <v>149</v>
      </c>
      <c r="G580" t="s">
        <v>3772</v>
      </c>
    </row>
    <row r="581" spans="1:7" s="297" customFormat="1" ht="44.25" customHeight="1">
      <c r="A581" t="s">
        <v>3773</v>
      </c>
      <c r="B581" t="s">
        <v>3774</v>
      </c>
      <c r="C581" t="s">
        <v>136</v>
      </c>
      <c r="D581" t="s">
        <v>2257</v>
      </c>
      <c r="E581" t="s">
        <v>1430</v>
      </c>
      <c r="F581" t="s">
        <v>149</v>
      </c>
      <c r="G581" t="s">
        <v>3775</v>
      </c>
    </row>
    <row r="582" spans="1:7" s="297" customFormat="1" ht="44.25" customHeight="1">
      <c r="A582" t="s">
        <v>3776</v>
      </c>
      <c r="B582" t="s">
        <v>3777</v>
      </c>
      <c r="C582" t="s">
        <v>136</v>
      </c>
      <c r="D582" t="s">
        <v>2257</v>
      </c>
      <c r="E582" t="s">
        <v>2276</v>
      </c>
      <c r="F582" t="s">
        <v>149</v>
      </c>
      <c r="G582" t="s">
        <v>3778</v>
      </c>
    </row>
    <row r="583" spans="1:7" s="297" customFormat="1" ht="44.25" customHeight="1">
      <c r="A583" t="s">
        <v>3779</v>
      </c>
      <c r="B583" t="s">
        <v>3780</v>
      </c>
      <c r="C583" t="s">
        <v>136</v>
      </c>
      <c r="D583" t="s">
        <v>2257</v>
      </c>
      <c r="E583" t="s">
        <v>2276</v>
      </c>
      <c r="F583" t="s">
        <v>149</v>
      </c>
      <c r="G583" t="s">
        <v>3781</v>
      </c>
    </row>
    <row r="584" spans="1:7" s="297" customFormat="1" ht="44.25" customHeight="1">
      <c r="A584" t="s">
        <v>3782</v>
      </c>
      <c r="B584" t="s">
        <v>3783</v>
      </c>
      <c r="C584" t="s">
        <v>136</v>
      </c>
      <c r="D584" t="s">
        <v>2253</v>
      </c>
      <c r="E584" t="s">
        <v>1430</v>
      </c>
      <c r="F584" t="s">
        <v>149</v>
      </c>
      <c r="G584" t="s">
        <v>3784</v>
      </c>
    </row>
    <row r="585" spans="1:7" s="297" customFormat="1" ht="44.25" customHeight="1">
      <c r="A585" t="s">
        <v>3785</v>
      </c>
      <c r="B585" t="s">
        <v>3786</v>
      </c>
      <c r="C585" t="s">
        <v>136</v>
      </c>
      <c r="D585" t="s">
        <v>2253</v>
      </c>
      <c r="E585" t="s">
        <v>1432</v>
      </c>
      <c r="F585" t="s">
        <v>149</v>
      </c>
      <c r="G585" t="s">
        <v>3787</v>
      </c>
    </row>
    <row r="586" spans="1:7" s="297" customFormat="1" ht="44.25" customHeight="1">
      <c r="A586" t="s">
        <v>3788</v>
      </c>
      <c r="B586" t="s">
        <v>3789</v>
      </c>
      <c r="C586" t="s">
        <v>136</v>
      </c>
      <c r="D586" t="s">
        <v>2253</v>
      </c>
      <c r="E586" t="s">
        <v>1430</v>
      </c>
      <c r="F586" t="s">
        <v>149</v>
      </c>
      <c r="G586" t="s">
        <v>3790</v>
      </c>
    </row>
    <row r="587" spans="1:7" s="297" customFormat="1" ht="44.25" customHeight="1">
      <c r="A587" t="s">
        <v>3791</v>
      </c>
      <c r="B587" t="s">
        <v>3792</v>
      </c>
      <c r="C587" t="s">
        <v>136</v>
      </c>
      <c r="D587" t="s">
        <v>2253</v>
      </c>
      <c r="E587" t="s">
        <v>1432</v>
      </c>
      <c r="F587" t="s">
        <v>149</v>
      </c>
      <c r="G587" t="s">
        <v>3793</v>
      </c>
    </row>
    <row r="588" spans="1:7" s="297" customFormat="1" ht="44.25" customHeight="1">
      <c r="A588" t="s">
        <v>3794</v>
      </c>
      <c r="B588" t="s">
        <v>3795</v>
      </c>
      <c r="C588" t="s">
        <v>136</v>
      </c>
      <c r="D588" t="s">
        <v>2253</v>
      </c>
      <c r="E588" t="s">
        <v>1430</v>
      </c>
      <c r="F588" t="s">
        <v>149</v>
      </c>
      <c r="G588" t="s">
        <v>3796</v>
      </c>
    </row>
    <row r="589" spans="1:7" s="297" customFormat="1" ht="44.25" customHeight="1">
      <c r="A589" t="s">
        <v>3797</v>
      </c>
      <c r="B589" t="s">
        <v>3798</v>
      </c>
      <c r="C589" t="s">
        <v>136</v>
      </c>
      <c r="D589" t="s">
        <v>2253</v>
      </c>
      <c r="E589" t="s">
        <v>1432</v>
      </c>
      <c r="F589" t="s">
        <v>149</v>
      </c>
      <c r="G589" t="s">
        <v>3799</v>
      </c>
    </row>
    <row r="590" spans="1:7" s="297" customFormat="1" ht="44.25" customHeight="1">
      <c r="A590" t="s">
        <v>3800</v>
      </c>
      <c r="B590" t="s">
        <v>3801</v>
      </c>
      <c r="C590" t="s">
        <v>136</v>
      </c>
      <c r="D590" t="s">
        <v>2253</v>
      </c>
      <c r="E590" t="s">
        <v>1432</v>
      </c>
      <c r="F590" t="s">
        <v>149</v>
      </c>
      <c r="G590" t="s">
        <v>3802</v>
      </c>
    </row>
    <row r="591" spans="1:7" s="297" customFormat="1" ht="44.25" customHeight="1">
      <c r="A591" t="s">
        <v>3803</v>
      </c>
      <c r="B591" t="s">
        <v>3804</v>
      </c>
      <c r="C591" t="s">
        <v>136</v>
      </c>
      <c r="D591" t="s">
        <v>2253</v>
      </c>
      <c r="E591" t="s">
        <v>1432</v>
      </c>
      <c r="F591" t="s">
        <v>149</v>
      </c>
      <c r="G591" t="s">
        <v>3805</v>
      </c>
    </row>
    <row r="592" spans="1:7" s="297" customFormat="1" ht="44.25" customHeight="1">
      <c r="A592" t="s">
        <v>3806</v>
      </c>
      <c r="B592" t="s">
        <v>3807</v>
      </c>
      <c r="C592" t="s">
        <v>136</v>
      </c>
      <c r="D592" t="s">
        <v>2253</v>
      </c>
      <c r="E592" t="s">
        <v>1430</v>
      </c>
      <c r="F592" t="s">
        <v>149</v>
      </c>
      <c r="G592" t="s">
        <v>3808</v>
      </c>
    </row>
    <row r="593" spans="1:7" s="297" customFormat="1" ht="44.25" customHeight="1">
      <c r="A593" t="s">
        <v>3809</v>
      </c>
      <c r="B593" t="s">
        <v>3810</v>
      </c>
      <c r="C593" t="s">
        <v>136</v>
      </c>
      <c r="D593" t="s">
        <v>2257</v>
      </c>
      <c r="E593" t="s">
        <v>2276</v>
      </c>
      <c r="F593" t="s">
        <v>149</v>
      </c>
      <c r="G593" t="s">
        <v>3811</v>
      </c>
    </row>
    <row r="594" spans="1:7" s="297" customFormat="1" ht="44.25" customHeight="1">
      <c r="A594" t="s">
        <v>3812</v>
      </c>
      <c r="B594" t="s">
        <v>3813</v>
      </c>
      <c r="C594" t="s">
        <v>136</v>
      </c>
      <c r="D594" t="s">
        <v>2253</v>
      </c>
      <c r="E594" t="s">
        <v>1432</v>
      </c>
      <c r="F594" t="s">
        <v>149</v>
      </c>
      <c r="G594" t="s">
        <v>3814</v>
      </c>
    </row>
    <row r="595" spans="1:7" s="297" customFormat="1" ht="44.25" customHeight="1">
      <c r="A595" t="s">
        <v>3815</v>
      </c>
      <c r="B595" t="s">
        <v>3816</v>
      </c>
      <c r="C595" t="s">
        <v>136</v>
      </c>
      <c r="D595" t="s">
        <v>2253</v>
      </c>
      <c r="E595" t="s">
        <v>1430</v>
      </c>
      <c r="F595" t="s">
        <v>149</v>
      </c>
      <c r="G595" t="s">
        <v>3817</v>
      </c>
    </row>
    <row r="596" spans="1:7" s="297" customFormat="1" ht="44.25" customHeight="1">
      <c r="A596" t="s">
        <v>3818</v>
      </c>
      <c r="B596" t="s">
        <v>3819</v>
      </c>
      <c r="C596" t="s">
        <v>136</v>
      </c>
      <c r="D596" t="s">
        <v>2253</v>
      </c>
      <c r="E596" t="s">
        <v>1430</v>
      </c>
      <c r="F596" t="s">
        <v>149</v>
      </c>
      <c r="G596" t="s">
        <v>3820</v>
      </c>
    </row>
    <row r="597" spans="1:7" s="297" customFormat="1" ht="44.25" customHeight="1">
      <c r="A597" t="s">
        <v>3821</v>
      </c>
      <c r="B597" t="s">
        <v>3822</v>
      </c>
      <c r="C597" t="s">
        <v>136</v>
      </c>
      <c r="D597" t="s">
        <v>2253</v>
      </c>
      <c r="E597" t="s">
        <v>1430</v>
      </c>
      <c r="F597" t="s">
        <v>149</v>
      </c>
      <c r="G597" t="s">
        <v>3823</v>
      </c>
    </row>
    <row r="598" spans="1:7" s="297" customFormat="1" ht="44.25" customHeight="1">
      <c r="A598" t="s">
        <v>3824</v>
      </c>
      <c r="B598" t="s">
        <v>3825</v>
      </c>
      <c r="C598" t="s">
        <v>136</v>
      </c>
      <c r="D598" t="s">
        <v>2253</v>
      </c>
      <c r="E598" t="s">
        <v>1430</v>
      </c>
      <c r="F598" t="s">
        <v>149</v>
      </c>
      <c r="G598" t="s">
        <v>3826</v>
      </c>
    </row>
    <row r="599" spans="1:7" s="297" customFormat="1" ht="44.25" customHeight="1">
      <c r="A599" t="s">
        <v>3827</v>
      </c>
      <c r="B599" t="s">
        <v>3828</v>
      </c>
      <c r="C599" t="s">
        <v>136</v>
      </c>
      <c r="D599" t="s">
        <v>2257</v>
      </c>
      <c r="E599" t="s">
        <v>2276</v>
      </c>
      <c r="F599" t="s">
        <v>149</v>
      </c>
      <c r="G599" t="s">
        <v>3829</v>
      </c>
    </row>
    <row r="600" spans="1:7" s="297" customFormat="1" ht="44.25" customHeight="1">
      <c r="A600" t="s">
        <v>3830</v>
      </c>
      <c r="B600" t="s">
        <v>3831</v>
      </c>
      <c r="C600" t="s">
        <v>136</v>
      </c>
      <c r="D600" t="s">
        <v>79</v>
      </c>
      <c r="E600" t="s">
        <v>3832</v>
      </c>
      <c r="F600" t="s">
        <v>149</v>
      </c>
      <c r="G600" t="s">
        <v>3833</v>
      </c>
    </row>
    <row r="601" spans="1:7" s="297" customFormat="1" ht="44.25" customHeight="1">
      <c r="A601" t="s">
        <v>3834</v>
      </c>
      <c r="B601" t="s">
        <v>3835</v>
      </c>
      <c r="C601" t="s">
        <v>136</v>
      </c>
      <c r="D601" t="s">
        <v>2253</v>
      </c>
      <c r="E601" t="s">
        <v>1432</v>
      </c>
      <c r="F601" t="s">
        <v>149</v>
      </c>
      <c r="G601" t="s">
        <v>3836</v>
      </c>
    </row>
    <row r="602" spans="1:7" s="297" customFormat="1" ht="44.25" customHeight="1">
      <c r="A602" t="s">
        <v>3837</v>
      </c>
      <c r="B602" t="s">
        <v>3838</v>
      </c>
      <c r="C602" t="s">
        <v>136</v>
      </c>
      <c r="D602" t="s">
        <v>2253</v>
      </c>
      <c r="E602" t="s">
        <v>1432</v>
      </c>
      <c r="F602" t="s">
        <v>149</v>
      </c>
      <c r="G602" t="s">
        <v>3839</v>
      </c>
    </row>
    <row r="603" spans="1:7" s="297" customFormat="1" ht="44.25" customHeight="1">
      <c r="A603" t="s">
        <v>3840</v>
      </c>
      <c r="B603" t="s">
        <v>3841</v>
      </c>
      <c r="C603" t="s">
        <v>136</v>
      </c>
      <c r="D603" t="s">
        <v>2253</v>
      </c>
      <c r="E603" t="s">
        <v>1430</v>
      </c>
      <c r="F603" t="s">
        <v>149</v>
      </c>
      <c r="G603" t="s">
        <v>3842</v>
      </c>
    </row>
    <row r="604" spans="1:7" s="297" customFormat="1" ht="44.25" customHeight="1">
      <c r="A604" t="s">
        <v>3843</v>
      </c>
      <c r="B604" t="s">
        <v>3844</v>
      </c>
      <c r="C604" t="s">
        <v>136</v>
      </c>
      <c r="D604" t="s">
        <v>2253</v>
      </c>
      <c r="E604" t="s">
        <v>1430</v>
      </c>
      <c r="F604" t="s">
        <v>149</v>
      </c>
      <c r="G604" t="s">
        <v>3845</v>
      </c>
    </row>
    <row r="605" spans="1:7" s="297" customFormat="1" ht="44.25" customHeight="1">
      <c r="A605" t="s">
        <v>3846</v>
      </c>
      <c r="B605" t="s">
        <v>3847</v>
      </c>
      <c r="C605" t="s">
        <v>136</v>
      </c>
      <c r="D605" t="s">
        <v>2257</v>
      </c>
      <c r="E605" t="s">
        <v>2258</v>
      </c>
      <c r="F605" t="s">
        <v>149</v>
      </c>
      <c r="G605" t="s">
        <v>3848</v>
      </c>
    </row>
    <row r="606" spans="1:7" s="297" customFormat="1" ht="44.25" customHeight="1">
      <c r="A606" t="s">
        <v>3849</v>
      </c>
      <c r="B606" t="s">
        <v>3850</v>
      </c>
      <c r="C606" t="s">
        <v>136</v>
      </c>
      <c r="D606" t="s">
        <v>2257</v>
      </c>
      <c r="E606" t="s">
        <v>2276</v>
      </c>
      <c r="F606" t="s">
        <v>149</v>
      </c>
      <c r="G606" t="s">
        <v>3851</v>
      </c>
    </row>
    <row r="607" spans="1:7" s="297" customFormat="1" ht="44.25" customHeight="1">
      <c r="A607" t="s">
        <v>3852</v>
      </c>
      <c r="B607" t="s">
        <v>3853</v>
      </c>
      <c r="C607" t="s">
        <v>136</v>
      </c>
      <c r="D607" t="s">
        <v>2253</v>
      </c>
      <c r="E607" t="s">
        <v>1430</v>
      </c>
      <c r="F607" t="s">
        <v>149</v>
      </c>
      <c r="G607" t="s">
        <v>3854</v>
      </c>
    </row>
    <row r="608" spans="1:7" s="297" customFormat="1" ht="44.25" customHeight="1">
      <c r="A608" t="s">
        <v>3855</v>
      </c>
      <c r="B608" t="s">
        <v>3856</v>
      </c>
      <c r="C608" t="s">
        <v>136</v>
      </c>
      <c r="D608" t="s">
        <v>2257</v>
      </c>
      <c r="E608" t="s">
        <v>2276</v>
      </c>
      <c r="F608" t="s">
        <v>149</v>
      </c>
      <c r="G608" t="s">
        <v>3857</v>
      </c>
    </row>
    <row r="609" spans="1:7" s="297" customFormat="1" ht="44.25" customHeight="1">
      <c r="A609" t="s">
        <v>3858</v>
      </c>
      <c r="B609" t="s">
        <v>3859</v>
      </c>
      <c r="C609" t="s">
        <v>136</v>
      </c>
      <c r="D609" t="s">
        <v>2253</v>
      </c>
      <c r="E609" t="s">
        <v>1430</v>
      </c>
      <c r="F609" t="s">
        <v>149</v>
      </c>
      <c r="G609" t="s">
        <v>3860</v>
      </c>
    </row>
    <row r="610" spans="1:7" s="297" customFormat="1" ht="44.25" customHeight="1">
      <c r="A610" t="s">
        <v>3861</v>
      </c>
      <c r="B610" t="s">
        <v>3862</v>
      </c>
      <c r="C610" t="s">
        <v>136</v>
      </c>
      <c r="D610" t="s">
        <v>2253</v>
      </c>
      <c r="E610" t="s">
        <v>1430</v>
      </c>
      <c r="F610" t="s">
        <v>149</v>
      </c>
      <c r="G610" t="s">
        <v>3863</v>
      </c>
    </row>
    <row r="611" spans="1:7" s="297" customFormat="1" ht="44.25" customHeight="1">
      <c r="A611" t="s">
        <v>3864</v>
      </c>
      <c r="B611" t="s">
        <v>3865</v>
      </c>
      <c r="C611" t="s">
        <v>136</v>
      </c>
      <c r="D611" t="s">
        <v>2253</v>
      </c>
      <c r="E611" t="s">
        <v>1430</v>
      </c>
      <c r="F611" t="s">
        <v>149</v>
      </c>
      <c r="G611" t="s">
        <v>3866</v>
      </c>
    </row>
    <row r="612" spans="1:7" s="297" customFormat="1" ht="44.25" customHeight="1">
      <c r="A612" t="s">
        <v>3867</v>
      </c>
      <c r="B612" t="s">
        <v>3868</v>
      </c>
      <c r="C612" t="s">
        <v>136</v>
      </c>
      <c r="D612" t="s">
        <v>2257</v>
      </c>
      <c r="E612" t="s">
        <v>2276</v>
      </c>
      <c r="F612" t="s">
        <v>149</v>
      </c>
      <c r="G612" t="s">
        <v>3869</v>
      </c>
    </row>
    <row r="613" spans="1:7" s="297" customFormat="1" ht="44.25" customHeight="1">
      <c r="A613" t="s">
        <v>3870</v>
      </c>
      <c r="B613" t="s">
        <v>3871</v>
      </c>
      <c r="C613" t="s">
        <v>136</v>
      </c>
      <c r="D613" t="s">
        <v>2253</v>
      </c>
      <c r="E613" t="s">
        <v>1430</v>
      </c>
      <c r="F613" t="s">
        <v>149</v>
      </c>
      <c r="G613" t="s">
        <v>3872</v>
      </c>
    </row>
    <row r="614" spans="1:7" s="297" customFormat="1" ht="44.25" customHeight="1">
      <c r="A614" t="s">
        <v>3873</v>
      </c>
      <c r="B614" t="s">
        <v>3874</v>
      </c>
      <c r="C614" t="s">
        <v>136</v>
      </c>
      <c r="D614" t="s">
        <v>2253</v>
      </c>
      <c r="E614" t="s">
        <v>1432</v>
      </c>
      <c r="F614" t="s">
        <v>149</v>
      </c>
      <c r="G614" t="s">
        <v>3875</v>
      </c>
    </row>
    <row r="615" spans="1:7" s="297" customFormat="1" ht="44.25" customHeight="1">
      <c r="A615" t="s">
        <v>3876</v>
      </c>
      <c r="B615" t="s">
        <v>3877</v>
      </c>
      <c r="C615" t="s">
        <v>136</v>
      </c>
      <c r="D615" t="s">
        <v>2253</v>
      </c>
      <c r="E615" t="s">
        <v>1430</v>
      </c>
      <c r="F615" t="s">
        <v>149</v>
      </c>
      <c r="G615" t="s">
        <v>3878</v>
      </c>
    </row>
    <row r="616" spans="1:7" s="297" customFormat="1" ht="44.25" customHeight="1">
      <c r="A616" t="s">
        <v>3879</v>
      </c>
      <c r="B616" t="s">
        <v>3880</v>
      </c>
      <c r="C616" t="s">
        <v>136</v>
      </c>
      <c r="D616" t="s">
        <v>2253</v>
      </c>
      <c r="E616" t="s">
        <v>1432</v>
      </c>
      <c r="F616" t="s">
        <v>149</v>
      </c>
      <c r="G616" t="s">
        <v>3881</v>
      </c>
    </row>
    <row r="617" spans="1:7" s="297" customFormat="1" ht="44.25" customHeight="1">
      <c r="A617" t="s">
        <v>3882</v>
      </c>
      <c r="B617" t="s">
        <v>3883</v>
      </c>
      <c r="C617" t="s">
        <v>136</v>
      </c>
      <c r="D617" t="s">
        <v>2253</v>
      </c>
      <c r="E617" t="s">
        <v>1432</v>
      </c>
      <c r="F617" t="s">
        <v>149</v>
      </c>
      <c r="G617" t="s">
        <v>3884</v>
      </c>
    </row>
    <row r="618" spans="1:7" s="297" customFormat="1" ht="44.25" customHeight="1">
      <c r="A618" t="s">
        <v>3885</v>
      </c>
      <c r="B618" t="s">
        <v>3886</v>
      </c>
      <c r="C618" t="s">
        <v>136</v>
      </c>
      <c r="D618" t="s">
        <v>2253</v>
      </c>
      <c r="E618" t="s">
        <v>1432</v>
      </c>
      <c r="F618" t="s">
        <v>149</v>
      </c>
      <c r="G618" t="s">
        <v>3887</v>
      </c>
    </row>
    <row r="619" spans="1:7" s="297" customFormat="1" ht="44.25" customHeight="1">
      <c r="A619" t="s">
        <v>2586</v>
      </c>
      <c r="B619" t="s">
        <v>3888</v>
      </c>
      <c r="C619" t="s">
        <v>136</v>
      </c>
      <c r="D619" t="s">
        <v>2253</v>
      </c>
      <c r="E619" t="s">
        <v>1432</v>
      </c>
      <c r="F619" t="s">
        <v>149</v>
      </c>
      <c r="G619" t="s">
        <v>3889</v>
      </c>
    </row>
    <row r="620" spans="1:7" s="297" customFormat="1" ht="44.25" customHeight="1">
      <c r="A620" t="s">
        <v>3890</v>
      </c>
      <c r="B620" t="s">
        <v>3891</v>
      </c>
      <c r="C620" t="s">
        <v>136</v>
      </c>
      <c r="D620" t="s">
        <v>2253</v>
      </c>
      <c r="E620" t="s">
        <v>1432</v>
      </c>
      <c r="F620" t="s">
        <v>149</v>
      </c>
      <c r="G620" t="s">
        <v>3892</v>
      </c>
    </row>
    <row r="621" spans="1:7" s="297" customFormat="1" ht="44.25" customHeight="1">
      <c r="A621" t="s">
        <v>3893</v>
      </c>
      <c r="B621" t="s">
        <v>3894</v>
      </c>
      <c r="C621" t="s">
        <v>136</v>
      </c>
      <c r="D621" t="s">
        <v>2253</v>
      </c>
      <c r="E621" t="s">
        <v>1432</v>
      </c>
      <c r="F621" t="s">
        <v>149</v>
      </c>
      <c r="G621" t="s">
        <v>3895</v>
      </c>
    </row>
    <row r="622" spans="1:7" s="297" customFormat="1" ht="44.25" customHeight="1">
      <c r="A622" t="s">
        <v>3896</v>
      </c>
      <c r="B622" t="s">
        <v>3897</v>
      </c>
      <c r="C622" t="s">
        <v>136</v>
      </c>
      <c r="D622" t="s">
        <v>2257</v>
      </c>
      <c r="E622" t="s">
        <v>1430</v>
      </c>
      <c r="F622" t="s">
        <v>149</v>
      </c>
      <c r="G622" t="s">
        <v>3898</v>
      </c>
    </row>
    <row r="623" spans="1:7" s="297" customFormat="1" ht="44.25" customHeight="1">
      <c r="A623" t="s">
        <v>3899</v>
      </c>
      <c r="B623" t="s">
        <v>3900</v>
      </c>
      <c r="C623" t="s">
        <v>136</v>
      </c>
      <c r="D623" t="s">
        <v>2253</v>
      </c>
      <c r="E623" t="s">
        <v>1430</v>
      </c>
      <c r="F623" t="s">
        <v>149</v>
      </c>
      <c r="G623" t="s">
        <v>3901</v>
      </c>
    </row>
    <row r="624" spans="1:7" s="297" customFormat="1" ht="44.25" customHeight="1">
      <c r="A624" t="s">
        <v>3902</v>
      </c>
      <c r="B624" t="s">
        <v>3903</v>
      </c>
      <c r="C624" t="s">
        <v>136</v>
      </c>
      <c r="D624" t="s">
        <v>2253</v>
      </c>
      <c r="E624" t="s">
        <v>1430</v>
      </c>
      <c r="F624" t="s">
        <v>149</v>
      </c>
      <c r="G624" t="s">
        <v>3904</v>
      </c>
    </row>
    <row r="625" spans="1:7" s="297" customFormat="1" ht="44.25" customHeight="1">
      <c r="A625" t="s">
        <v>3905</v>
      </c>
      <c r="B625" t="s">
        <v>3906</v>
      </c>
      <c r="C625" t="s">
        <v>136</v>
      </c>
      <c r="D625" t="s">
        <v>2257</v>
      </c>
      <c r="E625" t="s">
        <v>3759</v>
      </c>
      <c r="F625" t="s">
        <v>149</v>
      </c>
      <c r="G625" t="s">
        <v>3907</v>
      </c>
    </row>
    <row r="626" spans="1:7" s="297" customFormat="1" ht="44.25" customHeight="1">
      <c r="A626" t="s">
        <v>3908</v>
      </c>
      <c r="B626" t="s">
        <v>3909</v>
      </c>
      <c r="C626" t="s">
        <v>136</v>
      </c>
      <c r="D626" t="s">
        <v>79</v>
      </c>
      <c r="E626" t="s">
        <v>3910</v>
      </c>
      <c r="F626" t="s">
        <v>149</v>
      </c>
      <c r="G626" t="s">
        <v>3911</v>
      </c>
    </row>
    <row r="627" spans="1:7" s="297" customFormat="1" ht="44.25" customHeight="1">
      <c r="A627" t="s">
        <v>3912</v>
      </c>
      <c r="B627" t="s">
        <v>3913</v>
      </c>
      <c r="C627" t="s">
        <v>136</v>
      </c>
      <c r="D627" t="s">
        <v>2253</v>
      </c>
      <c r="E627" t="s">
        <v>1430</v>
      </c>
      <c r="F627" t="s">
        <v>149</v>
      </c>
      <c r="G627" t="s">
        <v>3914</v>
      </c>
    </row>
    <row r="628" spans="1:7" s="297" customFormat="1" ht="44.25" customHeight="1">
      <c r="A628" t="s">
        <v>3915</v>
      </c>
      <c r="B628" t="s">
        <v>3916</v>
      </c>
      <c r="C628" t="s">
        <v>136</v>
      </c>
      <c r="D628" t="s">
        <v>2253</v>
      </c>
      <c r="E628" t="s">
        <v>1430</v>
      </c>
      <c r="F628" t="s">
        <v>149</v>
      </c>
      <c r="G628" t="s">
        <v>3917</v>
      </c>
    </row>
    <row r="629" spans="1:7" s="297" customFormat="1" ht="44.25" customHeight="1">
      <c r="A629" t="s">
        <v>3918</v>
      </c>
      <c r="B629" t="s">
        <v>3919</v>
      </c>
      <c r="C629" t="s">
        <v>136</v>
      </c>
      <c r="D629" t="s">
        <v>79</v>
      </c>
      <c r="E629" t="s">
        <v>3910</v>
      </c>
      <c r="F629" t="s">
        <v>149</v>
      </c>
      <c r="G629" t="s">
        <v>3920</v>
      </c>
    </row>
    <row r="630" spans="1:7" s="297" customFormat="1" ht="44.25" customHeight="1">
      <c r="A630" t="s">
        <v>3921</v>
      </c>
      <c r="B630" t="s">
        <v>3922</v>
      </c>
      <c r="C630" t="s">
        <v>136</v>
      </c>
      <c r="D630" t="s">
        <v>2253</v>
      </c>
      <c r="E630" t="s">
        <v>1432</v>
      </c>
      <c r="F630" t="s">
        <v>149</v>
      </c>
      <c r="G630" t="s">
        <v>3923</v>
      </c>
    </row>
    <row r="631" spans="1:7" s="297" customFormat="1" ht="44.25" customHeight="1">
      <c r="A631" t="s">
        <v>3924</v>
      </c>
      <c r="B631" t="s">
        <v>3925</v>
      </c>
      <c r="C631" t="s">
        <v>136</v>
      </c>
      <c r="D631" t="s">
        <v>2253</v>
      </c>
      <c r="E631" t="s">
        <v>1432</v>
      </c>
      <c r="F631" t="s">
        <v>149</v>
      </c>
      <c r="G631" t="s">
        <v>3926</v>
      </c>
    </row>
    <row r="632" spans="1:7" s="297" customFormat="1" ht="44.25" customHeight="1">
      <c r="A632" t="s">
        <v>3927</v>
      </c>
      <c r="B632" t="s">
        <v>3928</v>
      </c>
      <c r="C632" t="s">
        <v>136</v>
      </c>
      <c r="D632" t="s">
        <v>79</v>
      </c>
      <c r="E632" t="s">
        <v>3929</v>
      </c>
      <c r="F632" t="s">
        <v>149</v>
      </c>
      <c r="G632" t="s">
        <v>3930</v>
      </c>
    </row>
    <row r="633" spans="1:7" s="297" customFormat="1" ht="44.25" customHeight="1">
      <c r="A633" t="s">
        <v>3931</v>
      </c>
      <c r="B633" t="s">
        <v>3932</v>
      </c>
      <c r="C633" t="s">
        <v>136</v>
      </c>
      <c r="D633" t="s">
        <v>2257</v>
      </c>
      <c r="E633" t="s">
        <v>2276</v>
      </c>
      <c r="F633" t="s">
        <v>149</v>
      </c>
      <c r="G633" t="s">
        <v>3933</v>
      </c>
    </row>
    <row r="634" spans="1:7" s="297" customFormat="1" ht="44.25" customHeight="1">
      <c r="A634" t="s">
        <v>3934</v>
      </c>
      <c r="B634" t="s">
        <v>3935</v>
      </c>
      <c r="C634" t="s">
        <v>136</v>
      </c>
      <c r="D634" t="s">
        <v>2253</v>
      </c>
      <c r="E634" t="s">
        <v>1432</v>
      </c>
      <c r="F634" t="s">
        <v>149</v>
      </c>
      <c r="G634" t="s">
        <v>3936</v>
      </c>
    </row>
    <row r="635" spans="1:7" s="297" customFormat="1" ht="44.25" customHeight="1">
      <c r="A635" t="s">
        <v>3937</v>
      </c>
      <c r="B635" t="s">
        <v>3938</v>
      </c>
      <c r="C635" t="s">
        <v>136</v>
      </c>
      <c r="D635" t="s">
        <v>2253</v>
      </c>
      <c r="E635" t="s">
        <v>1432</v>
      </c>
      <c r="F635" t="s">
        <v>149</v>
      </c>
      <c r="G635" t="s">
        <v>3939</v>
      </c>
    </row>
    <row r="636" spans="1:7" s="297" customFormat="1" ht="44.25" customHeight="1">
      <c r="A636" t="s">
        <v>3940</v>
      </c>
      <c r="B636" t="s">
        <v>3941</v>
      </c>
      <c r="C636" t="s">
        <v>136</v>
      </c>
      <c r="D636" t="s">
        <v>2253</v>
      </c>
      <c r="E636" t="s">
        <v>1432</v>
      </c>
      <c r="F636" t="s">
        <v>149</v>
      </c>
      <c r="G636" t="s">
        <v>3942</v>
      </c>
    </row>
    <row r="637" spans="1:7" s="297" customFormat="1" ht="44.25" customHeight="1">
      <c r="A637" t="s">
        <v>3943</v>
      </c>
      <c r="B637" t="s">
        <v>3944</v>
      </c>
      <c r="C637" t="s">
        <v>136</v>
      </c>
      <c r="D637" t="s">
        <v>2257</v>
      </c>
      <c r="E637" t="s">
        <v>2276</v>
      </c>
      <c r="F637" t="s">
        <v>149</v>
      </c>
      <c r="G637" t="s">
        <v>3945</v>
      </c>
    </row>
    <row r="638" spans="1:7" s="297" customFormat="1" ht="44.25" customHeight="1">
      <c r="A638" t="s">
        <v>3946</v>
      </c>
      <c r="B638" t="s">
        <v>3947</v>
      </c>
      <c r="C638" t="s">
        <v>136</v>
      </c>
      <c r="D638" t="s">
        <v>2257</v>
      </c>
      <c r="E638" t="s">
        <v>2276</v>
      </c>
      <c r="F638" t="s">
        <v>149</v>
      </c>
      <c r="G638" t="s">
        <v>3948</v>
      </c>
    </row>
    <row r="639" spans="1:7" s="297" customFormat="1" ht="44.25" customHeight="1">
      <c r="A639" t="s">
        <v>3949</v>
      </c>
      <c r="B639" t="s">
        <v>3950</v>
      </c>
      <c r="C639" t="s">
        <v>136</v>
      </c>
      <c r="D639" t="s">
        <v>2257</v>
      </c>
      <c r="E639" t="s">
        <v>2276</v>
      </c>
      <c r="F639" t="s">
        <v>149</v>
      </c>
      <c r="G639" t="s">
        <v>3951</v>
      </c>
    </row>
    <row r="640" spans="1:7" s="297" customFormat="1" ht="44.25" customHeight="1">
      <c r="A640" t="s">
        <v>3952</v>
      </c>
      <c r="B640" t="s">
        <v>3953</v>
      </c>
      <c r="C640" t="s">
        <v>136</v>
      </c>
      <c r="D640" t="s">
        <v>79</v>
      </c>
      <c r="E640" t="s">
        <v>3954</v>
      </c>
      <c r="F640" t="s">
        <v>149</v>
      </c>
      <c r="G640" t="s">
        <v>3955</v>
      </c>
    </row>
    <row r="641" spans="1:7" s="297" customFormat="1" ht="44.25" customHeight="1">
      <c r="A641" t="s">
        <v>3956</v>
      </c>
      <c r="B641" t="s">
        <v>3957</v>
      </c>
      <c r="C641" t="s">
        <v>136</v>
      </c>
      <c r="D641" t="s">
        <v>79</v>
      </c>
      <c r="E641" t="s">
        <v>3958</v>
      </c>
      <c r="F641" t="s">
        <v>149</v>
      </c>
      <c r="G641" t="s">
        <v>3959</v>
      </c>
    </row>
    <row r="642" spans="1:7" s="297" customFormat="1" ht="44.25" customHeight="1">
      <c r="A642" t="s">
        <v>3960</v>
      </c>
      <c r="B642" t="s">
        <v>3961</v>
      </c>
      <c r="C642" t="s">
        <v>136</v>
      </c>
      <c r="D642" t="s">
        <v>79</v>
      </c>
      <c r="E642" t="s">
        <v>3962</v>
      </c>
      <c r="F642" t="s">
        <v>149</v>
      </c>
      <c r="G642" t="s">
        <v>3963</v>
      </c>
    </row>
    <row r="643" spans="1:7" s="297" customFormat="1" ht="44.25" customHeight="1">
      <c r="A643" t="s">
        <v>3964</v>
      </c>
      <c r="B643" t="s">
        <v>3965</v>
      </c>
      <c r="C643" t="s">
        <v>136</v>
      </c>
      <c r="D643" t="s">
        <v>2253</v>
      </c>
      <c r="E643" t="s">
        <v>1430</v>
      </c>
      <c r="F643" t="s">
        <v>149</v>
      </c>
      <c r="G643" t="s">
        <v>3966</v>
      </c>
    </row>
    <row r="644" spans="1:7" s="297" customFormat="1" ht="44.25" customHeight="1">
      <c r="A644" t="s">
        <v>3967</v>
      </c>
      <c r="B644" t="s">
        <v>3968</v>
      </c>
      <c r="C644" t="s">
        <v>136</v>
      </c>
      <c r="D644" t="s">
        <v>2253</v>
      </c>
      <c r="E644" t="s">
        <v>1432</v>
      </c>
      <c r="F644" t="s">
        <v>149</v>
      </c>
      <c r="G644" t="s">
        <v>3969</v>
      </c>
    </row>
    <row r="645" spans="1:7" s="297" customFormat="1" ht="44.25" customHeight="1">
      <c r="A645" t="s">
        <v>3970</v>
      </c>
      <c r="B645" t="s">
        <v>3971</v>
      </c>
      <c r="C645" t="s">
        <v>136</v>
      </c>
      <c r="D645" t="s">
        <v>2253</v>
      </c>
      <c r="E645" t="s">
        <v>1432</v>
      </c>
      <c r="F645" t="s">
        <v>149</v>
      </c>
      <c r="G645" t="s">
        <v>3972</v>
      </c>
    </row>
    <row r="646" spans="1:7" s="297" customFormat="1" ht="44.25" customHeight="1">
      <c r="A646" t="s">
        <v>3973</v>
      </c>
      <c r="B646" t="s">
        <v>3974</v>
      </c>
      <c r="C646" t="s">
        <v>136</v>
      </c>
      <c r="D646" t="s">
        <v>79</v>
      </c>
      <c r="E646" t="s">
        <v>3975</v>
      </c>
      <c r="F646" t="s">
        <v>149</v>
      </c>
      <c r="G646" t="s">
        <v>3976</v>
      </c>
    </row>
    <row r="647" spans="1:7" s="297" customFormat="1" ht="44.25" customHeight="1">
      <c r="A647" t="s">
        <v>3977</v>
      </c>
      <c r="B647" t="s">
        <v>3978</v>
      </c>
      <c r="C647" t="s">
        <v>136</v>
      </c>
      <c r="D647" t="s">
        <v>2257</v>
      </c>
      <c r="E647" t="s">
        <v>2276</v>
      </c>
      <c r="F647" t="s">
        <v>149</v>
      </c>
      <c r="G647" t="s">
        <v>3979</v>
      </c>
    </row>
    <row r="648" spans="1:7" s="297" customFormat="1" ht="44.25" customHeight="1">
      <c r="A648" t="s">
        <v>3980</v>
      </c>
      <c r="B648" t="s">
        <v>3981</v>
      </c>
      <c r="C648" t="s">
        <v>136</v>
      </c>
      <c r="D648" t="s">
        <v>2257</v>
      </c>
      <c r="E648" t="s">
        <v>2276</v>
      </c>
      <c r="F648" t="s">
        <v>149</v>
      </c>
      <c r="G648" t="s">
        <v>3982</v>
      </c>
    </row>
    <row r="649" spans="1:7" s="297" customFormat="1" ht="44.25" customHeight="1">
      <c r="A649" t="s">
        <v>3983</v>
      </c>
      <c r="B649" t="s">
        <v>3984</v>
      </c>
      <c r="C649" t="s">
        <v>136</v>
      </c>
      <c r="D649" t="s">
        <v>2253</v>
      </c>
      <c r="E649" t="s">
        <v>1432</v>
      </c>
      <c r="F649" t="s">
        <v>149</v>
      </c>
      <c r="G649" t="s">
        <v>3985</v>
      </c>
    </row>
    <row r="650" spans="1:7" s="297" customFormat="1" ht="44.25" customHeight="1">
      <c r="A650" t="s">
        <v>3986</v>
      </c>
      <c r="B650" t="s">
        <v>3987</v>
      </c>
      <c r="C650" t="s">
        <v>136</v>
      </c>
      <c r="D650" t="s">
        <v>2253</v>
      </c>
      <c r="E650" t="s">
        <v>1432</v>
      </c>
      <c r="F650" t="s">
        <v>149</v>
      </c>
      <c r="G650" t="s">
        <v>3988</v>
      </c>
    </row>
    <row r="651" spans="1:7" s="297" customFormat="1" ht="44.25" customHeight="1">
      <c r="A651" t="s">
        <v>3989</v>
      </c>
      <c r="B651" t="s">
        <v>3990</v>
      </c>
      <c r="C651" t="s">
        <v>136</v>
      </c>
      <c r="D651" t="s">
        <v>2253</v>
      </c>
      <c r="E651" t="s">
        <v>1432</v>
      </c>
      <c r="F651" t="s">
        <v>149</v>
      </c>
      <c r="G651" t="s">
        <v>3991</v>
      </c>
    </row>
    <row r="652" spans="1:7" s="297" customFormat="1" ht="44.25" customHeight="1">
      <c r="A652" t="s">
        <v>3992</v>
      </c>
      <c r="B652" t="s">
        <v>3993</v>
      </c>
      <c r="C652" t="s">
        <v>136</v>
      </c>
      <c r="D652" t="s">
        <v>2253</v>
      </c>
      <c r="E652" t="s">
        <v>1432</v>
      </c>
      <c r="F652" t="s">
        <v>149</v>
      </c>
      <c r="G652" t="s">
        <v>3994</v>
      </c>
    </row>
    <row r="653" spans="1:7" s="297" customFormat="1" ht="44.25" customHeight="1">
      <c r="A653" t="s">
        <v>3995</v>
      </c>
      <c r="B653" t="s">
        <v>3996</v>
      </c>
      <c r="C653" t="s">
        <v>136</v>
      </c>
      <c r="D653" t="s">
        <v>2253</v>
      </c>
      <c r="E653" t="s">
        <v>1432</v>
      </c>
      <c r="F653" t="s">
        <v>149</v>
      </c>
      <c r="G653" t="s">
        <v>3997</v>
      </c>
    </row>
    <row r="654" spans="1:7" s="297" customFormat="1" ht="44.25" customHeight="1">
      <c r="A654" t="s">
        <v>3998</v>
      </c>
      <c r="B654" t="s">
        <v>3999</v>
      </c>
      <c r="C654" t="s">
        <v>136</v>
      </c>
      <c r="D654" t="s">
        <v>2253</v>
      </c>
      <c r="E654" t="s">
        <v>1432</v>
      </c>
      <c r="F654" t="s">
        <v>149</v>
      </c>
      <c r="G654" t="s">
        <v>4000</v>
      </c>
    </row>
    <row r="655" spans="1:7" s="297" customFormat="1" ht="44.25" customHeight="1">
      <c r="A655" t="s">
        <v>4001</v>
      </c>
      <c r="B655" t="s">
        <v>4002</v>
      </c>
      <c r="C655" t="s">
        <v>136</v>
      </c>
      <c r="D655" t="s">
        <v>2257</v>
      </c>
      <c r="E655" t="s">
        <v>2265</v>
      </c>
      <c r="F655" t="s">
        <v>149</v>
      </c>
      <c r="G655" t="s">
        <v>4003</v>
      </c>
    </row>
    <row r="656" spans="1:7" s="297" customFormat="1" ht="44.25" customHeight="1">
      <c r="A656" t="s">
        <v>4004</v>
      </c>
      <c r="B656" t="s">
        <v>4005</v>
      </c>
      <c r="C656" t="s">
        <v>136</v>
      </c>
      <c r="D656" t="s">
        <v>2253</v>
      </c>
      <c r="E656" t="s">
        <v>1432</v>
      </c>
      <c r="F656" t="s">
        <v>149</v>
      </c>
      <c r="G656" t="s">
        <v>4006</v>
      </c>
    </row>
    <row r="657" spans="1:7" s="297" customFormat="1" ht="44.25" customHeight="1">
      <c r="A657" t="s">
        <v>4007</v>
      </c>
      <c r="B657" t="s">
        <v>4008</v>
      </c>
      <c r="C657" t="s">
        <v>136</v>
      </c>
      <c r="D657" t="s">
        <v>2253</v>
      </c>
      <c r="E657" t="s">
        <v>1432</v>
      </c>
      <c r="F657" t="s">
        <v>149</v>
      </c>
      <c r="G657" t="s">
        <v>4009</v>
      </c>
    </row>
    <row r="658" spans="1:7" s="297" customFormat="1" ht="44.25" customHeight="1">
      <c r="A658" t="s">
        <v>4010</v>
      </c>
      <c r="B658" t="s">
        <v>4011</v>
      </c>
      <c r="C658" t="s">
        <v>136</v>
      </c>
      <c r="D658" t="s">
        <v>2257</v>
      </c>
      <c r="E658" t="s">
        <v>1430</v>
      </c>
      <c r="F658" t="s">
        <v>149</v>
      </c>
      <c r="G658" t="s">
        <v>4012</v>
      </c>
    </row>
    <row r="659" spans="1:7" s="297" customFormat="1" ht="44.25" customHeight="1">
      <c r="A659" t="s">
        <v>4013</v>
      </c>
      <c r="B659" t="s">
        <v>4014</v>
      </c>
      <c r="C659" t="s">
        <v>136</v>
      </c>
      <c r="D659" t="s">
        <v>2257</v>
      </c>
      <c r="E659" t="s">
        <v>2276</v>
      </c>
      <c r="F659" t="s">
        <v>149</v>
      </c>
      <c r="G659" t="s">
        <v>4015</v>
      </c>
    </row>
    <row r="660" spans="1:7" s="297" customFormat="1" ht="44.25" customHeight="1">
      <c r="A660" t="s">
        <v>4016</v>
      </c>
      <c r="B660" t="s">
        <v>4017</v>
      </c>
      <c r="C660" t="s">
        <v>136</v>
      </c>
      <c r="D660" t="s">
        <v>2253</v>
      </c>
      <c r="E660" t="s">
        <v>1430</v>
      </c>
      <c r="F660" t="s">
        <v>149</v>
      </c>
      <c r="G660" t="s">
        <v>4018</v>
      </c>
    </row>
    <row r="661" spans="1:7" s="297" customFormat="1" ht="44.25" customHeight="1">
      <c r="A661" t="s">
        <v>4019</v>
      </c>
      <c r="B661" t="s">
        <v>4020</v>
      </c>
      <c r="C661" t="s">
        <v>136</v>
      </c>
      <c r="D661" t="s">
        <v>2253</v>
      </c>
      <c r="E661" t="s">
        <v>1432</v>
      </c>
      <c r="F661" t="s">
        <v>149</v>
      </c>
      <c r="G661" t="s">
        <v>4021</v>
      </c>
    </row>
    <row r="662" spans="1:7" s="297" customFormat="1" ht="44.25" customHeight="1">
      <c r="A662" t="s">
        <v>4022</v>
      </c>
      <c r="B662" t="s">
        <v>4023</v>
      </c>
      <c r="C662" t="s">
        <v>136</v>
      </c>
      <c r="D662" t="s">
        <v>2253</v>
      </c>
      <c r="E662" t="s">
        <v>1432</v>
      </c>
      <c r="F662" t="s">
        <v>149</v>
      </c>
      <c r="G662" t="s">
        <v>4024</v>
      </c>
    </row>
    <row r="663" spans="1:7" s="297" customFormat="1" ht="44.25" customHeight="1">
      <c r="A663" t="s">
        <v>4025</v>
      </c>
      <c r="B663" t="s">
        <v>4026</v>
      </c>
      <c r="C663" t="s">
        <v>136</v>
      </c>
      <c r="D663" t="s">
        <v>2253</v>
      </c>
      <c r="E663" t="s">
        <v>1432</v>
      </c>
      <c r="F663" t="s">
        <v>149</v>
      </c>
      <c r="G663" t="s">
        <v>4027</v>
      </c>
    </row>
    <row r="664" spans="1:7" s="297" customFormat="1" ht="44.25" customHeight="1">
      <c r="A664" t="s">
        <v>4028</v>
      </c>
      <c r="B664" t="s">
        <v>4029</v>
      </c>
      <c r="C664" t="s">
        <v>136</v>
      </c>
      <c r="D664" t="s">
        <v>2257</v>
      </c>
      <c r="E664" t="s">
        <v>2276</v>
      </c>
      <c r="F664" t="s">
        <v>149</v>
      </c>
      <c r="G664" t="s">
        <v>4030</v>
      </c>
    </row>
    <row r="665" spans="1:7" s="297" customFormat="1" ht="44.25" customHeight="1">
      <c r="A665" t="s">
        <v>4031</v>
      </c>
      <c r="B665" t="s">
        <v>4032</v>
      </c>
      <c r="C665" t="s">
        <v>136</v>
      </c>
      <c r="D665" t="s">
        <v>2257</v>
      </c>
      <c r="E665" t="s">
        <v>2276</v>
      </c>
      <c r="F665" t="s">
        <v>149</v>
      </c>
      <c r="G665" t="s">
        <v>4033</v>
      </c>
    </row>
    <row r="666" spans="1:7" s="297" customFormat="1" ht="44.25" customHeight="1">
      <c r="A666" t="s">
        <v>4034</v>
      </c>
      <c r="B666" t="s">
        <v>4035</v>
      </c>
      <c r="C666" t="s">
        <v>136</v>
      </c>
      <c r="D666" t="s">
        <v>2253</v>
      </c>
      <c r="E666" t="s">
        <v>1432</v>
      </c>
      <c r="F666" t="s">
        <v>149</v>
      </c>
      <c r="G666" t="s">
        <v>4036</v>
      </c>
    </row>
    <row r="667" spans="1:7" s="297" customFormat="1" ht="44.25" customHeight="1">
      <c r="A667" t="s">
        <v>4037</v>
      </c>
      <c r="B667" t="s">
        <v>4038</v>
      </c>
      <c r="C667" t="s">
        <v>136</v>
      </c>
      <c r="D667" t="s">
        <v>2253</v>
      </c>
      <c r="E667" t="s">
        <v>1432</v>
      </c>
      <c r="F667" t="s">
        <v>149</v>
      </c>
      <c r="G667" t="s">
        <v>4039</v>
      </c>
    </row>
    <row r="668" spans="1:7" s="297" customFormat="1" ht="44.25" customHeight="1">
      <c r="A668" t="s">
        <v>4040</v>
      </c>
      <c r="B668" t="s">
        <v>4041</v>
      </c>
      <c r="C668" t="s">
        <v>136</v>
      </c>
      <c r="D668" t="s">
        <v>2253</v>
      </c>
      <c r="E668" t="s">
        <v>1432</v>
      </c>
      <c r="F668" t="s">
        <v>149</v>
      </c>
      <c r="G668" t="s">
        <v>4042</v>
      </c>
    </row>
    <row r="669" spans="1:7" s="297" customFormat="1" ht="44.25" customHeight="1">
      <c r="A669" t="s">
        <v>4043</v>
      </c>
      <c r="B669" t="s">
        <v>4044</v>
      </c>
      <c r="C669" t="s">
        <v>136</v>
      </c>
      <c r="D669" t="s">
        <v>2257</v>
      </c>
      <c r="E669" t="s">
        <v>2276</v>
      </c>
      <c r="F669" t="s">
        <v>149</v>
      </c>
      <c r="G669" t="s">
        <v>4045</v>
      </c>
    </row>
    <row r="670" spans="1:7" s="297" customFormat="1" ht="44.25" customHeight="1">
      <c r="A670" t="s">
        <v>4046</v>
      </c>
      <c r="B670" t="s">
        <v>4047</v>
      </c>
      <c r="C670" t="s">
        <v>136</v>
      </c>
      <c r="D670" t="s">
        <v>2257</v>
      </c>
      <c r="E670" t="s">
        <v>1432</v>
      </c>
      <c r="F670" t="s">
        <v>149</v>
      </c>
      <c r="G670" t="s">
        <v>4048</v>
      </c>
    </row>
    <row r="671" spans="1:7" s="297" customFormat="1" ht="44.25" customHeight="1">
      <c r="A671" t="s">
        <v>4049</v>
      </c>
      <c r="B671" t="s">
        <v>4050</v>
      </c>
      <c r="C671" t="s">
        <v>136</v>
      </c>
      <c r="D671" t="s">
        <v>2253</v>
      </c>
      <c r="E671" t="s">
        <v>1432</v>
      </c>
      <c r="F671" t="s">
        <v>149</v>
      </c>
      <c r="G671" t="s">
        <v>4051</v>
      </c>
    </row>
    <row r="672" spans="1:7" s="297" customFormat="1" ht="44.25" customHeight="1">
      <c r="A672" t="s">
        <v>4052</v>
      </c>
      <c r="B672" t="s">
        <v>4053</v>
      </c>
      <c r="C672" t="s">
        <v>136</v>
      </c>
      <c r="D672" t="s">
        <v>2253</v>
      </c>
      <c r="E672" t="s">
        <v>1432</v>
      </c>
      <c r="F672" t="s">
        <v>149</v>
      </c>
      <c r="G672" t="s">
        <v>4054</v>
      </c>
    </row>
    <row r="673" spans="1:7" s="297" customFormat="1" ht="44.25" customHeight="1">
      <c r="A673" t="s">
        <v>4055</v>
      </c>
      <c r="B673" t="s">
        <v>4056</v>
      </c>
      <c r="C673" t="s">
        <v>136</v>
      </c>
      <c r="D673" t="s">
        <v>2253</v>
      </c>
      <c r="E673" t="s">
        <v>1432</v>
      </c>
      <c r="F673" t="s">
        <v>149</v>
      </c>
      <c r="G673" t="s">
        <v>4057</v>
      </c>
    </row>
    <row r="674" spans="1:7" s="297" customFormat="1" ht="44.25" customHeight="1">
      <c r="A674" t="s">
        <v>4058</v>
      </c>
      <c r="B674" t="s">
        <v>4059</v>
      </c>
      <c r="C674" t="s">
        <v>136</v>
      </c>
      <c r="D674" t="s">
        <v>2253</v>
      </c>
      <c r="E674" t="s">
        <v>1432</v>
      </c>
      <c r="F674" t="s">
        <v>149</v>
      </c>
      <c r="G674" t="s">
        <v>4060</v>
      </c>
    </row>
    <row r="675" spans="1:7" s="297" customFormat="1" ht="44.25" customHeight="1">
      <c r="A675" t="s">
        <v>4061</v>
      </c>
      <c r="B675" t="s">
        <v>4062</v>
      </c>
      <c r="C675" t="s">
        <v>136</v>
      </c>
      <c r="D675" t="s">
        <v>2253</v>
      </c>
      <c r="E675" t="s">
        <v>1432</v>
      </c>
      <c r="F675" t="s">
        <v>149</v>
      </c>
      <c r="G675" t="s">
        <v>4063</v>
      </c>
    </row>
    <row r="676" spans="1:7" s="297" customFormat="1" ht="44.25" customHeight="1">
      <c r="A676" t="s">
        <v>4064</v>
      </c>
      <c r="B676" t="s">
        <v>4065</v>
      </c>
      <c r="C676" t="s">
        <v>136</v>
      </c>
      <c r="D676" t="s">
        <v>2253</v>
      </c>
      <c r="E676" t="s">
        <v>1432</v>
      </c>
      <c r="F676" t="s">
        <v>149</v>
      </c>
      <c r="G676" t="s">
        <v>4066</v>
      </c>
    </row>
    <row r="677" spans="1:7" s="297" customFormat="1" ht="44.25" customHeight="1">
      <c r="A677" t="s">
        <v>4067</v>
      </c>
      <c r="B677" t="s">
        <v>4068</v>
      </c>
      <c r="C677" t="s">
        <v>136</v>
      </c>
      <c r="D677" t="s">
        <v>2253</v>
      </c>
      <c r="E677" t="s">
        <v>2258</v>
      </c>
      <c r="F677" t="s">
        <v>149</v>
      </c>
      <c r="G677" t="s">
        <v>4069</v>
      </c>
    </row>
    <row r="678" spans="1:7" s="297" customFormat="1" ht="44.25" customHeight="1">
      <c r="A678" t="s">
        <v>4070</v>
      </c>
      <c r="B678" t="s">
        <v>4071</v>
      </c>
      <c r="C678" t="s">
        <v>136</v>
      </c>
      <c r="D678" t="s">
        <v>2253</v>
      </c>
      <c r="E678" t="s">
        <v>1432</v>
      </c>
      <c r="F678" t="s">
        <v>149</v>
      </c>
      <c r="G678" t="s">
        <v>4072</v>
      </c>
    </row>
    <row r="679" spans="1:7" s="297" customFormat="1" ht="44.25" customHeight="1">
      <c r="A679" t="s">
        <v>4073</v>
      </c>
      <c r="B679" t="s">
        <v>4074</v>
      </c>
      <c r="C679" t="s">
        <v>136</v>
      </c>
      <c r="D679" t="s">
        <v>2253</v>
      </c>
      <c r="E679" t="s">
        <v>1432</v>
      </c>
      <c r="F679" t="s">
        <v>149</v>
      </c>
      <c r="G679" t="s">
        <v>4075</v>
      </c>
    </row>
    <row r="680" spans="1:7" s="297" customFormat="1" ht="44.25" customHeight="1">
      <c r="A680" t="s">
        <v>4076</v>
      </c>
      <c r="B680" t="s">
        <v>4077</v>
      </c>
      <c r="C680" t="s">
        <v>136</v>
      </c>
      <c r="D680" t="s">
        <v>2253</v>
      </c>
      <c r="E680" t="s">
        <v>1432</v>
      </c>
      <c r="F680" t="s">
        <v>149</v>
      </c>
      <c r="G680" t="s">
        <v>4078</v>
      </c>
    </row>
    <row r="681" spans="1:7" s="297" customFormat="1" ht="44.25" customHeight="1">
      <c r="A681" t="s">
        <v>4079</v>
      </c>
      <c r="B681" t="s">
        <v>4080</v>
      </c>
      <c r="C681" t="s">
        <v>136</v>
      </c>
      <c r="D681" t="s">
        <v>2253</v>
      </c>
      <c r="E681" t="s">
        <v>1432</v>
      </c>
      <c r="F681" t="s">
        <v>149</v>
      </c>
      <c r="G681" t="s">
        <v>4081</v>
      </c>
    </row>
    <row r="682" spans="1:7" s="297" customFormat="1" ht="44.25" customHeight="1">
      <c r="A682" t="s">
        <v>4082</v>
      </c>
      <c r="B682" t="s">
        <v>4083</v>
      </c>
      <c r="C682" t="s">
        <v>136</v>
      </c>
      <c r="D682" t="s">
        <v>79</v>
      </c>
      <c r="E682" t="s">
        <v>4084</v>
      </c>
      <c r="F682" t="s">
        <v>149</v>
      </c>
      <c r="G682" t="s">
        <v>4085</v>
      </c>
    </row>
    <row r="683" spans="1:7" s="297" customFormat="1" ht="44.25" customHeight="1">
      <c r="A683" t="s">
        <v>4086</v>
      </c>
      <c r="B683" t="s">
        <v>4087</v>
      </c>
      <c r="C683" t="s">
        <v>136</v>
      </c>
      <c r="D683" t="s">
        <v>2253</v>
      </c>
      <c r="E683" t="s">
        <v>1432</v>
      </c>
      <c r="F683" t="s">
        <v>149</v>
      </c>
      <c r="G683" t="s">
        <v>4088</v>
      </c>
    </row>
    <row r="684" spans="1:7" s="297" customFormat="1" ht="44.25" customHeight="1">
      <c r="A684" t="s">
        <v>4089</v>
      </c>
      <c r="B684" t="s">
        <v>4090</v>
      </c>
      <c r="C684" t="s">
        <v>136</v>
      </c>
      <c r="D684" t="s">
        <v>2253</v>
      </c>
      <c r="E684" t="s">
        <v>1430</v>
      </c>
      <c r="F684" t="s">
        <v>149</v>
      </c>
      <c r="G684" t="s">
        <v>4091</v>
      </c>
    </row>
    <row r="685" spans="1:7" s="297" customFormat="1" ht="44.25" customHeight="1">
      <c r="A685" t="s">
        <v>4092</v>
      </c>
      <c r="B685" t="s">
        <v>4093</v>
      </c>
      <c r="C685" t="s">
        <v>136</v>
      </c>
      <c r="D685" t="s">
        <v>2253</v>
      </c>
      <c r="E685" t="s">
        <v>1432</v>
      </c>
      <c r="F685" t="s">
        <v>149</v>
      </c>
      <c r="G685" t="s">
        <v>4094</v>
      </c>
    </row>
    <row r="686" spans="1:7" s="297" customFormat="1" ht="44.25" customHeight="1">
      <c r="A686" t="s">
        <v>4095</v>
      </c>
      <c r="B686" t="s">
        <v>4096</v>
      </c>
      <c r="C686" t="s">
        <v>136</v>
      </c>
      <c r="D686" t="s">
        <v>2257</v>
      </c>
      <c r="E686" t="s">
        <v>2276</v>
      </c>
      <c r="F686" t="s">
        <v>149</v>
      </c>
      <c r="G686" t="s">
        <v>4097</v>
      </c>
    </row>
    <row r="687" spans="1:7" s="297" customFormat="1" ht="44.25" customHeight="1">
      <c r="A687" t="s">
        <v>4098</v>
      </c>
      <c r="B687" t="s">
        <v>4099</v>
      </c>
      <c r="C687" t="s">
        <v>136</v>
      </c>
      <c r="D687" t="s">
        <v>79</v>
      </c>
      <c r="E687" t="s">
        <v>3703</v>
      </c>
      <c r="F687" t="s">
        <v>149</v>
      </c>
      <c r="G687" t="s">
        <v>4100</v>
      </c>
    </row>
    <row r="688" spans="1:7" s="297" customFormat="1" ht="44.25" customHeight="1">
      <c r="A688" t="s">
        <v>4101</v>
      </c>
      <c r="B688" t="s">
        <v>4102</v>
      </c>
      <c r="C688" t="s">
        <v>136</v>
      </c>
      <c r="D688" t="s">
        <v>2257</v>
      </c>
      <c r="E688" t="s">
        <v>2269</v>
      </c>
      <c r="F688" t="s">
        <v>149</v>
      </c>
      <c r="G688" t="s">
        <v>4103</v>
      </c>
    </row>
    <row r="689" spans="1:7" s="297" customFormat="1" ht="44.25" customHeight="1">
      <c r="A689" t="s">
        <v>4104</v>
      </c>
      <c r="B689" t="s">
        <v>4105</v>
      </c>
      <c r="C689" t="s">
        <v>136</v>
      </c>
      <c r="D689" t="s">
        <v>2257</v>
      </c>
      <c r="E689" t="s">
        <v>2276</v>
      </c>
      <c r="F689" t="s">
        <v>149</v>
      </c>
      <c r="G689" t="s">
        <v>4106</v>
      </c>
    </row>
    <row r="690" spans="1:7" s="297" customFormat="1" ht="44.25" customHeight="1">
      <c r="A690" t="s">
        <v>4107</v>
      </c>
      <c r="B690" t="s">
        <v>4108</v>
      </c>
      <c r="C690" t="s">
        <v>136</v>
      </c>
      <c r="D690" t="s">
        <v>2253</v>
      </c>
      <c r="E690" t="s">
        <v>1432</v>
      </c>
      <c r="F690" t="s">
        <v>149</v>
      </c>
      <c r="G690" t="s">
        <v>4109</v>
      </c>
    </row>
    <row r="691" spans="1:7" s="297" customFormat="1" ht="44.25" customHeight="1">
      <c r="A691" t="s">
        <v>4110</v>
      </c>
      <c r="B691" t="s">
        <v>4111</v>
      </c>
      <c r="C691" t="s">
        <v>136</v>
      </c>
      <c r="D691" t="s">
        <v>2253</v>
      </c>
      <c r="E691" t="s">
        <v>2258</v>
      </c>
      <c r="F691" t="s">
        <v>149</v>
      </c>
      <c r="G691" t="s">
        <v>4112</v>
      </c>
    </row>
    <row r="692" spans="1:7" s="297" customFormat="1" ht="44.25" customHeight="1">
      <c r="A692" t="s">
        <v>4113</v>
      </c>
      <c r="B692" t="s">
        <v>4114</v>
      </c>
      <c r="C692" t="s">
        <v>136</v>
      </c>
      <c r="D692" t="s">
        <v>2257</v>
      </c>
      <c r="E692" t="s">
        <v>2276</v>
      </c>
      <c r="F692" t="s">
        <v>149</v>
      </c>
      <c r="G692" t="s">
        <v>4115</v>
      </c>
    </row>
    <row r="693" spans="1:7" s="297" customFormat="1" ht="44.25" customHeight="1">
      <c r="A693" t="s">
        <v>4116</v>
      </c>
      <c r="B693" t="s">
        <v>4117</v>
      </c>
      <c r="C693" t="s">
        <v>136</v>
      </c>
      <c r="D693" t="s">
        <v>2257</v>
      </c>
      <c r="E693" t="s">
        <v>2265</v>
      </c>
      <c r="F693" t="s">
        <v>149</v>
      </c>
      <c r="G693" t="s">
        <v>4118</v>
      </c>
    </row>
    <row r="694" spans="1:7" s="297" customFormat="1" ht="44.25" customHeight="1">
      <c r="A694" t="s">
        <v>4119</v>
      </c>
      <c r="B694" t="s">
        <v>4120</v>
      </c>
      <c r="C694" t="s">
        <v>136</v>
      </c>
      <c r="D694" t="s">
        <v>2253</v>
      </c>
      <c r="E694" t="s">
        <v>1432</v>
      </c>
      <c r="F694" t="s">
        <v>149</v>
      </c>
      <c r="G694" t="s">
        <v>4121</v>
      </c>
    </row>
    <row r="695" spans="1:7" s="297" customFormat="1" ht="44.25" customHeight="1">
      <c r="A695" t="s">
        <v>4122</v>
      </c>
      <c r="B695" t="s">
        <v>4123</v>
      </c>
      <c r="C695" t="s">
        <v>136</v>
      </c>
      <c r="D695" t="s">
        <v>2257</v>
      </c>
      <c r="E695" t="s">
        <v>4124</v>
      </c>
      <c r="F695" t="s">
        <v>149</v>
      </c>
      <c r="G695" t="s">
        <v>4125</v>
      </c>
    </row>
    <row r="696" spans="1:7" s="297" customFormat="1" ht="44.25" customHeight="1">
      <c r="A696" t="s">
        <v>4126</v>
      </c>
      <c r="B696" t="s">
        <v>4127</v>
      </c>
      <c r="C696" t="s">
        <v>136</v>
      </c>
      <c r="D696" t="s">
        <v>2257</v>
      </c>
      <c r="E696" t="s">
        <v>2276</v>
      </c>
      <c r="F696" t="s">
        <v>149</v>
      </c>
      <c r="G696" t="s">
        <v>4128</v>
      </c>
    </row>
    <row r="697" spans="1:7" s="297" customFormat="1" ht="44.25" customHeight="1">
      <c r="A697" t="s">
        <v>4129</v>
      </c>
      <c r="B697" t="s">
        <v>4130</v>
      </c>
      <c r="C697" t="s">
        <v>136</v>
      </c>
      <c r="D697" t="s">
        <v>2253</v>
      </c>
      <c r="E697" t="s">
        <v>1432</v>
      </c>
      <c r="F697" t="s">
        <v>149</v>
      </c>
      <c r="G697" t="s">
        <v>4131</v>
      </c>
    </row>
    <row r="698" spans="1:7" s="297" customFormat="1" ht="44.25" customHeight="1">
      <c r="A698" t="s">
        <v>4132</v>
      </c>
      <c r="B698" t="s">
        <v>4133</v>
      </c>
      <c r="C698" t="s">
        <v>136</v>
      </c>
      <c r="D698" t="s">
        <v>2253</v>
      </c>
      <c r="E698" t="s">
        <v>1432</v>
      </c>
      <c r="F698" t="s">
        <v>149</v>
      </c>
      <c r="G698" t="s">
        <v>4134</v>
      </c>
    </row>
    <row r="699" spans="1:7" s="297" customFormat="1" ht="44.25" customHeight="1">
      <c r="A699" t="s">
        <v>4135</v>
      </c>
      <c r="B699" t="s">
        <v>4136</v>
      </c>
      <c r="C699" t="s">
        <v>136</v>
      </c>
      <c r="D699" t="s">
        <v>2257</v>
      </c>
      <c r="E699" t="s">
        <v>2276</v>
      </c>
      <c r="F699" t="s">
        <v>149</v>
      </c>
      <c r="G699" t="s">
        <v>4137</v>
      </c>
    </row>
    <row r="700" spans="1:7" s="297" customFormat="1" ht="44.25" customHeight="1">
      <c r="A700" t="s">
        <v>4138</v>
      </c>
      <c r="B700" t="s">
        <v>4139</v>
      </c>
      <c r="C700" t="s">
        <v>136</v>
      </c>
      <c r="D700" t="s">
        <v>2253</v>
      </c>
      <c r="E700" t="s">
        <v>1432</v>
      </c>
      <c r="F700" t="s">
        <v>149</v>
      </c>
      <c r="G700" t="s">
        <v>4140</v>
      </c>
    </row>
    <row r="701" spans="1:7" s="297" customFormat="1" ht="44.25" customHeight="1">
      <c r="A701" t="s">
        <v>4141</v>
      </c>
      <c r="B701" t="s">
        <v>4142</v>
      </c>
      <c r="C701" t="s">
        <v>136</v>
      </c>
      <c r="D701" t="s">
        <v>2257</v>
      </c>
      <c r="E701" t="s">
        <v>1430</v>
      </c>
      <c r="F701" t="s">
        <v>149</v>
      </c>
      <c r="G701" t="s">
        <v>4143</v>
      </c>
    </row>
    <row r="702" spans="1:7" s="297" customFormat="1" ht="44.25" customHeight="1">
      <c r="A702" t="s">
        <v>4144</v>
      </c>
      <c r="B702" t="s">
        <v>4145</v>
      </c>
      <c r="C702" t="s">
        <v>136</v>
      </c>
      <c r="D702" t="s">
        <v>2257</v>
      </c>
      <c r="E702" t="s">
        <v>2276</v>
      </c>
      <c r="F702" t="s">
        <v>149</v>
      </c>
      <c r="G702" t="s">
        <v>4146</v>
      </c>
    </row>
    <row r="703" spans="1:7" s="297" customFormat="1" ht="44.25" customHeight="1">
      <c r="A703" t="s">
        <v>4147</v>
      </c>
      <c r="B703" t="s">
        <v>4148</v>
      </c>
      <c r="C703" t="s">
        <v>136</v>
      </c>
      <c r="D703" t="s">
        <v>2253</v>
      </c>
      <c r="E703" t="s">
        <v>1432</v>
      </c>
      <c r="F703" t="s">
        <v>149</v>
      </c>
      <c r="G703" t="s">
        <v>4149</v>
      </c>
    </row>
    <row r="704" spans="1:7" s="297" customFormat="1" ht="44.25" customHeight="1">
      <c r="A704" t="s">
        <v>4150</v>
      </c>
      <c r="B704" t="s">
        <v>4151</v>
      </c>
      <c r="C704" t="s">
        <v>136</v>
      </c>
      <c r="D704" t="s">
        <v>79</v>
      </c>
      <c r="E704" t="s">
        <v>4152</v>
      </c>
      <c r="F704" t="s">
        <v>149</v>
      </c>
      <c r="G704" t="s">
        <v>4153</v>
      </c>
    </row>
    <row r="705" spans="1:7" s="297" customFormat="1" ht="44.25" customHeight="1">
      <c r="A705" t="s">
        <v>4154</v>
      </c>
      <c r="B705" t="s">
        <v>4155</v>
      </c>
      <c r="C705" t="s">
        <v>136</v>
      </c>
      <c r="D705" t="s">
        <v>2253</v>
      </c>
      <c r="E705" t="s">
        <v>1432</v>
      </c>
      <c r="F705" t="s">
        <v>149</v>
      </c>
      <c r="G705" t="s">
        <v>4156</v>
      </c>
    </row>
    <row r="706" spans="1:7" s="297" customFormat="1" ht="44.25" customHeight="1">
      <c r="A706" t="s">
        <v>4157</v>
      </c>
      <c r="B706" t="s">
        <v>4158</v>
      </c>
      <c r="C706" t="s">
        <v>136</v>
      </c>
      <c r="D706" t="s">
        <v>2253</v>
      </c>
      <c r="E706" t="s">
        <v>1432</v>
      </c>
      <c r="F706" t="s">
        <v>149</v>
      </c>
      <c r="G706" t="s">
        <v>4159</v>
      </c>
    </row>
    <row r="707" spans="1:7" s="297" customFormat="1" ht="44.25" customHeight="1">
      <c r="A707" t="s">
        <v>4160</v>
      </c>
      <c r="B707" t="s">
        <v>4161</v>
      </c>
      <c r="C707" t="s">
        <v>136</v>
      </c>
      <c r="D707" t="s">
        <v>2253</v>
      </c>
      <c r="E707" t="s">
        <v>1432</v>
      </c>
      <c r="F707" t="s">
        <v>149</v>
      </c>
      <c r="G707" t="s">
        <v>4162</v>
      </c>
    </row>
    <row r="708" spans="1:7" s="297" customFormat="1" ht="44.25" customHeight="1">
      <c r="A708" t="s">
        <v>4163</v>
      </c>
      <c r="B708" t="s">
        <v>4164</v>
      </c>
      <c r="C708" t="s">
        <v>136</v>
      </c>
      <c r="D708" t="s">
        <v>2257</v>
      </c>
      <c r="E708" t="s">
        <v>1430</v>
      </c>
      <c r="F708" t="s">
        <v>149</v>
      </c>
      <c r="G708" t="s">
        <v>4165</v>
      </c>
    </row>
    <row r="709" spans="1:7" s="297" customFormat="1" ht="44.25" customHeight="1">
      <c r="A709" t="s">
        <v>4166</v>
      </c>
      <c r="B709" t="s">
        <v>4167</v>
      </c>
      <c r="C709" t="s">
        <v>136</v>
      </c>
      <c r="D709" t="s">
        <v>2253</v>
      </c>
      <c r="E709" t="s">
        <v>1432</v>
      </c>
      <c r="F709" t="s">
        <v>149</v>
      </c>
      <c r="G709" t="s">
        <v>4168</v>
      </c>
    </row>
    <row r="710" spans="1:7" s="297" customFormat="1" ht="44.25" customHeight="1">
      <c r="A710" t="s">
        <v>4169</v>
      </c>
      <c r="B710" t="s">
        <v>4170</v>
      </c>
      <c r="C710" t="s">
        <v>136</v>
      </c>
      <c r="D710" t="s">
        <v>2257</v>
      </c>
      <c r="E710" t="s">
        <v>2276</v>
      </c>
      <c r="F710" t="s">
        <v>149</v>
      </c>
      <c r="G710" t="s">
        <v>4171</v>
      </c>
    </row>
    <row r="711" spans="1:7" s="297" customFormat="1" ht="44.25" customHeight="1">
      <c r="A711" t="s">
        <v>4172</v>
      </c>
      <c r="B711" t="s">
        <v>4173</v>
      </c>
      <c r="C711" t="s">
        <v>136</v>
      </c>
      <c r="D711" t="s">
        <v>2257</v>
      </c>
      <c r="E711" t="s">
        <v>2276</v>
      </c>
      <c r="F711" t="s">
        <v>149</v>
      </c>
      <c r="G711" t="s">
        <v>4174</v>
      </c>
    </row>
    <row r="712" spans="1:7" s="297" customFormat="1" ht="44.25" customHeight="1">
      <c r="A712" t="s">
        <v>4175</v>
      </c>
      <c r="B712" t="s">
        <v>4176</v>
      </c>
      <c r="C712" t="s">
        <v>136</v>
      </c>
      <c r="D712" t="s">
        <v>79</v>
      </c>
      <c r="E712" t="s">
        <v>4177</v>
      </c>
      <c r="F712" t="s">
        <v>149</v>
      </c>
      <c r="G712" t="s">
        <v>4178</v>
      </c>
    </row>
    <row r="713" spans="1:7" s="297" customFormat="1" ht="44.25" customHeight="1">
      <c r="A713" t="s">
        <v>4179</v>
      </c>
      <c r="B713" t="s">
        <v>4180</v>
      </c>
      <c r="C713" t="s">
        <v>136</v>
      </c>
      <c r="D713" t="s">
        <v>2257</v>
      </c>
      <c r="E713" t="s">
        <v>2276</v>
      </c>
      <c r="F713" t="s">
        <v>149</v>
      </c>
      <c r="G713" t="s">
        <v>4181</v>
      </c>
    </row>
    <row r="714" spans="1:7" s="297" customFormat="1" ht="44.25" customHeight="1">
      <c r="A714" t="s">
        <v>4182</v>
      </c>
      <c r="B714" t="s">
        <v>4183</v>
      </c>
      <c r="C714" t="s">
        <v>136</v>
      </c>
      <c r="D714" t="s">
        <v>2253</v>
      </c>
      <c r="E714" t="s">
        <v>1432</v>
      </c>
      <c r="F714" t="s">
        <v>149</v>
      </c>
      <c r="G714" t="s">
        <v>4184</v>
      </c>
    </row>
    <row r="715" spans="1:7" s="297" customFormat="1" ht="44.25" customHeight="1">
      <c r="A715" t="s">
        <v>4185</v>
      </c>
      <c r="B715" t="s">
        <v>4186</v>
      </c>
      <c r="C715" t="s">
        <v>136</v>
      </c>
      <c r="D715" t="s">
        <v>2257</v>
      </c>
      <c r="E715" t="s">
        <v>1430</v>
      </c>
      <c r="F715" t="s">
        <v>149</v>
      </c>
      <c r="G715" t="s">
        <v>4187</v>
      </c>
    </row>
    <row r="716" spans="1:7" s="297" customFormat="1" ht="44.25" customHeight="1">
      <c r="A716" t="s">
        <v>4188</v>
      </c>
      <c r="B716" t="s">
        <v>4189</v>
      </c>
      <c r="C716" t="s">
        <v>136</v>
      </c>
      <c r="D716" t="s">
        <v>2253</v>
      </c>
      <c r="E716" t="s">
        <v>1432</v>
      </c>
      <c r="F716" t="s">
        <v>149</v>
      </c>
      <c r="G716" t="s">
        <v>4190</v>
      </c>
    </row>
    <row r="717" spans="1:7" s="297" customFormat="1" ht="44.25" customHeight="1">
      <c r="A717" t="s">
        <v>4191</v>
      </c>
      <c r="B717" t="s">
        <v>4192</v>
      </c>
      <c r="C717" t="s">
        <v>136</v>
      </c>
      <c r="D717" t="s">
        <v>2257</v>
      </c>
      <c r="E717" t="s">
        <v>2276</v>
      </c>
      <c r="F717" t="s">
        <v>149</v>
      </c>
      <c r="G717" t="s">
        <v>4193</v>
      </c>
    </row>
    <row r="718" spans="1:7" s="297" customFormat="1" ht="44.25" customHeight="1">
      <c r="A718" t="s">
        <v>4194</v>
      </c>
      <c r="B718" t="s">
        <v>4195</v>
      </c>
      <c r="C718" t="s">
        <v>136</v>
      </c>
      <c r="D718" t="s">
        <v>2253</v>
      </c>
      <c r="E718" t="s">
        <v>1432</v>
      </c>
      <c r="F718" t="s">
        <v>149</v>
      </c>
      <c r="G718" t="s">
        <v>4196</v>
      </c>
    </row>
    <row r="719" spans="1:7" s="297" customFormat="1" ht="44.25" customHeight="1">
      <c r="A719" t="s">
        <v>4197</v>
      </c>
      <c r="B719" t="s">
        <v>4198</v>
      </c>
      <c r="C719" t="s">
        <v>136</v>
      </c>
      <c r="D719" t="s">
        <v>2257</v>
      </c>
      <c r="E719" t="s">
        <v>2276</v>
      </c>
      <c r="F719" t="s">
        <v>149</v>
      </c>
      <c r="G719" t="s">
        <v>4199</v>
      </c>
    </row>
    <row r="720" spans="1:7" s="297" customFormat="1" ht="44.25" customHeight="1">
      <c r="A720" t="s">
        <v>4200</v>
      </c>
      <c r="B720" t="s">
        <v>4201</v>
      </c>
      <c r="C720" t="s">
        <v>136</v>
      </c>
      <c r="D720" t="s">
        <v>2253</v>
      </c>
      <c r="E720" t="s">
        <v>1432</v>
      </c>
      <c r="F720" t="s">
        <v>149</v>
      </c>
      <c r="G720" t="s">
        <v>4202</v>
      </c>
    </row>
    <row r="721" spans="1:7" s="297" customFormat="1" ht="44.25" customHeight="1">
      <c r="A721" t="s">
        <v>4203</v>
      </c>
      <c r="B721" t="s">
        <v>4204</v>
      </c>
      <c r="C721" t="s">
        <v>136</v>
      </c>
      <c r="D721" t="s">
        <v>79</v>
      </c>
      <c r="E721" t="s">
        <v>4205</v>
      </c>
      <c r="F721" t="s">
        <v>149</v>
      </c>
      <c r="G721" t="s">
        <v>4206</v>
      </c>
    </row>
    <row r="722" spans="1:7" s="297" customFormat="1" ht="44.25" customHeight="1">
      <c r="A722" t="s">
        <v>4207</v>
      </c>
      <c r="B722" t="s">
        <v>4208</v>
      </c>
      <c r="C722" t="s">
        <v>136</v>
      </c>
      <c r="D722" t="s">
        <v>2253</v>
      </c>
      <c r="E722" t="s">
        <v>1430</v>
      </c>
      <c r="F722" t="s">
        <v>149</v>
      </c>
      <c r="G722" t="s">
        <v>4209</v>
      </c>
    </row>
    <row r="723" spans="1:7" s="297" customFormat="1" ht="44.25" customHeight="1">
      <c r="A723" t="s">
        <v>4210</v>
      </c>
      <c r="B723" t="s">
        <v>4211</v>
      </c>
      <c r="C723" t="s">
        <v>136</v>
      </c>
      <c r="D723" t="s">
        <v>2257</v>
      </c>
      <c r="E723" t="s">
        <v>2276</v>
      </c>
      <c r="F723" t="s">
        <v>149</v>
      </c>
      <c r="G723" t="s">
        <v>4212</v>
      </c>
    </row>
    <row r="724" spans="1:7" s="297" customFormat="1" ht="44.25" customHeight="1">
      <c r="A724" t="s">
        <v>4213</v>
      </c>
      <c r="B724" t="s">
        <v>4214</v>
      </c>
      <c r="C724" t="s">
        <v>136</v>
      </c>
      <c r="D724" t="s">
        <v>2253</v>
      </c>
      <c r="E724" t="s">
        <v>1432</v>
      </c>
      <c r="F724" t="s">
        <v>149</v>
      </c>
      <c r="G724" t="s">
        <v>4215</v>
      </c>
    </row>
    <row r="725" spans="1:7" s="297" customFormat="1" ht="44.25" customHeight="1">
      <c r="A725" t="s">
        <v>4216</v>
      </c>
      <c r="B725" t="s">
        <v>4217</v>
      </c>
      <c r="C725" t="s">
        <v>136</v>
      </c>
      <c r="D725" t="s">
        <v>2253</v>
      </c>
      <c r="E725" t="s">
        <v>1432</v>
      </c>
      <c r="F725" t="s">
        <v>149</v>
      </c>
      <c r="G725" t="s">
        <v>4218</v>
      </c>
    </row>
    <row r="726" spans="1:7" s="297" customFormat="1" ht="44.25" customHeight="1">
      <c r="A726" t="s">
        <v>4219</v>
      </c>
      <c r="B726" t="s">
        <v>4220</v>
      </c>
      <c r="C726" t="s">
        <v>136</v>
      </c>
      <c r="D726" t="s">
        <v>2253</v>
      </c>
      <c r="E726" t="s">
        <v>1432</v>
      </c>
      <c r="F726" t="s">
        <v>149</v>
      </c>
      <c r="G726" t="s">
        <v>4221</v>
      </c>
    </row>
    <row r="727" spans="1:7" s="297" customFormat="1" ht="44.25" customHeight="1">
      <c r="A727" t="s">
        <v>4222</v>
      </c>
      <c r="B727" t="s">
        <v>4223</v>
      </c>
      <c r="C727" t="s">
        <v>136</v>
      </c>
      <c r="D727" t="s">
        <v>2257</v>
      </c>
      <c r="E727" t="s">
        <v>1432</v>
      </c>
      <c r="F727" t="s">
        <v>149</v>
      </c>
      <c r="G727" t="s">
        <v>4224</v>
      </c>
    </row>
    <row r="728" spans="1:7" s="297" customFormat="1" ht="44.25" customHeight="1">
      <c r="A728" t="s">
        <v>4225</v>
      </c>
      <c r="B728" t="s">
        <v>4226</v>
      </c>
      <c r="C728" t="s">
        <v>136</v>
      </c>
      <c r="D728" t="s">
        <v>2257</v>
      </c>
      <c r="E728" t="s">
        <v>4124</v>
      </c>
      <c r="F728" t="s">
        <v>149</v>
      </c>
      <c r="G728" t="s">
        <v>4227</v>
      </c>
    </row>
    <row r="729" spans="1:7" s="297" customFormat="1" ht="44.25" customHeight="1">
      <c r="A729" t="s">
        <v>4228</v>
      </c>
      <c r="B729" t="s">
        <v>4229</v>
      </c>
      <c r="C729" t="s">
        <v>136</v>
      </c>
      <c r="D729" t="s">
        <v>2257</v>
      </c>
      <c r="E729" t="s">
        <v>1430</v>
      </c>
      <c r="F729" t="s">
        <v>149</v>
      </c>
      <c r="G729" t="s">
        <v>4230</v>
      </c>
    </row>
    <row r="730" spans="1:7" s="297" customFormat="1" ht="44.25" customHeight="1">
      <c r="A730" t="s">
        <v>4231</v>
      </c>
      <c r="B730" t="s">
        <v>4232</v>
      </c>
      <c r="C730" t="s">
        <v>136</v>
      </c>
      <c r="D730" t="s">
        <v>79</v>
      </c>
      <c r="E730" t="s">
        <v>2310</v>
      </c>
      <c r="F730" t="s">
        <v>149</v>
      </c>
      <c r="G730" t="s">
        <v>4233</v>
      </c>
    </row>
    <row r="731" spans="1:7" s="297" customFormat="1" ht="44.25" customHeight="1">
      <c r="A731" t="s">
        <v>4234</v>
      </c>
      <c r="B731" t="s">
        <v>4235</v>
      </c>
      <c r="C731" t="s">
        <v>136</v>
      </c>
      <c r="D731" t="s">
        <v>2253</v>
      </c>
      <c r="E731" t="s">
        <v>1432</v>
      </c>
      <c r="F731" t="s">
        <v>149</v>
      </c>
      <c r="G731" t="s">
        <v>4236</v>
      </c>
    </row>
    <row r="732" spans="1:7" s="297" customFormat="1" ht="44.25" customHeight="1">
      <c r="A732" t="s">
        <v>1320</v>
      </c>
      <c r="B732" t="s">
        <v>4237</v>
      </c>
      <c r="C732" t="s">
        <v>136</v>
      </c>
      <c r="D732" t="s">
        <v>2257</v>
      </c>
      <c r="E732" t="s">
        <v>2258</v>
      </c>
      <c r="F732" t="s">
        <v>149</v>
      </c>
      <c r="G732" t="s">
        <v>4238</v>
      </c>
    </row>
    <row r="733" spans="1:7" s="297" customFormat="1" ht="44.25" customHeight="1">
      <c r="A733" t="s">
        <v>1325</v>
      </c>
      <c r="B733" t="s">
        <v>4239</v>
      </c>
      <c r="C733" t="s">
        <v>136</v>
      </c>
      <c r="D733" t="s">
        <v>2257</v>
      </c>
      <c r="E733" t="s">
        <v>2276</v>
      </c>
      <c r="F733" t="s">
        <v>149</v>
      </c>
      <c r="G733" t="s">
        <v>4240</v>
      </c>
    </row>
    <row r="734" spans="1:7" s="297" customFormat="1" ht="44.25" customHeight="1">
      <c r="A734" t="s">
        <v>1328</v>
      </c>
      <c r="B734" t="s">
        <v>4241</v>
      </c>
      <c r="C734" t="s">
        <v>136</v>
      </c>
      <c r="D734" t="s">
        <v>2253</v>
      </c>
      <c r="E734" t="s">
        <v>1432</v>
      </c>
      <c r="F734" t="s">
        <v>149</v>
      </c>
      <c r="G734" t="s">
        <v>4242</v>
      </c>
    </row>
    <row r="735" spans="1:7" s="297" customFormat="1" ht="44.25" customHeight="1">
      <c r="A735" t="s">
        <v>1331</v>
      </c>
      <c r="B735" t="s">
        <v>4243</v>
      </c>
      <c r="C735" t="s">
        <v>136</v>
      </c>
      <c r="D735" t="s">
        <v>2253</v>
      </c>
      <c r="E735" t="s">
        <v>1432</v>
      </c>
      <c r="F735" t="s">
        <v>149</v>
      </c>
      <c r="G735" t="s">
        <v>4244</v>
      </c>
    </row>
    <row r="736" spans="1:7" s="297" customFormat="1" ht="44.25" customHeight="1">
      <c r="A736" t="s">
        <v>1332</v>
      </c>
      <c r="B736" t="s">
        <v>4245</v>
      </c>
      <c r="C736" t="s">
        <v>136</v>
      </c>
      <c r="D736" t="s">
        <v>2253</v>
      </c>
      <c r="E736" t="s">
        <v>1432</v>
      </c>
      <c r="F736" t="s">
        <v>149</v>
      </c>
      <c r="G736" t="s">
        <v>4246</v>
      </c>
    </row>
    <row r="737" spans="1:7" s="297" customFormat="1" ht="44.25" customHeight="1">
      <c r="A737" t="s">
        <v>1337</v>
      </c>
      <c r="B737" t="s">
        <v>4247</v>
      </c>
      <c r="C737" t="s">
        <v>136</v>
      </c>
      <c r="D737" t="s">
        <v>2257</v>
      </c>
      <c r="E737" t="s">
        <v>2269</v>
      </c>
      <c r="F737" t="s">
        <v>149</v>
      </c>
      <c r="G737" t="s">
        <v>4248</v>
      </c>
    </row>
    <row r="738" spans="1:7" s="297" customFormat="1" ht="44.25" customHeight="1">
      <c r="A738" t="s">
        <v>1350</v>
      </c>
      <c r="B738" t="s">
        <v>4249</v>
      </c>
      <c r="C738" t="s">
        <v>136</v>
      </c>
      <c r="D738" t="s">
        <v>2257</v>
      </c>
      <c r="E738" t="s">
        <v>2276</v>
      </c>
      <c r="F738" t="s">
        <v>149</v>
      </c>
      <c r="G738" t="s">
        <v>4250</v>
      </c>
    </row>
    <row r="739" spans="1:7" s="297" customFormat="1" ht="44.25" customHeight="1">
      <c r="A739" t="s">
        <v>1343</v>
      </c>
      <c r="B739" t="s">
        <v>4251</v>
      </c>
      <c r="C739" t="s">
        <v>136</v>
      </c>
      <c r="D739" t="s">
        <v>2253</v>
      </c>
      <c r="E739" t="s">
        <v>1432</v>
      </c>
      <c r="F739" t="s">
        <v>149</v>
      </c>
      <c r="G739" t="s">
        <v>4252</v>
      </c>
    </row>
    <row r="740" spans="1:7" s="297" customFormat="1" ht="44.25" customHeight="1">
      <c r="A740" t="s">
        <v>4253</v>
      </c>
      <c r="B740" t="s">
        <v>4254</v>
      </c>
      <c r="C740" t="s">
        <v>136</v>
      </c>
      <c r="D740" t="s">
        <v>79</v>
      </c>
      <c r="E740" t="s">
        <v>4255</v>
      </c>
      <c r="F740" t="s">
        <v>149</v>
      </c>
      <c r="G740" t="s">
        <v>4256</v>
      </c>
    </row>
    <row r="741" spans="1:7" s="297" customFormat="1" ht="44.25" customHeight="1">
      <c r="A741" t="s">
        <v>4257</v>
      </c>
      <c r="B741" t="s">
        <v>4258</v>
      </c>
      <c r="C741" t="s">
        <v>136</v>
      </c>
      <c r="D741" t="s">
        <v>79</v>
      </c>
      <c r="E741" t="s">
        <v>4259</v>
      </c>
      <c r="F741" t="s">
        <v>149</v>
      </c>
      <c r="G741" t="s">
        <v>4260</v>
      </c>
    </row>
    <row r="742" spans="1:7" s="297" customFormat="1" ht="44.25" customHeight="1">
      <c r="A742" t="s">
        <v>1370</v>
      </c>
      <c r="B742" t="s">
        <v>4261</v>
      </c>
      <c r="C742" t="s">
        <v>136</v>
      </c>
      <c r="D742" t="s">
        <v>2257</v>
      </c>
      <c r="E742" t="s">
        <v>2276</v>
      </c>
      <c r="F742" t="s">
        <v>149</v>
      </c>
      <c r="G742" t="s">
        <v>4262</v>
      </c>
    </row>
    <row r="743" spans="1:7" s="297" customFormat="1" ht="44.25" customHeight="1">
      <c r="A743" t="s">
        <v>1353</v>
      </c>
      <c r="B743" t="s">
        <v>4263</v>
      </c>
      <c r="C743" t="s">
        <v>136</v>
      </c>
      <c r="D743" t="s">
        <v>2257</v>
      </c>
      <c r="E743" t="s">
        <v>1430</v>
      </c>
      <c r="F743" t="s">
        <v>149</v>
      </c>
      <c r="G743" t="s">
        <v>4264</v>
      </c>
    </row>
    <row r="744" spans="1:7" s="297" customFormat="1" ht="44.25" customHeight="1">
      <c r="A744" t="s">
        <v>1354</v>
      </c>
      <c r="B744" t="s">
        <v>4265</v>
      </c>
      <c r="C744" t="s">
        <v>136</v>
      </c>
      <c r="D744" t="s">
        <v>2253</v>
      </c>
      <c r="E744" t="s">
        <v>1432</v>
      </c>
      <c r="F744" t="s">
        <v>149</v>
      </c>
      <c r="G744" t="s">
        <v>4266</v>
      </c>
    </row>
    <row r="745" spans="1:7" s="297" customFormat="1" ht="44.25" customHeight="1">
      <c r="A745" t="s">
        <v>1368</v>
      </c>
      <c r="B745" t="s">
        <v>4267</v>
      </c>
      <c r="C745" t="s">
        <v>136</v>
      </c>
      <c r="D745" t="s">
        <v>2257</v>
      </c>
      <c r="E745" t="s">
        <v>2276</v>
      </c>
      <c r="F745" t="s">
        <v>149</v>
      </c>
      <c r="G745" t="s">
        <v>4268</v>
      </c>
    </row>
    <row r="746" spans="1:7" s="297" customFormat="1" ht="44.25" customHeight="1">
      <c r="A746" t="s">
        <v>1367</v>
      </c>
      <c r="B746" t="s">
        <v>4269</v>
      </c>
      <c r="C746" t="s">
        <v>136</v>
      </c>
      <c r="D746" t="s">
        <v>2257</v>
      </c>
      <c r="E746" t="s">
        <v>2276</v>
      </c>
      <c r="F746" t="s">
        <v>149</v>
      </c>
      <c r="G746" t="s">
        <v>4270</v>
      </c>
    </row>
    <row r="747" spans="1:7" s="297" customFormat="1" ht="44.25" customHeight="1">
      <c r="A747" t="s">
        <v>1361</v>
      </c>
      <c r="B747" t="s">
        <v>4271</v>
      </c>
      <c r="C747" t="s">
        <v>136</v>
      </c>
      <c r="D747" t="s">
        <v>2253</v>
      </c>
      <c r="E747" t="s">
        <v>1432</v>
      </c>
      <c r="F747" t="s">
        <v>149</v>
      </c>
      <c r="G747" t="s">
        <v>4272</v>
      </c>
    </row>
    <row r="748" spans="1:7" s="297" customFormat="1" ht="44.25" customHeight="1">
      <c r="A748" t="s">
        <v>1362</v>
      </c>
      <c r="B748" t="s">
        <v>4273</v>
      </c>
      <c r="C748" t="s">
        <v>136</v>
      </c>
      <c r="D748" t="s">
        <v>2253</v>
      </c>
      <c r="E748" t="s">
        <v>1432</v>
      </c>
      <c r="F748" t="s">
        <v>149</v>
      </c>
      <c r="G748" t="s">
        <v>4274</v>
      </c>
    </row>
    <row r="749" spans="1:7" s="297" customFormat="1" ht="44.25" customHeight="1">
      <c r="A749" t="s">
        <v>1366</v>
      </c>
      <c r="B749" t="s">
        <v>4275</v>
      </c>
      <c r="C749" t="s">
        <v>136</v>
      </c>
      <c r="D749" t="s">
        <v>2257</v>
      </c>
      <c r="E749" t="s">
        <v>2276</v>
      </c>
      <c r="F749" t="s">
        <v>149</v>
      </c>
      <c r="G749" t="s">
        <v>4276</v>
      </c>
    </row>
    <row r="750" spans="1:7" s="297" customFormat="1" ht="44.25" customHeight="1">
      <c r="A750" t="s">
        <v>1372</v>
      </c>
      <c r="B750" t="s">
        <v>4277</v>
      </c>
      <c r="C750" t="s">
        <v>136</v>
      </c>
      <c r="D750" t="s">
        <v>2253</v>
      </c>
      <c r="E750" t="s">
        <v>1432</v>
      </c>
      <c r="F750" t="s">
        <v>149</v>
      </c>
      <c r="G750" t="s">
        <v>4278</v>
      </c>
    </row>
    <row r="751" spans="1:7" s="297" customFormat="1" ht="44.25" customHeight="1">
      <c r="A751" t="s">
        <v>4279</v>
      </c>
      <c r="B751" t="s">
        <v>4280</v>
      </c>
      <c r="C751" t="s">
        <v>136</v>
      </c>
      <c r="D751" t="s">
        <v>79</v>
      </c>
      <c r="E751" t="s">
        <v>4281</v>
      </c>
      <c r="F751" t="s">
        <v>149</v>
      </c>
      <c r="G751" t="s">
        <v>4282</v>
      </c>
    </row>
    <row r="752" spans="1:7" s="297" customFormat="1" ht="44.25" customHeight="1">
      <c r="A752" t="s">
        <v>1374</v>
      </c>
      <c r="B752" t="s">
        <v>4283</v>
      </c>
      <c r="C752" t="s">
        <v>136</v>
      </c>
      <c r="D752" t="s">
        <v>2253</v>
      </c>
      <c r="E752" t="s">
        <v>1432</v>
      </c>
      <c r="F752" t="s">
        <v>149</v>
      </c>
      <c r="G752" t="s">
        <v>4284</v>
      </c>
    </row>
    <row r="753" spans="1:7" s="297" customFormat="1" ht="44.25" customHeight="1">
      <c r="A753" t="s">
        <v>1380</v>
      </c>
      <c r="B753" t="s">
        <v>4285</v>
      </c>
      <c r="C753" t="s">
        <v>136</v>
      </c>
      <c r="D753" t="s">
        <v>2253</v>
      </c>
      <c r="E753" t="s">
        <v>1432</v>
      </c>
      <c r="F753" t="s">
        <v>149</v>
      </c>
      <c r="G753" t="s">
        <v>4286</v>
      </c>
    </row>
    <row r="754" spans="1:7" s="297" customFormat="1" ht="44.25" customHeight="1">
      <c r="A754" t="s">
        <v>1381</v>
      </c>
      <c r="B754" t="s">
        <v>4287</v>
      </c>
      <c r="C754" t="s">
        <v>136</v>
      </c>
      <c r="D754" t="s">
        <v>2253</v>
      </c>
      <c r="E754" t="s">
        <v>1432</v>
      </c>
      <c r="F754" t="s">
        <v>149</v>
      </c>
      <c r="G754" t="s">
        <v>4288</v>
      </c>
    </row>
    <row r="755" spans="1:7" s="297" customFormat="1" ht="44.25" customHeight="1">
      <c r="A755" t="s">
        <v>1452</v>
      </c>
      <c r="B755" t="s">
        <v>4289</v>
      </c>
      <c r="C755" t="s">
        <v>136</v>
      </c>
      <c r="D755" t="s">
        <v>2257</v>
      </c>
      <c r="E755" t="s">
        <v>2276</v>
      </c>
      <c r="F755" t="s">
        <v>149</v>
      </c>
      <c r="G755" t="s">
        <v>4290</v>
      </c>
    </row>
    <row r="756" spans="1:7" s="297" customFormat="1" ht="44.25" customHeight="1">
      <c r="A756" t="s">
        <v>1453</v>
      </c>
      <c r="B756" t="s">
        <v>4291</v>
      </c>
      <c r="C756" t="s">
        <v>136</v>
      </c>
      <c r="D756" t="s">
        <v>2257</v>
      </c>
      <c r="E756" t="s">
        <v>2276</v>
      </c>
      <c r="F756" t="s">
        <v>149</v>
      </c>
      <c r="G756" t="s">
        <v>4292</v>
      </c>
    </row>
    <row r="757" spans="1:7" s="297" customFormat="1" ht="44.25" customHeight="1">
      <c r="A757" t="s">
        <v>1454</v>
      </c>
      <c r="B757" t="s">
        <v>4293</v>
      </c>
      <c r="C757" t="s">
        <v>136</v>
      </c>
      <c r="D757" t="s">
        <v>2257</v>
      </c>
      <c r="E757" t="s">
        <v>2276</v>
      </c>
      <c r="F757" t="s">
        <v>149</v>
      </c>
      <c r="G757" t="s">
        <v>4294</v>
      </c>
    </row>
    <row r="758" spans="1:7" s="297" customFormat="1" ht="44.25" customHeight="1">
      <c r="A758" t="s">
        <v>1455</v>
      </c>
      <c r="B758" t="s">
        <v>4295</v>
      </c>
      <c r="C758" t="s">
        <v>136</v>
      </c>
      <c r="D758" t="s">
        <v>2257</v>
      </c>
      <c r="E758" t="s">
        <v>2276</v>
      </c>
      <c r="F758" t="s">
        <v>149</v>
      </c>
      <c r="G758" t="s">
        <v>4296</v>
      </c>
    </row>
    <row r="759" spans="1:7" s="297" customFormat="1" ht="44.25" customHeight="1">
      <c r="A759" t="s">
        <v>4297</v>
      </c>
      <c r="B759" t="s">
        <v>4298</v>
      </c>
      <c r="C759" t="s">
        <v>136</v>
      </c>
      <c r="D759" t="s">
        <v>2257</v>
      </c>
      <c r="E759" t="s">
        <v>4299</v>
      </c>
      <c r="F759" t="s">
        <v>149</v>
      </c>
      <c r="G759" t="s">
        <v>4300</v>
      </c>
    </row>
    <row r="760" spans="1:7" s="297" customFormat="1" ht="44.25" customHeight="1">
      <c r="A760" t="s">
        <v>1440</v>
      </c>
      <c r="B760" t="s">
        <v>4301</v>
      </c>
      <c r="C760" t="s">
        <v>136</v>
      </c>
      <c r="D760" t="s">
        <v>2257</v>
      </c>
      <c r="E760" t="s">
        <v>2269</v>
      </c>
      <c r="F760" t="s">
        <v>149</v>
      </c>
      <c r="G760" t="s">
        <v>4302</v>
      </c>
    </row>
    <row r="761" spans="1:7" s="297" customFormat="1" ht="44.25" customHeight="1">
      <c r="A761" t="s">
        <v>1459</v>
      </c>
      <c r="B761" t="s">
        <v>4303</v>
      </c>
      <c r="C761" t="s">
        <v>136</v>
      </c>
      <c r="D761" t="s">
        <v>2253</v>
      </c>
      <c r="E761" t="s">
        <v>1432</v>
      </c>
      <c r="F761" t="s">
        <v>149</v>
      </c>
      <c r="G761" t="s">
        <v>4304</v>
      </c>
    </row>
    <row r="762" spans="1:7" s="297" customFormat="1" ht="44.25" customHeight="1">
      <c r="A762" t="s">
        <v>1485</v>
      </c>
      <c r="B762" t="s">
        <v>4305</v>
      </c>
      <c r="C762" t="s">
        <v>136</v>
      </c>
      <c r="D762" t="s">
        <v>2257</v>
      </c>
      <c r="E762" t="s">
        <v>2276</v>
      </c>
      <c r="F762" t="s">
        <v>149</v>
      </c>
      <c r="G762" t="s">
        <v>4306</v>
      </c>
    </row>
    <row r="763" spans="1:7" s="297" customFormat="1" ht="44.25" customHeight="1">
      <c r="A763" t="s">
        <v>1463</v>
      </c>
      <c r="B763" t="s">
        <v>4307</v>
      </c>
      <c r="C763" t="s">
        <v>136</v>
      </c>
      <c r="D763" t="s">
        <v>2253</v>
      </c>
      <c r="E763" t="s">
        <v>1432</v>
      </c>
      <c r="F763" t="s">
        <v>149</v>
      </c>
      <c r="G763" t="s">
        <v>4308</v>
      </c>
    </row>
    <row r="764" spans="1:7" s="297" customFormat="1" ht="44.25" customHeight="1">
      <c r="A764" t="s">
        <v>1464</v>
      </c>
      <c r="B764" t="s">
        <v>4309</v>
      </c>
      <c r="C764" t="s">
        <v>136</v>
      </c>
      <c r="D764" t="s">
        <v>2257</v>
      </c>
      <c r="E764" t="s">
        <v>3759</v>
      </c>
      <c r="F764" t="s">
        <v>149</v>
      </c>
      <c r="G764" t="s">
        <v>4310</v>
      </c>
    </row>
    <row r="765" spans="1:7" s="297" customFormat="1" ht="44.25" customHeight="1">
      <c r="A765" t="s">
        <v>1489</v>
      </c>
      <c r="B765" t="s">
        <v>4311</v>
      </c>
      <c r="C765" t="s">
        <v>136</v>
      </c>
      <c r="D765" t="s">
        <v>2257</v>
      </c>
      <c r="E765" t="s">
        <v>2276</v>
      </c>
      <c r="F765" t="s">
        <v>149</v>
      </c>
      <c r="G765" t="s">
        <v>4312</v>
      </c>
    </row>
    <row r="766" spans="1:7" s="297" customFormat="1" ht="44.25" customHeight="1">
      <c r="A766" t="s">
        <v>1466</v>
      </c>
      <c r="B766" t="s">
        <v>4313</v>
      </c>
      <c r="C766" t="s">
        <v>136</v>
      </c>
      <c r="D766" t="s">
        <v>2253</v>
      </c>
      <c r="E766" t="s">
        <v>1432</v>
      </c>
      <c r="F766" t="s">
        <v>149</v>
      </c>
      <c r="G766" t="s">
        <v>4314</v>
      </c>
    </row>
    <row r="767" spans="1:7" s="297" customFormat="1" ht="44.25" customHeight="1">
      <c r="A767" t="s">
        <v>1491</v>
      </c>
      <c r="B767" t="s">
        <v>4315</v>
      </c>
      <c r="C767" t="s">
        <v>136</v>
      </c>
      <c r="D767" t="s">
        <v>2257</v>
      </c>
      <c r="E767" t="s">
        <v>2276</v>
      </c>
      <c r="F767" t="s">
        <v>149</v>
      </c>
      <c r="G767" t="s">
        <v>4316</v>
      </c>
    </row>
    <row r="768" spans="1:7" s="297" customFormat="1" ht="44.25" customHeight="1">
      <c r="A768" t="s">
        <v>1471</v>
      </c>
      <c r="B768" t="s">
        <v>4317</v>
      </c>
      <c r="C768" t="s">
        <v>136</v>
      </c>
      <c r="D768" t="s">
        <v>2253</v>
      </c>
      <c r="E768" t="s">
        <v>1432</v>
      </c>
      <c r="F768" t="s">
        <v>149</v>
      </c>
      <c r="G768" t="s">
        <v>4318</v>
      </c>
    </row>
    <row r="769" spans="1:7" s="297" customFormat="1" ht="44.25" customHeight="1">
      <c r="A769" t="s">
        <v>1475</v>
      </c>
      <c r="B769" t="s">
        <v>4319</v>
      </c>
      <c r="C769" t="s">
        <v>136</v>
      </c>
      <c r="D769" t="s">
        <v>2253</v>
      </c>
      <c r="E769" t="s">
        <v>1432</v>
      </c>
      <c r="F769" t="s">
        <v>149</v>
      </c>
      <c r="G769" t="s">
        <v>4320</v>
      </c>
    </row>
    <row r="770" spans="1:7" s="297" customFormat="1" ht="44.25" customHeight="1">
      <c r="A770" t="s">
        <v>1477</v>
      </c>
      <c r="B770" t="s">
        <v>4321</v>
      </c>
      <c r="C770" t="s">
        <v>136</v>
      </c>
      <c r="D770" t="s">
        <v>2257</v>
      </c>
      <c r="E770" t="s">
        <v>2276</v>
      </c>
      <c r="F770" t="s">
        <v>149</v>
      </c>
      <c r="G770" t="s">
        <v>4322</v>
      </c>
    </row>
    <row r="771" spans="1:7" s="297" customFormat="1" ht="44.25" customHeight="1">
      <c r="A771" t="s">
        <v>1494</v>
      </c>
      <c r="B771" t="s">
        <v>4323</v>
      </c>
      <c r="C771" t="s">
        <v>136</v>
      </c>
      <c r="D771" t="s">
        <v>2257</v>
      </c>
      <c r="E771" t="s">
        <v>2276</v>
      </c>
      <c r="F771" t="s">
        <v>149</v>
      </c>
      <c r="G771" t="s">
        <v>4324</v>
      </c>
    </row>
    <row r="772" spans="1:7" s="297" customFormat="1" ht="44.25" customHeight="1">
      <c r="A772" t="s">
        <v>1495</v>
      </c>
      <c r="B772" t="s">
        <v>4325</v>
      </c>
      <c r="C772" t="s">
        <v>136</v>
      </c>
      <c r="D772" t="s">
        <v>2257</v>
      </c>
      <c r="E772" t="s">
        <v>2276</v>
      </c>
      <c r="F772" t="s">
        <v>149</v>
      </c>
      <c r="G772" t="s">
        <v>4326</v>
      </c>
    </row>
    <row r="773" spans="1:7" s="297" customFormat="1" ht="44.25" customHeight="1">
      <c r="A773" t="s">
        <v>322</v>
      </c>
      <c r="B773" t="s">
        <v>4327</v>
      </c>
      <c r="C773" t="s">
        <v>136</v>
      </c>
      <c r="D773" t="s">
        <v>2253</v>
      </c>
      <c r="E773" t="s">
        <v>2258</v>
      </c>
      <c r="F773" t="s">
        <v>149</v>
      </c>
      <c r="G773" t="s">
        <v>4328</v>
      </c>
    </row>
    <row r="774" spans="1:7" s="297" customFormat="1" ht="44.25" customHeight="1">
      <c r="A774" t="s">
        <v>353</v>
      </c>
      <c r="B774" t="s">
        <v>4329</v>
      </c>
      <c r="C774" t="s">
        <v>136</v>
      </c>
      <c r="D774" t="s">
        <v>2257</v>
      </c>
      <c r="E774" t="s">
        <v>2276</v>
      </c>
      <c r="F774" t="s">
        <v>149</v>
      </c>
      <c r="G774" t="s">
        <v>4330</v>
      </c>
    </row>
    <row r="775" spans="1:7" s="297" customFormat="1" ht="44.25" customHeight="1">
      <c r="A775" t="s">
        <v>325</v>
      </c>
      <c r="B775" t="s">
        <v>4331</v>
      </c>
      <c r="C775" t="s">
        <v>136</v>
      </c>
      <c r="D775" t="s">
        <v>2253</v>
      </c>
      <c r="E775" t="s">
        <v>1432</v>
      </c>
      <c r="F775" t="s">
        <v>149</v>
      </c>
      <c r="G775" t="s">
        <v>4332</v>
      </c>
    </row>
    <row r="776" spans="1:7" s="297" customFormat="1" ht="44.25" customHeight="1">
      <c r="A776" t="s">
        <v>327</v>
      </c>
      <c r="B776" t="s">
        <v>4333</v>
      </c>
      <c r="C776" t="s">
        <v>136</v>
      </c>
      <c r="D776" t="s">
        <v>2253</v>
      </c>
      <c r="E776" t="s">
        <v>1432</v>
      </c>
      <c r="F776" t="s">
        <v>149</v>
      </c>
      <c r="G776" t="s">
        <v>4334</v>
      </c>
    </row>
    <row r="777" spans="1:7" s="297" customFormat="1" ht="44.25" customHeight="1">
      <c r="A777" t="s">
        <v>4335</v>
      </c>
      <c r="B777" t="s">
        <v>4336</v>
      </c>
      <c r="C777" t="s">
        <v>136</v>
      </c>
      <c r="D777" t="s">
        <v>79</v>
      </c>
      <c r="E777" t="s">
        <v>4337</v>
      </c>
      <c r="F777" t="s">
        <v>149</v>
      </c>
      <c r="G777" t="s">
        <v>4338</v>
      </c>
    </row>
    <row r="778" spans="1:7" s="297" customFormat="1" ht="44.25" customHeight="1">
      <c r="A778" t="s">
        <v>335</v>
      </c>
      <c r="B778" t="s">
        <v>4339</v>
      </c>
      <c r="C778" t="s">
        <v>136</v>
      </c>
      <c r="D778" t="s">
        <v>2257</v>
      </c>
      <c r="E778" t="s">
        <v>1430</v>
      </c>
      <c r="F778" t="s">
        <v>149</v>
      </c>
      <c r="G778" t="s">
        <v>4340</v>
      </c>
    </row>
    <row r="779" spans="1:7" s="297" customFormat="1" ht="44.25" customHeight="1">
      <c r="A779" t="s">
        <v>356</v>
      </c>
      <c r="B779" t="s">
        <v>4341</v>
      </c>
      <c r="C779" t="s">
        <v>136</v>
      </c>
      <c r="D779" t="s">
        <v>2257</v>
      </c>
      <c r="E779" t="s">
        <v>2276</v>
      </c>
      <c r="F779" t="s">
        <v>149</v>
      </c>
      <c r="G779" t="s">
        <v>4342</v>
      </c>
    </row>
    <row r="780" spans="1:7" s="297" customFormat="1" ht="44.25" customHeight="1">
      <c r="A780" t="s">
        <v>357</v>
      </c>
      <c r="B780" t="s">
        <v>4343</v>
      </c>
      <c r="C780" t="s">
        <v>136</v>
      </c>
      <c r="D780" t="s">
        <v>2257</v>
      </c>
      <c r="E780" t="s">
        <v>2276</v>
      </c>
      <c r="F780" t="s">
        <v>149</v>
      </c>
      <c r="G780" t="s">
        <v>4344</v>
      </c>
    </row>
    <row r="781" spans="1:7" s="297" customFormat="1" ht="44.25" customHeight="1">
      <c r="A781" t="s">
        <v>334</v>
      </c>
      <c r="B781" t="s">
        <v>4345</v>
      </c>
      <c r="C781" t="s">
        <v>136</v>
      </c>
      <c r="D781" t="s">
        <v>2257</v>
      </c>
      <c r="E781" t="s">
        <v>2276</v>
      </c>
      <c r="F781" t="s">
        <v>149</v>
      </c>
      <c r="G781" t="s">
        <v>4346</v>
      </c>
    </row>
    <row r="782" spans="1:7" s="297" customFormat="1" ht="44.25" customHeight="1">
      <c r="A782" t="s">
        <v>337</v>
      </c>
      <c r="B782" t="s">
        <v>4347</v>
      </c>
      <c r="C782" t="s">
        <v>136</v>
      </c>
      <c r="D782" t="s">
        <v>2253</v>
      </c>
      <c r="E782" t="s">
        <v>1432</v>
      </c>
      <c r="F782" t="s">
        <v>149</v>
      </c>
      <c r="G782" t="s">
        <v>4348</v>
      </c>
    </row>
    <row r="783" spans="1:7" s="297" customFormat="1" ht="44.25" customHeight="1">
      <c r="A783" t="s">
        <v>340</v>
      </c>
      <c r="B783" t="s">
        <v>4349</v>
      </c>
      <c r="C783" t="s">
        <v>136</v>
      </c>
      <c r="D783" t="s">
        <v>2257</v>
      </c>
      <c r="E783" t="s">
        <v>2269</v>
      </c>
      <c r="F783" t="s">
        <v>149</v>
      </c>
      <c r="G783" t="s">
        <v>4350</v>
      </c>
    </row>
    <row r="784" spans="1:7" s="297" customFormat="1" ht="44.25" customHeight="1">
      <c r="A784" t="s">
        <v>345</v>
      </c>
      <c r="B784" t="s">
        <v>4351</v>
      </c>
      <c r="C784" t="s">
        <v>136</v>
      </c>
      <c r="D784" t="s">
        <v>2253</v>
      </c>
      <c r="E784" t="s">
        <v>1432</v>
      </c>
      <c r="F784" t="s">
        <v>149</v>
      </c>
      <c r="G784" t="s">
        <v>4352</v>
      </c>
    </row>
    <row r="785" spans="1:7" s="297" customFormat="1" ht="44.25" customHeight="1">
      <c r="A785" t="s">
        <v>342</v>
      </c>
      <c r="B785" t="s">
        <v>4353</v>
      </c>
      <c r="C785" t="s">
        <v>136</v>
      </c>
      <c r="D785" t="s">
        <v>2257</v>
      </c>
      <c r="E785" t="s">
        <v>2258</v>
      </c>
      <c r="F785" t="s">
        <v>149</v>
      </c>
      <c r="G785" t="s">
        <v>4354</v>
      </c>
    </row>
    <row r="786" spans="1:7" s="297" customFormat="1" ht="44.25" customHeight="1">
      <c r="A786" t="s">
        <v>349</v>
      </c>
      <c r="B786" t="s">
        <v>4355</v>
      </c>
      <c r="C786" t="s">
        <v>136</v>
      </c>
      <c r="D786" t="s">
        <v>2257</v>
      </c>
      <c r="E786" t="s">
        <v>1432</v>
      </c>
      <c r="F786" t="s">
        <v>149</v>
      </c>
      <c r="G786" t="s">
        <v>4356</v>
      </c>
    </row>
    <row r="787" spans="1:7" s="297" customFormat="1" ht="44.25" customHeight="1">
      <c r="A787" t="s">
        <v>350</v>
      </c>
      <c r="B787" t="s">
        <v>4357</v>
      </c>
      <c r="C787" t="s">
        <v>136</v>
      </c>
      <c r="D787" t="s">
        <v>2253</v>
      </c>
      <c r="E787" t="s">
        <v>1432</v>
      </c>
      <c r="F787" t="s">
        <v>149</v>
      </c>
      <c r="G787" t="s">
        <v>4358</v>
      </c>
    </row>
    <row r="788" spans="1:7" s="297" customFormat="1" ht="44.25" customHeight="1">
      <c r="A788" t="s">
        <v>351</v>
      </c>
      <c r="B788" t="s">
        <v>4359</v>
      </c>
      <c r="C788" t="s">
        <v>136</v>
      </c>
      <c r="D788" t="s">
        <v>2253</v>
      </c>
      <c r="E788" t="s">
        <v>1432</v>
      </c>
      <c r="F788" t="s">
        <v>149</v>
      </c>
      <c r="G788" t="s">
        <v>4360</v>
      </c>
    </row>
    <row r="789" spans="1:7" s="297" customFormat="1" ht="44.25" customHeight="1">
      <c r="A789" t="s">
        <v>361</v>
      </c>
      <c r="B789" t="s">
        <v>4361</v>
      </c>
      <c r="C789" t="s">
        <v>136</v>
      </c>
      <c r="D789" t="s">
        <v>2257</v>
      </c>
      <c r="E789" t="s">
        <v>2269</v>
      </c>
      <c r="F789" t="s">
        <v>149</v>
      </c>
      <c r="G789" t="s">
        <v>4362</v>
      </c>
    </row>
    <row r="790" spans="1:7" s="297" customFormat="1" ht="44.25" customHeight="1">
      <c r="A790" t="s">
        <v>1018</v>
      </c>
      <c r="B790" t="s">
        <v>4363</v>
      </c>
      <c r="C790" t="s">
        <v>136</v>
      </c>
      <c r="D790" t="s">
        <v>2257</v>
      </c>
      <c r="E790" t="s">
        <v>2276</v>
      </c>
      <c r="F790" t="s">
        <v>149</v>
      </c>
      <c r="G790" t="s">
        <v>4364</v>
      </c>
    </row>
    <row r="791" spans="1:7" s="297" customFormat="1" ht="44.25" customHeight="1">
      <c r="A791" t="s">
        <v>368</v>
      </c>
      <c r="B791" t="s">
        <v>4365</v>
      </c>
      <c r="C791" t="s">
        <v>136</v>
      </c>
      <c r="D791" t="s">
        <v>2257</v>
      </c>
      <c r="E791" t="s">
        <v>2258</v>
      </c>
      <c r="F791" t="s">
        <v>149</v>
      </c>
      <c r="G791" t="s">
        <v>4366</v>
      </c>
    </row>
    <row r="792" spans="1:7" s="297" customFormat="1" ht="44.25" customHeight="1">
      <c r="A792" t="s">
        <v>1019</v>
      </c>
      <c r="B792" t="s">
        <v>4367</v>
      </c>
      <c r="C792" t="s">
        <v>136</v>
      </c>
      <c r="D792" t="s">
        <v>2257</v>
      </c>
      <c r="E792" t="s">
        <v>2276</v>
      </c>
      <c r="F792" t="s">
        <v>149</v>
      </c>
      <c r="G792" t="s">
        <v>4368</v>
      </c>
    </row>
    <row r="793" spans="1:7" s="297" customFormat="1" ht="44.25" customHeight="1">
      <c r="A793" t="s">
        <v>1014</v>
      </c>
      <c r="B793" t="s">
        <v>4369</v>
      </c>
      <c r="C793" t="s">
        <v>136</v>
      </c>
      <c r="D793" t="s">
        <v>2257</v>
      </c>
      <c r="E793" t="s">
        <v>2276</v>
      </c>
      <c r="F793" t="s">
        <v>149</v>
      </c>
      <c r="G793" t="s">
        <v>4370</v>
      </c>
    </row>
    <row r="794" spans="1:7" s="297" customFormat="1" ht="44.25" customHeight="1">
      <c r="A794" t="s">
        <v>365</v>
      </c>
      <c r="B794" t="s">
        <v>4371</v>
      </c>
      <c r="C794" t="s">
        <v>136</v>
      </c>
      <c r="D794" t="s">
        <v>2253</v>
      </c>
      <c r="E794" t="s">
        <v>1432</v>
      </c>
      <c r="F794" t="s">
        <v>149</v>
      </c>
      <c r="G794" t="s">
        <v>4372</v>
      </c>
    </row>
    <row r="795" spans="1:7" s="297" customFormat="1" ht="44.25" customHeight="1">
      <c r="A795" t="s">
        <v>1013</v>
      </c>
      <c r="B795" t="s">
        <v>4373</v>
      </c>
      <c r="C795" t="s">
        <v>136</v>
      </c>
      <c r="D795" t="s">
        <v>2257</v>
      </c>
      <c r="E795" t="s">
        <v>2276</v>
      </c>
      <c r="F795" t="s">
        <v>149</v>
      </c>
      <c r="G795" t="s">
        <v>4374</v>
      </c>
    </row>
    <row r="796" spans="1:7" s="297" customFormat="1" ht="44.25" customHeight="1">
      <c r="A796" t="s">
        <v>372</v>
      </c>
      <c r="B796" t="s">
        <v>4375</v>
      </c>
      <c r="C796" t="s">
        <v>136</v>
      </c>
      <c r="D796" t="s">
        <v>2253</v>
      </c>
      <c r="E796" t="s">
        <v>1432</v>
      </c>
      <c r="F796" t="s">
        <v>149</v>
      </c>
      <c r="G796" t="s">
        <v>4376</v>
      </c>
    </row>
    <row r="797" spans="1:7" s="297" customFormat="1" ht="44.25" customHeight="1">
      <c r="A797" t="s">
        <v>374</v>
      </c>
      <c r="B797" t="s">
        <v>4377</v>
      </c>
      <c r="C797" t="s">
        <v>136</v>
      </c>
      <c r="D797" t="s">
        <v>2257</v>
      </c>
      <c r="E797" t="s">
        <v>2276</v>
      </c>
      <c r="F797" t="s">
        <v>149</v>
      </c>
      <c r="G797" t="s">
        <v>4378</v>
      </c>
    </row>
    <row r="798" spans="1:7" s="297" customFormat="1" ht="44.25" customHeight="1">
      <c r="A798" t="s">
        <v>376</v>
      </c>
      <c r="B798" t="s">
        <v>4379</v>
      </c>
      <c r="C798" t="s">
        <v>136</v>
      </c>
      <c r="D798" t="s">
        <v>2253</v>
      </c>
      <c r="E798" t="s">
        <v>1432</v>
      </c>
      <c r="F798" t="s">
        <v>149</v>
      </c>
      <c r="G798" t="s">
        <v>4380</v>
      </c>
    </row>
    <row r="799" spans="1:7" s="297" customFormat="1" ht="44.25" customHeight="1">
      <c r="A799" t="s">
        <v>378</v>
      </c>
      <c r="B799" t="s">
        <v>4381</v>
      </c>
      <c r="C799" t="s">
        <v>136</v>
      </c>
      <c r="D799" t="s">
        <v>2253</v>
      </c>
      <c r="E799" t="s">
        <v>1432</v>
      </c>
      <c r="F799" t="s">
        <v>149</v>
      </c>
      <c r="G799" t="s">
        <v>4382</v>
      </c>
    </row>
    <row r="800" spans="1:7" s="297" customFormat="1" ht="44.25" customHeight="1">
      <c r="A800" t="s">
        <v>1011</v>
      </c>
      <c r="B800" t="s">
        <v>4383</v>
      </c>
      <c r="C800" t="s">
        <v>136</v>
      </c>
      <c r="D800" t="s">
        <v>2257</v>
      </c>
      <c r="E800" t="s">
        <v>2276</v>
      </c>
      <c r="F800" t="s">
        <v>149</v>
      </c>
      <c r="G800" t="s">
        <v>4384</v>
      </c>
    </row>
    <row r="801" spans="1:7" s="297" customFormat="1" ht="44.25" customHeight="1">
      <c r="A801" t="s">
        <v>390</v>
      </c>
      <c r="B801" t="s">
        <v>4385</v>
      </c>
      <c r="C801" t="s">
        <v>136</v>
      </c>
      <c r="D801" t="s">
        <v>2253</v>
      </c>
      <c r="E801" t="s">
        <v>1432</v>
      </c>
      <c r="F801" t="s">
        <v>149</v>
      </c>
      <c r="G801" t="s">
        <v>4386</v>
      </c>
    </row>
    <row r="802" spans="1:7" s="297" customFormat="1" ht="44.25" customHeight="1">
      <c r="A802" t="s">
        <v>731</v>
      </c>
      <c r="B802" t="s">
        <v>4387</v>
      </c>
      <c r="C802" t="s">
        <v>136</v>
      </c>
      <c r="D802" t="s">
        <v>79</v>
      </c>
      <c r="E802" t="s">
        <v>2269</v>
      </c>
      <c r="F802" t="s">
        <v>149</v>
      </c>
      <c r="G802" t="s">
        <v>4388</v>
      </c>
    </row>
    <row r="803" spans="1:7" s="297" customFormat="1" ht="44.25" customHeight="1">
      <c r="A803" t="s">
        <v>1008</v>
      </c>
      <c r="B803" t="s">
        <v>4389</v>
      </c>
      <c r="C803" t="s">
        <v>136</v>
      </c>
      <c r="D803" t="s">
        <v>2257</v>
      </c>
      <c r="E803" t="s">
        <v>2276</v>
      </c>
      <c r="F803" t="s">
        <v>149</v>
      </c>
      <c r="G803" t="s">
        <v>4390</v>
      </c>
    </row>
    <row r="804" spans="1:7" s="297" customFormat="1" ht="44.25" customHeight="1">
      <c r="A804" t="s">
        <v>790</v>
      </c>
      <c r="B804" t="s">
        <v>4391</v>
      </c>
      <c r="C804" t="s">
        <v>136</v>
      </c>
      <c r="D804" t="s">
        <v>2253</v>
      </c>
      <c r="E804" t="s">
        <v>1432</v>
      </c>
      <c r="F804" t="s">
        <v>149</v>
      </c>
      <c r="G804" t="s">
        <v>4392</v>
      </c>
    </row>
    <row r="805" spans="1:7" s="297" customFormat="1" ht="44.25" customHeight="1">
      <c r="A805" t="s">
        <v>1007</v>
      </c>
      <c r="B805" t="s">
        <v>4393</v>
      </c>
      <c r="C805" t="s">
        <v>136</v>
      </c>
      <c r="D805" t="s">
        <v>2257</v>
      </c>
      <c r="E805" t="s">
        <v>2276</v>
      </c>
      <c r="F805" t="s">
        <v>149</v>
      </c>
      <c r="G805" t="s">
        <v>4394</v>
      </c>
    </row>
    <row r="806" spans="1:7" s="297" customFormat="1" ht="44.25" customHeight="1">
      <c r="A806" t="s">
        <v>746</v>
      </c>
      <c r="B806" t="s">
        <v>4395</v>
      </c>
      <c r="C806" t="s">
        <v>136</v>
      </c>
      <c r="D806" t="s">
        <v>79</v>
      </c>
      <c r="E806" t="s">
        <v>2269</v>
      </c>
      <c r="F806" t="s">
        <v>149</v>
      </c>
      <c r="G806" t="s">
        <v>4396</v>
      </c>
    </row>
    <row r="807" spans="1:7" s="297" customFormat="1" ht="44.25" customHeight="1">
      <c r="A807" t="s">
        <v>744</v>
      </c>
      <c r="B807" t="s">
        <v>4397</v>
      </c>
      <c r="C807" t="s">
        <v>136</v>
      </c>
      <c r="D807" t="s">
        <v>79</v>
      </c>
      <c r="E807" t="s">
        <v>2269</v>
      </c>
      <c r="F807" t="s">
        <v>149</v>
      </c>
      <c r="G807" t="s">
        <v>4398</v>
      </c>
    </row>
    <row r="808" spans="1:7" s="297" customFormat="1" ht="44.25" customHeight="1">
      <c r="A808" t="s">
        <v>386</v>
      </c>
      <c r="B808" t="s">
        <v>4399</v>
      </c>
      <c r="C808" t="s">
        <v>136</v>
      </c>
      <c r="D808" t="s">
        <v>2257</v>
      </c>
      <c r="E808" t="s">
        <v>2276</v>
      </c>
      <c r="F808" t="s">
        <v>149</v>
      </c>
      <c r="G808" t="s">
        <v>4400</v>
      </c>
    </row>
    <row r="809" spans="1:7" s="297" customFormat="1" ht="44.25" customHeight="1">
      <c r="A809" t="s">
        <v>388</v>
      </c>
      <c r="B809" t="s">
        <v>4401</v>
      </c>
      <c r="C809" t="s">
        <v>136</v>
      </c>
      <c r="D809" t="s">
        <v>2253</v>
      </c>
      <c r="E809" t="s">
        <v>1432</v>
      </c>
      <c r="F809" t="s">
        <v>149</v>
      </c>
      <c r="G809" t="s">
        <v>4402</v>
      </c>
    </row>
    <row r="810" spans="1:7" s="297" customFormat="1" ht="44.25" customHeight="1">
      <c r="A810" t="s">
        <v>1004</v>
      </c>
      <c r="B810" t="s">
        <v>4403</v>
      </c>
      <c r="C810" t="s">
        <v>136</v>
      </c>
      <c r="D810" t="s">
        <v>2257</v>
      </c>
      <c r="E810" t="s">
        <v>2276</v>
      </c>
      <c r="F810" t="s">
        <v>149</v>
      </c>
      <c r="G810" t="s">
        <v>4404</v>
      </c>
    </row>
    <row r="811" spans="1:7" s="297" customFormat="1" ht="44.25" customHeight="1">
      <c r="A811" t="s">
        <v>1005</v>
      </c>
      <c r="B811" t="s">
        <v>4405</v>
      </c>
      <c r="C811" t="s">
        <v>136</v>
      </c>
      <c r="D811" t="s">
        <v>2257</v>
      </c>
      <c r="E811" t="s">
        <v>2276</v>
      </c>
      <c r="F811" t="s">
        <v>149</v>
      </c>
      <c r="G811" t="s">
        <v>4406</v>
      </c>
    </row>
    <row r="812" spans="1:7" s="297" customFormat="1" ht="44.25" customHeight="1">
      <c r="A812" t="s">
        <v>1003</v>
      </c>
      <c r="B812" t="s">
        <v>4407</v>
      </c>
      <c r="C812" t="s">
        <v>136</v>
      </c>
      <c r="D812" t="s">
        <v>2257</v>
      </c>
      <c r="E812" t="s">
        <v>2276</v>
      </c>
      <c r="F812" t="s">
        <v>149</v>
      </c>
      <c r="G812" t="s">
        <v>4408</v>
      </c>
    </row>
    <row r="813" spans="1:7" s="297" customFormat="1" ht="44.25" customHeight="1">
      <c r="A813" t="s">
        <v>398</v>
      </c>
      <c r="B813" t="s">
        <v>4409</v>
      </c>
      <c r="C813" t="s">
        <v>136</v>
      </c>
      <c r="D813" t="s">
        <v>2253</v>
      </c>
      <c r="E813" t="s">
        <v>1430</v>
      </c>
      <c r="F813" t="s">
        <v>149</v>
      </c>
      <c r="G813" t="s">
        <v>4410</v>
      </c>
    </row>
    <row r="814" spans="1:7" s="297" customFormat="1" ht="44.25" customHeight="1">
      <c r="A814" t="s">
        <v>391</v>
      </c>
      <c r="B814" t="s">
        <v>4411</v>
      </c>
      <c r="C814" t="s">
        <v>136</v>
      </c>
      <c r="D814" t="s">
        <v>2257</v>
      </c>
      <c r="E814" t="s">
        <v>2258</v>
      </c>
      <c r="F814" t="s">
        <v>149</v>
      </c>
      <c r="G814" t="s">
        <v>4412</v>
      </c>
    </row>
    <row r="815" spans="1:7" s="297" customFormat="1" ht="44.25" customHeight="1">
      <c r="A815" t="s">
        <v>998</v>
      </c>
      <c r="B815" t="s">
        <v>4413</v>
      </c>
      <c r="C815" t="s">
        <v>136</v>
      </c>
      <c r="D815" t="s">
        <v>2257</v>
      </c>
      <c r="E815" t="s">
        <v>2276</v>
      </c>
      <c r="F815" t="s">
        <v>149</v>
      </c>
      <c r="G815" t="s">
        <v>4414</v>
      </c>
    </row>
    <row r="816" spans="1:7" s="297" customFormat="1" ht="44.25" customHeight="1">
      <c r="A816" t="s">
        <v>999</v>
      </c>
      <c r="B816" t="s">
        <v>4415</v>
      </c>
      <c r="C816" t="s">
        <v>136</v>
      </c>
      <c r="D816" t="s">
        <v>2257</v>
      </c>
      <c r="E816" t="s">
        <v>2276</v>
      </c>
      <c r="F816" t="s">
        <v>149</v>
      </c>
      <c r="G816" t="s">
        <v>4416</v>
      </c>
    </row>
    <row r="817" spans="1:7" s="297" customFormat="1" ht="44.25" customHeight="1">
      <c r="A817" t="s">
        <v>997</v>
      </c>
      <c r="B817" t="s">
        <v>4417</v>
      </c>
      <c r="C817" t="s">
        <v>136</v>
      </c>
      <c r="D817" t="s">
        <v>2257</v>
      </c>
      <c r="E817" t="s">
        <v>2276</v>
      </c>
      <c r="F817" t="s">
        <v>149</v>
      </c>
      <c r="G817" t="s">
        <v>4418</v>
      </c>
    </row>
    <row r="818" spans="1:7" s="297" customFormat="1" ht="44.25" customHeight="1">
      <c r="A818" t="s">
        <v>995</v>
      </c>
      <c r="B818" t="s">
        <v>4419</v>
      </c>
      <c r="C818" t="s">
        <v>136</v>
      </c>
      <c r="D818" t="s">
        <v>2257</v>
      </c>
      <c r="E818" t="s">
        <v>2276</v>
      </c>
      <c r="F818" t="s">
        <v>149</v>
      </c>
      <c r="G818" t="s">
        <v>4420</v>
      </c>
    </row>
    <row r="819" spans="1:7" s="297" customFormat="1" ht="44.25" customHeight="1">
      <c r="A819" t="s">
        <v>402</v>
      </c>
      <c r="B819" t="s">
        <v>4421</v>
      </c>
      <c r="C819" t="s">
        <v>136</v>
      </c>
      <c r="D819" t="s">
        <v>2253</v>
      </c>
      <c r="E819" t="s">
        <v>1432</v>
      </c>
      <c r="F819" t="s">
        <v>149</v>
      </c>
      <c r="G819" t="s">
        <v>4422</v>
      </c>
    </row>
    <row r="820" spans="1:7" s="297" customFormat="1" ht="44.25" customHeight="1">
      <c r="A820" t="s">
        <v>403</v>
      </c>
      <c r="B820" t="s">
        <v>4423</v>
      </c>
      <c r="C820" t="s">
        <v>136</v>
      </c>
      <c r="D820" t="s">
        <v>2257</v>
      </c>
      <c r="E820" t="s">
        <v>2276</v>
      </c>
      <c r="F820" t="s">
        <v>149</v>
      </c>
      <c r="G820" t="s">
        <v>4424</v>
      </c>
    </row>
    <row r="821" spans="1:7" s="297" customFormat="1" ht="44.25" customHeight="1">
      <c r="A821" t="s">
        <v>994</v>
      </c>
      <c r="B821" t="s">
        <v>4425</v>
      </c>
      <c r="C821" t="s">
        <v>136</v>
      </c>
      <c r="D821" t="s">
        <v>2257</v>
      </c>
      <c r="E821" t="s">
        <v>2276</v>
      </c>
      <c r="F821" t="s">
        <v>149</v>
      </c>
      <c r="G821" t="s">
        <v>4426</v>
      </c>
    </row>
    <row r="822" spans="1:7" s="297" customFormat="1" ht="44.25" customHeight="1">
      <c r="A822" t="s">
        <v>993</v>
      </c>
      <c r="B822" t="s">
        <v>4427</v>
      </c>
      <c r="C822" t="s">
        <v>136</v>
      </c>
      <c r="D822" t="s">
        <v>2257</v>
      </c>
      <c r="E822" t="s">
        <v>2276</v>
      </c>
      <c r="F822" t="s">
        <v>149</v>
      </c>
      <c r="G822" t="s">
        <v>4428</v>
      </c>
    </row>
    <row r="823" spans="1:7" s="297" customFormat="1" ht="44.25" customHeight="1">
      <c r="A823" t="s">
        <v>991</v>
      </c>
      <c r="B823" t="s">
        <v>4429</v>
      </c>
      <c r="C823" t="s">
        <v>136</v>
      </c>
      <c r="D823" t="s">
        <v>2257</v>
      </c>
      <c r="E823" t="s">
        <v>2276</v>
      </c>
      <c r="F823" t="s">
        <v>149</v>
      </c>
      <c r="G823" t="s">
        <v>4430</v>
      </c>
    </row>
    <row r="824" spans="1:7" s="297" customFormat="1" ht="44.25" customHeight="1">
      <c r="A824" t="s">
        <v>405</v>
      </c>
      <c r="B824" t="s">
        <v>4431</v>
      </c>
      <c r="C824" t="s">
        <v>136</v>
      </c>
      <c r="D824" t="s">
        <v>79</v>
      </c>
      <c r="E824" t="s">
        <v>4432</v>
      </c>
      <c r="F824" t="s">
        <v>149</v>
      </c>
      <c r="G824" t="s">
        <v>4433</v>
      </c>
    </row>
    <row r="825" spans="1:7" s="297" customFormat="1" ht="44.25" customHeight="1">
      <c r="A825" t="s">
        <v>990</v>
      </c>
      <c r="B825" t="s">
        <v>4434</v>
      </c>
      <c r="C825" t="s">
        <v>136</v>
      </c>
      <c r="D825" t="s">
        <v>2257</v>
      </c>
      <c r="E825" t="s">
        <v>2276</v>
      </c>
      <c r="F825" t="s">
        <v>149</v>
      </c>
      <c r="G825" t="s">
        <v>4435</v>
      </c>
    </row>
    <row r="826" spans="1:7" s="297" customFormat="1" ht="44.25" customHeight="1">
      <c r="A826" t="s">
        <v>988</v>
      </c>
      <c r="B826" t="s">
        <v>4436</v>
      </c>
      <c r="C826" t="s">
        <v>136</v>
      </c>
      <c r="D826" t="s">
        <v>2257</v>
      </c>
      <c r="E826" t="s">
        <v>2276</v>
      </c>
      <c r="F826" t="s">
        <v>149</v>
      </c>
      <c r="G826" t="s">
        <v>4437</v>
      </c>
    </row>
    <row r="827" spans="1:7" s="297" customFormat="1" ht="44.25" customHeight="1">
      <c r="A827" t="s">
        <v>1433</v>
      </c>
      <c r="B827" t="s">
        <v>4438</v>
      </c>
      <c r="C827" t="s">
        <v>136</v>
      </c>
      <c r="D827" t="s">
        <v>2253</v>
      </c>
      <c r="E827" t="s">
        <v>1430</v>
      </c>
      <c r="F827" t="s">
        <v>149</v>
      </c>
      <c r="G827" t="s">
        <v>4439</v>
      </c>
    </row>
    <row r="828" spans="1:7" s="297" customFormat="1" ht="44.25" customHeight="1">
      <c r="A828" t="s">
        <v>784</v>
      </c>
      <c r="B828" t="s">
        <v>4440</v>
      </c>
      <c r="C828" t="s">
        <v>136</v>
      </c>
      <c r="D828" t="s">
        <v>2253</v>
      </c>
      <c r="E828" t="s">
        <v>1432</v>
      </c>
      <c r="F828" t="s">
        <v>149</v>
      </c>
      <c r="G828" t="s">
        <v>4441</v>
      </c>
    </row>
    <row r="829" spans="1:7" s="297" customFormat="1" ht="44.25" customHeight="1">
      <c r="A829" t="s">
        <v>987</v>
      </c>
      <c r="B829" t="s">
        <v>4442</v>
      </c>
      <c r="C829" t="s">
        <v>136</v>
      </c>
      <c r="D829" t="s">
        <v>2257</v>
      </c>
      <c r="E829" t="s">
        <v>2276</v>
      </c>
      <c r="F829" t="s">
        <v>149</v>
      </c>
      <c r="G829" t="s">
        <v>4443</v>
      </c>
    </row>
    <row r="830" spans="1:7" s="297" customFormat="1" ht="44.25" customHeight="1">
      <c r="A830" t="s">
        <v>666</v>
      </c>
      <c r="B830" t="s">
        <v>4444</v>
      </c>
      <c r="C830" t="s">
        <v>136</v>
      </c>
      <c r="D830" t="s">
        <v>79</v>
      </c>
      <c r="E830" t="s">
        <v>4205</v>
      </c>
      <c r="F830" t="s">
        <v>149</v>
      </c>
      <c r="G830" t="s">
        <v>4445</v>
      </c>
    </row>
    <row r="831" spans="1:7" s="297" customFormat="1" ht="44.25" customHeight="1">
      <c r="A831" t="s">
        <v>981</v>
      </c>
      <c r="B831" t="s">
        <v>4446</v>
      </c>
      <c r="C831" t="s">
        <v>136</v>
      </c>
      <c r="D831" t="s">
        <v>2257</v>
      </c>
      <c r="E831" t="s">
        <v>2276</v>
      </c>
      <c r="F831" t="s">
        <v>149</v>
      </c>
      <c r="G831" t="s">
        <v>4447</v>
      </c>
    </row>
    <row r="832" spans="1:7" s="297" customFormat="1" ht="44.25" customHeight="1">
      <c r="A832" t="s">
        <v>980</v>
      </c>
      <c r="B832" t="s">
        <v>4448</v>
      </c>
      <c r="C832" t="s">
        <v>136</v>
      </c>
      <c r="D832" t="s">
        <v>2257</v>
      </c>
      <c r="E832" t="s">
        <v>2276</v>
      </c>
      <c r="F832" t="s">
        <v>149</v>
      </c>
      <c r="G832" t="s">
        <v>4449</v>
      </c>
    </row>
    <row r="833" spans="1:7" s="297" customFormat="1" ht="44.25" customHeight="1">
      <c r="A833" t="s">
        <v>4450</v>
      </c>
      <c r="B833" t="s">
        <v>4451</v>
      </c>
      <c r="C833" t="s">
        <v>136</v>
      </c>
      <c r="D833" t="s">
        <v>2257</v>
      </c>
      <c r="E833" t="s">
        <v>4452</v>
      </c>
      <c r="F833" t="s">
        <v>149</v>
      </c>
      <c r="G833" t="s">
        <v>4453</v>
      </c>
    </row>
    <row r="834" spans="1:7" s="297" customFormat="1" ht="44.25" customHeight="1">
      <c r="A834" t="s">
        <v>972</v>
      </c>
      <c r="B834" t="s">
        <v>4454</v>
      </c>
      <c r="C834" t="s">
        <v>136</v>
      </c>
      <c r="D834" t="s">
        <v>2257</v>
      </c>
      <c r="E834" t="s">
        <v>2276</v>
      </c>
      <c r="F834" t="s">
        <v>149</v>
      </c>
      <c r="G834" t="s">
        <v>4455</v>
      </c>
    </row>
    <row r="835" spans="1:7" s="297" customFormat="1" ht="44.25" customHeight="1">
      <c r="A835" t="s">
        <v>971</v>
      </c>
      <c r="B835" t="s">
        <v>4456</v>
      </c>
      <c r="C835" t="s">
        <v>136</v>
      </c>
      <c r="D835" t="s">
        <v>2257</v>
      </c>
      <c r="E835" t="s">
        <v>2276</v>
      </c>
      <c r="F835" t="s">
        <v>149</v>
      </c>
      <c r="G835" t="s">
        <v>4457</v>
      </c>
    </row>
    <row r="836" spans="1:7" s="297" customFormat="1" ht="44.25" customHeight="1">
      <c r="A836" t="s">
        <v>970</v>
      </c>
      <c r="B836" t="s">
        <v>4458</v>
      </c>
      <c r="C836" t="s">
        <v>136</v>
      </c>
      <c r="D836" t="s">
        <v>2257</v>
      </c>
      <c r="E836" t="s">
        <v>2276</v>
      </c>
      <c r="F836" t="s">
        <v>149</v>
      </c>
      <c r="G836" t="s">
        <v>4459</v>
      </c>
    </row>
    <row r="837" spans="1:7" s="297" customFormat="1" ht="44.25" customHeight="1">
      <c r="A837" t="s">
        <v>968</v>
      </c>
      <c r="B837" t="s">
        <v>4460</v>
      </c>
      <c r="C837" t="s">
        <v>136</v>
      </c>
      <c r="D837" t="s">
        <v>2257</v>
      </c>
      <c r="E837" t="s">
        <v>2276</v>
      </c>
      <c r="F837" t="s">
        <v>149</v>
      </c>
      <c r="G837" t="s">
        <v>4461</v>
      </c>
    </row>
    <row r="838" spans="1:7" s="297" customFormat="1" ht="44.25" customHeight="1">
      <c r="A838" t="s">
        <v>3480</v>
      </c>
      <c r="B838" t="s">
        <v>3481</v>
      </c>
      <c r="C838" t="s">
        <v>136</v>
      </c>
      <c r="D838" t="s">
        <v>79</v>
      </c>
      <c r="E838" t="s">
        <v>3482</v>
      </c>
      <c r="F838" t="s">
        <v>149</v>
      </c>
      <c r="G838" t="s">
        <v>4462</v>
      </c>
    </row>
    <row r="839" spans="1:7" s="297" customFormat="1" ht="44.25" customHeight="1">
      <c r="A839" t="s">
        <v>967</v>
      </c>
      <c r="B839" t="s">
        <v>4463</v>
      </c>
      <c r="C839" t="s">
        <v>136</v>
      </c>
      <c r="D839" t="s">
        <v>2257</v>
      </c>
      <c r="E839" t="s">
        <v>2276</v>
      </c>
      <c r="F839" t="s">
        <v>149</v>
      </c>
      <c r="G839" t="s">
        <v>4464</v>
      </c>
    </row>
    <row r="840" spans="1:7" s="297" customFormat="1" ht="44.25" customHeight="1">
      <c r="A840" t="s">
        <v>781</v>
      </c>
      <c r="B840" t="s">
        <v>4465</v>
      </c>
      <c r="C840" t="s">
        <v>136</v>
      </c>
      <c r="D840" t="s">
        <v>2253</v>
      </c>
      <c r="E840" t="s">
        <v>1432</v>
      </c>
      <c r="F840" t="s">
        <v>149</v>
      </c>
      <c r="G840" t="s">
        <v>4466</v>
      </c>
    </row>
    <row r="841" spans="1:7" s="297" customFormat="1" ht="44.25" customHeight="1">
      <c r="A841" t="s">
        <v>959</v>
      </c>
      <c r="B841" t="s">
        <v>4467</v>
      </c>
      <c r="C841" t="s">
        <v>136</v>
      </c>
      <c r="D841" t="s">
        <v>2257</v>
      </c>
      <c r="E841" t="s">
        <v>2276</v>
      </c>
      <c r="F841" t="s">
        <v>149</v>
      </c>
      <c r="G841" t="s">
        <v>4468</v>
      </c>
    </row>
    <row r="842" spans="1:7" s="297" customFormat="1" ht="44.25" customHeight="1">
      <c r="A842" t="s">
        <v>955</v>
      </c>
      <c r="B842" t="s">
        <v>4469</v>
      </c>
      <c r="C842" t="s">
        <v>136</v>
      </c>
      <c r="D842" t="s">
        <v>2257</v>
      </c>
      <c r="E842" t="s">
        <v>2276</v>
      </c>
      <c r="F842" t="s">
        <v>149</v>
      </c>
      <c r="G842" t="s">
        <v>4470</v>
      </c>
    </row>
    <row r="843" spans="1:7" s="297" customFormat="1" ht="44.25" customHeight="1">
      <c r="A843" t="s">
        <v>1076</v>
      </c>
      <c r="B843" t="s">
        <v>4471</v>
      </c>
      <c r="C843" t="s">
        <v>136</v>
      </c>
      <c r="D843" t="s">
        <v>2257</v>
      </c>
      <c r="E843" t="s">
        <v>2276</v>
      </c>
      <c r="F843" t="s">
        <v>149</v>
      </c>
      <c r="G843" t="s">
        <v>4472</v>
      </c>
    </row>
    <row r="844" spans="1:7" s="297" customFormat="1" ht="44.25" customHeight="1">
      <c r="A844" t="s">
        <v>1077</v>
      </c>
      <c r="B844" t="s">
        <v>4473</v>
      </c>
      <c r="C844" t="s">
        <v>136</v>
      </c>
      <c r="D844" t="s">
        <v>2257</v>
      </c>
      <c r="E844" t="s">
        <v>2276</v>
      </c>
      <c r="F844" t="s">
        <v>149</v>
      </c>
      <c r="G844" t="s">
        <v>4474</v>
      </c>
    </row>
    <row r="845" spans="1:7" s="297" customFormat="1" ht="44.25" customHeight="1">
      <c r="A845" t="s">
        <v>4475</v>
      </c>
      <c r="B845" t="s">
        <v>4476</v>
      </c>
      <c r="C845" t="s">
        <v>136</v>
      </c>
      <c r="D845" t="s">
        <v>79</v>
      </c>
      <c r="E845" t="s">
        <v>4477</v>
      </c>
      <c r="F845" t="s">
        <v>149</v>
      </c>
      <c r="G845" t="s">
        <v>4478</v>
      </c>
    </row>
    <row r="846" spans="1:7" s="297" customFormat="1" ht="44.25" customHeight="1">
      <c r="A846" t="s">
        <v>720</v>
      </c>
      <c r="B846" t="s">
        <v>4479</v>
      </c>
      <c r="C846" t="s">
        <v>136</v>
      </c>
      <c r="D846" t="s">
        <v>2257</v>
      </c>
      <c r="E846" t="s">
        <v>1584</v>
      </c>
      <c r="F846" t="s">
        <v>149</v>
      </c>
      <c r="G846" t="s">
        <v>4480</v>
      </c>
    </row>
    <row r="847" spans="1:7" s="297" customFormat="1" ht="44.25" customHeight="1">
      <c r="A847" t="s">
        <v>949</v>
      </c>
      <c r="B847" t="s">
        <v>4481</v>
      </c>
      <c r="C847" t="s">
        <v>136</v>
      </c>
      <c r="D847" t="s">
        <v>2257</v>
      </c>
      <c r="E847" t="s">
        <v>2276</v>
      </c>
      <c r="F847" t="s">
        <v>149</v>
      </c>
      <c r="G847" t="s">
        <v>4482</v>
      </c>
    </row>
    <row r="848" spans="1:7" s="297" customFormat="1" ht="44.25" customHeight="1">
      <c r="A848" t="s">
        <v>948</v>
      </c>
      <c r="B848" t="s">
        <v>4483</v>
      </c>
      <c r="C848" t="s">
        <v>136</v>
      </c>
      <c r="D848" t="s">
        <v>2257</v>
      </c>
      <c r="E848" t="s">
        <v>2276</v>
      </c>
      <c r="F848" t="s">
        <v>149</v>
      </c>
      <c r="G848" t="s">
        <v>4484</v>
      </c>
    </row>
    <row r="849" spans="1:7" s="297" customFormat="1" ht="44.25" customHeight="1">
      <c r="A849" t="s">
        <v>947</v>
      </c>
      <c r="B849" t="s">
        <v>4485</v>
      </c>
      <c r="C849" t="s">
        <v>136</v>
      </c>
      <c r="D849" t="s">
        <v>2257</v>
      </c>
      <c r="E849" t="s">
        <v>2276</v>
      </c>
      <c r="F849" t="s">
        <v>149</v>
      </c>
      <c r="G849" t="s">
        <v>4486</v>
      </c>
    </row>
    <row r="850" spans="1:7" s="297" customFormat="1" ht="44.25" customHeight="1">
      <c r="A850" t="s">
        <v>945</v>
      </c>
      <c r="B850" t="s">
        <v>4487</v>
      </c>
      <c r="C850" t="s">
        <v>136</v>
      </c>
      <c r="D850" t="s">
        <v>2257</v>
      </c>
      <c r="E850" t="s">
        <v>2276</v>
      </c>
      <c r="F850" t="s">
        <v>149</v>
      </c>
      <c r="G850" t="s">
        <v>4488</v>
      </c>
    </row>
    <row r="851" spans="1:7" s="297" customFormat="1" ht="44.25" customHeight="1">
      <c r="A851" t="s">
        <v>518</v>
      </c>
      <c r="B851" t="s">
        <v>4489</v>
      </c>
      <c r="C851" t="s">
        <v>136</v>
      </c>
      <c r="D851" t="s">
        <v>2257</v>
      </c>
      <c r="E851" t="s">
        <v>2258</v>
      </c>
      <c r="F851" t="s">
        <v>149</v>
      </c>
      <c r="G851" t="s">
        <v>4490</v>
      </c>
    </row>
    <row r="852" spans="1:7" s="297" customFormat="1" ht="44.25" customHeight="1">
      <c r="A852" t="s">
        <v>944</v>
      </c>
      <c r="B852" t="s">
        <v>4491</v>
      </c>
      <c r="C852" t="s">
        <v>136</v>
      </c>
      <c r="D852" t="s">
        <v>2257</v>
      </c>
      <c r="E852" t="s">
        <v>2276</v>
      </c>
      <c r="F852" t="s">
        <v>149</v>
      </c>
      <c r="G852" t="s">
        <v>4492</v>
      </c>
    </row>
    <row r="853" spans="1:7" s="297" customFormat="1" ht="44.25" customHeight="1">
      <c r="A853" t="s">
        <v>828</v>
      </c>
      <c r="B853" t="s">
        <v>4493</v>
      </c>
      <c r="C853" t="s">
        <v>136</v>
      </c>
      <c r="D853" t="s">
        <v>79</v>
      </c>
      <c r="E853" t="s">
        <v>4152</v>
      </c>
      <c r="F853" t="s">
        <v>149</v>
      </c>
      <c r="G853" t="s">
        <v>4494</v>
      </c>
    </row>
    <row r="854" spans="1:7" s="297" customFormat="1" ht="44.25" customHeight="1">
      <c r="A854" t="s">
        <v>798</v>
      </c>
      <c r="B854" t="s">
        <v>4495</v>
      </c>
      <c r="C854" t="s">
        <v>136</v>
      </c>
      <c r="D854" t="s">
        <v>79</v>
      </c>
      <c r="E854" t="s">
        <v>4496</v>
      </c>
      <c r="F854" t="s">
        <v>149</v>
      </c>
      <c r="G854" t="s">
        <v>4497</v>
      </c>
    </row>
    <row r="855" spans="1:7" s="297" customFormat="1" ht="44.25" customHeight="1">
      <c r="A855" t="s">
        <v>799</v>
      </c>
      <c r="B855" t="s">
        <v>4498</v>
      </c>
      <c r="C855" t="s">
        <v>136</v>
      </c>
      <c r="D855" t="s">
        <v>79</v>
      </c>
      <c r="E855" t="s">
        <v>4499</v>
      </c>
      <c r="F855" t="s">
        <v>149</v>
      </c>
      <c r="G855" t="s">
        <v>4500</v>
      </c>
    </row>
    <row r="856" spans="1:7" s="297" customFormat="1" ht="44.25" customHeight="1">
      <c r="A856" t="s">
        <v>795</v>
      </c>
      <c r="B856" t="s">
        <v>4501</v>
      </c>
      <c r="C856" t="s">
        <v>136</v>
      </c>
      <c r="D856" t="s">
        <v>79</v>
      </c>
      <c r="E856" t="s">
        <v>4502</v>
      </c>
      <c r="F856" t="s">
        <v>149</v>
      </c>
      <c r="G856" t="s">
        <v>4503</v>
      </c>
    </row>
    <row r="857" spans="1:7" s="297" customFormat="1" ht="44.25" customHeight="1">
      <c r="A857" t="s">
        <v>868</v>
      </c>
      <c r="B857" t="s">
        <v>4504</v>
      </c>
      <c r="C857" t="s">
        <v>136</v>
      </c>
      <c r="D857" t="s">
        <v>79</v>
      </c>
      <c r="E857" t="s">
        <v>4505</v>
      </c>
      <c r="F857" t="s">
        <v>149</v>
      </c>
      <c r="G857" t="s">
        <v>4506</v>
      </c>
    </row>
    <row r="858" spans="1:7" s="297" customFormat="1" ht="44.25" customHeight="1">
      <c r="A858" t="s">
        <v>433</v>
      </c>
      <c r="B858" t="s">
        <v>4507</v>
      </c>
      <c r="C858" t="s">
        <v>136</v>
      </c>
      <c r="D858" t="s">
        <v>79</v>
      </c>
      <c r="E858" t="s">
        <v>4508</v>
      </c>
      <c r="F858" t="s">
        <v>149</v>
      </c>
      <c r="G858" t="s">
        <v>4509</v>
      </c>
    </row>
    <row r="859" spans="1:7" s="297" customFormat="1" ht="44.25" customHeight="1">
      <c r="A859" t="s">
        <v>756</v>
      </c>
      <c r="B859" t="s">
        <v>4510</v>
      </c>
      <c r="C859" t="s">
        <v>136</v>
      </c>
      <c r="D859" t="s">
        <v>2257</v>
      </c>
      <c r="E859" t="s">
        <v>4511</v>
      </c>
      <c r="F859" t="s">
        <v>149</v>
      </c>
      <c r="G859" t="s">
        <v>4512</v>
      </c>
    </row>
    <row r="860" spans="1:7" s="297" customFormat="1" ht="44.25" customHeight="1">
      <c r="A860" t="s">
        <v>718</v>
      </c>
      <c r="B860" t="s">
        <v>4513</v>
      </c>
      <c r="C860" t="s">
        <v>136</v>
      </c>
      <c r="D860" t="s">
        <v>2257</v>
      </c>
      <c r="E860" t="s">
        <v>1584</v>
      </c>
      <c r="F860" t="s">
        <v>149</v>
      </c>
      <c r="G860" t="s">
        <v>4514</v>
      </c>
    </row>
    <row r="861" spans="1:7" s="297" customFormat="1" ht="44.25" customHeight="1">
      <c r="A861" t="s">
        <v>941</v>
      </c>
      <c r="B861" t="s">
        <v>4515</v>
      </c>
      <c r="C861" t="s">
        <v>136</v>
      </c>
      <c r="D861" t="s">
        <v>2257</v>
      </c>
      <c r="E861" t="s">
        <v>2276</v>
      </c>
      <c r="F861" t="s">
        <v>149</v>
      </c>
      <c r="G861" t="s">
        <v>4516</v>
      </c>
    </row>
    <row r="862" spans="1:7" s="297" customFormat="1" ht="44.25" customHeight="1">
      <c r="A862" t="s">
        <v>940</v>
      </c>
      <c r="B862" t="s">
        <v>4517</v>
      </c>
      <c r="C862" t="s">
        <v>136</v>
      </c>
      <c r="D862" t="s">
        <v>2257</v>
      </c>
      <c r="E862" t="s">
        <v>2276</v>
      </c>
      <c r="F862" t="s">
        <v>149</v>
      </c>
      <c r="G862" t="s">
        <v>4518</v>
      </c>
    </row>
    <row r="863" spans="1:7" s="297" customFormat="1" ht="44.25" customHeight="1">
      <c r="A863" t="s">
        <v>717</v>
      </c>
      <c r="B863" t="s">
        <v>4519</v>
      </c>
      <c r="C863" t="s">
        <v>136</v>
      </c>
      <c r="D863" t="s">
        <v>2257</v>
      </c>
      <c r="E863" t="s">
        <v>1584</v>
      </c>
      <c r="F863" t="s">
        <v>149</v>
      </c>
      <c r="G863" t="s">
        <v>4520</v>
      </c>
    </row>
    <row r="864" spans="1:7" s="297" customFormat="1" ht="44.25" customHeight="1">
      <c r="A864" t="s">
        <v>516</v>
      </c>
      <c r="B864" t="s">
        <v>4521</v>
      </c>
      <c r="C864" t="s">
        <v>136</v>
      </c>
      <c r="D864" t="s">
        <v>2257</v>
      </c>
      <c r="E864" t="s">
        <v>2258</v>
      </c>
      <c r="F864" t="s">
        <v>149</v>
      </c>
      <c r="G864" t="s">
        <v>4522</v>
      </c>
    </row>
    <row r="865" spans="1:7" s="297" customFormat="1" ht="44.25" customHeight="1">
      <c r="A865" t="s">
        <v>850</v>
      </c>
      <c r="B865" t="s">
        <v>4523</v>
      </c>
      <c r="C865" t="s">
        <v>136</v>
      </c>
      <c r="D865" t="s">
        <v>2257</v>
      </c>
      <c r="E865" t="s">
        <v>4124</v>
      </c>
      <c r="F865" t="s">
        <v>149</v>
      </c>
      <c r="G865" t="s">
        <v>4524</v>
      </c>
    </row>
    <row r="866" spans="1:7" s="297" customFormat="1" ht="44.25" customHeight="1">
      <c r="A866" t="s">
        <v>760</v>
      </c>
      <c r="B866" t="s">
        <v>4525</v>
      </c>
      <c r="C866" t="s">
        <v>136</v>
      </c>
      <c r="D866" t="s">
        <v>2257</v>
      </c>
      <c r="E866" t="s">
        <v>3759</v>
      </c>
      <c r="F866" t="s">
        <v>149</v>
      </c>
      <c r="G866" t="s">
        <v>4526</v>
      </c>
    </row>
    <row r="867" spans="1:7" s="297" customFormat="1" ht="44.25" customHeight="1">
      <c r="A867" t="s">
        <v>777</v>
      </c>
      <c r="B867" t="s">
        <v>4527</v>
      </c>
      <c r="C867" t="s">
        <v>136</v>
      </c>
      <c r="D867" t="s">
        <v>2257</v>
      </c>
      <c r="E867" t="s">
        <v>1432</v>
      </c>
      <c r="F867" t="s">
        <v>149</v>
      </c>
      <c r="G867" t="s">
        <v>4528</v>
      </c>
    </row>
    <row r="868" spans="1:7" s="297" customFormat="1" ht="44.25" customHeight="1">
      <c r="A868" t="s">
        <v>513</v>
      </c>
      <c r="B868" t="s">
        <v>4529</v>
      </c>
      <c r="C868" t="s">
        <v>136</v>
      </c>
      <c r="D868" t="s">
        <v>2257</v>
      </c>
      <c r="E868" t="s">
        <v>2258</v>
      </c>
      <c r="F868" t="s">
        <v>149</v>
      </c>
      <c r="G868" t="s">
        <v>4530</v>
      </c>
    </row>
    <row r="869" spans="1:7" s="297" customFormat="1" ht="44.25" customHeight="1">
      <c r="A869" t="s">
        <v>1529</v>
      </c>
      <c r="B869" t="s">
        <v>4531</v>
      </c>
      <c r="C869" t="s">
        <v>136</v>
      </c>
      <c r="D869" t="s">
        <v>79</v>
      </c>
      <c r="E869" t="s">
        <v>4532</v>
      </c>
      <c r="F869" t="s">
        <v>149</v>
      </c>
      <c r="G869" t="s">
        <v>4533</v>
      </c>
    </row>
    <row r="870" spans="1:7" s="297" customFormat="1" ht="44.25" customHeight="1">
      <c r="A870" t="s">
        <v>4534</v>
      </c>
      <c r="B870" t="s">
        <v>4535</v>
      </c>
      <c r="C870" t="s">
        <v>136</v>
      </c>
      <c r="D870" t="s">
        <v>79</v>
      </c>
      <c r="E870" t="s">
        <v>4536</v>
      </c>
      <c r="F870" t="s">
        <v>149</v>
      </c>
      <c r="G870" t="s">
        <v>4537</v>
      </c>
    </row>
    <row r="871" spans="1:7" s="297" customFormat="1" ht="44.25" customHeight="1">
      <c r="A871" t="s">
        <v>464</v>
      </c>
      <c r="B871" t="s">
        <v>4538</v>
      </c>
      <c r="C871" t="s">
        <v>136</v>
      </c>
      <c r="D871" t="s">
        <v>79</v>
      </c>
      <c r="E871" t="s">
        <v>4539</v>
      </c>
      <c r="F871" t="s">
        <v>149</v>
      </c>
      <c r="G871" t="s">
        <v>4540</v>
      </c>
    </row>
    <row r="872" spans="1:7" s="297" customFormat="1" ht="44.25" customHeight="1">
      <c r="A872" t="s">
        <v>816</v>
      </c>
      <c r="B872" t="s">
        <v>4541</v>
      </c>
      <c r="C872" t="s">
        <v>136</v>
      </c>
      <c r="D872" t="s">
        <v>79</v>
      </c>
      <c r="E872" t="s">
        <v>4542</v>
      </c>
      <c r="F872" t="s">
        <v>149</v>
      </c>
      <c r="G872" t="s">
        <v>4543</v>
      </c>
    </row>
    <row r="873" spans="1:7" s="297" customFormat="1" ht="44.25" customHeight="1">
      <c r="A873" t="s">
        <v>714</v>
      </c>
      <c r="B873" t="s">
        <v>4544</v>
      </c>
      <c r="C873" t="s">
        <v>136</v>
      </c>
      <c r="D873" t="s">
        <v>2257</v>
      </c>
      <c r="E873" t="s">
        <v>1584</v>
      </c>
      <c r="F873" t="s">
        <v>149</v>
      </c>
      <c r="G873" t="s">
        <v>4545</v>
      </c>
    </row>
    <row r="874" spans="1:7" s="297" customFormat="1" ht="44.25" customHeight="1">
      <c r="A874" t="s">
        <v>4546</v>
      </c>
      <c r="B874" t="s">
        <v>4547</v>
      </c>
      <c r="C874" t="s">
        <v>136</v>
      </c>
      <c r="D874" t="s">
        <v>79</v>
      </c>
      <c r="E874" t="s">
        <v>4548</v>
      </c>
      <c r="F874" t="s">
        <v>149</v>
      </c>
      <c r="G874" t="s">
        <v>4549</v>
      </c>
    </row>
    <row r="875" spans="1:7" s="297" customFormat="1" ht="44.25" customHeight="1">
      <c r="A875" t="s">
        <v>4550</v>
      </c>
      <c r="B875" t="s">
        <v>4551</v>
      </c>
      <c r="C875" t="s">
        <v>136</v>
      </c>
      <c r="D875" t="s">
        <v>79</v>
      </c>
      <c r="E875" t="s">
        <v>4552</v>
      </c>
      <c r="F875" t="s">
        <v>149</v>
      </c>
      <c r="G875" t="s">
        <v>4553</v>
      </c>
    </row>
    <row r="876" spans="1:7" s="297" customFormat="1" ht="44.25" customHeight="1">
      <c r="A876" t="s">
        <v>4554</v>
      </c>
      <c r="B876" t="s">
        <v>4555</v>
      </c>
      <c r="C876" t="s">
        <v>136</v>
      </c>
      <c r="D876" t="s">
        <v>79</v>
      </c>
      <c r="E876" t="s">
        <v>4556</v>
      </c>
      <c r="F876" t="s">
        <v>149</v>
      </c>
      <c r="G876" t="s">
        <v>4557</v>
      </c>
    </row>
    <row r="877" spans="1:7" s="297" customFormat="1" ht="44.25" customHeight="1">
      <c r="A877" t="s">
        <v>939</v>
      </c>
      <c r="B877" t="s">
        <v>4558</v>
      </c>
      <c r="C877" t="s">
        <v>136</v>
      </c>
      <c r="D877" t="s">
        <v>2257</v>
      </c>
      <c r="E877" t="s">
        <v>2276</v>
      </c>
      <c r="F877" t="s">
        <v>149</v>
      </c>
      <c r="G877" t="s">
        <v>4559</v>
      </c>
    </row>
    <row r="878" spans="1:7" s="297" customFormat="1" ht="44.25" customHeight="1">
      <c r="A878" t="s">
        <v>512</v>
      </c>
      <c r="B878" t="s">
        <v>4560</v>
      </c>
      <c r="C878" t="s">
        <v>136</v>
      </c>
      <c r="D878" t="s">
        <v>2257</v>
      </c>
      <c r="E878" t="s">
        <v>2258</v>
      </c>
      <c r="F878" t="s">
        <v>149</v>
      </c>
      <c r="G878" t="s">
        <v>4561</v>
      </c>
    </row>
    <row r="879" spans="1:7" s="297" customFormat="1" ht="44.25" customHeight="1">
      <c r="A879" t="s">
        <v>4562</v>
      </c>
      <c r="B879" t="s">
        <v>4563</v>
      </c>
      <c r="C879" t="s">
        <v>136</v>
      </c>
      <c r="D879" t="s">
        <v>79</v>
      </c>
      <c r="E879" t="s">
        <v>1430</v>
      </c>
      <c r="F879" t="s">
        <v>149</v>
      </c>
      <c r="G879" t="s">
        <v>4564</v>
      </c>
    </row>
    <row r="880" spans="1:7" s="297" customFormat="1" ht="44.25" customHeight="1">
      <c r="A880" t="s">
        <v>537</v>
      </c>
      <c r="B880" t="s">
        <v>4565</v>
      </c>
      <c r="C880" t="s">
        <v>136</v>
      </c>
      <c r="D880" t="s">
        <v>79</v>
      </c>
      <c r="E880" t="s">
        <v>4566</v>
      </c>
      <c r="F880" t="s">
        <v>149</v>
      </c>
      <c r="G880" t="s">
        <v>4567</v>
      </c>
    </row>
    <row r="881" spans="1:7" s="297" customFormat="1" ht="44.25" customHeight="1">
      <c r="A881" t="s">
        <v>932</v>
      </c>
      <c r="B881" t="s">
        <v>4568</v>
      </c>
      <c r="C881" t="s">
        <v>136</v>
      </c>
      <c r="D881" t="s">
        <v>2257</v>
      </c>
      <c r="E881" t="s">
        <v>2276</v>
      </c>
      <c r="F881" t="s">
        <v>149</v>
      </c>
      <c r="G881" t="s">
        <v>4569</v>
      </c>
    </row>
    <row r="882" spans="1:7" s="297" customFormat="1" ht="44.25" customHeight="1">
      <c r="A882" t="s">
        <v>712</v>
      </c>
      <c r="B882" t="s">
        <v>4570</v>
      </c>
      <c r="C882" t="s">
        <v>136</v>
      </c>
      <c r="D882" t="s">
        <v>2257</v>
      </c>
      <c r="E882" t="s">
        <v>1584</v>
      </c>
      <c r="F882" t="s">
        <v>149</v>
      </c>
      <c r="G882" t="s">
        <v>4571</v>
      </c>
    </row>
    <row r="883" spans="1:7" s="297" customFormat="1" ht="44.25" customHeight="1">
      <c r="A883" t="s">
        <v>525</v>
      </c>
      <c r="B883" t="s">
        <v>4572</v>
      </c>
      <c r="C883" t="s">
        <v>136</v>
      </c>
      <c r="D883" t="s">
        <v>2257</v>
      </c>
      <c r="E883" t="s">
        <v>2265</v>
      </c>
      <c r="F883" t="s">
        <v>149</v>
      </c>
      <c r="G883" t="s">
        <v>4573</v>
      </c>
    </row>
    <row r="884" spans="1:7" s="297" customFormat="1" ht="44.25" customHeight="1">
      <c r="A884" t="s">
        <v>937</v>
      </c>
      <c r="B884" t="s">
        <v>4574</v>
      </c>
      <c r="C884" t="s">
        <v>136</v>
      </c>
      <c r="D884" t="s">
        <v>2257</v>
      </c>
      <c r="E884" t="s">
        <v>2276</v>
      </c>
      <c r="F884" t="s">
        <v>149</v>
      </c>
      <c r="G884" t="s">
        <v>4575</v>
      </c>
    </row>
    <row r="885" spans="1:7" s="297" customFormat="1" ht="44.25" customHeight="1">
      <c r="A885" t="s">
        <v>496</v>
      </c>
      <c r="B885" t="s">
        <v>4576</v>
      </c>
      <c r="C885" t="s">
        <v>136</v>
      </c>
      <c r="D885" t="s">
        <v>79</v>
      </c>
      <c r="E885" t="s">
        <v>4577</v>
      </c>
      <c r="F885" t="s">
        <v>149</v>
      </c>
      <c r="G885" t="s">
        <v>4578</v>
      </c>
    </row>
    <row r="886" spans="1:7" s="297" customFormat="1" ht="44.25" customHeight="1">
      <c r="A886" t="s">
        <v>545</v>
      </c>
      <c r="B886" t="s">
        <v>4579</v>
      </c>
      <c r="C886" t="s">
        <v>136</v>
      </c>
      <c r="D886" t="s">
        <v>79</v>
      </c>
      <c r="E886" t="s">
        <v>4580</v>
      </c>
      <c r="F886" t="s">
        <v>149</v>
      </c>
      <c r="G886" t="s">
        <v>4581</v>
      </c>
    </row>
    <row r="887" spans="1:7" s="297" customFormat="1" ht="44.25" customHeight="1">
      <c r="A887" t="s">
        <v>510</v>
      </c>
      <c r="B887" t="s">
        <v>4582</v>
      </c>
      <c r="C887" t="s">
        <v>136</v>
      </c>
      <c r="D887" t="s">
        <v>2257</v>
      </c>
      <c r="E887" t="s">
        <v>2258</v>
      </c>
      <c r="F887" t="s">
        <v>149</v>
      </c>
      <c r="G887" t="s">
        <v>4583</v>
      </c>
    </row>
    <row r="888" spans="1:7" s="297" customFormat="1" ht="44.25" customHeight="1">
      <c r="A888" t="s">
        <v>1084</v>
      </c>
      <c r="B888" t="s">
        <v>4584</v>
      </c>
      <c r="C888" t="s">
        <v>136</v>
      </c>
      <c r="D888" t="s">
        <v>79</v>
      </c>
      <c r="E888" t="s">
        <v>4585</v>
      </c>
      <c r="F888" t="s">
        <v>149</v>
      </c>
      <c r="G888" t="s">
        <v>4586</v>
      </c>
    </row>
    <row r="889" spans="1:7" s="297" customFormat="1" ht="44.25" customHeight="1">
      <c r="A889" t="s">
        <v>630</v>
      </c>
      <c r="B889" t="s">
        <v>4587</v>
      </c>
      <c r="C889" t="s">
        <v>136</v>
      </c>
      <c r="D889" t="s">
        <v>79</v>
      </c>
      <c r="E889" t="s">
        <v>4588</v>
      </c>
      <c r="F889" t="s">
        <v>149</v>
      </c>
      <c r="G889" t="s">
        <v>4589</v>
      </c>
    </row>
    <row r="890" spans="1:7" s="297" customFormat="1" ht="44.25" customHeight="1">
      <c r="A890" t="s">
        <v>936</v>
      </c>
      <c r="B890" t="s">
        <v>4590</v>
      </c>
      <c r="C890" t="s">
        <v>136</v>
      </c>
      <c r="D890" t="s">
        <v>2257</v>
      </c>
      <c r="E890" t="s">
        <v>2276</v>
      </c>
      <c r="F890" t="s">
        <v>149</v>
      </c>
      <c r="G890" t="s">
        <v>4591</v>
      </c>
    </row>
    <row r="891" spans="1:7" s="297" customFormat="1" ht="44.25" customHeight="1">
      <c r="A891" t="s">
        <v>709</v>
      </c>
      <c r="B891" t="s">
        <v>4592</v>
      </c>
      <c r="C891" t="s">
        <v>136</v>
      </c>
      <c r="D891" t="s">
        <v>2257</v>
      </c>
      <c r="E891" t="s">
        <v>1584</v>
      </c>
      <c r="F891" t="s">
        <v>149</v>
      </c>
      <c r="G891" t="s">
        <v>4593</v>
      </c>
    </row>
    <row r="892" spans="1:7" s="297" customFormat="1" ht="44.25" customHeight="1">
      <c r="A892" t="s">
        <v>460</v>
      </c>
      <c r="B892" t="s">
        <v>4594</v>
      </c>
      <c r="C892" t="s">
        <v>136</v>
      </c>
      <c r="D892" t="s">
        <v>2257</v>
      </c>
      <c r="E892" t="s">
        <v>4595</v>
      </c>
      <c r="F892" t="s">
        <v>149</v>
      </c>
      <c r="G892" t="s">
        <v>4596</v>
      </c>
    </row>
    <row r="893" spans="1:7" s="297" customFormat="1" ht="44.25" customHeight="1">
      <c r="A893" t="s">
        <v>459</v>
      </c>
      <c r="B893" t="s">
        <v>4597</v>
      </c>
      <c r="C893" t="s">
        <v>136</v>
      </c>
      <c r="D893" t="s">
        <v>2257</v>
      </c>
      <c r="E893" t="s">
        <v>4595</v>
      </c>
      <c r="F893" t="s">
        <v>149</v>
      </c>
      <c r="G893" t="s">
        <v>4598</v>
      </c>
    </row>
    <row r="894" spans="1:7" s="297" customFormat="1" ht="44.25" customHeight="1">
      <c r="A894" t="s">
        <v>752</v>
      </c>
      <c r="B894" t="s">
        <v>4599</v>
      </c>
      <c r="C894" t="s">
        <v>136</v>
      </c>
      <c r="D894" t="s">
        <v>79</v>
      </c>
      <c r="E894" t="s">
        <v>4511</v>
      </c>
      <c r="F894" t="s">
        <v>149</v>
      </c>
      <c r="G894" t="s">
        <v>4600</v>
      </c>
    </row>
    <row r="895" spans="1:7" s="297" customFormat="1" ht="44.25" customHeight="1">
      <c r="A895" t="s">
        <v>1033</v>
      </c>
      <c r="B895" t="s">
        <v>4601</v>
      </c>
      <c r="C895" t="s">
        <v>136</v>
      </c>
      <c r="D895" t="s">
        <v>79</v>
      </c>
      <c r="E895" t="s">
        <v>1430</v>
      </c>
      <c r="F895" t="s">
        <v>149</v>
      </c>
      <c r="G895" t="s">
        <v>4602</v>
      </c>
    </row>
    <row r="896" spans="1:7" s="297" customFormat="1" ht="44.25" customHeight="1">
      <c r="A896" t="s">
        <v>774</v>
      </c>
      <c r="B896" t="s">
        <v>4603</v>
      </c>
      <c r="C896" t="s">
        <v>136</v>
      </c>
      <c r="D896" t="s">
        <v>2257</v>
      </c>
      <c r="E896" t="s">
        <v>1432</v>
      </c>
      <c r="F896" t="s">
        <v>149</v>
      </c>
      <c r="G896" t="s">
        <v>4604</v>
      </c>
    </row>
    <row r="897" spans="1:7" s="297" customFormat="1" ht="44.25" customHeight="1">
      <c r="A897" t="s">
        <v>454</v>
      </c>
      <c r="B897" t="s">
        <v>4605</v>
      </c>
      <c r="C897" t="s">
        <v>136</v>
      </c>
      <c r="D897" t="s">
        <v>79</v>
      </c>
      <c r="E897" t="s">
        <v>4532</v>
      </c>
      <c r="F897" t="s">
        <v>149</v>
      </c>
      <c r="G897" t="s">
        <v>4606</v>
      </c>
    </row>
    <row r="898" spans="1:7" s="297" customFormat="1" ht="44.25" customHeight="1">
      <c r="A898" t="s">
        <v>682</v>
      </c>
      <c r="B898" t="s">
        <v>4607</v>
      </c>
      <c r="C898" t="s">
        <v>136</v>
      </c>
      <c r="D898" t="s">
        <v>79</v>
      </c>
      <c r="E898" t="s">
        <v>4608</v>
      </c>
      <c r="F898" t="s">
        <v>149</v>
      </c>
      <c r="G898" t="s">
        <v>4609</v>
      </c>
    </row>
    <row r="899" spans="1:7" s="297" customFormat="1" ht="44.25" customHeight="1">
      <c r="A899" t="s">
        <v>857</v>
      </c>
      <c r="B899" t="s">
        <v>4610</v>
      </c>
      <c r="C899" t="s">
        <v>136</v>
      </c>
      <c r="D899" t="s">
        <v>79</v>
      </c>
      <c r="E899" t="s">
        <v>4124</v>
      </c>
      <c r="F899" t="s">
        <v>149</v>
      </c>
      <c r="G899" t="s">
        <v>4611</v>
      </c>
    </row>
    <row r="900" spans="1:7" s="297" customFormat="1" ht="44.25" customHeight="1">
      <c r="A900" t="s">
        <v>856</v>
      </c>
      <c r="B900" t="s">
        <v>4612</v>
      </c>
      <c r="C900" t="s">
        <v>136</v>
      </c>
      <c r="D900" t="s">
        <v>2257</v>
      </c>
      <c r="E900" t="s">
        <v>4124</v>
      </c>
      <c r="F900" t="s">
        <v>149</v>
      </c>
      <c r="G900" t="s">
        <v>4613</v>
      </c>
    </row>
    <row r="901" spans="1:7" s="297" customFormat="1" ht="44.25" customHeight="1">
      <c r="A901" t="s">
        <v>438</v>
      </c>
      <c r="B901" t="s">
        <v>4614</v>
      </c>
      <c r="C901" t="s">
        <v>136</v>
      </c>
      <c r="D901" t="s">
        <v>79</v>
      </c>
      <c r="E901" t="s">
        <v>4615</v>
      </c>
      <c r="F901" t="s">
        <v>149</v>
      </c>
      <c r="G901" t="s">
        <v>4616</v>
      </c>
    </row>
    <row r="902" spans="1:7" s="297" customFormat="1" ht="44.25" customHeight="1">
      <c r="A902" t="s">
        <v>507</v>
      </c>
      <c r="B902" t="s">
        <v>4617</v>
      </c>
      <c r="C902" t="s">
        <v>136</v>
      </c>
      <c r="D902" t="s">
        <v>2257</v>
      </c>
      <c r="E902" t="s">
        <v>2258</v>
      </c>
      <c r="F902" t="s">
        <v>149</v>
      </c>
      <c r="G902" t="s">
        <v>4618</v>
      </c>
    </row>
    <row r="903" spans="1:7" s="297" customFormat="1" ht="44.25" customHeight="1">
      <c r="A903" t="s">
        <v>523</v>
      </c>
      <c r="B903" t="s">
        <v>4619</v>
      </c>
      <c r="C903" t="s">
        <v>136</v>
      </c>
      <c r="D903" t="s">
        <v>2257</v>
      </c>
      <c r="E903" t="s">
        <v>2265</v>
      </c>
      <c r="F903" t="s">
        <v>149</v>
      </c>
      <c r="G903" t="s">
        <v>4620</v>
      </c>
    </row>
    <row r="904" spans="1:7" s="297" customFormat="1" ht="44.25" customHeight="1">
      <c r="A904" t="s">
        <v>576</v>
      </c>
      <c r="B904" t="s">
        <v>4621</v>
      </c>
      <c r="C904" t="s">
        <v>136</v>
      </c>
      <c r="D904" t="s">
        <v>79</v>
      </c>
      <c r="E904" t="s">
        <v>4622</v>
      </c>
      <c r="F904" t="s">
        <v>149</v>
      </c>
      <c r="G904" t="s">
        <v>4623</v>
      </c>
    </row>
    <row r="905" spans="1:7" s="297" customFormat="1" ht="44.25" customHeight="1">
      <c r="A905" t="s">
        <v>854</v>
      </c>
      <c r="B905" t="s">
        <v>4624</v>
      </c>
      <c r="C905" t="s">
        <v>136</v>
      </c>
      <c r="D905" t="s">
        <v>2257</v>
      </c>
      <c r="E905" t="s">
        <v>4124</v>
      </c>
      <c r="F905" t="s">
        <v>149</v>
      </c>
      <c r="G905" t="s">
        <v>4625</v>
      </c>
    </row>
    <row r="906" spans="1:7" s="297" customFormat="1" ht="44.25" customHeight="1">
      <c r="A906" t="s">
        <v>934</v>
      </c>
      <c r="B906" t="s">
        <v>4626</v>
      </c>
      <c r="C906" t="s">
        <v>136</v>
      </c>
      <c r="D906" t="s">
        <v>2257</v>
      </c>
      <c r="E906" t="s">
        <v>2276</v>
      </c>
      <c r="F906" t="s">
        <v>149</v>
      </c>
      <c r="G906" t="s">
        <v>4627</v>
      </c>
    </row>
    <row r="907" spans="1:7" s="297" customFormat="1" ht="44.25" customHeight="1">
      <c r="A907" t="s">
        <v>660</v>
      </c>
      <c r="B907" t="s">
        <v>4628</v>
      </c>
      <c r="C907" t="s">
        <v>136</v>
      </c>
      <c r="D907" t="s">
        <v>79</v>
      </c>
      <c r="E907" t="s">
        <v>4477</v>
      </c>
      <c r="F907" t="s">
        <v>149</v>
      </c>
      <c r="G907" t="s">
        <v>4629</v>
      </c>
    </row>
    <row r="908" spans="1:7" s="297" customFormat="1" ht="44.25" customHeight="1">
      <c r="A908" t="s">
        <v>647</v>
      </c>
      <c r="B908" t="s">
        <v>4630</v>
      </c>
      <c r="C908" t="s">
        <v>136</v>
      </c>
      <c r="D908" t="s">
        <v>79</v>
      </c>
      <c r="E908" t="s">
        <v>3699</v>
      </c>
      <c r="F908" t="s">
        <v>149</v>
      </c>
      <c r="G908" t="s">
        <v>4631</v>
      </c>
    </row>
    <row r="909" spans="1:7" s="297" customFormat="1" ht="44.25" customHeight="1">
      <c r="A909" t="s">
        <v>559</v>
      </c>
      <c r="B909" t="s">
        <v>4632</v>
      </c>
      <c r="C909" t="s">
        <v>136</v>
      </c>
      <c r="D909" t="s">
        <v>79</v>
      </c>
      <c r="E909" t="s">
        <v>4633</v>
      </c>
      <c r="F909" t="s">
        <v>149</v>
      </c>
      <c r="G909" t="s">
        <v>4634</v>
      </c>
    </row>
    <row r="910" spans="1:7" s="297" customFormat="1" ht="44.25" customHeight="1">
      <c r="A910" t="s">
        <v>877</v>
      </c>
      <c r="B910" t="s">
        <v>4635</v>
      </c>
      <c r="C910" t="s">
        <v>136</v>
      </c>
      <c r="D910" t="s">
        <v>2257</v>
      </c>
      <c r="E910" t="s">
        <v>4636</v>
      </c>
      <c r="F910" t="s">
        <v>149</v>
      </c>
      <c r="G910" t="s">
        <v>4637</v>
      </c>
    </row>
    <row r="911" spans="1:7" s="297" customFormat="1" ht="44.25" customHeight="1">
      <c r="A911" t="s">
        <v>677</v>
      </c>
      <c r="B911" t="s">
        <v>4638</v>
      </c>
      <c r="C911" t="s">
        <v>136</v>
      </c>
      <c r="D911" t="s">
        <v>2257</v>
      </c>
      <c r="E911" t="s">
        <v>2314</v>
      </c>
      <c r="F911" t="s">
        <v>149</v>
      </c>
      <c r="G911" t="s">
        <v>4639</v>
      </c>
    </row>
    <row r="912" spans="1:7" s="297" customFormat="1" ht="44.25" customHeight="1">
      <c r="A912" t="s">
        <v>875</v>
      </c>
      <c r="B912" t="s">
        <v>4640</v>
      </c>
      <c r="C912" t="s">
        <v>136</v>
      </c>
      <c r="D912" t="s">
        <v>79</v>
      </c>
      <c r="E912" t="s">
        <v>4641</v>
      </c>
      <c r="F912" t="s">
        <v>149</v>
      </c>
      <c r="G912" t="s">
        <v>4642</v>
      </c>
    </row>
    <row r="913" spans="1:7" s="297" customFormat="1" ht="44.25" customHeight="1">
      <c r="A913" t="s">
        <v>581</v>
      </c>
      <c r="B913" t="s">
        <v>4643</v>
      </c>
      <c r="C913" t="s">
        <v>136</v>
      </c>
      <c r="D913" t="s">
        <v>79</v>
      </c>
      <c r="E913" t="s">
        <v>4644</v>
      </c>
      <c r="F913" t="s">
        <v>149</v>
      </c>
      <c r="G913" t="s">
        <v>4645</v>
      </c>
    </row>
    <row r="914" spans="1:7" s="297" customFormat="1" ht="44.25" customHeight="1">
      <c r="A914" t="s">
        <v>491</v>
      </c>
      <c r="B914" t="s">
        <v>4646</v>
      </c>
      <c r="C914" t="s">
        <v>136</v>
      </c>
      <c r="D914" t="s">
        <v>79</v>
      </c>
      <c r="E914" t="s">
        <v>4647</v>
      </c>
      <c r="F914" t="s">
        <v>149</v>
      </c>
      <c r="G914" t="s">
        <v>4648</v>
      </c>
    </row>
    <row r="915" spans="1:7" s="297" customFormat="1" ht="44.25" customHeight="1">
      <c r="A915" t="s">
        <v>827</v>
      </c>
      <c r="B915" t="s">
        <v>4649</v>
      </c>
      <c r="C915" t="s">
        <v>136</v>
      </c>
      <c r="D915" t="s">
        <v>79</v>
      </c>
      <c r="E915" t="s">
        <v>4650</v>
      </c>
      <c r="F915" t="s">
        <v>149</v>
      </c>
      <c r="G915" t="s">
        <v>4651</v>
      </c>
    </row>
    <row r="916" spans="1:7" s="297" customFormat="1" ht="44.25" customHeight="1">
      <c r="A916" t="s">
        <v>587</v>
      </c>
      <c r="B916" t="s">
        <v>4652</v>
      </c>
      <c r="C916" t="s">
        <v>136</v>
      </c>
      <c r="D916" t="s">
        <v>79</v>
      </c>
      <c r="E916" t="s">
        <v>4653</v>
      </c>
      <c r="F916" t="s">
        <v>149</v>
      </c>
      <c r="G916" t="s">
        <v>4654</v>
      </c>
    </row>
    <row r="917" spans="1:7" s="297" customFormat="1" ht="44.25" customHeight="1">
      <c r="A917" t="s">
        <v>817</v>
      </c>
      <c r="B917" t="s">
        <v>4655</v>
      </c>
      <c r="C917" t="s">
        <v>136</v>
      </c>
      <c r="D917" t="s">
        <v>79</v>
      </c>
      <c r="E917" t="s">
        <v>4656</v>
      </c>
      <c r="F917" t="s">
        <v>149</v>
      </c>
      <c r="G917" t="s">
        <v>4657</v>
      </c>
    </row>
    <row r="918" spans="1:7" s="297" customFormat="1" ht="44.25" customHeight="1">
      <c r="A918" t="s">
        <v>882</v>
      </c>
      <c r="B918" t="s">
        <v>4658</v>
      </c>
      <c r="C918" t="s">
        <v>136</v>
      </c>
      <c r="D918" t="s">
        <v>2257</v>
      </c>
      <c r="E918" t="s">
        <v>4636</v>
      </c>
      <c r="F918" t="s">
        <v>149</v>
      </c>
      <c r="G918" t="s">
        <v>4659</v>
      </c>
    </row>
    <row r="919" spans="1:7" s="297" customFormat="1" ht="44.25" customHeight="1">
      <c r="A919" t="s">
        <v>563</v>
      </c>
      <c r="B919" t="s">
        <v>4660</v>
      </c>
      <c r="C919" t="s">
        <v>136</v>
      </c>
      <c r="D919" t="s">
        <v>2257</v>
      </c>
      <c r="E919" t="s">
        <v>4661</v>
      </c>
      <c r="F919" t="s">
        <v>149</v>
      </c>
      <c r="G919" t="s">
        <v>4662</v>
      </c>
    </row>
    <row r="920" spans="1:7" s="297" customFormat="1" ht="44.25" customHeight="1">
      <c r="A920" t="s">
        <v>651</v>
      </c>
      <c r="B920" t="s">
        <v>4663</v>
      </c>
      <c r="C920" t="s">
        <v>136</v>
      </c>
      <c r="D920" t="s">
        <v>2257</v>
      </c>
      <c r="E920" t="s">
        <v>2265</v>
      </c>
      <c r="F920" t="s">
        <v>149</v>
      </c>
      <c r="G920" t="s">
        <v>4664</v>
      </c>
    </row>
    <row r="921" spans="1:7" s="297" customFormat="1" ht="44.25" customHeight="1">
      <c r="A921" t="s">
        <v>892</v>
      </c>
      <c r="B921" t="s">
        <v>4665</v>
      </c>
      <c r="C921" t="s">
        <v>136</v>
      </c>
      <c r="D921" t="s">
        <v>79</v>
      </c>
      <c r="E921" t="s">
        <v>4666</v>
      </c>
      <c r="F921" t="s">
        <v>149</v>
      </c>
      <c r="G921" t="s">
        <v>4667</v>
      </c>
    </row>
    <row r="922" spans="1:7" s="297" customFormat="1" ht="44.25" customHeight="1">
      <c r="A922" t="s">
        <v>504</v>
      </c>
      <c r="B922" t="s">
        <v>4668</v>
      </c>
      <c r="C922" t="s">
        <v>136</v>
      </c>
      <c r="D922" t="s">
        <v>2257</v>
      </c>
      <c r="E922" t="s">
        <v>2258</v>
      </c>
      <c r="F922" t="s">
        <v>149</v>
      </c>
      <c r="G922" t="s">
        <v>4669</v>
      </c>
    </row>
    <row r="923" spans="1:7" s="297" customFormat="1" ht="44.25" customHeight="1">
      <c r="A923" t="s">
        <v>926</v>
      </c>
      <c r="B923" t="s">
        <v>4670</v>
      </c>
      <c r="C923" t="s">
        <v>136</v>
      </c>
      <c r="D923" t="s">
        <v>2257</v>
      </c>
      <c r="E923" t="s">
        <v>4511</v>
      </c>
      <c r="F923" t="s">
        <v>149</v>
      </c>
      <c r="G923" t="s">
        <v>4671</v>
      </c>
    </row>
    <row r="924" spans="1:7" s="297" customFormat="1" ht="44.25" customHeight="1">
      <c r="A924" t="s">
        <v>736</v>
      </c>
      <c r="B924" t="s">
        <v>4672</v>
      </c>
      <c r="C924" t="s">
        <v>136</v>
      </c>
      <c r="D924" t="s">
        <v>2257</v>
      </c>
      <c r="E924" t="s">
        <v>2269</v>
      </c>
      <c r="F924" t="s">
        <v>149</v>
      </c>
      <c r="G924" t="s">
        <v>4673</v>
      </c>
    </row>
    <row r="925" spans="1:7" s="297" customFormat="1" ht="44.25" customHeight="1">
      <c r="A925" t="s">
        <v>4674</v>
      </c>
      <c r="B925" t="s">
        <v>4675</v>
      </c>
      <c r="C925" t="s">
        <v>136</v>
      </c>
      <c r="D925" t="s">
        <v>79</v>
      </c>
      <c r="E925" t="s">
        <v>4676</v>
      </c>
      <c r="F925" t="s">
        <v>149</v>
      </c>
      <c r="G925" t="s">
        <v>4677</v>
      </c>
    </row>
    <row r="926" spans="1:7" s="297" customFormat="1" ht="44.25" customHeight="1">
      <c r="A926" t="s">
        <v>886</v>
      </c>
      <c r="B926" t="s">
        <v>4678</v>
      </c>
      <c r="C926" t="s">
        <v>136</v>
      </c>
      <c r="D926" t="s">
        <v>79</v>
      </c>
      <c r="E926" t="s">
        <v>4679</v>
      </c>
      <c r="F926" t="s">
        <v>149</v>
      </c>
      <c r="G926" t="s">
        <v>4680</v>
      </c>
    </row>
    <row r="927" spans="1:7" s="297" customFormat="1" ht="44.25" customHeight="1">
      <c r="A927" t="s">
        <v>4681</v>
      </c>
      <c r="B927" t="s">
        <v>4682</v>
      </c>
      <c r="C927" t="s">
        <v>136</v>
      </c>
      <c r="D927" t="s">
        <v>2257</v>
      </c>
      <c r="E927" t="s">
        <v>4299</v>
      </c>
      <c r="F927" t="s">
        <v>149</v>
      </c>
      <c r="G927" t="s">
        <v>4683</v>
      </c>
    </row>
    <row r="928" spans="1:7" s="297" customFormat="1" ht="44.25" customHeight="1">
      <c r="A928" t="s">
        <v>631</v>
      </c>
      <c r="B928" t="s">
        <v>4684</v>
      </c>
      <c r="C928" t="s">
        <v>136</v>
      </c>
      <c r="D928" t="s">
        <v>79</v>
      </c>
      <c r="E928" t="s">
        <v>4536</v>
      </c>
      <c r="F928" t="s">
        <v>149</v>
      </c>
      <c r="G928" t="s">
        <v>4685</v>
      </c>
    </row>
    <row r="929" spans="1:7" s="297" customFormat="1" ht="44.25" customHeight="1">
      <c r="A929" t="s">
        <v>4686</v>
      </c>
      <c r="B929" t="s">
        <v>4687</v>
      </c>
      <c r="C929" t="s">
        <v>136</v>
      </c>
      <c r="D929" t="s">
        <v>79</v>
      </c>
      <c r="E929" t="s">
        <v>4595</v>
      </c>
      <c r="F929" t="s">
        <v>149</v>
      </c>
      <c r="G929" t="s">
        <v>4688</v>
      </c>
    </row>
    <row r="930" spans="1:7" s="297" customFormat="1" ht="44.25" customHeight="1">
      <c r="A930" t="s">
        <v>4689</v>
      </c>
      <c r="B930" t="s">
        <v>4690</v>
      </c>
      <c r="C930" t="s">
        <v>136</v>
      </c>
      <c r="D930" t="s">
        <v>79</v>
      </c>
      <c r="E930" t="s">
        <v>2276</v>
      </c>
      <c r="F930" t="s">
        <v>149</v>
      </c>
      <c r="G930" t="s">
        <v>4691</v>
      </c>
    </row>
    <row r="931" spans="1:7" s="297" customFormat="1" ht="44.25" customHeight="1">
      <c r="A931" t="s">
        <v>4692</v>
      </c>
      <c r="B931" t="s">
        <v>4693</v>
      </c>
      <c r="C931" t="s">
        <v>136</v>
      </c>
      <c r="D931" t="s">
        <v>79</v>
      </c>
      <c r="E931" t="s">
        <v>4595</v>
      </c>
      <c r="F931" t="s">
        <v>149</v>
      </c>
      <c r="G931" t="s">
        <v>4694</v>
      </c>
    </row>
    <row r="932" spans="1:7" s="297" customFormat="1" ht="44.25" customHeight="1">
      <c r="A932" t="s">
        <v>611</v>
      </c>
      <c r="B932" t="s">
        <v>4695</v>
      </c>
      <c r="C932" t="s">
        <v>136</v>
      </c>
      <c r="D932" t="s">
        <v>79</v>
      </c>
      <c r="E932" t="s">
        <v>4696</v>
      </c>
      <c r="F932" t="s">
        <v>149</v>
      </c>
      <c r="G932" t="s">
        <v>4697</v>
      </c>
    </row>
    <row r="933" spans="1:7" s="297" customFormat="1" ht="44.25" customHeight="1">
      <c r="A933" t="s">
        <v>636</v>
      </c>
      <c r="B933" t="s">
        <v>4698</v>
      </c>
      <c r="C933" t="s">
        <v>136</v>
      </c>
      <c r="D933" t="s">
        <v>2257</v>
      </c>
      <c r="E933" t="s">
        <v>4699</v>
      </c>
      <c r="F933" t="s">
        <v>149</v>
      </c>
      <c r="G933" t="s">
        <v>4700</v>
      </c>
    </row>
    <row r="934" spans="1:7" s="297" customFormat="1" ht="44.25" customHeight="1">
      <c r="A934" t="s">
        <v>4701</v>
      </c>
      <c r="B934" t="s">
        <v>4702</v>
      </c>
      <c r="C934" t="s">
        <v>136</v>
      </c>
      <c r="D934" t="s">
        <v>2257</v>
      </c>
      <c r="E934" t="s">
        <v>4299</v>
      </c>
      <c r="F934" t="s">
        <v>149</v>
      </c>
      <c r="G934" t="s">
        <v>4703</v>
      </c>
    </row>
    <row r="935" spans="1:7" s="297" customFormat="1" ht="44.25" customHeight="1">
      <c r="A935" t="s">
        <v>635</v>
      </c>
      <c r="B935" t="s">
        <v>4704</v>
      </c>
      <c r="C935" t="s">
        <v>136</v>
      </c>
      <c r="D935" t="s">
        <v>79</v>
      </c>
      <c r="E935" t="s">
        <v>4705</v>
      </c>
      <c r="F935" t="s">
        <v>149</v>
      </c>
      <c r="G935" t="s">
        <v>4706</v>
      </c>
    </row>
    <row r="936" spans="1:7" s="297" customFormat="1" ht="44.25" customHeight="1">
      <c r="A936" t="s">
        <v>4707</v>
      </c>
      <c r="B936" t="s">
        <v>4708</v>
      </c>
      <c r="C936" t="s">
        <v>136</v>
      </c>
      <c r="D936" t="s">
        <v>79</v>
      </c>
      <c r="E936" t="s">
        <v>4709</v>
      </c>
      <c r="F936" t="s">
        <v>149</v>
      </c>
      <c r="G936" t="s">
        <v>4710</v>
      </c>
    </row>
    <row r="937" spans="1:7" s="297" customFormat="1" ht="44.25" customHeight="1">
      <c r="A937" t="s">
        <v>449</v>
      </c>
      <c r="B937" t="s">
        <v>4711</v>
      </c>
      <c r="C937" t="s">
        <v>136</v>
      </c>
      <c r="D937" t="s">
        <v>79</v>
      </c>
      <c r="E937" t="s">
        <v>4712</v>
      </c>
      <c r="F937" t="s">
        <v>149</v>
      </c>
      <c r="G937" t="s">
        <v>4713</v>
      </c>
    </row>
    <row r="938" spans="1:7" s="297" customFormat="1" ht="44.25" customHeight="1">
      <c r="A938" t="s">
        <v>4714</v>
      </c>
      <c r="B938" t="s">
        <v>4715</v>
      </c>
      <c r="C938" t="s">
        <v>136</v>
      </c>
      <c r="D938" t="s">
        <v>79</v>
      </c>
      <c r="E938" t="s">
        <v>4281</v>
      </c>
      <c r="F938" t="s">
        <v>149</v>
      </c>
      <c r="G938" t="s">
        <v>4716</v>
      </c>
    </row>
    <row r="939" spans="1:7" s="297" customFormat="1" ht="44.25" customHeight="1">
      <c r="A939" t="s">
        <v>901</v>
      </c>
      <c r="B939" t="s">
        <v>4717</v>
      </c>
      <c r="C939" t="s">
        <v>136</v>
      </c>
      <c r="D939" t="s">
        <v>2257</v>
      </c>
      <c r="E939" t="s">
        <v>4699</v>
      </c>
      <c r="F939" t="s">
        <v>149</v>
      </c>
      <c r="G939" t="s">
        <v>4718</v>
      </c>
    </row>
    <row r="940" spans="1:7" s="297" customFormat="1" ht="44.25" customHeight="1">
      <c r="A940" t="s">
        <v>542</v>
      </c>
      <c r="B940" t="s">
        <v>4719</v>
      </c>
      <c r="C940" t="s">
        <v>136</v>
      </c>
      <c r="D940" t="s">
        <v>79</v>
      </c>
      <c r="E940" t="s">
        <v>1545</v>
      </c>
      <c r="F940" t="s">
        <v>149</v>
      </c>
      <c r="G940" t="s">
        <v>4720</v>
      </c>
    </row>
    <row r="941" spans="1:7" s="297" customFormat="1" ht="44.25" customHeight="1">
      <c r="A941" t="s">
        <v>4721</v>
      </c>
      <c r="B941" t="s">
        <v>4722</v>
      </c>
      <c r="C941" t="s">
        <v>136</v>
      </c>
      <c r="D941" t="s">
        <v>2257</v>
      </c>
      <c r="E941" t="s">
        <v>4177</v>
      </c>
      <c r="F941" t="s">
        <v>149</v>
      </c>
      <c r="G941" t="s">
        <v>4723</v>
      </c>
    </row>
    <row r="942" spans="1:7" s="297" customFormat="1" ht="44.25" customHeight="1">
      <c r="A942" t="s">
        <v>4724</v>
      </c>
      <c r="B942" t="s">
        <v>4725</v>
      </c>
      <c r="C942" t="s">
        <v>136</v>
      </c>
      <c r="D942" t="s">
        <v>2257</v>
      </c>
      <c r="E942" t="s">
        <v>4299</v>
      </c>
      <c r="F942" t="s">
        <v>149</v>
      </c>
      <c r="G942" t="s">
        <v>4726</v>
      </c>
    </row>
    <row r="943" spans="1:7" s="297" customFormat="1" ht="44.25" customHeight="1">
      <c r="A943" t="s">
        <v>929</v>
      </c>
      <c r="B943" t="s">
        <v>4727</v>
      </c>
      <c r="C943" t="s">
        <v>136</v>
      </c>
      <c r="D943" t="s">
        <v>2257</v>
      </c>
      <c r="E943" t="s">
        <v>2276</v>
      </c>
      <c r="F943" t="s">
        <v>149</v>
      </c>
      <c r="G943" t="s">
        <v>4728</v>
      </c>
    </row>
    <row r="944" spans="1:7" s="297" customFormat="1" ht="44.25" customHeight="1">
      <c r="A944" t="s">
        <v>1071</v>
      </c>
      <c r="B944" t="s">
        <v>4729</v>
      </c>
      <c r="C944" t="s">
        <v>136</v>
      </c>
      <c r="D944" t="s">
        <v>79</v>
      </c>
      <c r="E944" t="s">
        <v>4656</v>
      </c>
      <c r="F944" t="s">
        <v>149</v>
      </c>
      <c r="G944" t="s">
        <v>4730</v>
      </c>
    </row>
    <row r="945" spans="1:7" s="297" customFormat="1" ht="44.25" customHeight="1">
      <c r="A945" t="s">
        <v>1052</v>
      </c>
      <c r="B945" t="s">
        <v>4731</v>
      </c>
      <c r="C945" t="s">
        <v>136</v>
      </c>
      <c r="D945" t="s">
        <v>79</v>
      </c>
      <c r="E945" t="s">
        <v>4732</v>
      </c>
      <c r="F945" t="s">
        <v>149</v>
      </c>
      <c r="G945" t="s">
        <v>4733</v>
      </c>
    </row>
    <row r="946" spans="1:7" s="297" customFormat="1" ht="44.25" customHeight="1">
      <c r="A946" t="s">
        <v>1051</v>
      </c>
      <c r="B946" t="s">
        <v>4734</v>
      </c>
      <c r="C946" t="s">
        <v>136</v>
      </c>
      <c r="D946" t="s">
        <v>79</v>
      </c>
      <c r="E946" t="s">
        <v>4732</v>
      </c>
      <c r="F946" t="s">
        <v>149</v>
      </c>
      <c r="G946" t="s">
        <v>4735</v>
      </c>
    </row>
    <row r="947" spans="1:7" s="297" customFormat="1" ht="44.25" customHeight="1">
      <c r="A947" t="s">
        <v>441</v>
      </c>
      <c r="B947" t="s">
        <v>4736</v>
      </c>
      <c r="C947" t="s">
        <v>136</v>
      </c>
      <c r="D947" t="s">
        <v>79</v>
      </c>
      <c r="E947" t="s">
        <v>4615</v>
      </c>
      <c r="F947" t="s">
        <v>149</v>
      </c>
      <c r="G947" t="s">
        <v>4737</v>
      </c>
    </row>
    <row r="948" spans="1:7" s="297" customFormat="1" ht="44.25" customHeight="1">
      <c r="A948" t="s">
        <v>898</v>
      </c>
      <c r="B948" t="s">
        <v>4738</v>
      </c>
      <c r="C948" t="s">
        <v>136</v>
      </c>
      <c r="D948" t="s">
        <v>2257</v>
      </c>
      <c r="E948" t="s">
        <v>4699</v>
      </c>
      <c r="F948" t="s">
        <v>149</v>
      </c>
      <c r="G948" t="s">
        <v>4739</v>
      </c>
    </row>
    <row r="949" spans="1:7" s="297" customFormat="1" ht="44.25" customHeight="1">
      <c r="A949" t="s">
        <v>4740</v>
      </c>
      <c r="B949" t="s">
        <v>4741</v>
      </c>
      <c r="C949" t="s">
        <v>136</v>
      </c>
      <c r="D949" t="s">
        <v>79</v>
      </c>
      <c r="E949" t="s">
        <v>4432</v>
      </c>
      <c r="F949" t="s">
        <v>149</v>
      </c>
      <c r="G949" t="s">
        <v>4742</v>
      </c>
    </row>
    <row r="950" spans="1:7" s="297" customFormat="1" ht="44.25" customHeight="1">
      <c r="A950" t="s">
        <v>439</v>
      </c>
      <c r="B950" t="s">
        <v>4743</v>
      </c>
      <c r="C950" t="s">
        <v>136</v>
      </c>
      <c r="D950" t="s">
        <v>79</v>
      </c>
      <c r="E950" t="s">
        <v>4432</v>
      </c>
      <c r="F950" t="s">
        <v>149</v>
      </c>
      <c r="G950" t="s">
        <v>4744</v>
      </c>
    </row>
    <row r="951" spans="1:7" s="297" customFormat="1" ht="44.25" customHeight="1">
      <c r="A951" t="s">
        <v>4745</v>
      </c>
      <c r="B951" t="s">
        <v>4746</v>
      </c>
      <c r="C951" t="s">
        <v>136</v>
      </c>
      <c r="D951" t="s">
        <v>2257</v>
      </c>
      <c r="E951" t="s">
        <v>4299</v>
      </c>
      <c r="F951" t="s">
        <v>149</v>
      </c>
      <c r="G951" t="s">
        <v>4747</v>
      </c>
    </row>
    <row r="952" spans="1:7" s="297" customFormat="1" ht="44.25" customHeight="1">
      <c r="A952" t="s">
        <v>764</v>
      </c>
      <c r="B952" t="s">
        <v>4748</v>
      </c>
      <c r="C952" t="s">
        <v>136</v>
      </c>
      <c r="D952" t="s">
        <v>79</v>
      </c>
      <c r="E952" t="s">
        <v>4749</v>
      </c>
      <c r="F952" t="s">
        <v>149</v>
      </c>
      <c r="G952" t="s">
        <v>4750</v>
      </c>
    </row>
    <row r="953" spans="1:7" s="297" customFormat="1" ht="44.25" customHeight="1">
      <c r="A953" t="s">
        <v>4751</v>
      </c>
      <c r="B953" t="s">
        <v>4752</v>
      </c>
      <c r="C953" t="s">
        <v>136</v>
      </c>
      <c r="D953" t="s">
        <v>79</v>
      </c>
      <c r="E953" t="s">
        <v>4753</v>
      </c>
      <c r="F953" t="s">
        <v>149</v>
      </c>
      <c r="G953" t="s">
        <v>4754</v>
      </c>
    </row>
    <row r="954" spans="1:7" s="297" customFormat="1" ht="44.25" customHeight="1">
      <c r="A954" t="s">
        <v>540</v>
      </c>
      <c r="B954" t="s">
        <v>4755</v>
      </c>
      <c r="C954" t="s">
        <v>136</v>
      </c>
      <c r="D954" t="s">
        <v>2257</v>
      </c>
      <c r="E954" t="s">
        <v>4337</v>
      </c>
      <c r="F954" t="s">
        <v>149</v>
      </c>
      <c r="G954" t="s">
        <v>4756</v>
      </c>
    </row>
    <row r="955" spans="1:7" s="297" customFormat="1" ht="44.25" customHeight="1">
      <c r="A955" t="s">
        <v>894</v>
      </c>
      <c r="B955" t="s">
        <v>4757</v>
      </c>
      <c r="C955" t="s">
        <v>136</v>
      </c>
      <c r="D955" t="s">
        <v>2257</v>
      </c>
      <c r="E955" t="s">
        <v>4699</v>
      </c>
      <c r="F955" t="s">
        <v>149</v>
      </c>
      <c r="G955" t="s">
        <v>4758</v>
      </c>
    </row>
    <row r="956" spans="1:7" s="297" customFormat="1" ht="44.25" customHeight="1">
      <c r="A956" t="s">
        <v>701</v>
      </c>
      <c r="B956" t="s">
        <v>4759</v>
      </c>
      <c r="C956" t="s">
        <v>136</v>
      </c>
      <c r="D956" t="s">
        <v>2257</v>
      </c>
      <c r="E956" t="s">
        <v>1584</v>
      </c>
      <c r="F956" t="s">
        <v>149</v>
      </c>
      <c r="G956" t="s">
        <v>4760</v>
      </c>
    </row>
    <row r="957" spans="1:7" s="297" customFormat="1" ht="44.25" customHeight="1">
      <c r="A957" t="s">
        <v>707</v>
      </c>
      <c r="B957" t="s">
        <v>4761</v>
      </c>
      <c r="C957" t="s">
        <v>136</v>
      </c>
      <c r="D957" t="s">
        <v>2257</v>
      </c>
      <c r="E957" t="s">
        <v>1584</v>
      </c>
      <c r="F957" t="s">
        <v>149</v>
      </c>
      <c r="G957" t="s">
        <v>4762</v>
      </c>
    </row>
    <row r="958" spans="1:7" s="297" customFormat="1" ht="44.25" customHeight="1">
      <c r="A958" t="s">
        <v>1046</v>
      </c>
      <c r="B958" t="s">
        <v>4763</v>
      </c>
      <c r="C958" t="s">
        <v>136</v>
      </c>
      <c r="D958" t="s">
        <v>2257</v>
      </c>
      <c r="E958" t="s">
        <v>1624</v>
      </c>
      <c r="F958" t="s">
        <v>149</v>
      </c>
      <c r="G958" t="s">
        <v>4764</v>
      </c>
    </row>
    <row r="959" spans="1:7" s="297" customFormat="1" ht="44.25" customHeight="1">
      <c r="A959" t="s">
        <v>1047</v>
      </c>
      <c r="B959" t="s">
        <v>4765</v>
      </c>
      <c r="C959" t="s">
        <v>136</v>
      </c>
      <c r="D959" t="s">
        <v>2257</v>
      </c>
      <c r="E959" t="s">
        <v>1624</v>
      </c>
      <c r="F959" t="s">
        <v>149</v>
      </c>
      <c r="G959" t="s">
        <v>4766</v>
      </c>
    </row>
    <row r="960" spans="1:7" s="297" customFormat="1" ht="44.25" customHeight="1">
      <c r="A960" t="s">
        <v>1048</v>
      </c>
      <c r="B960" t="s">
        <v>4767</v>
      </c>
      <c r="C960" t="s">
        <v>136</v>
      </c>
      <c r="D960" t="s">
        <v>2257</v>
      </c>
      <c r="E960" t="s">
        <v>1624</v>
      </c>
      <c r="F960" t="s">
        <v>149</v>
      </c>
      <c r="G960" t="s">
        <v>4768</v>
      </c>
    </row>
    <row r="961" spans="1:7" s="297" customFormat="1" ht="44.25" customHeight="1">
      <c r="A961" t="s">
        <v>724</v>
      </c>
      <c r="B961" t="s">
        <v>4769</v>
      </c>
      <c r="C961" t="s">
        <v>136</v>
      </c>
      <c r="D961" t="s">
        <v>2257</v>
      </c>
      <c r="E961" t="s">
        <v>2269</v>
      </c>
      <c r="F961" t="s">
        <v>149</v>
      </c>
      <c r="G961" t="s">
        <v>4770</v>
      </c>
    </row>
    <row r="962" spans="1:7" s="297" customFormat="1" ht="44.25" customHeight="1">
      <c r="A962" t="s">
        <v>1030</v>
      </c>
      <c r="B962" t="s">
        <v>4771</v>
      </c>
      <c r="C962" t="s">
        <v>136</v>
      </c>
      <c r="D962" t="s">
        <v>2257</v>
      </c>
      <c r="E962" t="s">
        <v>1430</v>
      </c>
      <c r="F962" t="s">
        <v>149</v>
      </c>
      <c r="G962" t="s">
        <v>4772</v>
      </c>
    </row>
    <row r="963" spans="1:7" s="297" customFormat="1" ht="44.25" customHeight="1">
      <c r="A963" t="s">
        <v>593</v>
      </c>
      <c r="B963" t="s">
        <v>4773</v>
      </c>
      <c r="C963" t="s">
        <v>136</v>
      </c>
      <c r="D963" t="s">
        <v>2257</v>
      </c>
      <c r="E963" t="s">
        <v>4774</v>
      </c>
      <c r="F963" t="s">
        <v>149</v>
      </c>
      <c r="G963" t="s">
        <v>4775</v>
      </c>
    </row>
    <row r="964" spans="1:7" s="297" customFormat="1" ht="44.25" customHeight="1">
      <c r="A964" t="s">
        <v>699</v>
      </c>
      <c r="B964" t="s">
        <v>4776</v>
      </c>
      <c r="C964" t="s">
        <v>136</v>
      </c>
      <c r="D964" t="s">
        <v>2257</v>
      </c>
      <c r="E964" t="s">
        <v>1584</v>
      </c>
      <c r="F964" t="s">
        <v>149</v>
      </c>
      <c r="G964" t="s">
        <v>4777</v>
      </c>
    </row>
    <row r="965" spans="1:7" s="297" customFormat="1" ht="44.25" customHeight="1">
      <c r="A965" t="s">
        <v>696</v>
      </c>
      <c r="B965" t="s">
        <v>4778</v>
      </c>
      <c r="C965" t="s">
        <v>136</v>
      </c>
      <c r="D965" t="s">
        <v>2257</v>
      </c>
      <c r="E965" t="s">
        <v>1584</v>
      </c>
      <c r="F965" t="s">
        <v>149</v>
      </c>
      <c r="G965" t="s">
        <v>4779</v>
      </c>
    </row>
    <row r="966" spans="1:7" s="297" customFormat="1" ht="44.25" customHeight="1">
      <c r="A966" t="s">
        <v>691</v>
      </c>
      <c r="B966" t="s">
        <v>4780</v>
      </c>
      <c r="C966" t="s">
        <v>136</v>
      </c>
      <c r="D966" t="s">
        <v>2257</v>
      </c>
      <c r="E966" t="s">
        <v>1584</v>
      </c>
      <c r="F966" t="s">
        <v>149</v>
      </c>
      <c r="G966" t="s">
        <v>4781</v>
      </c>
    </row>
    <row r="967" spans="1:7" s="297" customFormat="1" ht="44.25" customHeight="1">
      <c r="A967" t="s">
        <v>687</v>
      </c>
      <c r="B967" t="s">
        <v>4782</v>
      </c>
      <c r="C967" t="s">
        <v>136</v>
      </c>
      <c r="D967" t="s">
        <v>2257</v>
      </c>
      <c r="E967" t="s">
        <v>1584</v>
      </c>
      <c r="F967" t="s">
        <v>149</v>
      </c>
      <c r="G967" t="s">
        <v>4783</v>
      </c>
    </row>
    <row r="968" spans="1:7" s="297" customFormat="1" ht="44.25" customHeight="1">
      <c r="A968" t="s">
        <v>498</v>
      </c>
      <c r="B968" t="s">
        <v>4784</v>
      </c>
      <c r="C968" t="s">
        <v>136</v>
      </c>
      <c r="D968" t="s">
        <v>2257</v>
      </c>
      <c r="E968" t="s">
        <v>2258</v>
      </c>
      <c r="F968" t="s">
        <v>149</v>
      </c>
      <c r="G968" t="s">
        <v>4785</v>
      </c>
    </row>
    <row r="969" spans="1:7" s="297" customFormat="1" ht="44.25" customHeight="1">
      <c r="A969" t="s">
        <v>927</v>
      </c>
      <c r="B969" t="s">
        <v>4786</v>
      </c>
      <c r="C969" t="s">
        <v>136</v>
      </c>
      <c r="D969" t="s">
        <v>2257</v>
      </c>
      <c r="E969" t="s">
        <v>2276</v>
      </c>
      <c r="F969" t="s">
        <v>149</v>
      </c>
      <c r="G969" t="s">
        <v>4787</v>
      </c>
    </row>
    <row r="970" spans="1:7" s="297" customFormat="1" ht="44.25" customHeight="1">
      <c r="A970" t="s">
        <v>874</v>
      </c>
      <c r="B970" t="s">
        <v>4788</v>
      </c>
      <c r="C970" t="s">
        <v>136</v>
      </c>
      <c r="D970" t="s">
        <v>79</v>
      </c>
      <c r="E970" t="s">
        <v>4177</v>
      </c>
      <c r="F970" t="s">
        <v>149</v>
      </c>
      <c r="G970" t="s">
        <v>4789</v>
      </c>
    </row>
    <row r="971" spans="1:7" s="297" customFormat="1" ht="44.25" customHeight="1">
      <c r="A971" t="s">
        <v>726</v>
      </c>
      <c r="B971" t="s">
        <v>4790</v>
      </c>
      <c r="C971" t="s">
        <v>136</v>
      </c>
      <c r="D971" t="s">
        <v>2257</v>
      </c>
      <c r="E971" t="s">
        <v>2269</v>
      </c>
      <c r="F971" t="s">
        <v>149</v>
      </c>
      <c r="G971" t="s">
        <v>4791</v>
      </c>
    </row>
    <row r="972" spans="1:7" s="297" customFormat="1" ht="44.25" customHeight="1">
      <c r="A972" t="s">
        <v>600</v>
      </c>
      <c r="B972" t="s">
        <v>4792</v>
      </c>
      <c r="C972" t="s">
        <v>136</v>
      </c>
      <c r="D972" t="s">
        <v>79</v>
      </c>
      <c r="E972" t="s">
        <v>4633</v>
      </c>
      <c r="F972" t="s">
        <v>149</v>
      </c>
      <c r="G972" t="s">
        <v>4793</v>
      </c>
    </row>
    <row r="973" spans="1:7" s="297" customFormat="1" ht="44.25" customHeight="1">
      <c r="A973" t="s">
        <v>4794</v>
      </c>
      <c r="B973" t="s">
        <v>4795</v>
      </c>
      <c r="C973" t="s">
        <v>136</v>
      </c>
      <c r="D973" t="s">
        <v>2257</v>
      </c>
      <c r="E973" t="s">
        <v>4299</v>
      </c>
      <c r="F973" t="s">
        <v>149</v>
      </c>
      <c r="G973" t="s">
        <v>4796</v>
      </c>
    </row>
    <row r="974" spans="1:7" s="297" customFormat="1" ht="44.25" customHeight="1">
      <c r="A974" t="s">
        <v>625</v>
      </c>
      <c r="B974" t="s">
        <v>4797</v>
      </c>
      <c r="C974" t="s">
        <v>136</v>
      </c>
      <c r="D974" t="s">
        <v>79</v>
      </c>
      <c r="E974" t="s">
        <v>4536</v>
      </c>
      <c r="F974" t="s">
        <v>149</v>
      </c>
      <c r="G974" t="s">
        <v>4798</v>
      </c>
    </row>
    <row r="975" spans="1:7" s="297" customFormat="1" ht="44.25" customHeight="1">
      <c r="A975" t="s">
        <v>440</v>
      </c>
      <c r="B975" t="s">
        <v>4799</v>
      </c>
      <c r="C975" t="s">
        <v>136</v>
      </c>
      <c r="D975" t="s">
        <v>79</v>
      </c>
      <c r="E975" t="s">
        <v>4800</v>
      </c>
      <c r="F975" t="s">
        <v>149</v>
      </c>
      <c r="G975" t="s">
        <v>4801</v>
      </c>
    </row>
    <row r="976" spans="1:7" s="297" customFormat="1" ht="44.25" customHeight="1">
      <c r="A976" t="s">
        <v>1029</v>
      </c>
      <c r="B976" t="s">
        <v>4802</v>
      </c>
      <c r="C976" t="s">
        <v>136</v>
      </c>
      <c r="D976" t="s">
        <v>79</v>
      </c>
      <c r="E976" t="s">
        <v>1430</v>
      </c>
      <c r="F976" t="s">
        <v>149</v>
      </c>
      <c r="G976" t="s">
        <v>4803</v>
      </c>
    </row>
    <row r="977" spans="1:7" s="297" customFormat="1" ht="44.25" customHeight="1">
      <c r="A977" t="s">
        <v>928</v>
      </c>
      <c r="B977" t="s">
        <v>4804</v>
      </c>
      <c r="C977" t="s">
        <v>136</v>
      </c>
      <c r="D977" t="s">
        <v>2257</v>
      </c>
      <c r="E977" t="s">
        <v>2276</v>
      </c>
      <c r="F977" t="s">
        <v>149</v>
      </c>
      <c r="G977" t="s">
        <v>4805</v>
      </c>
    </row>
    <row r="978" spans="1:7" s="297" customFormat="1" ht="44.25" customHeight="1">
      <c r="A978" t="s">
        <v>1043</v>
      </c>
      <c r="B978" t="s">
        <v>4806</v>
      </c>
      <c r="C978" t="s">
        <v>136</v>
      </c>
      <c r="D978" t="s">
        <v>2257</v>
      </c>
      <c r="E978" t="s">
        <v>1624</v>
      </c>
      <c r="F978" t="s">
        <v>149</v>
      </c>
      <c r="G978" t="s">
        <v>4807</v>
      </c>
    </row>
    <row r="979" spans="1:7" s="297" customFormat="1" ht="44.25" customHeight="1">
      <c r="A979" t="s">
        <v>627</v>
      </c>
      <c r="B979" t="s">
        <v>4808</v>
      </c>
      <c r="C979" t="s">
        <v>136</v>
      </c>
      <c r="D979" t="s">
        <v>79</v>
      </c>
      <c r="E979" t="s">
        <v>4809</v>
      </c>
      <c r="F979" t="s">
        <v>149</v>
      </c>
      <c r="G979" t="s">
        <v>4810</v>
      </c>
    </row>
    <row r="980" spans="1:7" s="297" customFormat="1" ht="44.25" customHeight="1">
      <c r="A980" t="s">
        <v>4811</v>
      </c>
      <c r="B980" t="s">
        <v>4812</v>
      </c>
      <c r="C980" t="s">
        <v>136</v>
      </c>
      <c r="D980" t="s">
        <v>79</v>
      </c>
      <c r="E980" t="s">
        <v>4813</v>
      </c>
      <c r="F980" t="s">
        <v>149</v>
      </c>
      <c r="G980" t="s">
        <v>4814</v>
      </c>
    </row>
    <row r="981" spans="1:7" s="297" customFormat="1" ht="44.25" customHeight="1">
      <c r="A981" t="s">
        <v>4815</v>
      </c>
      <c r="B981" t="s">
        <v>4816</v>
      </c>
      <c r="C981" t="s">
        <v>136</v>
      </c>
      <c r="D981" t="s">
        <v>79</v>
      </c>
      <c r="E981" t="s">
        <v>4532</v>
      </c>
      <c r="F981" t="s">
        <v>149</v>
      </c>
      <c r="G981" t="s">
        <v>4817</v>
      </c>
    </row>
    <row r="982" spans="1:7" s="297" customFormat="1" ht="44.25" customHeight="1">
      <c r="A982" t="s">
        <v>4818</v>
      </c>
      <c r="B982" t="s">
        <v>4819</v>
      </c>
      <c r="C982" t="s">
        <v>136</v>
      </c>
      <c r="D982" t="s">
        <v>79</v>
      </c>
      <c r="E982" t="s">
        <v>3703</v>
      </c>
      <c r="F982" t="s">
        <v>149</v>
      </c>
      <c r="G982" t="s">
        <v>4820</v>
      </c>
    </row>
    <row r="983" spans="1:7" s="297" customFormat="1" ht="44.25" customHeight="1">
      <c r="A983" t="s">
        <v>4821</v>
      </c>
      <c r="B983" t="s">
        <v>4822</v>
      </c>
      <c r="C983" t="s">
        <v>136</v>
      </c>
      <c r="D983" t="s">
        <v>79</v>
      </c>
      <c r="E983" t="s">
        <v>4823</v>
      </c>
      <c r="F983" t="s">
        <v>149</v>
      </c>
      <c r="G983" t="s">
        <v>4824</v>
      </c>
    </row>
    <row r="984" spans="1:7" s="297" customFormat="1" ht="44.25" customHeight="1">
      <c r="A984" t="s">
        <v>4825</v>
      </c>
      <c r="B984" t="s">
        <v>4826</v>
      </c>
      <c r="C984" t="s">
        <v>136</v>
      </c>
      <c r="D984" t="s">
        <v>79</v>
      </c>
      <c r="E984" t="s">
        <v>4827</v>
      </c>
      <c r="F984" t="s">
        <v>149</v>
      </c>
      <c r="G984" t="s">
        <v>4828</v>
      </c>
    </row>
    <row r="985" spans="1:7" s="297" customFormat="1" ht="44.25" customHeight="1">
      <c r="A985" t="s">
        <v>4829</v>
      </c>
      <c r="B985" t="s">
        <v>4830</v>
      </c>
      <c r="C985" t="s">
        <v>136</v>
      </c>
      <c r="D985" t="s">
        <v>79</v>
      </c>
      <c r="E985" t="s">
        <v>4831</v>
      </c>
      <c r="F985" t="s">
        <v>149</v>
      </c>
      <c r="G985" t="s">
        <v>4832</v>
      </c>
    </row>
    <row r="986" spans="1:7" s="297" customFormat="1" ht="44.25" customHeight="1">
      <c r="A986" t="s">
        <v>4833</v>
      </c>
      <c r="B986" t="s">
        <v>4834</v>
      </c>
      <c r="C986" t="s">
        <v>136</v>
      </c>
      <c r="D986" t="s">
        <v>79</v>
      </c>
      <c r="E986" t="s">
        <v>4835</v>
      </c>
      <c r="F986" t="s">
        <v>149</v>
      </c>
      <c r="G986" t="s">
        <v>4836</v>
      </c>
    </row>
    <row r="987" spans="1:7" s="297" customFormat="1" ht="44.25" customHeight="1">
      <c r="A987" t="s">
        <v>4837</v>
      </c>
      <c r="B987" t="s">
        <v>4838</v>
      </c>
      <c r="C987" t="s">
        <v>136</v>
      </c>
      <c r="D987" t="s">
        <v>79</v>
      </c>
      <c r="E987" t="s">
        <v>4511</v>
      </c>
      <c r="F987" t="s">
        <v>149</v>
      </c>
      <c r="G987" t="s">
        <v>4839</v>
      </c>
    </row>
    <row r="988" spans="1:7" s="297" customFormat="1" ht="44.25" customHeight="1">
      <c r="A988" t="s">
        <v>4840</v>
      </c>
      <c r="B988" t="s">
        <v>4841</v>
      </c>
      <c r="C988" t="s">
        <v>136</v>
      </c>
      <c r="D988" t="s">
        <v>79</v>
      </c>
      <c r="E988" t="s">
        <v>4511</v>
      </c>
      <c r="F988" t="s">
        <v>149</v>
      </c>
      <c r="G988" t="s">
        <v>4842</v>
      </c>
    </row>
    <row r="989" spans="1:7" s="297" customFormat="1" ht="44.25" customHeight="1">
      <c r="A989" t="s">
        <v>887</v>
      </c>
      <c r="B989" t="s">
        <v>3579</v>
      </c>
      <c r="C989" t="s">
        <v>136</v>
      </c>
      <c r="D989" t="s">
        <v>2257</v>
      </c>
      <c r="E989" t="s">
        <v>3580</v>
      </c>
      <c r="F989" t="s">
        <v>149</v>
      </c>
      <c r="G989" t="s">
        <v>4843</v>
      </c>
    </row>
    <row r="990" spans="1:7" s="297" customFormat="1" ht="44.25" customHeight="1">
      <c r="A990" t="s">
        <v>4844</v>
      </c>
      <c r="B990" t="s">
        <v>4845</v>
      </c>
      <c r="C990" t="s">
        <v>136</v>
      </c>
      <c r="D990" t="s">
        <v>79</v>
      </c>
      <c r="E990" t="s">
        <v>4177</v>
      </c>
      <c r="F990" t="s">
        <v>149</v>
      </c>
      <c r="G990" t="s">
        <v>4846</v>
      </c>
    </row>
    <row r="991" spans="1:7" s="297" customFormat="1" ht="44.25" customHeight="1">
      <c r="A991" t="s">
        <v>4847</v>
      </c>
      <c r="B991" t="s">
        <v>4848</v>
      </c>
      <c r="C991" t="s">
        <v>136</v>
      </c>
      <c r="D991" t="s">
        <v>79</v>
      </c>
      <c r="E991" t="s">
        <v>2258</v>
      </c>
      <c r="F991" t="s">
        <v>149</v>
      </c>
      <c r="G991" t="s">
        <v>4849</v>
      </c>
    </row>
    <row r="992" spans="1:7" s="297" customFormat="1" ht="44.25" customHeight="1">
      <c r="A992" t="s">
        <v>4850</v>
      </c>
      <c r="B992" t="s">
        <v>4851</v>
      </c>
      <c r="C992" t="s">
        <v>136</v>
      </c>
      <c r="D992" t="s">
        <v>79</v>
      </c>
      <c r="E992" t="s">
        <v>4852</v>
      </c>
      <c r="F992" t="s">
        <v>149</v>
      </c>
      <c r="G992" t="s">
        <v>4853</v>
      </c>
    </row>
    <row r="993" spans="1:7" s="297" customFormat="1" ht="44.25" customHeight="1">
      <c r="A993" t="s">
        <v>620</v>
      </c>
      <c r="B993" t="s">
        <v>4854</v>
      </c>
      <c r="C993" t="s">
        <v>136</v>
      </c>
      <c r="D993" t="s">
        <v>2253</v>
      </c>
      <c r="E993" t="s">
        <v>4855</v>
      </c>
      <c r="F993" t="s">
        <v>149</v>
      </c>
      <c r="G993" t="s">
        <v>4856</v>
      </c>
    </row>
    <row r="994" spans="1:7" s="297" customFormat="1" ht="44.25" customHeight="1">
      <c r="A994" t="s">
        <v>4857</v>
      </c>
      <c r="B994" t="s">
        <v>4858</v>
      </c>
      <c r="C994" t="s">
        <v>136</v>
      </c>
      <c r="D994" t="s">
        <v>2398</v>
      </c>
      <c r="E994" t="s">
        <v>4859</v>
      </c>
      <c r="F994" t="s">
        <v>149</v>
      </c>
      <c r="G994" t="s">
        <v>4860</v>
      </c>
    </row>
    <row r="995" spans="1:7" s="297" customFormat="1" ht="44.25" customHeight="1">
      <c r="A995" t="s">
        <v>623</v>
      </c>
      <c r="B995" t="s">
        <v>4861</v>
      </c>
      <c r="C995" t="s">
        <v>136</v>
      </c>
      <c r="D995" t="s">
        <v>2257</v>
      </c>
      <c r="E995" t="s">
        <v>4855</v>
      </c>
      <c r="F995" t="s">
        <v>149</v>
      </c>
      <c r="G995" t="s">
        <v>4862</v>
      </c>
    </row>
    <row r="996" spans="1:7" s="297" customFormat="1" ht="44.25" customHeight="1">
      <c r="A996" t="s">
        <v>4863</v>
      </c>
      <c r="B996" t="s">
        <v>4864</v>
      </c>
      <c r="C996" t="s">
        <v>136</v>
      </c>
      <c r="D996" t="s">
        <v>2257</v>
      </c>
      <c r="E996" t="s">
        <v>4865</v>
      </c>
      <c r="F996" t="s">
        <v>149</v>
      </c>
      <c r="G996" t="s">
        <v>4866</v>
      </c>
    </row>
    <row r="997" spans="1:7" s="297" customFormat="1" ht="44.25" customHeight="1">
      <c r="A997" t="s">
        <v>136</v>
      </c>
      <c r="B997" t="s">
        <v>4867</v>
      </c>
      <c r="C997" t="s">
        <v>136</v>
      </c>
      <c r="D997" t="s">
        <v>79</v>
      </c>
      <c r="E997" t="s">
        <v>4868</v>
      </c>
      <c r="F997" t="s">
        <v>149</v>
      </c>
      <c r="G997" t="s">
        <v>4869</v>
      </c>
    </row>
    <row r="998" spans="1:7" s="297" customFormat="1" ht="44.25" customHeight="1">
      <c r="A998" t="s">
        <v>4870</v>
      </c>
      <c r="B998" t="s">
        <v>4871</v>
      </c>
      <c r="C998" t="s">
        <v>136</v>
      </c>
      <c r="D998" t="s">
        <v>79</v>
      </c>
      <c r="E998" t="s">
        <v>4872</v>
      </c>
      <c r="F998" t="s">
        <v>149</v>
      </c>
      <c r="G998" t="s">
        <v>4873</v>
      </c>
    </row>
    <row r="999" spans="1:7" s="297" customFormat="1" ht="44.25" customHeight="1">
      <c r="A999" t="s">
        <v>4874</v>
      </c>
      <c r="B999" t="s">
        <v>4875</v>
      </c>
      <c r="C999" t="s">
        <v>136</v>
      </c>
      <c r="D999" t="s">
        <v>79</v>
      </c>
      <c r="E999" t="s">
        <v>4876</v>
      </c>
      <c r="F999" t="s">
        <v>149</v>
      </c>
      <c r="G999" t="s">
        <v>4877</v>
      </c>
    </row>
    <row r="1000" spans="1:7" s="297" customFormat="1" ht="44.25" customHeight="1">
      <c r="A1000" t="s">
        <v>4878</v>
      </c>
      <c r="B1000" t="s">
        <v>4879</v>
      </c>
      <c r="C1000" t="s">
        <v>136</v>
      </c>
      <c r="D1000" t="s">
        <v>79</v>
      </c>
      <c r="E1000" t="s">
        <v>4880</v>
      </c>
      <c r="F1000" t="s">
        <v>149</v>
      </c>
      <c r="G1000" t="s">
        <v>4881</v>
      </c>
    </row>
    <row r="1001" spans="1:7" s="297" customFormat="1" ht="44.25" customHeight="1">
      <c r="A1001" t="s">
        <v>136</v>
      </c>
      <c r="B1001" t="s">
        <v>4882</v>
      </c>
      <c r="C1001" t="s">
        <v>136</v>
      </c>
      <c r="D1001" t="s">
        <v>79</v>
      </c>
      <c r="E1001" t="s">
        <v>4883</v>
      </c>
      <c r="F1001" t="s">
        <v>149</v>
      </c>
      <c r="G1001" t="s">
        <v>4884</v>
      </c>
    </row>
    <row r="1002" spans="1:7" s="297" customFormat="1" ht="44.25" customHeight="1">
      <c r="A1002" t="s">
        <v>4885</v>
      </c>
      <c r="B1002" t="s">
        <v>4886</v>
      </c>
      <c r="C1002" t="s">
        <v>136</v>
      </c>
      <c r="D1002" t="s">
        <v>79</v>
      </c>
      <c r="E1002" t="s">
        <v>1572</v>
      </c>
      <c r="F1002" t="s">
        <v>149</v>
      </c>
      <c r="G1002" t="s">
        <v>4887</v>
      </c>
    </row>
    <row r="1003" spans="1:7" s="297" customFormat="1" ht="44.25" customHeight="1">
      <c r="A1003" t="s">
        <v>136</v>
      </c>
      <c r="B1003" t="s">
        <v>4888</v>
      </c>
      <c r="C1003" t="s">
        <v>136</v>
      </c>
      <c r="D1003" t="s">
        <v>79</v>
      </c>
      <c r="E1003" t="s">
        <v>1548</v>
      </c>
      <c r="F1003" t="s">
        <v>149</v>
      </c>
      <c r="G1003" t="s">
        <v>4889</v>
      </c>
    </row>
    <row r="1004" spans="1:7" s="297" customFormat="1" ht="44.25" customHeight="1">
      <c r="A1004" t="s">
        <v>4890</v>
      </c>
      <c r="B1004" t="s">
        <v>4891</v>
      </c>
      <c r="C1004" t="s">
        <v>136</v>
      </c>
      <c r="D1004" t="s">
        <v>79</v>
      </c>
      <c r="E1004" t="s">
        <v>1541</v>
      </c>
      <c r="F1004" t="s">
        <v>149</v>
      </c>
      <c r="G1004" t="s">
        <v>4892</v>
      </c>
    </row>
    <row r="1005" spans="1:7" s="297" customFormat="1" ht="44.25" customHeight="1">
      <c r="A1005" t="s">
        <v>136</v>
      </c>
      <c r="B1005" t="s">
        <v>4893</v>
      </c>
      <c r="C1005" t="s">
        <v>136</v>
      </c>
      <c r="D1005" t="s">
        <v>2257</v>
      </c>
      <c r="E1005" t="s">
        <v>4894</v>
      </c>
      <c r="F1005" t="s">
        <v>149</v>
      </c>
      <c r="G1005" t="s">
        <v>4895</v>
      </c>
    </row>
    <row r="1006" spans="1:7" s="297" customFormat="1" ht="44.25" customHeight="1">
      <c r="A1006" t="s">
        <v>136</v>
      </c>
      <c r="B1006" t="s">
        <v>4896</v>
      </c>
      <c r="C1006" t="s">
        <v>136</v>
      </c>
      <c r="D1006" t="s">
        <v>79</v>
      </c>
      <c r="E1006" t="s">
        <v>4897</v>
      </c>
      <c r="F1006" t="s">
        <v>149</v>
      </c>
      <c r="G1006" t="s">
        <v>4898</v>
      </c>
    </row>
    <row r="1007" spans="1:7" s="297" customFormat="1" ht="44.25" customHeight="1">
      <c r="A1007" t="s">
        <v>136</v>
      </c>
      <c r="B1007" t="s">
        <v>2623</v>
      </c>
      <c r="C1007" t="s">
        <v>136</v>
      </c>
      <c r="D1007" t="s">
        <v>2624</v>
      </c>
      <c r="E1007" t="s">
        <v>2625</v>
      </c>
      <c r="F1007" t="s">
        <v>149</v>
      </c>
      <c r="G1007" t="s">
        <v>4899</v>
      </c>
    </row>
    <row r="1008" spans="1:7" s="297" customFormat="1" ht="44.25" customHeight="1">
      <c r="A1008" t="s">
        <v>4900</v>
      </c>
      <c r="B1008" t="s">
        <v>4901</v>
      </c>
      <c r="C1008" t="s">
        <v>136</v>
      </c>
      <c r="D1008" t="s">
        <v>79</v>
      </c>
      <c r="E1008" t="s">
        <v>4902</v>
      </c>
      <c r="F1008" t="s">
        <v>149</v>
      </c>
      <c r="G1008" t="s">
        <v>4903</v>
      </c>
    </row>
    <row r="1009" spans="1:7" s="297" customFormat="1" ht="44.25" customHeight="1">
      <c r="A1009" t="s">
        <v>4904</v>
      </c>
      <c r="B1009" t="s">
        <v>4905</v>
      </c>
      <c r="C1009" t="s">
        <v>136</v>
      </c>
      <c r="D1009" t="s">
        <v>79</v>
      </c>
      <c r="E1009" t="s">
        <v>4906</v>
      </c>
      <c r="F1009" t="s">
        <v>149</v>
      </c>
      <c r="G1009" t="s">
        <v>4907</v>
      </c>
    </row>
    <row r="1010" spans="1:7" s="297" customFormat="1" ht="44.25" customHeight="1">
      <c r="A1010" t="s">
        <v>4908</v>
      </c>
      <c r="B1010" t="s">
        <v>4909</v>
      </c>
      <c r="C1010" t="s">
        <v>136</v>
      </c>
      <c r="D1010" t="s">
        <v>79</v>
      </c>
      <c r="E1010" t="s">
        <v>4910</v>
      </c>
      <c r="F1010" t="s">
        <v>149</v>
      </c>
      <c r="G1010" t="s">
        <v>4911</v>
      </c>
    </row>
    <row r="1011" spans="1:7" s="297" customFormat="1" ht="44.25" customHeight="1">
      <c r="A1011" t="s">
        <v>4912</v>
      </c>
      <c r="B1011" t="s">
        <v>4913</v>
      </c>
      <c r="C1011" t="s">
        <v>136</v>
      </c>
      <c r="D1011" t="s">
        <v>79</v>
      </c>
      <c r="E1011" t="s">
        <v>4914</v>
      </c>
      <c r="F1011" t="s">
        <v>149</v>
      </c>
      <c r="G1011" t="s">
        <v>4915</v>
      </c>
    </row>
    <row r="1012" spans="1:7" s="297" customFormat="1" ht="44.25" customHeight="1">
      <c r="A1012" t="s">
        <v>4916</v>
      </c>
      <c r="B1012" t="s">
        <v>4917</v>
      </c>
      <c r="C1012" t="s">
        <v>136</v>
      </c>
      <c r="D1012" t="s">
        <v>79</v>
      </c>
      <c r="E1012" t="s">
        <v>4918</v>
      </c>
      <c r="F1012" t="s">
        <v>149</v>
      </c>
      <c r="G1012" t="s">
        <v>4919</v>
      </c>
    </row>
    <row r="1013" spans="1:7" s="297" customFormat="1" ht="44.25" customHeight="1">
      <c r="A1013" t="s">
        <v>4920</v>
      </c>
      <c r="B1013" t="s">
        <v>4921</v>
      </c>
      <c r="C1013" t="s">
        <v>136</v>
      </c>
      <c r="D1013" t="s">
        <v>79</v>
      </c>
      <c r="E1013" t="s">
        <v>4922</v>
      </c>
      <c r="F1013" t="s">
        <v>149</v>
      </c>
      <c r="G1013" t="s">
        <v>4923</v>
      </c>
    </row>
    <row r="1014" spans="1:7" s="297" customFormat="1" ht="44.25" customHeight="1">
      <c r="A1014" t="s">
        <v>4924</v>
      </c>
      <c r="B1014" t="s">
        <v>4925</v>
      </c>
      <c r="C1014" t="s">
        <v>136</v>
      </c>
      <c r="D1014" t="s">
        <v>79</v>
      </c>
      <c r="E1014" t="s">
        <v>4926</v>
      </c>
      <c r="F1014" t="s">
        <v>149</v>
      </c>
      <c r="G1014" t="s">
        <v>4927</v>
      </c>
    </row>
    <row r="1015" spans="1:7" s="297" customFormat="1" ht="44.25" customHeight="1">
      <c r="A1015" t="s">
        <v>4928</v>
      </c>
      <c r="B1015" t="s">
        <v>4929</v>
      </c>
      <c r="C1015" t="s">
        <v>136</v>
      </c>
      <c r="D1015" t="s">
        <v>79</v>
      </c>
      <c r="E1015" t="s">
        <v>4930</v>
      </c>
      <c r="F1015" t="s">
        <v>149</v>
      </c>
      <c r="G1015" t="s">
        <v>4931</v>
      </c>
    </row>
    <row r="1016" spans="1:7" s="297" customFormat="1" ht="44.25" customHeight="1">
      <c r="A1016" t="s">
        <v>4932</v>
      </c>
      <c r="B1016" t="s">
        <v>4933</v>
      </c>
      <c r="C1016" t="s">
        <v>136</v>
      </c>
      <c r="D1016" t="s">
        <v>79</v>
      </c>
      <c r="E1016" t="s">
        <v>4934</v>
      </c>
      <c r="F1016" t="s">
        <v>149</v>
      </c>
      <c r="G1016" t="s">
        <v>4935</v>
      </c>
    </row>
    <row r="1017" spans="1:7" s="297" customFormat="1" ht="44.25" customHeight="1">
      <c r="A1017" t="s">
        <v>4936</v>
      </c>
      <c r="B1017" t="s">
        <v>4937</v>
      </c>
      <c r="C1017" t="s">
        <v>136</v>
      </c>
      <c r="D1017" t="s">
        <v>79</v>
      </c>
      <c r="E1017" t="s">
        <v>4938</v>
      </c>
      <c r="F1017" t="s">
        <v>149</v>
      </c>
      <c r="G1017" t="s">
        <v>4939</v>
      </c>
    </row>
    <row r="1018" spans="1:7" s="297" customFormat="1" ht="44.25" customHeight="1">
      <c r="A1018" t="s">
        <v>4940</v>
      </c>
      <c r="B1018" t="s">
        <v>4941</v>
      </c>
      <c r="C1018" t="s">
        <v>136</v>
      </c>
      <c r="D1018" t="s">
        <v>79</v>
      </c>
      <c r="E1018" t="s">
        <v>4942</v>
      </c>
      <c r="F1018" t="s">
        <v>149</v>
      </c>
      <c r="G1018" t="s">
        <v>4943</v>
      </c>
    </row>
    <row r="1019" spans="1:7" s="297" customFormat="1" ht="44.25" customHeight="1">
      <c r="A1019" t="s">
        <v>4944</v>
      </c>
      <c r="B1019" t="s">
        <v>4945</v>
      </c>
      <c r="C1019" t="s">
        <v>136</v>
      </c>
      <c r="D1019" t="s">
        <v>79</v>
      </c>
      <c r="E1019" t="s">
        <v>4946</v>
      </c>
      <c r="F1019" t="s">
        <v>149</v>
      </c>
      <c r="G1019" t="s">
        <v>4947</v>
      </c>
    </row>
    <row r="1020" spans="1:7" s="297" customFormat="1" ht="44.25" customHeight="1">
      <c r="A1020" t="s">
        <v>4948</v>
      </c>
      <c r="B1020" t="s">
        <v>4949</v>
      </c>
      <c r="C1020" t="s">
        <v>136</v>
      </c>
      <c r="D1020" t="s">
        <v>79</v>
      </c>
      <c r="E1020" t="s">
        <v>4950</v>
      </c>
      <c r="F1020" t="s">
        <v>149</v>
      </c>
      <c r="G1020" t="s">
        <v>4951</v>
      </c>
    </row>
    <row r="1021" spans="1:7" s="297" customFormat="1" ht="44.25" customHeight="1">
      <c r="A1021" t="s">
        <v>4952</v>
      </c>
      <c r="B1021" t="s">
        <v>4953</v>
      </c>
      <c r="C1021" t="s">
        <v>136</v>
      </c>
      <c r="D1021" t="s">
        <v>79</v>
      </c>
      <c r="E1021" t="s">
        <v>4954</v>
      </c>
      <c r="F1021" t="s">
        <v>149</v>
      </c>
      <c r="G1021" t="s">
        <v>4955</v>
      </c>
    </row>
    <row r="1022" spans="1:7" s="297" customFormat="1" ht="44.25" customHeight="1">
      <c r="A1022" t="s">
        <v>4956</v>
      </c>
      <c r="B1022" t="s">
        <v>4957</v>
      </c>
      <c r="C1022" t="s">
        <v>136</v>
      </c>
      <c r="D1022" t="s">
        <v>79</v>
      </c>
      <c r="E1022" t="s">
        <v>4958</v>
      </c>
      <c r="F1022" t="s">
        <v>149</v>
      </c>
      <c r="G1022" t="s">
        <v>4959</v>
      </c>
    </row>
    <row r="1023" spans="1:7" s="297" customFormat="1" ht="44.25" customHeight="1">
      <c r="A1023" t="s">
        <v>4960</v>
      </c>
      <c r="B1023" t="s">
        <v>4961</v>
      </c>
      <c r="C1023" t="s">
        <v>136</v>
      </c>
      <c r="D1023" t="s">
        <v>79</v>
      </c>
      <c r="E1023" t="s">
        <v>4962</v>
      </c>
      <c r="F1023" t="s">
        <v>149</v>
      </c>
      <c r="G1023" t="s">
        <v>4963</v>
      </c>
    </row>
    <row r="1024" spans="1:7" s="297" customFormat="1" ht="44.25" customHeight="1">
      <c r="A1024" t="s">
        <v>4964</v>
      </c>
      <c r="B1024" t="s">
        <v>4965</v>
      </c>
      <c r="C1024" t="s">
        <v>136</v>
      </c>
      <c r="D1024" t="s">
        <v>79</v>
      </c>
      <c r="E1024" t="s">
        <v>4966</v>
      </c>
      <c r="F1024" t="s">
        <v>149</v>
      </c>
      <c r="G1024" t="s">
        <v>4967</v>
      </c>
    </row>
    <row r="1025" spans="1:7" s="297" customFormat="1" ht="44.25" customHeight="1">
      <c r="A1025" t="s">
        <v>4968</v>
      </c>
      <c r="B1025" t="s">
        <v>4969</v>
      </c>
      <c r="C1025" t="s">
        <v>136</v>
      </c>
      <c r="D1025" t="s">
        <v>79</v>
      </c>
      <c r="E1025" t="s">
        <v>4970</v>
      </c>
      <c r="F1025" t="s">
        <v>149</v>
      </c>
      <c r="G1025" t="s">
        <v>4971</v>
      </c>
    </row>
    <row r="1026" spans="1:7" s="297" customFormat="1" ht="44.25" customHeight="1">
      <c r="A1026" t="s">
        <v>4972</v>
      </c>
      <c r="B1026" t="s">
        <v>4973</v>
      </c>
      <c r="C1026" t="s">
        <v>136</v>
      </c>
      <c r="D1026" t="s">
        <v>79</v>
      </c>
      <c r="E1026" t="s">
        <v>4974</v>
      </c>
      <c r="F1026" t="s">
        <v>149</v>
      </c>
      <c r="G1026" t="s">
        <v>4975</v>
      </c>
    </row>
    <row r="1027" spans="1:7" s="297" customFormat="1" ht="44.25" customHeight="1">
      <c r="A1027" t="s">
        <v>4976</v>
      </c>
      <c r="B1027" t="s">
        <v>4977</v>
      </c>
      <c r="C1027" t="s">
        <v>136</v>
      </c>
      <c r="D1027" t="s">
        <v>79</v>
      </c>
      <c r="E1027" t="s">
        <v>4978</v>
      </c>
      <c r="F1027" t="s">
        <v>149</v>
      </c>
      <c r="G1027" t="s">
        <v>4979</v>
      </c>
    </row>
    <row r="1028" spans="1:7" s="297" customFormat="1" ht="44.25" customHeight="1">
      <c r="A1028" t="s">
        <v>4980</v>
      </c>
      <c r="B1028" t="s">
        <v>4981</v>
      </c>
      <c r="C1028" t="s">
        <v>136</v>
      </c>
      <c r="D1028" t="s">
        <v>79</v>
      </c>
      <c r="E1028" t="s">
        <v>4982</v>
      </c>
      <c r="F1028" t="s">
        <v>149</v>
      </c>
      <c r="G1028" t="s">
        <v>4983</v>
      </c>
    </row>
    <row r="1029" spans="1:7" s="297" customFormat="1" ht="44.25" customHeight="1">
      <c r="A1029" t="s">
        <v>4984</v>
      </c>
      <c r="B1029" t="s">
        <v>4985</v>
      </c>
      <c r="C1029" t="s">
        <v>136</v>
      </c>
      <c r="D1029" t="s">
        <v>79</v>
      </c>
      <c r="E1029" t="s">
        <v>4986</v>
      </c>
      <c r="F1029" t="s">
        <v>149</v>
      </c>
      <c r="G1029" t="s">
        <v>4987</v>
      </c>
    </row>
    <row r="1030" spans="1:7" s="297" customFormat="1" ht="44.25" customHeight="1">
      <c r="A1030" t="s">
        <v>4988</v>
      </c>
      <c r="B1030" t="s">
        <v>4989</v>
      </c>
      <c r="C1030" t="s">
        <v>136</v>
      </c>
      <c r="D1030" t="s">
        <v>79</v>
      </c>
      <c r="E1030" t="s">
        <v>4990</v>
      </c>
      <c r="F1030" t="s">
        <v>149</v>
      </c>
      <c r="G1030" t="s">
        <v>4991</v>
      </c>
    </row>
    <row r="1031" spans="1:7" s="297" customFormat="1" ht="44.25" customHeight="1">
      <c r="A1031" t="s">
        <v>4992</v>
      </c>
      <c r="B1031" t="s">
        <v>4993</v>
      </c>
      <c r="C1031" t="s">
        <v>136</v>
      </c>
      <c r="D1031" t="s">
        <v>79</v>
      </c>
      <c r="E1031" t="s">
        <v>4994</v>
      </c>
      <c r="F1031" t="s">
        <v>149</v>
      </c>
      <c r="G1031" t="s">
        <v>4995</v>
      </c>
    </row>
    <row r="1032" spans="1:7" s="297" customFormat="1" ht="44.25" customHeight="1">
      <c r="A1032" t="s">
        <v>4996</v>
      </c>
      <c r="B1032" t="s">
        <v>4997</v>
      </c>
      <c r="C1032" t="s">
        <v>136</v>
      </c>
      <c r="D1032" t="s">
        <v>79</v>
      </c>
      <c r="E1032" t="s">
        <v>4998</v>
      </c>
      <c r="F1032" t="s">
        <v>149</v>
      </c>
      <c r="G1032" t="s">
        <v>4999</v>
      </c>
    </row>
    <row r="1033" spans="1:7" s="297" customFormat="1" ht="44.25" customHeight="1">
      <c r="A1033" t="s">
        <v>5000</v>
      </c>
      <c r="B1033" t="s">
        <v>5001</v>
      </c>
      <c r="C1033" t="s">
        <v>136</v>
      </c>
      <c r="D1033" t="s">
        <v>79</v>
      </c>
      <c r="E1033" t="s">
        <v>5002</v>
      </c>
      <c r="F1033" t="s">
        <v>149</v>
      </c>
      <c r="G1033" t="s">
        <v>5003</v>
      </c>
    </row>
    <row r="1034" spans="1:7" s="297" customFormat="1" ht="44.25" customHeight="1">
      <c r="A1034" t="s">
        <v>5004</v>
      </c>
      <c r="B1034" t="s">
        <v>5005</v>
      </c>
      <c r="C1034" t="s">
        <v>136</v>
      </c>
      <c r="D1034" t="s">
        <v>79</v>
      </c>
      <c r="E1034" t="s">
        <v>5006</v>
      </c>
      <c r="F1034" t="s">
        <v>149</v>
      </c>
      <c r="G1034" t="s">
        <v>5007</v>
      </c>
    </row>
    <row r="1035" spans="1:7" s="297" customFormat="1" ht="44.25" customHeight="1">
      <c r="A1035" t="s">
        <v>5008</v>
      </c>
      <c r="B1035" t="s">
        <v>5009</v>
      </c>
      <c r="C1035" t="s">
        <v>136</v>
      </c>
      <c r="D1035" t="s">
        <v>79</v>
      </c>
      <c r="E1035" t="s">
        <v>5010</v>
      </c>
      <c r="F1035" t="s">
        <v>149</v>
      </c>
      <c r="G1035" t="s">
        <v>5011</v>
      </c>
    </row>
    <row r="1036" spans="1:7" s="297" customFormat="1" ht="44.25" customHeight="1">
      <c r="A1036" t="s">
        <v>5012</v>
      </c>
      <c r="B1036" t="s">
        <v>5013</v>
      </c>
      <c r="C1036" t="s">
        <v>136</v>
      </c>
      <c r="D1036" t="s">
        <v>79</v>
      </c>
      <c r="E1036" t="s">
        <v>5014</v>
      </c>
      <c r="F1036" t="s">
        <v>149</v>
      </c>
      <c r="G1036" t="s">
        <v>5015</v>
      </c>
    </row>
    <row r="1037" spans="1:7" s="297" customFormat="1" ht="44.25" customHeight="1">
      <c r="A1037" t="s">
        <v>5016</v>
      </c>
      <c r="B1037" t="s">
        <v>5017</v>
      </c>
      <c r="C1037" t="s">
        <v>136</v>
      </c>
      <c r="D1037" t="s">
        <v>79</v>
      </c>
      <c r="E1037" t="s">
        <v>5018</v>
      </c>
      <c r="F1037" t="s">
        <v>149</v>
      </c>
      <c r="G1037" t="s">
        <v>5019</v>
      </c>
    </row>
    <row r="1038" spans="1:7" s="297" customFormat="1" ht="44.25" customHeight="1">
      <c r="A1038" t="s">
        <v>5020</v>
      </c>
      <c r="B1038" t="s">
        <v>5021</v>
      </c>
      <c r="C1038" t="s">
        <v>136</v>
      </c>
      <c r="D1038" t="s">
        <v>79</v>
      </c>
      <c r="E1038" t="s">
        <v>5022</v>
      </c>
      <c r="F1038" t="s">
        <v>149</v>
      </c>
      <c r="G1038" t="s">
        <v>5023</v>
      </c>
    </row>
    <row r="1039" spans="1:7" s="297" customFormat="1" ht="44.25" customHeight="1">
      <c r="A1039" t="s">
        <v>5024</v>
      </c>
      <c r="B1039" t="s">
        <v>5025</v>
      </c>
      <c r="C1039" t="s">
        <v>136</v>
      </c>
      <c r="D1039" t="s">
        <v>79</v>
      </c>
      <c r="E1039" t="s">
        <v>5026</v>
      </c>
      <c r="F1039" t="s">
        <v>149</v>
      </c>
      <c r="G1039" t="s">
        <v>5027</v>
      </c>
    </row>
    <row r="1040" spans="1:7" s="297" customFormat="1" ht="44.25" customHeight="1">
      <c r="A1040" t="s">
        <v>5028</v>
      </c>
      <c r="B1040" t="s">
        <v>5029</v>
      </c>
      <c r="C1040" t="s">
        <v>136</v>
      </c>
      <c r="D1040" t="s">
        <v>79</v>
      </c>
      <c r="E1040" t="s">
        <v>5030</v>
      </c>
      <c r="F1040" t="s">
        <v>149</v>
      </c>
      <c r="G1040" t="s">
        <v>5031</v>
      </c>
    </row>
    <row r="1041" spans="1:7" s="297" customFormat="1" ht="44.25" customHeight="1">
      <c r="A1041" t="s">
        <v>5032</v>
      </c>
      <c r="B1041" t="s">
        <v>5033</v>
      </c>
      <c r="C1041" t="s">
        <v>136</v>
      </c>
      <c r="D1041" t="s">
        <v>79</v>
      </c>
      <c r="E1041" t="s">
        <v>5034</v>
      </c>
      <c r="F1041" t="s">
        <v>149</v>
      </c>
      <c r="G1041" t="s">
        <v>5035</v>
      </c>
    </row>
    <row r="1042" spans="1:7" s="297" customFormat="1" ht="44.25" customHeight="1">
      <c r="A1042" t="s">
        <v>5036</v>
      </c>
      <c r="B1042" t="s">
        <v>5037</v>
      </c>
      <c r="C1042" t="s">
        <v>136</v>
      </c>
      <c r="D1042" t="s">
        <v>79</v>
      </c>
      <c r="E1042" t="s">
        <v>5038</v>
      </c>
      <c r="F1042" t="s">
        <v>149</v>
      </c>
      <c r="G1042" t="s">
        <v>5039</v>
      </c>
    </row>
    <row r="1043" spans="1:7" s="297" customFormat="1" ht="44.25" customHeight="1">
      <c r="A1043" t="s">
        <v>5040</v>
      </c>
      <c r="B1043" t="s">
        <v>5041</v>
      </c>
      <c r="C1043" t="s">
        <v>136</v>
      </c>
      <c r="D1043" t="s">
        <v>79</v>
      </c>
      <c r="E1043" t="s">
        <v>5042</v>
      </c>
      <c r="F1043" t="s">
        <v>149</v>
      </c>
      <c r="G1043" t="s">
        <v>5043</v>
      </c>
    </row>
    <row r="1044" spans="1:7" s="297" customFormat="1" ht="44.25" customHeight="1">
      <c r="A1044" t="s">
        <v>5044</v>
      </c>
      <c r="B1044" t="s">
        <v>5045</v>
      </c>
      <c r="C1044" t="s">
        <v>136</v>
      </c>
      <c r="D1044" t="s">
        <v>79</v>
      </c>
      <c r="E1044" t="s">
        <v>5046</v>
      </c>
      <c r="F1044" t="s">
        <v>149</v>
      </c>
      <c r="G1044" t="s">
        <v>5047</v>
      </c>
    </row>
    <row r="1045" spans="1:7" s="297" customFormat="1" ht="44.25" customHeight="1">
      <c r="A1045" t="s">
        <v>5048</v>
      </c>
      <c r="B1045" t="s">
        <v>5049</v>
      </c>
      <c r="C1045" t="s">
        <v>136</v>
      </c>
      <c r="D1045" t="s">
        <v>79</v>
      </c>
      <c r="E1045" t="s">
        <v>5050</v>
      </c>
      <c r="F1045" t="s">
        <v>149</v>
      </c>
      <c r="G1045" t="s">
        <v>5051</v>
      </c>
    </row>
    <row r="1046" spans="1:7" s="297" customFormat="1" ht="44.25" customHeight="1">
      <c r="A1046" t="s">
        <v>5052</v>
      </c>
      <c r="B1046" t="s">
        <v>5053</v>
      </c>
      <c r="C1046" t="s">
        <v>136</v>
      </c>
      <c r="D1046" t="s">
        <v>79</v>
      </c>
      <c r="E1046" t="s">
        <v>5054</v>
      </c>
      <c r="F1046" t="s">
        <v>149</v>
      </c>
      <c r="G1046" t="s">
        <v>5055</v>
      </c>
    </row>
    <row r="1047" spans="1:7" s="297" customFormat="1" ht="44.25" customHeight="1">
      <c r="A1047" t="s">
        <v>5056</v>
      </c>
      <c r="B1047" t="s">
        <v>5057</v>
      </c>
      <c r="C1047" t="s">
        <v>136</v>
      </c>
      <c r="D1047" t="s">
        <v>79</v>
      </c>
      <c r="E1047" t="s">
        <v>5058</v>
      </c>
      <c r="F1047" t="s">
        <v>149</v>
      </c>
      <c r="G1047" t="s">
        <v>5059</v>
      </c>
    </row>
    <row r="1048" spans="1:7" s="297" customFormat="1" ht="44.25" customHeight="1">
      <c r="A1048" t="s">
        <v>5060</v>
      </c>
      <c r="B1048" t="s">
        <v>5061</v>
      </c>
      <c r="C1048" t="s">
        <v>136</v>
      </c>
      <c r="D1048" t="s">
        <v>79</v>
      </c>
      <c r="E1048" t="s">
        <v>5062</v>
      </c>
      <c r="F1048" t="s">
        <v>149</v>
      </c>
      <c r="G1048" t="s">
        <v>5063</v>
      </c>
    </row>
    <row r="1049" spans="1:7" s="297" customFormat="1" ht="44.25" customHeight="1">
      <c r="A1049" t="s">
        <v>5064</v>
      </c>
      <c r="B1049" t="s">
        <v>5065</v>
      </c>
      <c r="C1049" t="s">
        <v>136</v>
      </c>
      <c r="D1049" t="s">
        <v>79</v>
      </c>
      <c r="E1049" t="s">
        <v>4914</v>
      </c>
      <c r="F1049" t="s">
        <v>149</v>
      </c>
      <c r="G1049" t="s">
        <v>5066</v>
      </c>
    </row>
    <row r="1050" spans="1:7" s="297" customFormat="1" ht="44.25" customHeight="1">
      <c r="A1050" t="s">
        <v>5067</v>
      </c>
      <c r="B1050" t="s">
        <v>5068</v>
      </c>
      <c r="C1050" t="s">
        <v>136</v>
      </c>
      <c r="D1050" t="s">
        <v>79</v>
      </c>
      <c r="E1050" t="s">
        <v>5069</v>
      </c>
      <c r="F1050" t="s">
        <v>149</v>
      </c>
      <c r="G1050" t="s">
        <v>5070</v>
      </c>
    </row>
    <row r="1051" spans="1:7" s="297" customFormat="1" ht="44.25" customHeight="1">
      <c r="A1051" t="s">
        <v>2627</v>
      </c>
      <c r="B1051" t="s">
        <v>2628</v>
      </c>
      <c r="C1051" t="s">
        <v>136</v>
      </c>
      <c r="D1051" t="s">
        <v>79</v>
      </c>
      <c r="E1051" t="s">
        <v>2629</v>
      </c>
      <c r="F1051" t="s">
        <v>149</v>
      </c>
      <c r="G1051" t="s">
        <v>5071</v>
      </c>
    </row>
    <row r="1052" spans="1:7" s="297" customFormat="1" ht="44.25" customHeight="1">
      <c r="A1052" t="s">
        <v>5072</v>
      </c>
      <c r="B1052" t="s">
        <v>5073</v>
      </c>
      <c r="C1052" t="s">
        <v>136</v>
      </c>
      <c r="D1052" t="s">
        <v>79</v>
      </c>
      <c r="E1052" t="s">
        <v>5074</v>
      </c>
      <c r="F1052" t="s">
        <v>149</v>
      </c>
      <c r="G1052" t="s">
        <v>5075</v>
      </c>
    </row>
    <row r="1053" spans="1:7" s="297" customFormat="1" ht="44.25" customHeight="1">
      <c r="A1053" t="s">
        <v>5076</v>
      </c>
      <c r="B1053" t="s">
        <v>5077</v>
      </c>
      <c r="C1053" t="s">
        <v>136</v>
      </c>
      <c r="D1053" t="s">
        <v>79</v>
      </c>
      <c r="E1053" t="s">
        <v>5078</v>
      </c>
      <c r="F1053" t="s">
        <v>149</v>
      </c>
      <c r="G1053" t="s">
        <v>5079</v>
      </c>
    </row>
    <row r="1054" spans="1:7" s="297" customFormat="1" ht="44.25" customHeight="1">
      <c r="A1054" t="s">
        <v>5080</v>
      </c>
      <c r="B1054" t="s">
        <v>5081</v>
      </c>
      <c r="C1054" t="s">
        <v>136</v>
      </c>
      <c r="D1054" t="s">
        <v>79</v>
      </c>
      <c r="E1054" t="s">
        <v>5082</v>
      </c>
      <c r="F1054" t="s">
        <v>149</v>
      </c>
      <c r="G1054" t="s">
        <v>5083</v>
      </c>
    </row>
    <row r="1055" spans="1:7" s="297" customFormat="1" ht="44.25" customHeight="1">
      <c r="A1055" t="s">
        <v>5084</v>
      </c>
      <c r="B1055" t="s">
        <v>5085</v>
      </c>
      <c r="C1055" t="s">
        <v>136</v>
      </c>
      <c r="D1055" t="s">
        <v>79</v>
      </c>
      <c r="E1055" t="s">
        <v>5086</v>
      </c>
      <c r="F1055" t="s">
        <v>149</v>
      </c>
      <c r="G1055" t="s">
        <v>5087</v>
      </c>
    </row>
    <row r="1056" spans="1:7" s="297" customFormat="1" ht="44.25" customHeight="1">
      <c r="A1056" t="s">
        <v>5088</v>
      </c>
      <c r="B1056" t="s">
        <v>5089</v>
      </c>
      <c r="C1056" t="s">
        <v>136</v>
      </c>
      <c r="D1056" t="s">
        <v>79</v>
      </c>
      <c r="E1056" t="s">
        <v>5090</v>
      </c>
      <c r="F1056" t="s">
        <v>149</v>
      </c>
      <c r="G1056" t="s">
        <v>5091</v>
      </c>
    </row>
    <row r="1057" spans="1:7" s="297" customFormat="1" ht="44.25" customHeight="1">
      <c r="A1057" t="s">
        <v>2631</v>
      </c>
      <c r="B1057" t="s">
        <v>2632</v>
      </c>
      <c r="C1057" t="s">
        <v>136</v>
      </c>
      <c r="D1057" t="s">
        <v>79</v>
      </c>
      <c r="E1057" t="s">
        <v>2633</v>
      </c>
      <c r="F1057" t="s">
        <v>149</v>
      </c>
      <c r="G1057" t="s">
        <v>5092</v>
      </c>
    </row>
    <row r="1058" spans="1:7" s="297" customFormat="1" ht="44.25" customHeight="1">
      <c r="A1058" t="s">
        <v>5093</v>
      </c>
      <c r="B1058" t="s">
        <v>5094</v>
      </c>
      <c r="C1058" t="s">
        <v>136</v>
      </c>
      <c r="D1058" t="s">
        <v>79</v>
      </c>
      <c r="E1058" t="s">
        <v>5095</v>
      </c>
      <c r="F1058" t="s">
        <v>149</v>
      </c>
      <c r="G1058" t="s">
        <v>5096</v>
      </c>
    </row>
    <row r="1059" spans="1:7" s="297" customFormat="1" ht="44.25" customHeight="1">
      <c r="A1059" t="s">
        <v>5097</v>
      </c>
      <c r="B1059" t="s">
        <v>5098</v>
      </c>
      <c r="C1059" t="s">
        <v>136</v>
      </c>
      <c r="D1059" t="s">
        <v>79</v>
      </c>
      <c r="E1059" t="s">
        <v>5099</v>
      </c>
      <c r="F1059" t="s">
        <v>149</v>
      </c>
      <c r="G1059" t="s">
        <v>5100</v>
      </c>
    </row>
    <row r="1060" spans="1:7" s="297" customFormat="1" ht="44.25" customHeight="1">
      <c r="A1060" t="s">
        <v>5101</v>
      </c>
      <c r="B1060" t="s">
        <v>5102</v>
      </c>
      <c r="C1060" t="s">
        <v>136</v>
      </c>
      <c r="D1060" t="s">
        <v>79</v>
      </c>
      <c r="E1060" t="s">
        <v>5103</v>
      </c>
      <c r="F1060" t="s">
        <v>149</v>
      </c>
      <c r="G1060" t="s">
        <v>5104</v>
      </c>
    </row>
    <row r="1061" spans="1:7" s="297" customFormat="1" ht="44.25" customHeight="1">
      <c r="A1061" t="s">
        <v>5105</v>
      </c>
      <c r="B1061" t="s">
        <v>5106</v>
      </c>
      <c r="C1061" t="s">
        <v>136</v>
      </c>
      <c r="D1061" t="s">
        <v>79</v>
      </c>
      <c r="E1061" t="s">
        <v>5107</v>
      </c>
      <c r="F1061" t="s">
        <v>149</v>
      </c>
      <c r="G1061" t="s">
        <v>5108</v>
      </c>
    </row>
    <row r="1062" spans="1:7" s="297" customFormat="1" ht="44.25" customHeight="1">
      <c r="A1062" t="s">
        <v>5109</v>
      </c>
      <c r="B1062" t="s">
        <v>5110</v>
      </c>
      <c r="C1062" t="s">
        <v>136</v>
      </c>
      <c r="D1062" t="s">
        <v>79</v>
      </c>
      <c r="E1062" t="s">
        <v>5111</v>
      </c>
      <c r="F1062" t="s">
        <v>149</v>
      </c>
      <c r="G1062" t="s">
        <v>5112</v>
      </c>
    </row>
    <row r="1063" spans="1:7" s="297" customFormat="1" ht="44.25" customHeight="1">
      <c r="A1063" t="s">
        <v>5113</v>
      </c>
      <c r="B1063" t="s">
        <v>5114</v>
      </c>
      <c r="C1063" t="s">
        <v>136</v>
      </c>
      <c r="D1063" t="s">
        <v>2257</v>
      </c>
      <c r="E1063" t="s">
        <v>5115</v>
      </c>
      <c r="F1063" t="s">
        <v>149</v>
      </c>
      <c r="G1063" t="s">
        <v>5116</v>
      </c>
    </row>
    <row r="1064" spans="1:7" s="297" customFormat="1" ht="44.25" customHeight="1">
      <c r="A1064" t="s">
        <v>5117</v>
      </c>
      <c r="B1064" t="s">
        <v>5118</v>
      </c>
      <c r="C1064" t="s">
        <v>136</v>
      </c>
      <c r="D1064" t="s">
        <v>79</v>
      </c>
      <c r="E1064" t="s">
        <v>5119</v>
      </c>
      <c r="F1064" t="s">
        <v>149</v>
      </c>
      <c r="G1064" t="s">
        <v>5120</v>
      </c>
    </row>
    <row r="1065" spans="1:7" s="297" customFormat="1" ht="44.25" customHeight="1">
      <c r="A1065" t="s">
        <v>5121</v>
      </c>
      <c r="B1065" t="s">
        <v>5122</v>
      </c>
      <c r="C1065" t="s">
        <v>136</v>
      </c>
      <c r="D1065" t="s">
        <v>79</v>
      </c>
      <c r="E1065" t="s">
        <v>5123</v>
      </c>
      <c r="F1065" t="s">
        <v>149</v>
      </c>
      <c r="G1065" t="s">
        <v>5124</v>
      </c>
    </row>
    <row r="1066" spans="1:7" s="297" customFormat="1" ht="44.25" customHeight="1">
      <c r="A1066" t="s">
        <v>136</v>
      </c>
      <c r="B1066" t="s">
        <v>5125</v>
      </c>
      <c r="C1066" t="s">
        <v>136</v>
      </c>
      <c r="D1066" t="s">
        <v>79</v>
      </c>
      <c r="E1066" t="s">
        <v>5126</v>
      </c>
      <c r="F1066" t="s">
        <v>149</v>
      </c>
      <c r="G1066" t="s">
        <v>5127</v>
      </c>
    </row>
    <row r="1067" spans="1:7" s="297" customFormat="1" ht="44.25" customHeight="1">
      <c r="A1067" t="s">
        <v>5128</v>
      </c>
      <c r="B1067" t="s">
        <v>5129</v>
      </c>
      <c r="C1067" t="s">
        <v>136</v>
      </c>
      <c r="D1067" t="s">
        <v>79</v>
      </c>
      <c r="E1067" t="s">
        <v>5130</v>
      </c>
      <c r="F1067" t="s">
        <v>149</v>
      </c>
      <c r="G1067" t="s">
        <v>5131</v>
      </c>
    </row>
    <row r="1068" spans="1:7" s="297" customFormat="1" ht="44.25" customHeight="1">
      <c r="A1068" t="s">
        <v>5132</v>
      </c>
      <c r="B1068" t="s">
        <v>5133</v>
      </c>
      <c r="C1068" t="s">
        <v>136</v>
      </c>
      <c r="D1068" t="s">
        <v>79</v>
      </c>
      <c r="E1068" t="s">
        <v>5134</v>
      </c>
      <c r="F1068" t="s">
        <v>149</v>
      </c>
      <c r="G1068" t="s">
        <v>5135</v>
      </c>
    </row>
    <row r="1069" spans="1:7" s="297" customFormat="1" ht="44.25" customHeight="1">
      <c r="A1069" t="s">
        <v>5136</v>
      </c>
      <c r="B1069" t="s">
        <v>5137</v>
      </c>
      <c r="C1069" t="s">
        <v>136</v>
      </c>
      <c r="D1069" t="s">
        <v>79</v>
      </c>
      <c r="E1069" t="s">
        <v>5138</v>
      </c>
      <c r="F1069" t="s">
        <v>149</v>
      </c>
      <c r="G1069" t="s">
        <v>5139</v>
      </c>
    </row>
    <row r="1070" spans="1:7" s="297" customFormat="1" ht="44.25" customHeight="1">
      <c r="A1070" t="s">
        <v>5140</v>
      </c>
      <c r="B1070" t="s">
        <v>5141</v>
      </c>
      <c r="C1070" t="s">
        <v>136</v>
      </c>
      <c r="D1070" t="s">
        <v>79</v>
      </c>
      <c r="E1070" t="s">
        <v>5142</v>
      </c>
      <c r="F1070" t="s">
        <v>149</v>
      </c>
      <c r="G1070" t="s">
        <v>5143</v>
      </c>
    </row>
    <row r="1071" spans="1:7" s="297" customFormat="1" ht="44.25" customHeight="1">
      <c r="A1071" t="s">
        <v>5144</v>
      </c>
      <c r="B1071" t="s">
        <v>5145</v>
      </c>
      <c r="C1071" t="s">
        <v>136</v>
      </c>
      <c r="D1071" t="s">
        <v>79</v>
      </c>
      <c r="E1071" t="s">
        <v>5146</v>
      </c>
      <c r="F1071" t="s">
        <v>149</v>
      </c>
      <c r="G1071" t="s">
        <v>5147</v>
      </c>
    </row>
    <row r="1072" spans="1:7" s="297" customFormat="1" ht="44.25" customHeight="1">
      <c r="A1072" t="s">
        <v>5148</v>
      </c>
      <c r="B1072" t="s">
        <v>5149</v>
      </c>
      <c r="C1072" t="s">
        <v>136</v>
      </c>
      <c r="D1072" t="s">
        <v>79</v>
      </c>
      <c r="E1072" t="s">
        <v>5150</v>
      </c>
      <c r="F1072" t="s">
        <v>149</v>
      </c>
      <c r="G1072" t="s">
        <v>5151</v>
      </c>
    </row>
    <row r="1073" spans="1:7" s="297" customFormat="1" ht="44.25" customHeight="1">
      <c r="A1073" t="s">
        <v>136</v>
      </c>
      <c r="B1073" t="s">
        <v>5152</v>
      </c>
      <c r="C1073" t="s">
        <v>136</v>
      </c>
      <c r="D1073" t="s">
        <v>2257</v>
      </c>
      <c r="E1073" t="s">
        <v>5153</v>
      </c>
      <c r="F1073" t="s">
        <v>149</v>
      </c>
      <c r="G1073" t="s">
        <v>5154</v>
      </c>
    </row>
    <row r="1074" spans="1:7" s="297" customFormat="1" ht="44.25" customHeight="1">
      <c r="A1074" t="s">
        <v>5155</v>
      </c>
      <c r="B1074" t="s">
        <v>5156</v>
      </c>
      <c r="C1074" t="s">
        <v>136</v>
      </c>
      <c r="D1074" t="s">
        <v>79</v>
      </c>
      <c r="E1074" t="s">
        <v>5157</v>
      </c>
      <c r="F1074" t="s">
        <v>149</v>
      </c>
      <c r="G1074" t="s">
        <v>5158</v>
      </c>
    </row>
    <row r="1075" spans="1:7" s="297" customFormat="1" ht="44.25" customHeight="1">
      <c r="A1075" t="s">
        <v>5159</v>
      </c>
      <c r="B1075" t="s">
        <v>5160</v>
      </c>
      <c r="C1075" t="s">
        <v>136</v>
      </c>
      <c r="D1075" t="s">
        <v>79</v>
      </c>
      <c r="E1075" t="s">
        <v>5161</v>
      </c>
      <c r="F1075" t="s">
        <v>149</v>
      </c>
      <c r="G1075" t="s">
        <v>5162</v>
      </c>
    </row>
    <row r="1076" spans="1:7" s="297" customFormat="1" ht="44.25" customHeight="1">
      <c r="A1076" t="s">
        <v>5163</v>
      </c>
      <c r="B1076" t="s">
        <v>5164</v>
      </c>
      <c r="C1076" t="s">
        <v>136</v>
      </c>
      <c r="D1076" t="s">
        <v>79</v>
      </c>
      <c r="E1076" t="s">
        <v>5165</v>
      </c>
      <c r="F1076" t="s">
        <v>149</v>
      </c>
      <c r="G1076" t="s">
        <v>5166</v>
      </c>
    </row>
    <row r="1077" spans="1:7" s="297" customFormat="1" ht="44.25" customHeight="1">
      <c r="A1077" t="s">
        <v>5167</v>
      </c>
      <c r="B1077" t="s">
        <v>5168</v>
      </c>
      <c r="C1077" t="s">
        <v>136</v>
      </c>
      <c r="D1077" t="s">
        <v>79</v>
      </c>
      <c r="E1077" t="s">
        <v>5169</v>
      </c>
      <c r="F1077" t="s">
        <v>149</v>
      </c>
      <c r="G1077" t="s">
        <v>5170</v>
      </c>
    </row>
    <row r="1078" spans="1:7" s="297" customFormat="1" ht="44.25" customHeight="1">
      <c r="A1078" t="s">
        <v>5171</v>
      </c>
      <c r="B1078" t="s">
        <v>5172</v>
      </c>
      <c r="C1078" t="s">
        <v>136</v>
      </c>
      <c r="D1078" t="s">
        <v>79</v>
      </c>
      <c r="E1078" t="s">
        <v>5173</v>
      </c>
      <c r="F1078" t="s">
        <v>149</v>
      </c>
      <c r="G1078" t="s">
        <v>5174</v>
      </c>
    </row>
    <row r="1079" spans="1:7" s="297" customFormat="1" ht="44.25" customHeight="1">
      <c r="A1079" t="s">
        <v>5175</v>
      </c>
      <c r="B1079" t="s">
        <v>5176</v>
      </c>
      <c r="C1079" t="s">
        <v>136</v>
      </c>
      <c r="D1079" t="s">
        <v>79</v>
      </c>
      <c r="E1079" t="s">
        <v>5177</v>
      </c>
      <c r="F1079" t="s">
        <v>149</v>
      </c>
      <c r="G1079" t="s">
        <v>5178</v>
      </c>
    </row>
    <row r="1080" spans="1:7" s="297" customFormat="1" ht="44.25" customHeight="1">
      <c r="A1080" t="s">
        <v>3587</v>
      </c>
      <c r="B1080" t="s">
        <v>3588</v>
      </c>
      <c r="C1080" t="s">
        <v>136</v>
      </c>
      <c r="D1080" t="s">
        <v>79</v>
      </c>
      <c r="E1080" t="s">
        <v>3589</v>
      </c>
      <c r="F1080" t="s">
        <v>149</v>
      </c>
      <c r="G1080" t="s">
        <v>5179</v>
      </c>
    </row>
    <row r="1081" spans="1:7" s="297" customFormat="1" ht="44.25" customHeight="1">
      <c r="A1081" t="s">
        <v>5180</v>
      </c>
      <c r="B1081" t="s">
        <v>5181</v>
      </c>
      <c r="C1081" t="s">
        <v>136</v>
      </c>
      <c r="D1081" t="s">
        <v>79</v>
      </c>
      <c r="E1081" t="s">
        <v>5182</v>
      </c>
      <c r="F1081" t="s">
        <v>149</v>
      </c>
      <c r="G1081" t="s">
        <v>5183</v>
      </c>
    </row>
    <row r="1082" spans="1:7" s="297" customFormat="1" ht="44.25" customHeight="1">
      <c r="A1082" t="s">
        <v>5184</v>
      </c>
      <c r="B1082" t="s">
        <v>5185</v>
      </c>
      <c r="C1082" t="s">
        <v>136</v>
      </c>
      <c r="D1082" t="s">
        <v>79</v>
      </c>
      <c r="E1082" t="s">
        <v>5186</v>
      </c>
      <c r="F1082" t="s">
        <v>149</v>
      </c>
      <c r="G1082" t="s">
        <v>5187</v>
      </c>
    </row>
    <row r="1083" spans="1:7" s="297" customFormat="1" ht="44.25" customHeight="1">
      <c r="A1083" t="s">
        <v>5188</v>
      </c>
      <c r="B1083" t="s">
        <v>5189</v>
      </c>
      <c r="C1083" t="s">
        <v>136</v>
      </c>
      <c r="D1083" t="s">
        <v>79</v>
      </c>
      <c r="E1083" t="s">
        <v>5190</v>
      </c>
      <c r="F1083" t="s">
        <v>149</v>
      </c>
      <c r="G1083" t="s">
        <v>5191</v>
      </c>
    </row>
    <row r="1084" spans="1:7" s="297" customFormat="1" ht="44.25" customHeight="1">
      <c r="A1084" t="s">
        <v>5192</v>
      </c>
      <c r="B1084" t="s">
        <v>5193</v>
      </c>
      <c r="C1084" t="s">
        <v>136</v>
      </c>
      <c r="D1084" t="s">
        <v>79</v>
      </c>
      <c r="E1084" t="s">
        <v>5194</v>
      </c>
      <c r="F1084" t="s">
        <v>149</v>
      </c>
      <c r="G1084" t="s">
        <v>5195</v>
      </c>
    </row>
    <row r="1085" spans="1:7" s="297" customFormat="1" ht="44.25" customHeight="1">
      <c r="A1085" t="s">
        <v>5196</v>
      </c>
      <c r="B1085" t="s">
        <v>5197</v>
      </c>
      <c r="C1085" t="s">
        <v>136</v>
      </c>
      <c r="D1085" t="s">
        <v>79</v>
      </c>
      <c r="E1085" t="s">
        <v>5198</v>
      </c>
      <c r="F1085" t="s">
        <v>149</v>
      </c>
      <c r="G1085" t="s">
        <v>5199</v>
      </c>
    </row>
    <row r="1086" spans="1:7" s="297" customFormat="1" ht="44.25" customHeight="1">
      <c r="A1086" t="s">
        <v>5200</v>
      </c>
      <c r="B1086" t="s">
        <v>5201</v>
      </c>
      <c r="C1086" t="s">
        <v>136</v>
      </c>
      <c r="D1086" t="s">
        <v>79</v>
      </c>
      <c r="E1086" t="s">
        <v>5202</v>
      </c>
      <c r="F1086" t="s">
        <v>149</v>
      </c>
      <c r="G1086" t="s">
        <v>5203</v>
      </c>
    </row>
    <row r="1087" spans="1:7" s="297" customFormat="1" ht="44.25" customHeight="1">
      <c r="A1087" t="s">
        <v>5204</v>
      </c>
      <c r="B1087" t="s">
        <v>5205</v>
      </c>
      <c r="C1087" t="s">
        <v>136</v>
      </c>
      <c r="D1087" t="s">
        <v>79</v>
      </c>
      <c r="E1087" t="s">
        <v>5206</v>
      </c>
      <c r="F1087" t="s">
        <v>149</v>
      </c>
      <c r="G1087" t="s">
        <v>5207</v>
      </c>
    </row>
    <row r="1088" spans="1:7" s="297" customFormat="1" ht="44.25" customHeight="1">
      <c r="A1088" t="s">
        <v>5208</v>
      </c>
      <c r="B1088" t="s">
        <v>5209</v>
      </c>
      <c r="C1088" t="s">
        <v>136</v>
      </c>
      <c r="D1088" t="s">
        <v>79</v>
      </c>
      <c r="E1088" t="s">
        <v>5210</v>
      </c>
      <c r="F1088" t="s">
        <v>149</v>
      </c>
      <c r="G1088" t="s">
        <v>5211</v>
      </c>
    </row>
    <row r="1089" spans="1:7" s="297" customFormat="1" ht="44.25" customHeight="1">
      <c r="A1089" t="s">
        <v>5212</v>
      </c>
      <c r="B1089" t="s">
        <v>5213</v>
      </c>
      <c r="C1089" t="s">
        <v>136</v>
      </c>
      <c r="D1089" t="s">
        <v>79</v>
      </c>
      <c r="E1089" t="s">
        <v>5214</v>
      </c>
      <c r="F1089" t="s">
        <v>149</v>
      </c>
      <c r="G1089" t="s">
        <v>5215</v>
      </c>
    </row>
    <row r="1090" spans="1:7" s="297" customFormat="1" ht="44.25" customHeight="1">
      <c r="A1090" t="s">
        <v>5216</v>
      </c>
      <c r="B1090" t="s">
        <v>5217</v>
      </c>
      <c r="C1090" t="s">
        <v>136</v>
      </c>
      <c r="D1090" t="s">
        <v>79</v>
      </c>
      <c r="E1090" t="s">
        <v>5218</v>
      </c>
      <c r="F1090" t="s">
        <v>149</v>
      </c>
      <c r="G1090" t="s">
        <v>5219</v>
      </c>
    </row>
    <row r="1091" spans="1:7" s="297" customFormat="1" ht="44.25" customHeight="1">
      <c r="A1091" t="s">
        <v>5220</v>
      </c>
      <c r="B1091" t="s">
        <v>5221</v>
      </c>
      <c r="C1091" t="s">
        <v>136</v>
      </c>
      <c r="D1091" t="s">
        <v>79</v>
      </c>
      <c r="E1091" t="s">
        <v>5222</v>
      </c>
      <c r="F1091" t="s">
        <v>149</v>
      </c>
      <c r="G1091" t="s">
        <v>5223</v>
      </c>
    </row>
    <row r="1092" spans="1:7" s="297" customFormat="1" ht="44.25" customHeight="1">
      <c r="A1092" t="s">
        <v>5224</v>
      </c>
      <c r="B1092" t="s">
        <v>5225</v>
      </c>
      <c r="C1092" t="s">
        <v>136</v>
      </c>
      <c r="D1092" t="s">
        <v>79</v>
      </c>
      <c r="E1092" t="s">
        <v>5226</v>
      </c>
      <c r="F1092" t="s">
        <v>149</v>
      </c>
      <c r="G1092" t="s">
        <v>5227</v>
      </c>
    </row>
    <row r="1093" spans="1:7" s="297" customFormat="1" ht="44.25" customHeight="1">
      <c r="A1093" t="s">
        <v>5228</v>
      </c>
      <c r="B1093" t="s">
        <v>5229</v>
      </c>
      <c r="C1093" t="s">
        <v>136</v>
      </c>
      <c r="D1093" t="s">
        <v>79</v>
      </c>
      <c r="E1093" t="s">
        <v>5230</v>
      </c>
      <c r="F1093" t="s">
        <v>149</v>
      </c>
      <c r="G1093" t="s">
        <v>5231</v>
      </c>
    </row>
    <row r="1094" spans="1:7" s="297" customFormat="1" ht="44.25" customHeight="1">
      <c r="A1094" t="s">
        <v>5232</v>
      </c>
      <c r="B1094" t="s">
        <v>5233</v>
      </c>
      <c r="C1094" t="s">
        <v>136</v>
      </c>
      <c r="D1094" t="s">
        <v>79</v>
      </c>
      <c r="E1094" t="s">
        <v>5234</v>
      </c>
      <c r="F1094" t="s">
        <v>149</v>
      </c>
      <c r="G1094" t="s">
        <v>5235</v>
      </c>
    </row>
    <row r="1095" spans="1:7" s="297" customFormat="1" ht="44.25" customHeight="1">
      <c r="A1095" t="s">
        <v>5236</v>
      </c>
      <c r="B1095" t="s">
        <v>5237</v>
      </c>
      <c r="C1095" t="s">
        <v>136</v>
      </c>
      <c r="D1095" t="s">
        <v>79</v>
      </c>
      <c r="E1095" t="s">
        <v>5238</v>
      </c>
      <c r="F1095" t="s">
        <v>149</v>
      </c>
      <c r="G1095" t="s">
        <v>5239</v>
      </c>
    </row>
    <row r="1096" spans="1:7" s="297" customFormat="1" ht="44.25" customHeight="1">
      <c r="A1096" t="s">
        <v>5240</v>
      </c>
      <c r="B1096" t="s">
        <v>5241</v>
      </c>
      <c r="C1096" t="s">
        <v>136</v>
      </c>
      <c r="D1096" t="s">
        <v>79</v>
      </c>
      <c r="E1096" t="s">
        <v>5242</v>
      </c>
      <c r="F1096" t="s">
        <v>149</v>
      </c>
      <c r="G1096" t="s">
        <v>5243</v>
      </c>
    </row>
    <row r="1097" spans="1:7" s="297" customFormat="1" ht="44.25" customHeight="1">
      <c r="A1097" t="s">
        <v>5244</v>
      </c>
      <c r="B1097" t="s">
        <v>5245</v>
      </c>
      <c r="C1097" t="s">
        <v>136</v>
      </c>
      <c r="D1097" t="s">
        <v>79</v>
      </c>
      <c r="E1097" t="s">
        <v>5246</v>
      </c>
      <c r="F1097" t="s">
        <v>149</v>
      </c>
      <c r="G1097" t="s">
        <v>5247</v>
      </c>
    </row>
    <row r="1098" spans="1:7" s="297" customFormat="1" ht="44.25" customHeight="1">
      <c r="A1098" t="s">
        <v>5248</v>
      </c>
      <c r="B1098" t="s">
        <v>5249</v>
      </c>
      <c r="C1098" t="s">
        <v>136</v>
      </c>
      <c r="D1098" t="s">
        <v>79</v>
      </c>
      <c r="E1098" t="s">
        <v>5250</v>
      </c>
      <c r="F1098" t="s">
        <v>149</v>
      </c>
      <c r="G1098" t="s">
        <v>5251</v>
      </c>
    </row>
    <row r="1099" spans="1:7" s="297" customFormat="1" ht="44.25" customHeight="1">
      <c r="A1099" t="s">
        <v>5252</v>
      </c>
      <c r="B1099" t="s">
        <v>5253</v>
      </c>
      <c r="C1099" t="s">
        <v>136</v>
      </c>
      <c r="D1099" t="s">
        <v>79</v>
      </c>
      <c r="E1099" t="s">
        <v>5254</v>
      </c>
      <c r="F1099" t="s">
        <v>149</v>
      </c>
      <c r="G1099" t="s">
        <v>5255</v>
      </c>
    </row>
    <row r="1100" spans="1:7" s="297" customFormat="1" ht="44.25" customHeight="1">
      <c r="A1100" t="s">
        <v>5256</v>
      </c>
      <c r="B1100" t="s">
        <v>5257</v>
      </c>
      <c r="C1100" t="s">
        <v>136</v>
      </c>
      <c r="D1100" t="s">
        <v>79</v>
      </c>
      <c r="E1100" t="s">
        <v>5258</v>
      </c>
      <c r="F1100" t="s">
        <v>149</v>
      </c>
      <c r="G1100" t="s">
        <v>5259</v>
      </c>
    </row>
    <row r="1101" spans="1:7" s="297" customFormat="1" ht="44.25" customHeight="1">
      <c r="A1101" t="s">
        <v>5260</v>
      </c>
      <c r="B1101" t="s">
        <v>5261</v>
      </c>
      <c r="C1101" t="s">
        <v>136</v>
      </c>
      <c r="D1101" t="s">
        <v>79</v>
      </c>
      <c r="E1101" t="s">
        <v>5262</v>
      </c>
      <c r="F1101" t="s">
        <v>149</v>
      </c>
      <c r="G1101" t="s">
        <v>5263</v>
      </c>
    </row>
    <row r="1102" spans="1:7" s="297" customFormat="1" ht="44.25" customHeight="1">
      <c r="A1102" t="s">
        <v>5264</v>
      </c>
      <c r="B1102" t="s">
        <v>5265</v>
      </c>
      <c r="C1102" t="s">
        <v>136</v>
      </c>
      <c r="D1102" t="s">
        <v>79</v>
      </c>
      <c r="E1102" t="s">
        <v>5266</v>
      </c>
      <c r="F1102" t="s">
        <v>149</v>
      </c>
      <c r="G1102" t="s">
        <v>5267</v>
      </c>
    </row>
    <row r="1103" spans="1:7" s="297" customFormat="1" ht="44.25" customHeight="1">
      <c r="A1103" t="s">
        <v>5268</v>
      </c>
      <c r="B1103" t="s">
        <v>5269</v>
      </c>
      <c r="C1103" t="s">
        <v>136</v>
      </c>
      <c r="D1103" t="s">
        <v>79</v>
      </c>
      <c r="E1103" t="s">
        <v>5270</v>
      </c>
      <c r="F1103" t="s">
        <v>149</v>
      </c>
      <c r="G1103" t="s">
        <v>5271</v>
      </c>
    </row>
    <row r="1104" spans="1:7" s="297" customFormat="1" ht="44.25" customHeight="1">
      <c r="A1104" t="s">
        <v>5272</v>
      </c>
      <c r="B1104" t="s">
        <v>5273</v>
      </c>
      <c r="C1104" t="s">
        <v>136</v>
      </c>
      <c r="D1104" t="s">
        <v>79</v>
      </c>
      <c r="E1104" t="s">
        <v>5274</v>
      </c>
      <c r="F1104" t="s">
        <v>149</v>
      </c>
      <c r="G1104" t="s">
        <v>5275</v>
      </c>
    </row>
    <row r="1105" spans="1:7" s="297" customFormat="1" ht="44.25" customHeight="1">
      <c r="A1105" t="s">
        <v>5276</v>
      </c>
      <c r="B1105" t="s">
        <v>5277</v>
      </c>
      <c r="C1105" t="s">
        <v>136</v>
      </c>
      <c r="D1105" t="s">
        <v>79</v>
      </c>
      <c r="E1105" t="s">
        <v>5278</v>
      </c>
      <c r="F1105" t="s">
        <v>149</v>
      </c>
      <c r="G1105" t="s">
        <v>5279</v>
      </c>
    </row>
    <row r="1106" spans="1:7" s="297" customFormat="1" ht="44.25" customHeight="1">
      <c r="A1106" t="s">
        <v>5280</v>
      </c>
      <c r="B1106" t="s">
        <v>5281</v>
      </c>
      <c r="C1106" t="s">
        <v>136</v>
      </c>
      <c r="D1106" t="s">
        <v>79</v>
      </c>
      <c r="E1106" t="s">
        <v>5282</v>
      </c>
      <c r="F1106" t="s">
        <v>149</v>
      </c>
      <c r="G1106" t="s">
        <v>5283</v>
      </c>
    </row>
    <row r="1107" spans="1:7" s="297" customFormat="1" ht="44.25" customHeight="1">
      <c r="A1107" t="s">
        <v>5284</v>
      </c>
      <c r="B1107" t="s">
        <v>5285</v>
      </c>
      <c r="C1107" t="s">
        <v>136</v>
      </c>
      <c r="D1107" t="s">
        <v>79</v>
      </c>
      <c r="E1107" t="s">
        <v>5286</v>
      </c>
      <c r="F1107" t="s">
        <v>149</v>
      </c>
      <c r="G1107" t="s">
        <v>5287</v>
      </c>
    </row>
    <row r="1108" spans="1:7" s="297" customFormat="1" ht="44.25" customHeight="1">
      <c r="A1108" t="s">
        <v>5288</v>
      </c>
      <c r="B1108" t="s">
        <v>5289</v>
      </c>
      <c r="C1108" t="s">
        <v>136</v>
      </c>
      <c r="D1108" t="s">
        <v>79</v>
      </c>
      <c r="E1108" t="s">
        <v>5290</v>
      </c>
      <c r="F1108" t="s">
        <v>149</v>
      </c>
      <c r="G1108" t="s">
        <v>5291</v>
      </c>
    </row>
    <row r="1109" spans="1:7" s="297" customFormat="1" ht="44.25" customHeight="1">
      <c r="A1109" t="s">
        <v>3591</v>
      </c>
      <c r="B1109" t="s">
        <v>3592</v>
      </c>
      <c r="C1109" t="s">
        <v>136</v>
      </c>
      <c r="D1109" t="s">
        <v>2257</v>
      </c>
      <c r="E1109" t="s">
        <v>3593</v>
      </c>
      <c r="F1109" t="s">
        <v>149</v>
      </c>
      <c r="G1109" t="s">
        <v>5292</v>
      </c>
    </row>
    <row r="1110" spans="1:7" s="297" customFormat="1" ht="44.25" customHeight="1">
      <c r="A1110" t="s">
        <v>5293</v>
      </c>
      <c r="B1110" t="s">
        <v>5294</v>
      </c>
      <c r="C1110" t="s">
        <v>136</v>
      </c>
      <c r="D1110" t="s">
        <v>79</v>
      </c>
      <c r="E1110" t="s">
        <v>5295</v>
      </c>
      <c r="F1110" t="s">
        <v>149</v>
      </c>
      <c r="G1110" t="s">
        <v>5296</v>
      </c>
    </row>
    <row r="1111" spans="1:7" s="297" customFormat="1" ht="44.25" customHeight="1">
      <c r="A1111" t="s">
        <v>418</v>
      </c>
      <c r="B1111" t="s">
        <v>3595</v>
      </c>
      <c r="C1111" t="s">
        <v>136</v>
      </c>
      <c r="D1111" t="s">
        <v>2257</v>
      </c>
      <c r="E1111" t="s">
        <v>1524</v>
      </c>
      <c r="F1111" t="s">
        <v>149</v>
      </c>
      <c r="G1111" t="s">
        <v>5297</v>
      </c>
    </row>
    <row r="1112" spans="1:7" s="297" customFormat="1" ht="44.25" customHeight="1">
      <c r="A1112" t="s">
        <v>5298</v>
      </c>
      <c r="B1112" t="s">
        <v>5299</v>
      </c>
      <c r="C1112" t="s">
        <v>136</v>
      </c>
      <c r="D1112" t="s">
        <v>79</v>
      </c>
      <c r="E1112" t="s">
        <v>5300</v>
      </c>
      <c r="F1112" t="s">
        <v>149</v>
      </c>
      <c r="G1112" t="s">
        <v>5301</v>
      </c>
    </row>
    <row r="1113" spans="1:7" s="297" customFormat="1" ht="44.25" customHeight="1">
      <c r="A1113" t="s">
        <v>5302</v>
      </c>
      <c r="B1113" t="s">
        <v>5303</v>
      </c>
      <c r="C1113" t="s">
        <v>136</v>
      </c>
      <c r="D1113" t="s">
        <v>79</v>
      </c>
      <c r="E1113" t="s">
        <v>5304</v>
      </c>
      <c r="F1113" t="s">
        <v>149</v>
      </c>
      <c r="G1113" t="s">
        <v>5305</v>
      </c>
    </row>
    <row r="1114" spans="1:7" s="297" customFormat="1" ht="44.25" customHeight="1">
      <c r="A1114" t="s">
        <v>5306</v>
      </c>
      <c r="B1114" t="s">
        <v>5307</v>
      </c>
      <c r="C1114" t="s">
        <v>136</v>
      </c>
      <c r="D1114" t="s">
        <v>79</v>
      </c>
      <c r="E1114" t="s">
        <v>5308</v>
      </c>
      <c r="F1114" t="s">
        <v>149</v>
      </c>
      <c r="G1114" t="s">
        <v>5309</v>
      </c>
    </row>
    <row r="1115" spans="1:7" s="297" customFormat="1" ht="44.25" customHeight="1">
      <c r="A1115" t="s">
        <v>5310</v>
      </c>
      <c r="B1115" t="s">
        <v>5311</v>
      </c>
      <c r="C1115" t="s">
        <v>136</v>
      </c>
      <c r="D1115" t="s">
        <v>79</v>
      </c>
      <c r="E1115" t="s">
        <v>5312</v>
      </c>
      <c r="F1115" t="s">
        <v>149</v>
      </c>
      <c r="G1115" t="s">
        <v>5313</v>
      </c>
    </row>
    <row r="1116" spans="1:7" s="297" customFormat="1" ht="44.25" customHeight="1">
      <c r="A1116" t="s">
        <v>5314</v>
      </c>
      <c r="B1116" t="s">
        <v>5315</v>
      </c>
      <c r="C1116" t="s">
        <v>136</v>
      </c>
      <c r="D1116" t="s">
        <v>79</v>
      </c>
      <c r="E1116" t="s">
        <v>4902</v>
      </c>
      <c r="F1116" t="s">
        <v>149</v>
      </c>
      <c r="G1116" t="s">
        <v>5316</v>
      </c>
    </row>
    <row r="1117" spans="1:7" s="297" customFormat="1" ht="44.25" customHeight="1">
      <c r="A1117" t="s">
        <v>5317</v>
      </c>
      <c r="B1117" t="s">
        <v>5318</v>
      </c>
      <c r="C1117" t="s">
        <v>136</v>
      </c>
      <c r="D1117" t="s">
        <v>79</v>
      </c>
      <c r="E1117" t="s">
        <v>5319</v>
      </c>
      <c r="F1117" t="s">
        <v>149</v>
      </c>
      <c r="G1117" t="s">
        <v>5320</v>
      </c>
    </row>
    <row r="1118" spans="1:7" s="297" customFormat="1" ht="44.25" customHeight="1">
      <c r="A1118" t="s">
        <v>5321</v>
      </c>
      <c r="B1118" t="s">
        <v>5322</v>
      </c>
      <c r="C1118" t="s">
        <v>136</v>
      </c>
      <c r="D1118" t="s">
        <v>79</v>
      </c>
      <c r="E1118" t="s">
        <v>5323</v>
      </c>
      <c r="F1118" t="s">
        <v>149</v>
      </c>
      <c r="G1118" t="s">
        <v>5324</v>
      </c>
    </row>
    <row r="1119" spans="1:7" s="297" customFormat="1" ht="44.25" customHeight="1">
      <c r="A1119" t="s">
        <v>5325</v>
      </c>
      <c r="B1119" t="s">
        <v>5326</v>
      </c>
      <c r="C1119" t="s">
        <v>136</v>
      </c>
      <c r="D1119" t="s">
        <v>79</v>
      </c>
      <c r="E1119" t="s">
        <v>5327</v>
      </c>
      <c r="F1119" t="s">
        <v>149</v>
      </c>
      <c r="G1119" t="s">
        <v>5328</v>
      </c>
    </row>
    <row r="1120" spans="1:7" s="297" customFormat="1" ht="44.25" customHeight="1">
      <c r="A1120" t="s">
        <v>136</v>
      </c>
      <c r="B1120" t="s">
        <v>2639</v>
      </c>
      <c r="C1120" t="s">
        <v>136</v>
      </c>
      <c r="D1120" t="s">
        <v>2624</v>
      </c>
      <c r="E1120" t="s">
        <v>2625</v>
      </c>
      <c r="F1120" t="s">
        <v>149</v>
      </c>
      <c r="G1120" t="s">
        <v>5329</v>
      </c>
    </row>
    <row r="1121" spans="1:7" s="297" customFormat="1" ht="44.25" customHeight="1">
      <c r="A1121" t="s">
        <v>5330</v>
      </c>
      <c r="B1121" t="s">
        <v>5331</v>
      </c>
      <c r="C1121" t="s">
        <v>136</v>
      </c>
      <c r="D1121" t="s">
        <v>79</v>
      </c>
      <c r="E1121" t="s">
        <v>5332</v>
      </c>
      <c r="F1121" t="s">
        <v>149</v>
      </c>
      <c r="G1121" t="s">
        <v>5333</v>
      </c>
    </row>
    <row r="1122" spans="1:7" s="297" customFormat="1" ht="44.25" customHeight="1">
      <c r="A1122" t="s">
        <v>5334</v>
      </c>
      <c r="B1122" t="s">
        <v>5335</v>
      </c>
      <c r="C1122" t="s">
        <v>136</v>
      </c>
      <c r="D1122" t="s">
        <v>79</v>
      </c>
      <c r="E1122" t="s">
        <v>5336</v>
      </c>
      <c r="F1122" t="s">
        <v>149</v>
      </c>
      <c r="G1122" t="s">
        <v>5337</v>
      </c>
    </row>
    <row r="1123" spans="1:7" s="297" customFormat="1" ht="44.25" customHeight="1">
      <c r="A1123" t="s">
        <v>5338</v>
      </c>
      <c r="B1123" t="s">
        <v>5339</v>
      </c>
      <c r="C1123" t="s">
        <v>136</v>
      </c>
      <c r="D1123" t="s">
        <v>79</v>
      </c>
      <c r="E1123" t="s">
        <v>5340</v>
      </c>
      <c r="F1123" t="s">
        <v>149</v>
      </c>
      <c r="G1123" t="s">
        <v>5341</v>
      </c>
    </row>
    <row r="1124" spans="1:7" s="297" customFormat="1" ht="44.25" customHeight="1">
      <c r="A1124" t="s">
        <v>5342</v>
      </c>
      <c r="B1124" t="s">
        <v>5343</v>
      </c>
      <c r="C1124" t="s">
        <v>136</v>
      </c>
      <c r="D1124" t="s">
        <v>79</v>
      </c>
      <c r="E1124" t="s">
        <v>5344</v>
      </c>
      <c r="F1124" t="s">
        <v>149</v>
      </c>
      <c r="G1124" t="s">
        <v>5345</v>
      </c>
    </row>
    <row r="1125" spans="1:7" s="297" customFormat="1" ht="44.25" customHeight="1">
      <c r="A1125" t="s">
        <v>5346</v>
      </c>
      <c r="B1125" t="s">
        <v>5347</v>
      </c>
      <c r="C1125" t="s">
        <v>136</v>
      </c>
      <c r="D1125" t="s">
        <v>79</v>
      </c>
      <c r="E1125" t="s">
        <v>5348</v>
      </c>
      <c r="F1125" t="s">
        <v>149</v>
      </c>
      <c r="G1125" t="s">
        <v>5349</v>
      </c>
    </row>
    <row r="1126" spans="1:7" s="297" customFormat="1" ht="44.25" customHeight="1">
      <c r="A1126" t="s">
        <v>5350</v>
      </c>
      <c r="B1126" t="s">
        <v>5351</v>
      </c>
      <c r="C1126" t="s">
        <v>136</v>
      </c>
      <c r="D1126" t="s">
        <v>79</v>
      </c>
      <c r="E1126" t="s">
        <v>5352</v>
      </c>
      <c r="F1126" t="s">
        <v>149</v>
      </c>
      <c r="G1126" t="s">
        <v>5353</v>
      </c>
    </row>
    <row r="1127" spans="1:7" s="297" customFormat="1" ht="44.25" customHeight="1">
      <c r="A1127" t="s">
        <v>3597</v>
      </c>
      <c r="B1127" t="s">
        <v>3598</v>
      </c>
      <c r="C1127" t="s">
        <v>136</v>
      </c>
      <c r="D1127" t="s">
        <v>79</v>
      </c>
      <c r="E1127" t="s">
        <v>3599</v>
      </c>
      <c r="F1127" t="s">
        <v>149</v>
      </c>
      <c r="G1127" t="s">
        <v>5354</v>
      </c>
    </row>
    <row r="1128" spans="1:7" s="297" customFormat="1" ht="44.25" customHeight="1">
      <c r="A1128" t="s">
        <v>3601</v>
      </c>
      <c r="B1128" t="s">
        <v>3602</v>
      </c>
      <c r="C1128" t="s">
        <v>136</v>
      </c>
      <c r="D1128" t="s">
        <v>79</v>
      </c>
      <c r="E1128" t="s">
        <v>3603</v>
      </c>
      <c r="F1128" t="s">
        <v>149</v>
      </c>
      <c r="G1128" t="s">
        <v>5355</v>
      </c>
    </row>
    <row r="1129" spans="1:7" s="297" customFormat="1" ht="44.25" customHeight="1">
      <c r="A1129" t="s">
        <v>5356</v>
      </c>
      <c r="B1129" t="s">
        <v>5357</v>
      </c>
      <c r="C1129" t="s">
        <v>136</v>
      </c>
      <c r="D1129" t="s">
        <v>79</v>
      </c>
      <c r="E1129" t="s">
        <v>5358</v>
      </c>
      <c r="F1129" t="s">
        <v>149</v>
      </c>
      <c r="G1129" t="s">
        <v>5359</v>
      </c>
    </row>
    <row r="1130" spans="1:7" s="297" customFormat="1" ht="44.25" customHeight="1">
      <c r="A1130" t="s">
        <v>5360</v>
      </c>
      <c r="B1130" t="s">
        <v>5361</v>
      </c>
      <c r="C1130" t="s">
        <v>136</v>
      </c>
      <c r="D1130" t="s">
        <v>79</v>
      </c>
      <c r="E1130" t="s">
        <v>5362</v>
      </c>
      <c r="F1130" t="s">
        <v>149</v>
      </c>
      <c r="G1130" t="s">
        <v>5363</v>
      </c>
    </row>
    <row r="1131" spans="1:7" s="297" customFormat="1" ht="44.25" customHeight="1">
      <c r="A1131" t="s">
        <v>5364</v>
      </c>
      <c r="B1131" t="s">
        <v>5365</v>
      </c>
      <c r="C1131" t="s">
        <v>136</v>
      </c>
      <c r="D1131" t="s">
        <v>79</v>
      </c>
      <c r="E1131" t="s">
        <v>5366</v>
      </c>
      <c r="F1131" t="s">
        <v>149</v>
      </c>
      <c r="G1131" t="s">
        <v>5367</v>
      </c>
    </row>
    <row r="1132" spans="1:7" s="297" customFormat="1" ht="44.25" customHeight="1">
      <c r="A1132" t="s">
        <v>3605</v>
      </c>
      <c r="B1132" t="s">
        <v>3606</v>
      </c>
      <c r="C1132" t="s">
        <v>136</v>
      </c>
      <c r="D1132" t="s">
        <v>79</v>
      </c>
      <c r="E1132" t="s">
        <v>3607</v>
      </c>
      <c r="F1132" t="s">
        <v>149</v>
      </c>
      <c r="G1132" t="s">
        <v>5368</v>
      </c>
    </row>
    <row r="1133" spans="1:7" s="297" customFormat="1" ht="44.25" customHeight="1">
      <c r="A1133" t="s">
        <v>5369</v>
      </c>
      <c r="B1133" t="s">
        <v>5370</v>
      </c>
      <c r="C1133" t="s">
        <v>136</v>
      </c>
      <c r="D1133" t="s">
        <v>79</v>
      </c>
      <c r="E1133" t="s">
        <v>5371</v>
      </c>
      <c r="F1133" t="s">
        <v>149</v>
      </c>
      <c r="G1133" t="s">
        <v>5372</v>
      </c>
    </row>
    <row r="1134" spans="1:7" s="297" customFormat="1" ht="44.25" customHeight="1">
      <c r="A1134" t="s">
        <v>5373</v>
      </c>
      <c r="B1134" t="s">
        <v>5374</v>
      </c>
      <c r="C1134" t="s">
        <v>136</v>
      </c>
      <c r="D1134" t="s">
        <v>79</v>
      </c>
      <c r="E1134" t="s">
        <v>5375</v>
      </c>
      <c r="F1134" t="s">
        <v>149</v>
      </c>
      <c r="G1134" t="s">
        <v>5376</v>
      </c>
    </row>
    <row r="1135" spans="1:7" s="297" customFormat="1" ht="44.25" customHeight="1">
      <c r="A1135" t="s">
        <v>5377</v>
      </c>
      <c r="B1135" t="s">
        <v>5378</v>
      </c>
      <c r="C1135" t="s">
        <v>136</v>
      </c>
      <c r="D1135" t="s">
        <v>79</v>
      </c>
      <c r="E1135" t="s">
        <v>5379</v>
      </c>
      <c r="F1135" t="s">
        <v>149</v>
      </c>
      <c r="G1135" t="s">
        <v>5380</v>
      </c>
    </row>
    <row r="1136" spans="1:7" s="297" customFormat="1" ht="44.25" customHeight="1">
      <c r="A1136" t="s">
        <v>5381</v>
      </c>
      <c r="B1136" t="s">
        <v>5382</v>
      </c>
      <c r="C1136" t="s">
        <v>136</v>
      </c>
      <c r="D1136" t="s">
        <v>79</v>
      </c>
      <c r="E1136" t="s">
        <v>5383</v>
      </c>
      <c r="F1136" t="s">
        <v>149</v>
      </c>
      <c r="G1136" t="s">
        <v>5384</v>
      </c>
    </row>
    <row r="1137" spans="1:7" s="297" customFormat="1" ht="44.25" customHeight="1">
      <c r="A1137" t="s">
        <v>5385</v>
      </c>
      <c r="B1137" t="s">
        <v>5386</v>
      </c>
      <c r="C1137" t="s">
        <v>136</v>
      </c>
      <c r="D1137" t="s">
        <v>79</v>
      </c>
      <c r="E1137" t="s">
        <v>5387</v>
      </c>
      <c r="F1137" t="s">
        <v>149</v>
      </c>
      <c r="G1137" t="s">
        <v>5388</v>
      </c>
    </row>
    <row r="1138" spans="1:7" s="297" customFormat="1" ht="44.25" customHeight="1">
      <c r="A1138" t="s">
        <v>5389</v>
      </c>
      <c r="B1138" t="s">
        <v>5390</v>
      </c>
      <c r="C1138" t="s">
        <v>136</v>
      </c>
      <c r="D1138" t="s">
        <v>79</v>
      </c>
      <c r="E1138" t="s">
        <v>5391</v>
      </c>
      <c r="F1138" t="s">
        <v>149</v>
      </c>
      <c r="G1138" t="s">
        <v>5392</v>
      </c>
    </row>
    <row r="1139" spans="1:7" s="297" customFormat="1" ht="44.25" customHeight="1">
      <c r="A1139" t="s">
        <v>5393</v>
      </c>
      <c r="B1139" t="s">
        <v>5394</v>
      </c>
      <c r="C1139" t="s">
        <v>136</v>
      </c>
      <c r="D1139" t="s">
        <v>79</v>
      </c>
      <c r="E1139" t="s">
        <v>5395</v>
      </c>
      <c r="F1139" t="s">
        <v>149</v>
      </c>
      <c r="G1139" t="s">
        <v>5396</v>
      </c>
    </row>
    <row r="1140" spans="1:7" s="297" customFormat="1" ht="44.25" customHeight="1">
      <c r="A1140" t="s">
        <v>3609</v>
      </c>
      <c r="B1140" t="s">
        <v>3610</v>
      </c>
      <c r="C1140" t="s">
        <v>136</v>
      </c>
      <c r="D1140" t="s">
        <v>79</v>
      </c>
      <c r="E1140" t="s">
        <v>3611</v>
      </c>
      <c r="F1140" t="s">
        <v>149</v>
      </c>
      <c r="G1140" t="s">
        <v>5397</v>
      </c>
    </row>
    <row r="1141" spans="1:7" s="297" customFormat="1" ht="44.25" customHeight="1">
      <c r="A1141" t="s">
        <v>5398</v>
      </c>
      <c r="B1141" t="s">
        <v>5399</v>
      </c>
      <c r="C1141" t="s">
        <v>136</v>
      </c>
      <c r="D1141" t="s">
        <v>79</v>
      </c>
      <c r="E1141" t="s">
        <v>5400</v>
      </c>
      <c r="F1141" t="s">
        <v>149</v>
      </c>
      <c r="G1141" t="s">
        <v>5401</v>
      </c>
    </row>
    <row r="1142" spans="1:7" s="297" customFormat="1" ht="44.25" customHeight="1">
      <c r="A1142" t="s">
        <v>5402</v>
      </c>
      <c r="B1142" t="s">
        <v>5403</v>
      </c>
      <c r="C1142" t="s">
        <v>136</v>
      </c>
      <c r="D1142" t="s">
        <v>79</v>
      </c>
      <c r="E1142" t="s">
        <v>5404</v>
      </c>
      <c r="F1142" t="s">
        <v>149</v>
      </c>
      <c r="G1142" t="s">
        <v>5405</v>
      </c>
    </row>
    <row r="1143" spans="1:7" s="297" customFormat="1" ht="44.25" customHeight="1">
      <c r="A1143" t="s">
        <v>5406</v>
      </c>
      <c r="B1143" t="s">
        <v>5407</v>
      </c>
      <c r="C1143" t="s">
        <v>136</v>
      </c>
      <c r="D1143" t="s">
        <v>79</v>
      </c>
      <c r="E1143" t="s">
        <v>5408</v>
      </c>
      <c r="F1143" t="s">
        <v>149</v>
      </c>
      <c r="G1143" t="s">
        <v>5409</v>
      </c>
    </row>
    <row r="1144" spans="1:7" s="297" customFormat="1" ht="44.25" customHeight="1">
      <c r="A1144" t="s">
        <v>5410</v>
      </c>
      <c r="B1144" t="s">
        <v>5411</v>
      </c>
      <c r="C1144" t="s">
        <v>136</v>
      </c>
      <c r="D1144" t="s">
        <v>79</v>
      </c>
      <c r="E1144" t="s">
        <v>5412</v>
      </c>
      <c r="F1144" t="s">
        <v>149</v>
      </c>
      <c r="G1144" t="s">
        <v>5413</v>
      </c>
    </row>
    <row r="1145" spans="1:7" s="297" customFormat="1" ht="44.25" customHeight="1">
      <c r="A1145" t="s">
        <v>5414</v>
      </c>
      <c r="B1145" t="s">
        <v>5415</v>
      </c>
      <c r="C1145" t="s">
        <v>136</v>
      </c>
      <c r="D1145" t="s">
        <v>79</v>
      </c>
      <c r="E1145" t="s">
        <v>5416</v>
      </c>
      <c r="F1145" t="s">
        <v>149</v>
      </c>
      <c r="G1145" t="s">
        <v>5417</v>
      </c>
    </row>
    <row r="1146" spans="1:7" s="297" customFormat="1" ht="44.25" customHeight="1">
      <c r="A1146" t="s">
        <v>5418</v>
      </c>
      <c r="B1146" t="s">
        <v>5419</v>
      </c>
      <c r="C1146" t="s">
        <v>136</v>
      </c>
      <c r="D1146" t="s">
        <v>79</v>
      </c>
      <c r="E1146" t="s">
        <v>5420</v>
      </c>
      <c r="F1146" t="s">
        <v>149</v>
      </c>
      <c r="G1146" t="s">
        <v>5421</v>
      </c>
    </row>
    <row r="1147" spans="1:7" s="297" customFormat="1" ht="44.25" customHeight="1">
      <c r="A1147" t="s">
        <v>5422</v>
      </c>
      <c r="B1147" t="s">
        <v>5423</v>
      </c>
      <c r="C1147" t="s">
        <v>136</v>
      </c>
      <c r="D1147" t="s">
        <v>79</v>
      </c>
      <c r="E1147" t="s">
        <v>5424</v>
      </c>
      <c r="F1147" t="s">
        <v>149</v>
      </c>
      <c r="G1147" t="s">
        <v>5425</v>
      </c>
    </row>
    <row r="1148" spans="1:7" s="297" customFormat="1" ht="44.25" customHeight="1">
      <c r="A1148" t="s">
        <v>5426</v>
      </c>
      <c r="B1148" t="s">
        <v>5427</v>
      </c>
      <c r="C1148" t="s">
        <v>136</v>
      </c>
      <c r="D1148" t="s">
        <v>79</v>
      </c>
      <c r="E1148" t="s">
        <v>5428</v>
      </c>
      <c r="F1148" t="s">
        <v>149</v>
      </c>
      <c r="G1148" t="s">
        <v>5429</v>
      </c>
    </row>
    <row r="1149" spans="1:7" s="297" customFormat="1" ht="44.25" customHeight="1">
      <c r="A1149" t="s">
        <v>5430</v>
      </c>
      <c r="B1149" t="s">
        <v>5431</v>
      </c>
      <c r="C1149" t="s">
        <v>136</v>
      </c>
      <c r="D1149" t="s">
        <v>79</v>
      </c>
      <c r="E1149" t="s">
        <v>5432</v>
      </c>
      <c r="F1149" t="s">
        <v>149</v>
      </c>
      <c r="G1149" t="s">
        <v>5433</v>
      </c>
    </row>
    <row r="1150" spans="1:7" s="297" customFormat="1" ht="44.25" customHeight="1">
      <c r="A1150" t="s">
        <v>5434</v>
      </c>
      <c r="B1150" t="s">
        <v>5435</v>
      </c>
      <c r="C1150" t="s">
        <v>136</v>
      </c>
      <c r="D1150" t="s">
        <v>79</v>
      </c>
      <c r="E1150" t="s">
        <v>5436</v>
      </c>
      <c r="F1150" t="s">
        <v>149</v>
      </c>
      <c r="G1150" t="s">
        <v>5437</v>
      </c>
    </row>
    <row r="1151" spans="1:7" s="297" customFormat="1" ht="44.25" customHeight="1">
      <c r="A1151" t="s">
        <v>5438</v>
      </c>
      <c r="B1151" t="s">
        <v>5439</v>
      </c>
      <c r="C1151" t="s">
        <v>136</v>
      </c>
      <c r="D1151" t="s">
        <v>79</v>
      </c>
      <c r="E1151" t="s">
        <v>5440</v>
      </c>
      <c r="F1151" t="s">
        <v>149</v>
      </c>
      <c r="G1151" t="s">
        <v>5441</v>
      </c>
    </row>
    <row r="1152" spans="1:7" s="297" customFormat="1" ht="44.25" customHeight="1">
      <c r="A1152" t="s">
        <v>5442</v>
      </c>
      <c r="B1152" t="s">
        <v>5443</v>
      </c>
      <c r="C1152" t="s">
        <v>136</v>
      </c>
      <c r="D1152" t="s">
        <v>79</v>
      </c>
      <c r="E1152" t="s">
        <v>5444</v>
      </c>
      <c r="F1152" t="s">
        <v>149</v>
      </c>
      <c r="G1152" t="s">
        <v>5445</v>
      </c>
    </row>
    <row r="1153" spans="1:7" s="297" customFormat="1" ht="44.25" customHeight="1">
      <c r="A1153" t="s">
        <v>5446</v>
      </c>
      <c r="B1153" t="s">
        <v>5447</v>
      </c>
      <c r="C1153" t="s">
        <v>136</v>
      </c>
      <c r="D1153" t="s">
        <v>79</v>
      </c>
      <c r="E1153" t="s">
        <v>5448</v>
      </c>
      <c r="F1153" t="s">
        <v>149</v>
      </c>
      <c r="G1153" t="s">
        <v>5449</v>
      </c>
    </row>
    <row r="1154" spans="1:7" s="297" customFormat="1" ht="44.25" customHeight="1">
      <c r="A1154" t="s">
        <v>5450</v>
      </c>
      <c r="B1154" t="s">
        <v>5451</v>
      </c>
      <c r="C1154" t="s">
        <v>136</v>
      </c>
      <c r="D1154" t="s">
        <v>79</v>
      </c>
      <c r="E1154" t="s">
        <v>5452</v>
      </c>
      <c r="F1154" t="s">
        <v>149</v>
      </c>
      <c r="G1154" t="s">
        <v>5453</v>
      </c>
    </row>
    <row r="1155" spans="1:7" s="297" customFormat="1" ht="44.25" customHeight="1">
      <c r="A1155" t="s">
        <v>5454</v>
      </c>
      <c r="B1155" t="s">
        <v>5455</v>
      </c>
      <c r="C1155" t="s">
        <v>136</v>
      </c>
      <c r="D1155" t="s">
        <v>79</v>
      </c>
      <c r="E1155" t="s">
        <v>5456</v>
      </c>
      <c r="F1155" t="s">
        <v>149</v>
      </c>
      <c r="G1155" t="s">
        <v>5457</v>
      </c>
    </row>
    <row r="1156" spans="1:7" s="297" customFormat="1" ht="44.25" customHeight="1">
      <c r="A1156" t="s">
        <v>5458</v>
      </c>
      <c r="B1156" t="s">
        <v>5459</v>
      </c>
      <c r="C1156" t="s">
        <v>136</v>
      </c>
      <c r="D1156" t="s">
        <v>79</v>
      </c>
      <c r="E1156" t="s">
        <v>5460</v>
      </c>
      <c r="F1156" t="s">
        <v>149</v>
      </c>
      <c r="G1156" t="s">
        <v>5461</v>
      </c>
    </row>
    <row r="1157" spans="1:7" s="297" customFormat="1" ht="44.25" customHeight="1">
      <c r="A1157" t="s">
        <v>5462</v>
      </c>
      <c r="B1157" t="s">
        <v>5463</v>
      </c>
      <c r="C1157" t="s">
        <v>136</v>
      </c>
      <c r="D1157" t="s">
        <v>79</v>
      </c>
      <c r="E1157" t="s">
        <v>5464</v>
      </c>
      <c r="F1157" t="s">
        <v>149</v>
      </c>
      <c r="G1157" t="s">
        <v>5465</v>
      </c>
    </row>
    <row r="1158" spans="1:7" s="297" customFormat="1" ht="44.25" customHeight="1">
      <c r="A1158" t="s">
        <v>5466</v>
      </c>
      <c r="B1158" t="s">
        <v>5467</v>
      </c>
      <c r="C1158" t="s">
        <v>136</v>
      </c>
      <c r="D1158" t="s">
        <v>79</v>
      </c>
      <c r="E1158" t="s">
        <v>5468</v>
      </c>
      <c r="F1158" t="s">
        <v>149</v>
      </c>
      <c r="G1158" t="s">
        <v>5469</v>
      </c>
    </row>
    <row r="1159" spans="1:7" s="297" customFormat="1" ht="44.25" customHeight="1">
      <c r="A1159" t="s">
        <v>5470</v>
      </c>
      <c r="B1159" t="s">
        <v>5471</v>
      </c>
      <c r="C1159" t="s">
        <v>136</v>
      </c>
      <c r="D1159" t="s">
        <v>79</v>
      </c>
      <c r="E1159" t="s">
        <v>5472</v>
      </c>
      <c r="F1159" t="s">
        <v>149</v>
      </c>
      <c r="G1159" t="s">
        <v>5473</v>
      </c>
    </row>
    <row r="1160" spans="1:7" s="297" customFormat="1" ht="44.25" customHeight="1">
      <c r="A1160" t="s">
        <v>5474</v>
      </c>
      <c r="B1160" t="s">
        <v>5475</v>
      </c>
      <c r="C1160" t="s">
        <v>136</v>
      </c>
      <c r="D1160" t="s">
        <v>79</v>
      </c>
      <c r="E1160" t="s">
        <v>5476</v>
      </c>
      <c r="F1160" t="s">
        <v>149</v>
      </c>
      <c r="G1160" t="s">
        <v>5477</v>
      </c>
    </row>
    <row r="1161" spans="1:7" s="297" customFormat="1" ht="44.25" customHeight="1">
      <c r="A1161" t="s">
        <v>5478</v>
      </c>
      <c r="B1161" t="s">
        <v>5479</v>
      </c>
      <c r="C1161" t="s">
        <v>136</v>
      </c>
      <c r="D1161" t="s">
        <v>79</v>
      </c>
      <c r="E1161" t="s">
        <v>5480</v>
      </c>
      <c r="F1161" t="s">
        <v>149</v>
      </c>
      <c r="G1161" t="s">
        <v>5481</v>
      </c>
    </row>
    <row r="1162" spans="1:7" s="297" customFormat="1" ht="44.25" customHeight="1">
      <c r="A1162" t="s">
        <v>5482</v>
      </c>
      <c r="B1162" t="s">
        <v>5483</v>
      </c>
      <c r="C1162" t="s">
        <v>136</v>
      </c>
      <c r="D1162" t="s">
        <v>79</v>
      </c>
      <c r="E1162" t="s">
        <v>5484</v>
      </c>
      <c r="F1162" t="s">
        <v>149</v>
      </c>
      <c r="G1162" t="s">
        <v>5485</v>
      </c>
    </row>
    <row r="1163" spans="1:7" s="297" customFormat="1" ht="44.25" customHeight="1">
      <c r="A1163" t="s">
        <v>5486</v>
      </c>
      <c r="B1163" t="s">
        <v>5487</v>
      </c>
      <c r="C1163" t="s">
        <v>136</v>
      </c>
      <c r="D1163" t="s">
        <v>79</v>
      </c>
      <c r="E1163" t="s">
        <v>5488</v>
      </c>
      <c r="F1163" t="s">
        <v>149</v>
      </c>
      <c r="G1163" t="s">
        <v>5489</v>
      </c>
    </row>
    <row r="1164" spans="1:7" s="297" customFormat="1" ht="44.25" customHeight="1">
      <c r="A1164" t="s">
        <v>5490</v>
      </c>
      <c r="B1164" t="s">
        <v>5491</v>
      </c>
      <c r="C1164" t="s">
        <v>136</v>
      </c>
      <c r="D1164" t="s">
        <v>79</v>
      </c>
      <c r="E1164" t="s">
        <v>5492</v>
      </c>
      <c r="F1164" t="s">
        <v>149</v>
      </c>
      <c r="G1164" t="s">
        <v>5493</v>
      </c>
    </row>
    <row r="1165" spans="1:7" s="297" customFormat="1" ht="44.25" customHeight="1">
      <c r="A1165" t="s">
        <v>5494</v>
      </c>
      <c r="B1165" t="s">
        <v>5495</v>
      </c>
      <c r="C1165" t="s">
        <v>136</v>
      </c>
      <c r="D1165" t="s">
        <v>79</v>
      </c>
      <c r="E1165" t="s">
        <v>5496</v>
      </c>
      <c r="F1165" t="s">
        <v>149</v>
      </c>
      <c r="G1165" t="s">
        <v>5497</v>
      </c>
    </row>
    <row r="1166" spans="1:7" s="297" customFormat="1" ht="44.25" customHeight="1">
      <c r="A1166" t="s">
        <v>5498</v>
      </c>
      <c r="B1166" t="s">
        <v>5499</v>
      </c>
      <c r="C1166" t="s">
        <v>136</v>
      </c>
      <c r="D1166" t="s">
        <v>79</v>
      </c>
      <c r="E1166" t="s">
        <v>5500</v>
      </c>
      <c r="F1166" t="s">
        <v>149</v>
      </c>
      <c r="G1166" t="s">
        <v>5501</v>
      </c>
    </row>
    <row r="1167" spans="1:7" s="297" customFormat="1" ht="44.25" customHeight="1">
      <c r="A1167" t="s">
        <v>3613</v>
      </c>
      <c r="B1167" t="s">
        <v>3614</v>
      </c>
      <c r="C1167" t="s">
        <v>136</v>
      </c>
      <c r="D1167" t="s">
        <v>79</v>
      </c>
      <c r="E1167" t="s">
        <v>3615</v>
      </c>
      <c r="F1167" t="s">
        <v>149</v>
      </c>
      <c r="G1167" t="s">
        <v>5502</v>
      </c>
    </row>
    <row r="1168" spans="1:7" s="297" customFormat="1" ht="44.25" customHeight="1">
      <c r="A1168" t="s">
        <v>5503</v>
      </c>
      <c r="B1168" t="s">
        <v>5504</v>
      </c>
      <c r="C1168" t="s">
        <v>136</v>
      </c>
      <c r="D1168" t="s">
        <v>79</v>
      </c>
      <c r="E1168" t="s">
        <v>5505</v>
      </c>
      <c r="F1168" t="s">
        <v>149</v>
      </c>
      <c r="G1168" t="s">
        <v>5506</v>
      </c>
    </row>
    <row r="1169" spans="1:7" s="297" customFormat="1" ht="44.25" customHeight="1">
      <c r="A1169" t="s">
        <v>5507</v>
      </c>
      <c r="B1169" t="s">
        <v>5508</v>
      </c>
      <c r="C1169" t="s">
        <v>136</v>
      </c>
      <c r="D1169" t="s">
        <v>79</v>
      </c>
      <c r="E1169" t="s">
        <v>5509</v>
      </c>
      <c r="F1169" t="s">
        <v>149</v>
      </c>
      <c r="G1169" t="s">
        <v>5510</v>
      </c>
    </row>
    <row r="1170" spans="1:7" s="297" customFormat="1" ht="44.25" customHeight="1">
      <c r="A1170" t="s">
        <v>815</v>
      </c>
      <c r="B1170" t="s">
        <v>5511</v>
      </c>
      <c r="C1170" t="s">
        <v>136</v>
      </c>
      <c r="D1170" t="s">
        <v>79</v>
      </c>
      <c r="E1170" t="s">
        <v>5512</v>
      </c>
      <c r="F1170" t="s">
        <v>149</v>
      </c>
      <c r="G1170" t="s">
        <v>5513</v>
      </c>
    </row>
    <row r="1171" spans="1:7" s="297" customFormat="1" ht="44.25" customHeight="1">
      <c r="A1171" t="s">
        <v>5514</v>
      </c>
      <c r="B1171" t="s">
        <v>5515</v>
      </c>
      <c r="C1171" t="s">
        <v>136</v>
      </c>
      <c r="D1171" t="s">
        <v>79</v>
      </c>
      <c r="E1171" t="s">
        <v>5516</v>
      </c>
      <c r="F1171" t="s">
        <v>149</v>
      </c>
      <c r="G1171" t="s">
        <v>5517</v>
      </c>
    </row>
    <row r="1172" spans="1:7" s="297" customFormat="1" ht="44.25" customHeight="1">
      <c r="A1172" t="s">
        <v>5518</v>
      </c>
      <c r="B1172" t="s">
        <v>5519</v>
      </c>
      <c r="C1172" t="s">
        <v>136</v>
      </c>
      <c r="D1172" t="s">
        <v>79</v>
      </c>
      <c r="E1172" t="s">
        <v>5520</v>
      </c>
      <c r="F1172" t="s">
        <v>149</v>
      </c>
      <c r="G1172" t="s">
        <v>5521</v>
      </c>
    </row>
    <row r="1173" spans="1:7" s="297" customFormat="1" ht="44.25" customHeight="1">
      <c r="A1173" t="s">
        <v>5522</v>
      </c>
      <c r="B1173" t="s">
        <v>5523</v>
      </c>
      <c r="C1173" t="s">
        <v>136</v>
      </c>
      <c r="D1173" t="s">
        <v>79</v>
      </c>
      <c r="E1173" t="s">
        <v>5524</v>
      </c>
      <c r="F1173" t="s">
        <v>149</v>
      </c>
      <c r="G1173" t="s">
        <v>5525</v>
      </c>
    </row>
    <row r="1174" spans="1:7" s="297" customFormat="1" ht="44.25" customHeight="1">
      <c r="A1174" t="s">
        <v>5526</v>
      </c>
      <c r="B1174" t="s">
        <v>5527</v>
      </c>
      <c r="C1174" t="s">
        <v>136</v>
      </c>
      <c r="D1174" t="s">
        <v>79</v>
      </c>
      <c r="E1174" t="s">
        <v>5528</v>
      </c>
      <c r="F1174" t="s">
        <v>149</v>
      </c>
      <c r="G1174" t="s">
        <v>5529</v>
      </c>
    </row>
    <row r="1175" spans="1:7" s="297" customFormat="1" ht="44.25" customHeight="1">
      <c r="A1175" t="s">
        <v>5530</v>
      </c>
      <c r="B1175" t="s">
        <v>5531</v>
      </c>
      <c r="C1175" t="s">
        <v>136</v>
      </c>
      <c r="D1175" t="s">
        <v>79</v>
      </c>
      <c r="E1175" t="s">
        <v>5532</v>
      </c>
      <c r="F1175" t="s">
        <v>149</v>
      </c>
      <c r="G1175" t="s">
        <v>5533</v>
      </c>
    </row>
    <row r="1176" spans="1:7" s="297" customFormat="1" ht="44.25" customHeight="1">
      <c r="A1176" t="s">
        <v>5534</v>
      </c>
      <c r="B1176" t="s">
        <v>5535</v>
      </c>
      <c r="C1176" t="s">
        <v>136</v>
      </c>
      <c r="D1176" t="s">
        <v>79</v>
      </c>
      <c r="E1176" t="s">
        <v>5536</v>
      </c>
      <c r="F1176" t="s">
        <v>149</v>
      </c>
      <c r="G1176" t="s">
        <v>5537</v>
      </c>
    </row>
    <row r="1177" spans="1:7" s="297" customFormat="1" ht="44.25" customHeight="1">
      <c r="A1177" t="s">
        <v>5538</v>
      </c>
      <c r="B1177" t="s">
        <v>5539</v>
      </c>
      <c r="C1177" t="s">
        <v>136</v>
      </c>
      <c r="D1177" t="s">
        <v>79</v>
      </c>
      <c r="E1177" t="s">
        <v>5540</v>
      </c>
      <c r="F1177" t="s">
        <v>149</v>
      </c>
      <c r="G1177" t="s">
        <v>5541</v>
      </c>
    </row>
    <row r="1178" spans="1:7" s="297" customFormat="1" ht="44.25" customHeight="1">
      <c r="A1178" t="s">
        <v>5542</v>
      </c>
      <c r="B1178" t="s">
        <v>5543</v>
      </c>
      <c r="C1178" t="s">
        <v>136</v>
      </c>
      <c r="D1178" t="s">
        <v>79</v>
      </c>
      <c r="E1178" t="s">
        <v>5544</v>
      </c>
      <c r="F1178" t="s">
        <v>149</v>
      </c>
      <c r="G1178" t="s">
        <v>5545</v>
      </c>
    </row>
    <row r="1179" spans="1:7" s="297" customFormat="1" ht="44.25" customHeight="1">
      <c r="A1179" t="s">
        <v>5546</v>
      </c>
      <c r="B1179" t="s">
        <v>5547</v>
      </c>
      <c r="C1179" t="s">
        <v>136</v>
      </c>
      <c r="D1179" t="s">
        <v>79</v>
      </c>
      <c r="E1179" t="s">
        <v>5548</v>
      </c>
      <c r="F1179" t="s">
        <v>149</v>
      </c>
      <c r="G1179" t="s">
        <v>5549</v>
      </c>
    </row>
    <row r="1180" spans="1:7" s="297" customFormat="1" ht="44.25" customHeight="1">
      <c r="A1180" t="s">
        <v>5550</v>
      </c>
      <c r="B1180" t="s">
        <v>5551</v>
      </c>
      <c r="C1180" t="s">
        <v>136</v>
      </c>
      <c r="D1180" t="s">
        <v>79</v>
      </c>
      <c r="E1180" t="s">
        <v>5552</v>
      </c>
      <c r="F1180" t="s">
        <v>149</v>
      </c>
      <c r="G1180" t="s">
        <v>5553</v>
      </c>
    </row>
    <row r="1181" spans="1:7" s="297" customFormat="1" ht="44.25" customHeight="1">
      <c r="A1181" t="s">
        <v>5554</v>
      </c>
      <c r="B1181" t="s">
        <v>5555</v>
      </c>
      <c r="C1181" t="s">
        <v>136</v>
      </c>
      <c r="D1181" t="s">
        <v>79</v>
      </c>
      <c r="E1181" t="s">
        <v>5556</v>
      </c>
      <c r="F1181" t="s">
        <v>149</v>
      </c>
      <c r="G1181" t="s">
        <v>5557</v>
      </c>
    </row>
    <row r="1182" spans="1:7" s="297" customFormat="1" ht="44.25" customHeight="1">
      <c r="A1182" t="s">
        <v>5558</v>
      </c>
      <c r="B1182" t="s">
        <v>5559</v>
      </c>
      <c r="C1182" t="s">
        <v>136</v>
      </c>
      <c r="D1182" t="s">
        <v>79</v>
      </c>
      <c r="E1182" t="s">
        <v>5560</v>
      </c>
      <c r="F1182" t="s">
        <v>149</v>
      </c>
      <c r="G1182" t="s">
        <v>5561</v>
      </c>
    </row>
    <row r="1183" spans="1:7" s="297" customFormat="1" ht="44.25" customHeight="1">
      <c r="A1183" t="s">
        <v>5562</v>
      </c>
      <c r="B1183" t="s">
        <v>5563</v>
      </c>
      <c r="C1183" t="s">
        <v>136</v>
      </c>
      <c r="D1183" t="s">
        <v>79</v>
      </c>
      <c r="E1183" t="s">
        <v>5564</v>
      </c>
      <c r="F1183" t="s">
        <v>149</v>
      </c>
      <c r="G1183" t="s">
        <v>5565</v>
      </c>
    </row>
    <row r="1184" spans="1:7" s="297" customFormat="1" ht="44.25" customHeight="1">
      <c r="A1184" t="s">
        <v>5566</v>
      </c>
      <c r="B1184" t="s">
        <v>5567</v>
      </c>
      <c r="C1184" t="s">
        <v>136</v>
      </c>
      <c r="D1184" t="s">
        <v>79</v>
      </c>
      <c r="E1184" t="s">
        <v>5568</v>
      </c>
      <c r="F1184" t="s">
        <v>149</v>
      </c>
      <c r="G1184" t="s">
        <v>5569</v>
      </c>
    </row>
    <row r="1185" spans="1:7" s="297" customFormat="1" ht="44.25" customHeight="1">
      <c r="A1185" t="s">
        <v>5570</v>
      </c>
      <c r="B1185" t="s">
        <v>5571</v>
      </c>
      <c r="C1185" t="s">
        <v>136</v>
      </c>
      <c r="D1185" t="s">
        <v>79</v>
      </c>
      <c r="E1185" t="s">
        <v>5572</v>
      </c>
      <c r="F1185" t="s">
        <v>149</v>
      </c>
      <c r="G1185" t="s">
        <v>5573</v>
      </c>
    </row>
    <row r="1186" spans="1:7" s="297" customFormat="1" ht="44.25" customHeight="1">
      <c r="A1186" t="s">
        <v>5574</v>
      </c>
      <c r="B1186" t="s">
        <v>5575</v>
      </c>
      <c r="C1186" t="s">
        <v>136</v>
      </c>
      <c r="D1186" t="s">
        <v>79</v>
      </c>
      <c r="E1186" t="s">
        <v>5576</v>
      </c>
      <c r="F1186" t="s">
        <v>149</v>
      </c>
      <c r="G1186" t="s">
        <v>5577</v>
      </c>
    </row>
    <row r="1187" spans="1:7" s="297" customFormat="1" ht="44.25" customHeight="1">
      <c r="A1187" t="s">
        <v>5578</v>
      </c>
      <c r="B1187" t="s">
        <v>5579</v>
      </c>
      <c r="C1187" t="s">
        <v>136</v>
      </c>
      <c r="D1187" t="s">
        <v>79</v>
      </c>
      <c r="E1187" t="s">
        <v>5580</v>
      </c>
      <c r="F1187" t="s">
        <v>149</v>
      </c>
      <c r="G1187" t="s">
        <v>5581</v>
      </c>
    </row>
    <row r="1188" spans="1:7" s="297" customFormat="1" ht="44.25" customHeight="1">
      <c r="A1188" t="s">
        <v>5582</v>
      </c>
      <c r="B1188" t="s">
        <v>5583</v>
      </c>
      <c r="C1188" t="s">
        <v>136</v>
      </c>
      <c r="D1188" t="s">
        <v>79</v>
      </c>
      <c r="E1188" t="s">
        <v>5584</v>
      </c>
      <c r="F1188" t="s">
        <v>149</v>
      </c>
      <c r="G1188" t="s">
        <v>5585</v>
      </c>
    </row>
    <row r="1189" spans="1:7" s="297" customFormat="1" ht="44.25" customHeight="1">
      <c r="A1189" t="s">
        <v>5586</v>
      </c>
      <c r="B1189" t="s">
        <v>5587</v>
      </c>
      <c r="C1189" t="s">
        <v>136</v>
      </c>
      <c r="D1189" t="s">
        <v>79</v>
      </c>
      <c r="E1189" t="s">
        <v>5588</v>
      </c>
      <c r="F1189" t="s">
        <v>149</v>
      </c>
      <c r="G1189" t="s">
        <v>5589</v>
      </c>
    </row>
    <row r="1190" spans="1:7" s="297" customFormat="1" ht="44.25" customHeight="1">
      <c r="A1190" t="s">
        <v>495</v>
      </c>
      <c r="B1190" t="s">
        <v>5590</v>
      </c>
      <c r="C1190" t="s">
        <v>136</v>
      </c>
      <c r="D1190" t="s">
        <v>79</v>
      </c>
      <c r="E1190" t="s">
        <v>5591</v>
      </c>
      <c r="F1190" t="s">
        <v>149</v>
      </c>
      <c r="G1190" t="s">
        <v>5592</v>
      </c>
    </row>
    <row r="1191" spans="1:7" s="297" customFormat="1" ht="44.25" customHeight="1">
      <c r="A1191" t="s">
        <v>5593</v>
      </c>
      <c r="B1191" t="s">
        <v>5594</v>
      </c>
      <c r="C1191" t="s">
        <v>136</v>
      </c>
      <c r="D1191" t="s">
        <v>79</v>
      </c>
      <c r="E1191" t="s">
        <v>5595</v>
      </c>
      <c r="F1191" t="s">
        <v>149</v>
      </c>
      <c r="G1191" t="s">
        <v>5596</v>
      </c>
    </row>
    <row r="1192" spans="1:7" s="297" customFormat="1" ht="44.25" customHeight="1">
      <c r="A1192" t="s">
        <v>5597</v>
      </c>
      <c r="B1192" t="s">
        <v>5598</v>
      </c>
      <c r="C1192" t="s">
        <v>136</v>
      </c>
      <c r="D1192" t="s">
        <v>79</v>
      </c>
      <c r="E1192" t="s">
        <v>5599</v>
      </c>
      <c r="F1192" t="s">
        <v>149</v>
      </c>
      <c r="G1192" t="s">
        <v>5600</v>
      </c>
    </row>
    <row r="1193" spans="1:7" s="297" customFormat="1" ht="44.25" customHeight="1">
      <c r="A1193" t="s">
        <v>5601</v>
      </c>
      <c r="B1193" t="s">
        <v>5602</v>
      </c>
      <c r="C1193" t="s">
        <v>136</v>
      </c>
      <c r="D1193" t="s">
        <v>79</v>
      </c>
      <c r="E1193" t="s">
        <v>5603</v>
      </c>
      <c r="F1193" t="s">
        <v>149</v>
      </c>
      <c r="G1193" t="s">
        <v>5604</v>
      </c>
    </row>
    <row r="1194" spans="1:7" s="297" customFormat="1" ht="44.25" customHeight="1">
      <c r="A1194" t="s">
        <v>5605</v>
      </c>
      <c r="B1194" t="s">
        <v>5606</v>
      </c>
      <c r="C1194" t="s">
        <v>136</v>
      </c>
      <c r="D1194" t="s">
        <v>79</v>
      </c>
      <c r="E1194" t="s">
        <v>5607</v>
      </c>
      <c r="F1194" t="s">
        <v>149</v>
      </c>
      <c r="G1194" t="s">
        <v>5608</v>
      </c>
    </row>
    <row r="1195" spans="1:7" s="297" customFormat="1" ht="44.25" customHeight="1">
      <c r="A1195" t="s">
        <v>5609</v>
      </c>
      <c r="B1195" t="s">
        <v>5610</v>
      </c>
      <c r="C1195" t="s">
        <v>136</v>
      </c>
      <c r="D1195" t="s">
        <v>79</v>
      </c>
      <c r="E1195" t="s">
        <v>5611</v>
      </c>
      <c r="F1195" t="s">
        <v>149</v>
      </c>
      <c r="G1195" t="s">
        <v>5612</v>
      </c>
    </row>
    <row r="1196" spans="1:7" s="297" customFormat="1" ht="44.25" customHeight="1">
      <c r="A1196" t="s">
        <v>5613</v>
      </c>
      <c r="B1196" t="s">
        <v>5614</v>
      </c>
      <c r="C1196" t="s">
        <v>136</v>
      </c>
      <c r="D1196" t="s">
        <v>79</v>
      </c>
      <c r="E1196" t="s">
        <v>5615</v>
      </c>
      <c r="F1196" t="s">
        <v>149</v>
      </c>
      <c r="G1196" t="s">
        <v>5616</v>
      </c>
    </row>
    <row r="1197" spans="1:7" s="297" customFormat="1" ht="44.25" customHeight="1">
      <c r="A1197" t="s">
        <v>5617</v>
      </c>
      <c r="B1197" t="s">
        <v>5618</v>
      </c>
      <c r="C1197" t="s">
        <v>136</v>
      </c>
      <c r="D1197" t="s">
        <v>79</v>
      </c>
      <c r="E1197" t="s">
        <v>5619</v>
      </c>
      <c r="F1197" t="s">
        <v>149</v>
      </c>
      <c r="G1197" t="s">
        <v>5620</v>
      </c>
    </row>
    <row r="1198" spans="1:7" s="297" customFormat="1" ht="44.25" customHeight="1">
      <c r="A1198" t="s">
        <v>5621</v>
      </c>
      <c r="B1198" t="s">
        <v>5622</v>
      </c>
      <c r="C1198" t="s">
        <v>136</v>
      </c>
      <c r="D1198" t="s">
        <v>79</v>
      </c>
      <c r="E1198" t="s">
        <v>5623</v>
      </c>
      <c r="F1198" t="s">
        <v>149</v>
      </c>
      <c r="G1198" t="s">
        <v>5624</v>
      </c>
    </row>
    <row r="1199" spans="1:7" s="297" customFormat="1" ht="44.25" customHeight="1">
      <c r="A1199" t="s">
        <v>5625</v>
      </c>
      <c r="B1199" t="s">
        <v>5626</v>
      </c>
      <c r="C1199" t="s">
        <v>136</v>
      </c>
      <c r="D1199" t="s">
        <v>79</v>
      </c>
      <c r="E1199" t="s">
        <v>5627</v>
      </c>
      <c r="F1199" t="s">
        <v>149</v>
      </c>
      <c r="G1199" t="s">
        <v>5628</v>
      </c>
    </row>
    <row r="1200" spans="1:7" s="297" customFormat="1" ht="44.25" customHeight="1">
      <c r="A1200" t="s">
        <v>5629</v>
      </c>
      <c r="B1200" t="s">
        <v>5630</v>
      </c>
      <c r="C1200" t="s">
        <v>136</v>
      </c>
      <c r="D1200" t="s">
        <v>79</v>
      </c>
      <c r="E1200" t="s">
        <v>5631</v>
      </c>
      <c r="F1200" t="s">
        <v>149</v>
      </c>
      <c r="G1200" t="s">
        <v>5632</v>
      </c>
    </row>
    <row r="1201" spans="1:7" s="297" customFormat="1" ht="44.25" customHeight="1">
      <c r="A1201" t="s">
        <v>809</v>
      </c>
      <c r="B1201" t="s">
        <v>5633</v>
      </c>
      <c r="C1201" t="s">
        <v>136</v>
      </c>
      <c r="D1201" t="s">
        <v>79</v>
      </c>
      <c r="E1201" t="s">
        <v>5634</v>
      </c>
      <c r="F1201" t="s">
        <v>149</v>
      </c>
      <c r="G1201" t="s">
        <v>5635</v>
      </c>
    </row>
    <row r="1202" spans="1:7" s="297" customFormat="1" ht="44.25" customHeight="1">
      <c r="A1202" t="s">
        <v>5636</v>
      </c>
      <c r="B1202" t="s">
        <v>5637</v>
      </c>
      <c r="C1202" t="s">
        <v>136</v>
      </c>
      <c r="D1202" t="s">
        <v>79</v>
      </c>
      <c r="E1202" t="s">
        <v>5638</v>
      </c>
      <c r="F1202" t="s">
        <v>149</v>
      </c>
      <c r="G1202" t="s">
        <v>5639</v>
      </c>
    </row>
    <row r="1203" spans="1:7" s="297" customFormat="1" ht="44.25" customHeight="1">
      <c r="A1203" t="s">
        <v>5640</v>
      </c>
      <c r="B1203" t="s">
        <v>5641</v>
      </c>
      <c r="C1203" t="s">
        <v>136</v>
      </c>
      <c r="D1203" t="s">
        <v>79</v>
      </c>
      <c r="E1203" t="s">
        <v>5642</v>
      </c>
      <c r="F1203" t="s">
        <v>149</v>
      </c>
      <c r="G1203" t="s">
        <v>5643</v>
      </c>
    </row>
    <row r="1204" spans="1:7" s="297" customFormat="1" ht="44.25" customHeight="1">
      <c r="A1204" t="s">
        <v>5644</v>
      </c>
      <c r="B1204" t="s">
        <v>5645</v>
      </c>
      <c r="C1204" t="s">
        <v>136</v>
      </c>
      <c r="D1204" t="s">
        <v>79</v>
      </c>
      <c r="E1204" t="s">
        <v>5646</v>
      </c>
      <c r="F1204" t="s">
        <v>149</v>
      </c>
      <c r="G1204" t="s">
        <v>5647</v>
      </c>
    </row>
    <row r="1205" spans="1:7" s="297" customFormat="1" ht="44.25" customHeight="1">
      <c r="A1205" t="s">
        <v>2641</v>
      </c>
      <c r="B1205" t="s">
        <v>2642</v>
      </c>
      <c r="C1205" t="s">
        <v>136</v>
      </c>
      <c r="D1205" t="s">
        <v>79</v>
      </c>
      <c r="E1205" t="s">
        <v>2643</v>
      </c>
      <c r="F1205" t="s">
        <v>149</v>
      </c>
      <c r="G1205" t="s">
        <v>5648</v>
      </c>
    </row>
    <row r="1206" spans="1:7" s="297" customFormat="1" ht="44.25" customHeight="1">
      <c r="A1206" t="s">
        <v>5649</v>
      </c>
      <c r="B1206" t="s">
        <v>5650</v>
      </c>
      <c r="C1206" t="s">
        <v>136</v>
      </c>
      <c r="D1206" t="s">
        <v>79</v>
      </c>
      <c r="E1206" t="s">
        <v>5651</v>
      </c>
      <c r="F1206" t="s">
        <v>149</v>
      </c>
      <c r="G1206" t="s">
        <v>5652</v>
      </c>
    </row>
    <row r="1207" spans="1:7" s="297" customFormat="1" ht="44.25" customHeight="1">
      <c r="A1207" t="s">
        <v>5653</v>
      </c>
      <c r="B1207" t="s">
        <v>5654</v>
      </c>
      <c r="C1207" t="s">
        <v>136</v>
      </c>
      <c r="D1207" t="s">
        <v>79</v>
      </c>
      <c r="E1207" t="s">
        <v>5655</v>
      </c>
      <c r="F1207" t="s">
        <v>149</v>
      </c>
      <c r="G1207" t="s">
        <v>5656</v>
      </c>
    </row>
    <row r="1208" spans="1:7" s="297" customFormat="1" ht="44.25" customHeight="1">
      <c r="A1208" t="s">
        <v>5657</v>
      </c>
      <c r="B1208" t="s">
        <v>5658</v>
      </c>
      <c r="C1208" t="s">
        <v>136</v>
      </c>
      <c r="D1208" t="s">
        <v>79</v>
      </c>
      <c r="E1208" t="s">
        <v>5659</v>
      </c>
      <c r="F1208" t="s">
        <v>149</v>
      </c>
      <c r="G1208" t="s">
        <v>5660</v>
      </c>
    </row>
    <row r="1209" spans="1:7" s="297" customFormat="1" ht="44.25" customHeight="1">
      <c r="A1209" t="s">
        <v>5661</v>
      </c>
      <c r="B1209" t="s">
        <v>5662</v>
      </c>
      <c r="C1209" t="s">
        <v>136</v>
      </c>
      <c r="D1209" t="s">
        <v>79</v>
      </c>
      <c r="E1209" t="s">
        <v>5663</v>
      </c>
      <c r="F1209" t="s">
        <v>149</v>
      </c>
      <c r="G1209" t="s">
        <v>5664</v>
      </c>
    </row>
    <row r="1210" spans="1:7" s="297" customFormat="1" ht="44.25" customHeight="1">
      <c r="A1210" t="s">
        <v>3617</v>
      </c>
      <c r="B1210" t="s">
        <v>3618</v>
      </c>
      <c r="C1210" t="s">
        <v>136</v>
      </c>
      <c r="D1210" t="s">
        <v>79</v>
      </c>
      <c r="E1210" t="s">
        <v>3619</v>
      </c>
      <c r="F1210" t="s">
        <v>149</v>
      </c>
      <c r="G1210" t="s">
        <v>5665</v>
      </c>
    </row>
    <row r="1211" spans="1:7" s="297" customFormat="1" ht="44.25" customHeight="1">
      <c r="A1211" t="s">
        <v>5666</v>
      </c>
      <c r="B1211" t="s">
        <v>5667</v>
      </c>
      <c r="C1211" t="s">
        <v>136</v>
      </c>
      <c r="D1211" t="s">
        <v>79</v>
      </c>
      <c r="E1211" t="s">
        <v>5668</v>
      </c>
      <c r="F1211" t="s">
        <v>149</v>
      </c>
      <c r="G1211" t="s">
        <v>5669</v>
      </c>
    </row>
    <row r="1212" spans="1:7" s="297" customFormat="1" ht="44.25" customHeight="1">
      <c r="A1212" t="s">
        <v>5670</v>
      </c>
      <c r="B1212" t="s">
        <v>5671</v>
      </c>
      <c r="C1212" t="s">
        <v>136</v>
      </c>
      <c r="D1212" t="s">
        <v>79</v>
      </c>
      <c r="E1212" t="s">
        <v>5672</v>
      </c>
      <c r="F1212" t="s">
        <v>149</v>
      </c>
      <c r="G1212" t="s">
        <v>5673</v>
      </c>
    </row>
    <row r="1213" spans="1:7" s="297" customFormat="1" ht="44.25" customHeight="1">
      <c r="A1213" t="s">
        <v>5674</v>
      </c>
      <c r="B1213" t="s">
        <v>5675</v>
      </c>
      <c r="C1213" t="s">
        <v>136</v>
      </c>
      <c r="D1213" t="s">
        <v>79</v>
      </c>
      <c r="E1213" t="s">
        <v>5676</v>
      </c>
      <c r="F1213" t="s">
        <v>149</v>
      </c>
      <c r="G1213" t="s">
        <v>5677</v>
      </c>
    </row>
    <row r="1214" spans="1:7" s="297" customFormat="1" ht="44.25" customHeight="1">
      <c r="A1214" t="s">
        <v>5678</v>
      </c>
      <c r="B1214" t="s">
        <v>5679</v>
      </c>
      <c r="C1214" t="s">
        <v>136</v>
      </c>
      <c r="D1214" t="s">
        <v>79</v>
      </c>
      <c r="E1214" t="s">
        <v>5680</v>
      </c>
      <c r="F1214" t="s">
        <v>149</v>
      </c>
      <c r="G1214" t="s">
        <v>5681</v>
      </c>
    </row>
    <row r="1215" spans="1:7" s="297" customFormat="1" ht="44.25" customHeight="1">
      <c r="A1215" t="s">
        <v>5682</v>
      </c>
      <c r="B1215" t="s">
        <v>5683</v>
      </c>
      <c r="C1215" t="s">
        <v>136</v>
      </c>
      <c r="D1215" t="s">
        <v>2257</v>
      </c>
      <c r="E1215" t="s">
        <v>5684</v>
      </c>
      <c r="F1215" t="s">
        <v>149</v>
      </c>
      <c r="G1215" t="s">
        <v>5685</v>
      </c>
    </row>
    <row r="1216" spans="1:7" s="297" customFormat="1" ht="44.25" customHeight="1">
      <c r="A1216" t="s">
        <v>5686</v>
      </c>
      <c r="B1216" t="s">
        <v>5687</v>
      </c>
      <c r="C1216" t="s">
        <v>136</v>
      </c>
      <c r="D1216" t="s">
        <v>2257</v>
      </c>
      <c r="E1216" t="s">
        <v>5684</v>
      </c>
      <c r="F1216" t="s">
        <v>149</v>
      </c>
      <c r="G1216" t="s">
        <v>5688</v>
      </c>
    </row>
    <row r="1217" spans="1:7" s="297" customFormat="1" ht="44.25" customHeight="1">
      <c r="A1217" t="s">
        <v>5689</v>
      </c>
      <c r="B1217" t="s">
        <v>5690</v>
      </c>
      <c r="C1217" t="s">
        <v>136</v>
      </c>
      <c r="D1217" t="s">
        <v>2257</v>
      </c>
      <c r="E1217" t="s">
        <v>5691</v>
      </c>
      <c r="F1217" t="s">
        <v>149</v>
      </c>
      <c r="G1217" t="s">
        <v>5692</v>
      </c>
    </row>
    <row r="1218" spans="1:7" s="297" customFormat="1" ht="44.25" customHeight="1">
      <c r="A1218" t="s">
        <v>5693</v>
      </c>
      <c r="B1218" t="s">
        <v>5694</v>
      </c>
      <c r="C1218" t="s">
        <v>136</v>
      </c>
      <c r="D1218" t="s">
        <v>2257</v>
      </c>
      <c r="E1218" t="s">
        <v>5695</v>
      </c>
      <c r="F1218" t="s">
        <v>149</v>
      </c>
      <c r="G1218" t="s">
        <v>5696</v>
      </c>
    </row>
    <row r="1219" spans="1:7" s="297" customFormat="1" ht="44.25" customHeight="1">
      <c r="A1219" t="s">
        <v>5697</v>
      </c>
      <c r="B1219" t="s">
        <v>5698</v>
      </c>
      <c r="C1219" t="s">
        <v>136</v>
      </c>
      <c r="D1219" t="s">
        <v>2257</v>
      </c>
      <c r="E1219" t="s">
        <v>5684</v>
      </c>
      <c r="F1219" t="s">
        <v>149</v>
      </c>
      <c r="G1219" t="s">
        <v>5699</v>
      </c>
    </row>
    <row r="1220" spans="1:7" s="297" customFormat="1" ht="44.25" customHeight="1">
      <c r="A1220" t="s">
        <v>5700</v>
      </c>
      <c r="B1220" t="s">
        <v>5701</v>
      </c>
      <c r="C1220" t="s">
        <v>136</v>
      </c>
      <c r="D1220" t="s">
        <v>2257</v>
      </c>
      <c r="E1220" t="s">
        <v>5695</v>
      </c>
      <c r="F1220" t="s">
        <v>149</v>
      </c>
      <c r="G1220" t="s">
        <v>5702</v>
      </c>
    </row>
    <row r="1221" spans="1:7" s="297" customFormat="1" ht="44.25" customHeight="1">
      <c r="A1221" t="s">
        <v>5703</v>
      </c>
      <c r="B1221" t="s">
        <v>5704</v>
      </c>
      <c r="C1221" t="s">
        <v>136</v>
      </c>
      <c r="D1221" t="s">
        <v>2257</v>
      </c>
      <c r="E1221" t="s">
        <v>5691</v>
      </c>
      <c r="F1221" t="s">
        <v>149</v>
      </c>
      <c r="G1221" t="s">
        <v>5705</v>
      </c>
    </row>
    <row r="1222" spans="1:7" s="297" customFormat="1" ht="44.25" customHeight="1">
      <c r="A1222" t="s">
        <v>5706</v>
      </c>
      <c r="B1222" t="s">
        <v>5707</v>
      </c>
      <c r="C1222" t="s">
        <v>136</v>
      </c>
      <c r="D1222" t="s">
        <v>2257</v>
      </c>
      <c r="E1222" t="s">
        <v>5684</v>
      </c>
      <c r="F1222" t="s">
        <v>149</v>
      </c>
      <c r="G1222" t="s">
        <v>5708</v>
      </c>
    </row>
    <row r="1223" spans="1:7" s="297" customFormat="1" ht="44.25" customHeight="1">
      <c r="A1223" t="s">
        <v>5709</v>
      </c>
      <c r="B1223" t="s">
        <v>5710</v>
      </c>
      <c r="C1223" t="s">
        <v>136</v>
      </c>
      <c r="D1223" t="s">
        <v>2257</v>
      </c>
      <c r="E1223" t="s">
        <v>5684</v>
      </c>
      <c r="F1223" t="s">
        <v>149</v>
      </c>
      <c r="G1223" t="s">
        <v>5711</v>
      </c>
    </row>
    <row r="1224" spans="1:7" s="297" customFormat="1" ht="44.25" customHeight="1">
      <c r="A1224" t="s">
        <v>5712</v>
      </c>
      <c r="B1224" t="s">
        <v>5713</v>
      </c>
      <c r="C1224" t="s">
        <v>136</v>
      </c>
      <c r="D1224" t="s">
        <v>2257</v>
      </c>
      <c r="E1224" t="s">
        <v>5695</v>
      </c>
      <c r="F1224" t="s">
        <v>149</v>
      </c>
      <c r="G1224" t="s">
        <v>5714</v>
      </c>
    </row>
    <row r="1225" spans="1:7" s="297" customFormat="1" ht="44.25" customHeight="1">
      <c r="A1225" t="s">
        <v>5715</v>
      </c>
      <c r="B1225" t="s">
        <v>5716</v>
      </c>
      <c r="C1225" t="s">
        <v>136</v>
      </c>
      <c r="D1225" t="s">
        <v>2257</v>
      </c>
      <c r="E1225" t="s">
        <v>5695</v>
      </c>
      <c r="F1225" t="s">
        <v>149</v>
      </c>
      <c r="G1225" t="s">
        <v>5717</v>
      </c>
    </row>
    <row r="1226" spans="1:7" s="297" customFormat="1" ht="44.25" customHeight="1">
      <c r="A1226" t="s">
        <v>5718</v>
      </c>
      <c r="B1226" t="s">
        <v>5719</v>
      </c>
      <c r="C1226" t="s">
        <v>136</v>
      </c>
      <c r="D1226" t="s">
        <v>2257</v>
      </c>
      <c r="E1226" t="s">
        <v>5691</v>
      </c>
      <c r="F1226" t="s">
        <v>149</v>
      </c>
      <c r="G1226" t="s">
        <v>5720</v>
      </c>
    </row>
    <row r="1227" spans="1:7" s="297" customFormat="1" ht="44.25" customHeight="1">
      <c r="A1227" t="s">
        <v>5721</v>
      </c>
      <c r="B1227" t="s">
        <v>5722</v>
      </c>
      <c r="C1227" t="s">
        <v>136</v>
      </c>
      <c r="D1227" t="s">
        <v>2257</v>
      </c>
      <c r="E1227" t="s">
        <v>5691</v>
      </c>
      <c r="F1227" t="s">
        <v>149</v>
      </c>
      <c r="G1227" t="s">
        <v>5723</v>
      </c>
    </row>
    <row r="1228" spans="1:7" s="297" customFormat="1" ht="44.25" customHeight="1">
      <c r="A1228" t="s">
        <v>5724</v>
      </c>
      <c r="B1228" t="s">
        <v>5725</v>
      </c>
      <c r="C1228" t="s">
        <v>136</v>
      </c>
      <c r="D1228" t="s">
        <v>2257</v>
      </c>
      <c r="E1228" t="s">
        <v>5695</v>
      </c>
      <c r="F1228" t="s">
        <v>149</v>
      </c>
      <c r="G1228" t="s">
        <v>5726</v>
      </c>
    </row>
    <row r="1229" spans="1:7" s="297" customFormat="1" ht="44.25" customHeight="1">
      <c r="A1229" t="s">
        <v>5727</v>
      </c>
      <c r="B1229" t="s">
        <v>5728</v>
      </c>
      <c r="C1229" t="s">
        <v>136</v>
      </c>
      <c r="D1229" t="s">
        <v>2257</v>
      </c>
      <c r="E1229" t="s">
        <v>5691</v>
      </c>
      <c r="F1229" t="s">
        <v>149</v>
      </c>
      <c r="G1229" t="s">
        <v>5729</v>
      </c>
    </row>
    <row r="1230" spans="1:7" s="297" customFormat="1" ht="44.25" customHeight="1">
      <c r="A1230" t="s">
        <v>5730</v>
      </c>
      <c r="B1230" t="s">
        <v>5731</v>
      </c>
      <c r="C1230" t="s">
        <v>136</v>
      </c>
      <c r="D1230" t="s">
        <v>2257</v>
      </c>
      <c r="E1230" t="s">
        <v>5684</v>
      </c>
      <c r="F1230" t="s">
        <v>149</v>
      </c>
      <c r="G1230" t="s">
        <v>5732</v>
      </c>
    </row>
    <row r="1231" spans="1:7" s="297" customFormat="1" ht="44.25" customHeight="1">
      <c r="A1231" t="s">
        <v>5733</v>
      </c>
      <c r="B1231" t="s">
        <v>5734</v>
      </c>
      <c r="C1231" t="s">
        <v>136</v>
      </c>
      <c r="D1231" t="s">
        <v>2257</v>
      </c>
      <c r="E1231" t="s">
        <v>5684</v>
      </c>
      <c r="F1231" t="s">
        <v>149</v>
      </c>
      <c r="G1231" t="s">
        <v>5735</v>
      </c>
    </row>
    <row r="1232" spans="1:7" s="297" customFormat="1" ht="44.25" customHeight="1">
      <c r="A1232" t="s">
        <v>5736</v>
      </c>
      <c r="B1232" t="s">
        <v>5737</v>
      </c>
      <c r="C1232" t="s">
        <v>136</v>
      </c>
      <c r="D1232" t="s">
        <v>2257</v>
      </c>
      <c r="E1232" t="s">
        <v>5738</v>
      </c>
      <c r="F1232" t="s">
        <v>149</v>
      </c>
      <c r="G1232" t="s">
        <v>5739</v>
      </c>
    </row>
    <row r="1233" spans="1:7" s="297" customFormat="1" ht="44.25" customHeight="1">
      <c r="A1233" t="s">
        <v>5740</v>
      </c>
      <c r="B1233" t="s">
        <v>5741</v>
      </c>
      <c r="C1233" t="s">
        <v>136</v>
      </c>
      <c r="D1233" t="s">
        <v>2257</v>
      </c>
      <c r="E1233" t="s">
        <v>5691</v>
      </c>
      <c r="F1233" t="s">
        <v>149</v>
      </c>
      <c r="G1233" t="s">
        <v>5742</v>
      </c>
    </row>
    <row r="1234" spans="1:7" s="297" customFormat="1" ht="44.25" customHeight="1">
      <c r="A1234" t="s">
        <v>5743</v>
      </c>
      <c r="B1234" t="s">
        <v>5744</v>
      </c>
      <c r="C1234" t="s">
        <v>136</v>
      </c>
      <c r="D1234" t="s">
        <v>2257</v>
      </c>
      <c r="E1234" t="s">
        <v>5695</v>
      </c>
      <c r="F1234" t="s">
        <v>149</v>
      </c>
      <c r="G1234" t="s">
        <v>5745</v>
      </c>
    </row>
    <row r="1235" spans="1:7" s="297" customFormat="1" ht="44.25" customHeight="1">
      <c r="A1235" t="s">
        <v>5746</v>
      </c>
      <c r="B1235" t="s">
        <v>5747</v>
      </c>
      <c r="C1235" t="s">
        <v>136</v>
      </c>
      <c r="D1235" t="s">
        <v>2257</v>
      </c>
      <c r="E1235" t="s">
        <v>5684</v>
      </c>
      <c r="F1235" t="s">
        <v>149</v>
      </c>
      <c r="G1235" t="s">
        <v>5748</v>
      </c>
    </row>
    <row r="1236" spans="1:7" s="297" customFormat="1" ht="44.25" customHeight="1">
      <c r="A1236" t="s">
        <v>5749</v>
      </c>
      <c r="B1236" t="s">
        <v>5750</v>
      </c>
      <c r="C1236" t="s">
        <v>136</v>
      </c>
      <c r="D1236" t="s">
        <v>2257</v>
      </c>
      <c r="E1236" t="s">
        <v>5684</v>
      </c>
      <c r="F1236" t="s">
        <v>149</v>
      </c>
      <c r="G1236" t="s">
        <v>5751</v>
      </c>
    </row>
    <row r="1237" spans="1:7" s="297" customFormat="1" ht="44.25" customHeight="1">
      <c r="A1237" t="s">
        <v>5752</v>
      </c>
      <c r="B1237" t="s">
        <v>5753</v>
      </c>
      <c r="C1237" t="s">
        <v>136</v>
      </c>
      <c r="D1237" t="s">
        <v>2257</v>
      </c>
      <c r="E1237" t="s">
        <v>5691</v>
      </c>
      <c r="F1237" t="s">
        <v>149</v>
      </c>
      <c r="G1237" t="s">
        <v>5754</v>
      </c>
    </row>
    <row r="1238" spans="1:7" s="297" customFormat="1" ht="44.25" customHeight="1">
      <c r="A1238" t="s">
        <v>5755</v>
      </c>
      <c r="B1238" t="s">
        <v>5756</v>
      </c>
      <c r="C1238" t="s">
        <v>136</v>
      </c>
      <c r="D1238" t="s">
        <v>2257</v>
      </c>
      <c r="E1238" t="s">
        <v>5691</v>
      </c>
      <c r="F1238" t="s">
        <v>149</v>
      </c>
      <c r="G1238" t="s">
        <v>5757</v>
      </c>
    </row>
    <row r="1239" spans="1:7" s="297" customFormat="1" ht="44.25" customHeight="1">
      <c r="A1239" t="s">
        <v>5758</v>
      </c>
      <c r="B1239" t="s">
        <v>5759</v>
      </c>
      <c r="C1239" t="s">
        <v>136</v>
      </c>
      <c r="D1239" t="s">
        <v>2257</v>
      </c>
      <c r="E1239" t="s">
        <v>5695</v>
      </c>
      <c r="F1239" t="s">
        <v>149</v>
      </c>
      <c r="G1239" t="s">
        <v>5760</v>
      </c>
    </row>
    <row r="1240" spans="1:7" s="297" customFormat="1" ht="44.25" customHeight="1">
      <c r="A1240" t="s">
        <v>5761</v>
      </c>
      <c r="B1240" t="s">
        <v>5762</v>
      </c>
      <c r="C1240" t="s">
        <v>136</v>
      </c>
      <c r="D1240" t="s">
        <v>2257</v>
      </c>
      <c r="E1240" t="s">
        <v>5691</v>
      </c>
      <c r="F1240" t="s">
        <v>149</v>
      </c>
      <c r="G1240" t="s">
        <v>5763</v>
      </c>
    </row>
    <row r="1241" spans="1:7" s="297" customFormat="1" ht="44.25" customHeight="1">
      <c r="A1241" t="s">
        <v>5764</v>
      </c>
      <c r="B1241" t="s">
        <v>5765</v>
      </c>
      <c r="C1241" t="s">
        <v>136</v>
      </c>
      <c r="D1241" t="s">
        <v>2257</v>
      </c>
      <c r="E1241" t="s">
        <v>5766</v>
      </c>
      <c r="F1241" t="s">
        <v>149</v>
      </c>
      <c r="G1241" t="s">
        <v>5767</v>
      </c>
    </row>
    <row r="1242" spans="1:7" s="297" customFormat="1" ht="44.25" customHeight="1">
      <c r="A1242" t="s">
        <v>5768</v>
      </c>
      <c r="B1242" t="s">
        <v>5769</v>
      </c>
      <c r="C1242" t="s">
        <v>136</v>
      </c>
      <c r="D1242" t="s">
        <v>2257</v>
      </c>
      <c r="E1242" t="s">
        <v>5691</v>
      </c>
      <c r="F1242" t="s">
        <v>149</v>
      </c>
      <c r="G1242" t="s">
        <v>5770</v>
      </c>
    </row>
    <row r="1243" spans="1:7" s="297" customFormat="1" ht="44.25" customHeight="1">
      <c r="A1243" t="s">
        <v>136</v>
      </c>
      <c r="B1243" t="s">
        <v>5771</v>
      </c>
      <c r="C1243" t="s">
        <v>136</v>
      </c>
      <c r="D1243" t="s">
        <v>2257</v>
      </c>
      <c r="E1243" t="s">
        <v>5738</v>
      </c>
      <c r="F1243" t="s">
        <v>149</v>
      </c>
      <c r="G1243" t="s">
        <v>5772</v>
      </c>
    </row>
    <row r="1244" spans="1:7" s="297" customFormat="1" ht="44.25" customHeight="1">
      <c r="A1244" t="s">
        <v>136</v>
      </c>
      <c r="B1244" t="s">
        <v>5773</v>
      </c>
      <c r="C1244" t="s">
        <v>136</v>
      </c>
      <c r="D1244" t="s">
        <v>2257</v>
      </c>
      <c r="E1244" t="s">
        <v>5738</v>
      </c>
      <c r="F1244" t="s">
        <v>149</v>
      </c>
      <c r="G1244" t="s">
        <v>5774</v>
      </c>
    </row>
    <row r="1245" spans="1:7" s="297" customFormat="1" ht="44.25" customHeight="1">
      <c r="A1245" t="s">
        <v>5775</v>
      </c>
      <c r="B1245" t="s">
        <v>5776</v>
      </c>
      <c r="C1245" t="s">
        <v>136</v>
      </c>
      <c r="D1245" t="s">
        <v>2257</v>
      </c>
      <c r="E1245" t="s">
        <v>5777</v>
      </c>
      <c r="F1245" t="s">
        <v>149</v>
      </c>
      <c r="G1245" t="s">
        <v>5778</v>
      </c>
    </row>
    <row r="1246" spans="1:7" s="297" customFormat="1" ht="44.25" customHeight="1">
      <c r="A1246" t="s">
        <v>136</v>
      </c>
      <c r="B1246" t="s">
        <v>5779</v>
      </c>
      <c r="C1246" t="s">
        <v>136</v>
      </c>
      <c r="D1246" t="s">
        <v>2257</v>
      </c>
      <c r="E1246" t="s">
        <v>5691</v>
      </c>
      <c r="F1246" t="s">
        <v>149</v>
      </c>
      <c r="G1246" t="s">
        <v>5780</v>
      </c>
    </row>
    <row r="1247" spans="1:7" s="297" customFormat="1" ht="44.25" customHeight="1">
      <c r="A1247" t="s">
        <v>136</v>
      </c>
      <c r="B1247" t="s">
        <v>5781</v>
      </c>
      <c r="C1247" t="s">
        <v>136</v>
      </c>
      <c r="D1247" t="s">
        <v>2257</v>
      </c>
      <c r="E1247" t="s">
        <v>5782</v>
      </c>
      <c r="F1247" t="s">
        <v>149</v>
      </c>
      <c r="G1247" t="s">
        <v>5783</v>
      </c>
    </row>
    <row r="1248" spans="1:7" s="297" customFormat="1" ht="44.25" customHeight="1">
      <c r="A1248" t="s">
        <v>136</v>
      </c>
      <c r="B1248" t="s">
        <v>5784</v>
      </c>
      <c r="C1248" t="s">
        <v>136</v>
      </c>
      <c r="D1248" t="s">
        <v>2257</v>
      </c>
      <c r="E1248" t="s">
        <v>5691</v>
      </c>
      <c r="F1248" t="s">
        <v>149</v>
      </c>
      <c r="G1248" t="s">
        <v>5785</v>
      </c>
    </row>
    <row r="1249" spans="1:7" s="297" customFormat="1" ht="44.25" customHeight="1">
      <c r="A1249" t="s">
        <v>136</v>
      </c>
      <c r="B1249" t="s">
        <v>5786</v>
      </c>
      <c r="C1249" t="s">
        <v>136</v>
      </c>
      <c r="D1249" t="s">
        <v>2257</v>
      </c>
      <c r="E1249" t="s">
        <v>5691</v>
      </c>
      <c r="F1249" t="s">
        <v>149</v>
      </c>
      <c r="G1249" t="s">
        <v>5787</v>
      </c>
    </row>
    <row r="1250" spans="1:7" s="297" customFormat="1" ht="44.25" customHeight="1">
      <c r="A1250" t="s">
        <v>136</v>
      </c>
      <c r="B1250" t="s">
        <v>5788</v>
      </c>
      <c r="C1250" t="s">
        <v>136</v>
      </c>
      <c r="D1250" t="s">
        <v>2257</v>
      </c>
      <c r="E1250" t="s">
        <v>5738</v>
      </c>
      <c r="F1250" t="s">
        <v>149</v>
      </c>
      <c r="G1250" t="s">
        <v>5789</v>
      </c>
    </row>
    <row r="1251" spans="1:7" s="297" customFormat="1" ht="44.25" customHeight="1">
      <c r="A1251" t="s">
        <v>136</v>
      </c>
      <c r="B1251" t="s">
        <v>5790</v>
      </c>
      <c r="C1251" t="s">
        <v>136</v>
      </c>
      <c r="D1251" t="s">
        <v>2257</v>
      </c>
      <c r="E1251" t="s">
        <v>5791</v>
      </c>
      <c r="F1251" t="s">
        <v>149</v>
      </c>
      <c r="G1251" t="s">
        <v>5792</v>
      </c>
    </row>
    <row r="1252" spans="1:7" s="297" customFormat="1" ht="44.25" customHeight="1">
      <c r="A1252" t="s">
        <v>136</v>
      </c>
      <c r="B1252" t="s">
        <v>5793</v>
      </c>
      <c r="C1252" t="s">
        <v>136</v>
      </c>
      <c r="D1252" t="s">
        <v>2257</v>
      </c>
      <c r="E1252" t="s">
        <v>5691</v>
      </c>
      <c r="F1252" t="s">
        <v>149</v>
      </c>
      <c r="G1252" t="s">
        <v>5794</v>
      </c>
    </row>
    <row r="1253" spans="1:7" s="297" customFormat="1" ht="44.25" customHeight="1">
      <c r="A1253" t="s">
        <v>5795</v>
      </c>
      <c r="B1253" t="s">
        <v>5796</v>
      </c>
      <c r="C1253" t="s">
        <v>136</v>
      </c>
      <c r="D1253" t="s">
        <v>2257</v>
      </c>
      <c r="E1253" t="s">
        <v>5766</v>
      </c>
      <c r="F1253" t="s">
        <v>149</v>
      </c>
      <c r="G1253" t="s">
        <v>5797</v>
      </c>
    </row>
    <row r="1254" spans="1:7" s="297" customFormat="1" ht="44.25" customHeight="1">
      <c r="A1254" t="s">
        <v>136</v>
      </c>
      <c r="B1254" t="s">
        <v>5798</v>
      </c>
      <c r="C1254" t="s">
        <v>136</v>
      </c>
      <c r="D1254" t="s">
        <v>2257</v>
      </c>
      <c r="E1254" t="s">
        <v>5777</v>
      </c>
      <c r="F1254" t="s">
        <v>149</v>
      </c>
      <c r="G1254" t="s">
        <v>5799</v>
      </c>
    </row>
    <row r="1255" spans="1:7" s="297" customFormat="1" ht="44.25" customHeight="1">
      <c r="A1255" t="s">
        <v>136</v>
      </c>
      <c r="B1255" t="s">
        <v>5800</v>
      </c>
      <c r="C1255" t="s">
        <v>136</v>
      </c>
      <c r="D1255" t="s">
        <v>2257</v>
      </c>
      <c r="E1255" t="s">
        <v>5766</v>
      </c>
      <c r="F1255" t="s">
        <v>149</v>
      </c>
      <c r="G1255" t="s">
        <v>5801</v>
      </c>
    </row>
    <row r="1256" spans="1:7" s="297" customFormat="1" ht="44.25" customHeight="1">
      <c r="A1256" t="s">
        <v>5802</v>
      </c>
      <c r="B1256" t="s">
        <v>5803</v>
      </c>
      <c r="C1256" t="s">
        <v>136</v>
      </c>
      <c r="D1256" t="s">
        <v>2257</v>
      </c>
      <c r="E1256" t="s">
        <v>5695</v>
      </c>
      <c r="F1256" t="s">
        <v>149</v>
      </c>
      <c r="G1256" t="s">
        <v>5804</v>
      </c>
    </row>
    <row r="1257" spans="1:7" s="297" customFormat="1" ht="44.25" customHeight="1">
      <c r="A1257" t="s">
        <v>136</v>
      </c>
      <c r="B1257" t="s">
        <v>5805</v>
      </c>
      <c r="C1257" t="s">
        <v>136</v>
      </c>
      <c r="D1257" t="s">
        <v>2257</v>
      </c>
      <c r="E1257" t="s">
        <v>5691</v>
      </c>
      <c r="F1257" t="s">
        <v>149</v>
      </c>
      <c r="G1257" t="s">
        <v>5806</v>
      </c>
    </row>
    <row r="1258" spans="1:7" s="297" customFormat="1" ht="44.25" customHeight="1">
      <c r="A1258" t="s">
        <v>5807</v>
      </c>
      <c r="B1258" t="s">
        <v>5808</v>
      </c>
      <c r="C1258" t="s">
        <v>136</v>
      </c>
      <c r="D1258" t="s">
        <v>2257</v>
      </c>
      <c r="E1258" t="s">
        <v>5738</v>
      </c>
      <c r="F1258" t="s">
        <v>149</v>
      </c>
      <c r="G1258" t="s">
        <v>5809</v>
      </c>
    </row>
    <row r="1259" spans="1:7" s="297" customFormat="1" ht="44.25" customHeight="1">
      <c r="A1259" t="s">
        <v>136</v>
      </c>
      <c r="B1259" t="s">
        <v>5810</v>
      </c>
      <c r="C1259" t="s">
        <v>136</v>
      </c>
      <c r="D1259" t="s">
        <v>2257</v>
      </c>
      <c r="E1259" t="s">
        <v>5691</v>
      </c>
      <c r="F1259" t="s">
        <v>149</v>
      </c>
      <c r="G1259" t="s">
        <v>5811</v>
      </c>
    </row>
    <row r="1260" spans="1:7" s="297" customFormat="1" ht="44.25" customHeight="1">
      <c r="A1260" t="s">
        <v>136</v>
      </c>
      <c r="B1260" t="s">
        <v>5812</v>
      </c>
      <c r="C1260" t="s">
        <v>136</v>
      </c>
      <c r="D1260" t="s">
        <v>2257</v>
      </c>
      <c r="E1260" t="s">
        <v>5813</v>
      </c>
      <c r="F1260" t="s">
        <v>149</v>
      </c>
      <c r="G1260" t="s">
        <v>5814</v>
      </c>
    </row>
    <row r="1261" spans="1:7" s="297" customFormat="1" ht="44.25" customHeight="1">
      <c r="A1261" t="s">
        <v>136</v>
      </c>
      <c r="B1261" t="s">
        <v>5815</v>
      </c>
      <c r="C1261" t="s">
        <v>136</v>
      </c>
      <c r="D1261" t="s">
        <v>2257</v>
      </c>
      <c r="E1261" t="s">
        <v>5691</v>
      </c>
      <c r="F1261" t="s">
        <v>149</v>
      </c>
      <c r="G1261" t="s">
        <v>5816</v>
      </c>
    </row>
    <row r="1262" spans="1:7" s="297" customFormat="1" ht="44.25" customHeight="1">
      <c r="A1262" t="s">
        <v>136</v>
      </c>
      <c r="B1262" t="s">
        <v>5817</v>
      </c>
      <c r="C1262" t="s">
        <v>136</v>
      </c>
      <c r="D1262" t="s">
        <v>2257</v>
      </c>
      <c r="E1262" t="s">
        <v>5691</v>
      </c>
      <c r="F1262" t="s">
        <v>149</v>
      </c>
      <c r="G1262" t="s">
        <v>5818</v>
      </c>
    </row>
    <row r="1263" spans="1:7" s="297" customFormat="1" ht="44.25" customHeight="1">
      <c r="A1263" t="s">
        <v>5819</v>
      </c>
      <c r="B1263" t="s">
        <v>5820</v>
      </c>
      <c r="C1263" t="s">
        <v>136</v>
      </c>
      <c r="D1263" t="s">
        <v>2257</v>
      </c>
      <c r="E1263" t="s">
        <v>5791</v>
      </c>
      <c r="F1263" t="s">
        <v>149</v>
      </c>
      <c r="G1263" t="s">
        <v>5821</v>
      </c>
    </row>
    <row r="1264" spans="1:7" s="297" customFormat="1" ht="44.25" customHeight="1">
      <c r="A1264" t="s">
        <v>5822</v>
      </c>
      <c r="B1264" t="s">
        <v>5823</v>
      </c>
      <c r="C1264" t="s">
        <v>136</v>
      </c>
      <c r="D1264" t="s">
        <v>2257</v>
      </c>
      <c r="E1264" t="s">
        <v>5691</v>
      </c>
      <c r="F1264" t="s">
        <v>149</v>
      </c>
      <c r="G1264" t="s">
        <v>5824</v>
      </c>
    </row>
    <row r="1265" spans="1:7" s="297" customFormat="1" ht="44.25" customHeight="1">
      <c r="A1265" t="s">
        <v>136</v>
      </c>
      <c r="B1265" t="s">
        <v>5825</v>
      </c>
      <c r="C1265" t="s">
        <v>136</v>
      </c>
      <c r="D1265" t="s">
        <v>2257</v>
      </c>
      <c r="E1265" t="s">
        <v>5691</v>
      </c>
      <c r="F1265" t="s">
        <v>149</v>
      </c>
      <c r="G1265" t="s">
        <v>5826</v>
      </c>
    </row>
    <row r="1266" spans="1:7" s="297" customFormat="1" ht="44.25" customHeight="1">
      <c r="A1266" t="s">
        <v>5827</v>
      </c>
      <c r="B1266" t="s">
        <v>5828</v>
      </c>
      <c r="C1266" t="s">
        <v>136</v>
      </c>
      <c r="D1266" t="s">
        <v>2257</v>
      </c>
      <c r="E1266" t="s">
        <v>5695</v>
      </c>
      <c r="F1266" t="s">
        <v>149</v>
      </c>
      <c r="G1266" t="s">
        <v>5829</v>
      </c>
    </row>
    <row r="1267" spans="1:7" s="297" customFormat="1" ht="44.25" customHeight="1">
      <c r="A1267" t="s">
        <v>136</v>
      </c>
      <c r="B1267" t="s">
        <v>5830</v>
      </c>
      <c r="C1267" t="s">
        <v>136</v>
      </c>
      <c r="D1267" t="s">
        <v>2257</v>
      </c>
      <c r="E1267" t="s">
        <v>5691</v>
      </c>
      <c r="F1267" t="s">
        <v>149</v>
      </c>
      <c r="G1267" t="s">
        <v>5831</v>
      </c>
    </row>
    <row r="1268" spans="1:7" s="297" customFormat="1" ht="44.25" customHeight="1">
      <c r="A1268" t="s">
        <v>136</v>
      </c>
      <c r="B1268" t="s">
        <v>5832</v>
      </c>
      <c r="C1268" t="s">
        <v>136</v>
      </c>
      <c r="D1268" t="s">
        <v>2257</v>
      </c>
      <c r="E1268" t="s">
        <v>5691</v>
      </c>
      <c r="F1268" t="s">
        <v>149</v>
      </c>
      <c r="G1268" t="s">
        <v>5833</v>
      </c>
    </row>
    <row r="1269" spans="1:7" s="297" customFormat="1" ht="44.25" customHeight="1">
      <c r="A1269" t="s">
        <v>136</v>
      </c>
      <c r="B1269" t="s">
        <v>5834</v>
      </c>
      <c r="C1269" t="s">
        <v>136</v>
      </c>
      <c r="D1269" t="s">
        <v>2257</v>
      </c>
      <c r="E1269" t="s">
        <v>5695</v>
      </c>
      <c r="F1269" t="s">
        <v>149</v>
      </c>
      <c r="G1269" t="s">
        <v>5835</v>
      </c>
    </row>
    <row r="1270" spans="1:7" s="297" customFormat="1" ht="44.25" customHeight="1">
      <c r="A1270" t="s">
        <v>136</v>
      </c>
      <c r="B1270" t="s">
        <v>5836</v>
      </c>
      <c r="C1270" t="s">
        <v>136</v>
      </c>
      <c r="D1270" t="s">
        <v>2257</v>
      </c>
      <c r="E1270" t="s">
        <v>5691</v>
      </c>
      <c r="F1270" t="s">
        <v>149</v>
      </c>
      <c r="G1270" t="s">
        <v>5837</v>
      </c>
    </row>
    <row r="1271" spans="1:7" s="297" customFormat="1" ht="44.25" customHeight="1">
      <c r="A1271" t="s">
        <v>136</v>
      </c>
      <c r="B1271" t="s">
        <v>5838</v>
      </c>
      <c r="C1271" t="s">
        <v>136</v>
      </c>
      <c r="D1271" t="s">
        <v>2257</v>
      </c>
      <c r="E1271" t="s">
        <v>5691</v>
      </c>
      <c r="F1271" t="s">
        <v>149</v>
      </c>
      <c r="G1271" t="s">
        <v>5839</v>
      </c>
    </row>
    <row r="1272" spans="1:7" s="297" customFormat="1" ht="44.25" customHeight="1">
      <c r="A1272" t="s">
        <v>5840</v>
      </c>
      <c r="B1272" t="s">
        <v>5841</v>
      </c>
      <c r="C1272" t="s">
        <v>136</v>
      </c>
      <c r="D1272" t="s">
        <v>2257</v>
      </c>
      <c r="E1272" t="s">
        <v>5782</v>
      </c>
      <c r="F1272" t="s">
        <v>149</v>
      </c>
      <c r="G1272" t="s">
        <v>5842</v>
      </c>
    </row>
    <row r="1273" spans="1:7" s="297" customFormat="1" ht="44.25" customHeight="1">
      <c r="A1273" t="s">
        <v>136</v>
      </c>
      <c r="B1273" t="s">
        <v>5843</v>
      </c>
      <c r="C1273" t="s">
        <v>136</v>
      </c>
      <c r="D1273" t="s">
        <v>2257</v>
      </c>
      <c r="E1273" t="s">
        <v>5695</v>
      </c>
      <c r="F1273" t="s">
        <v>149</v>
      </c>
      <c r="G1273" t="s">
        <v>5844</v>
      </c>
    </row>
    <row r="1274" spans="1:7" s="297" customFormat="1" ht="44.25" customHeight="1">
      <c r="A1274" t="s">
        <v>136</v>
      </c>
      <c r="B1274" t="s">
        <v>5845</v>
      </c>
      <c r="C1274" t="s">
        <v>136</v>
      </c>
      <c r="D1274" t="s">
        <v>2257</v>
      </c>
      <c r="E1274" t="s">
        <v>5782</v>
      </c>
      <c r="F1274" t="s">
        <v>149</v>
      </c>
      <c r="G1274" t="s">
        <v>5846</v>
      </c>
    </row>
    <row r="1275" spans="1:7" s="297" customFormat="1" ht="44.25" customHeight="1">
      <c r="A1275" t="s">
        <v>5847</v>
      </c>
      <c r="B1275" t="s">
        <v>5848</v>
      </c>
      <c r="C1275" t="s">
        <v>136</v>
      </c>
      <c r="D1275" t="s">
        <v>2257</v>
      </c>
      <c r="E1275" t="s">
        <v>5691</v>
      </c>
      <c r="F1275" t="s">
        <v>149</v>
      </c>
      <c r="G1275" t="s">
        <v>5849</v>
      </c>
    </row>
    <row r="1276" spans="1:7" s="297" customFormat="1" ht="44.25" customHeight="1">
      <c r="A1276" t="s">
        <v>136</v>
      </c>
      <c r="B1276" t="s">
        <v>5850</v>
      </c>
      <c r="C1276" t="s">
        <v>136</v>
      </c>
      <c r="D1276" t="s">
        <v>2257</v>
      </c>
      <c r="E1276" t="s">
        <v>5691</v>
      </c>
      <c r="F1276" t="s">
        <v>149</v>
      </c>
      <c r="G1276" t="s">
        <v>5851</v>
      </c>
    </row>
    <row r="1277" spans="1:7" s="297" customFormat="1" ht="44.25" customHeight="1">
      <c r="A1277" t="s">
        <v>136</v>
      </c>
      <c r="B1277" t="s">
        <v>5852</v>
      </c>
      <c r="C1277" t="s">
        <v>136</v>
      </c>
      <c r="D1277" t="s">
        <v>2257</v>
      </c>
      <c r="E1277" t="s">
        <v>5813</v>
      </c>
      <c r="F1277" t="s">
        <v>149</v>
      </c>
      <c r="G1277" t="s">
        <v>5853</v>
      </c>
    </row>
    <row r="1278" spans="1:7" s="297" customFormat="1" ht="44.25" customHeight="1">
      <c r="A1278" t="s">
        <v>136</v>
      </c>
      <c r="B1278" t="s">
        <v>5854</v>
      </c>
      <c r="C1278" t="s">
        <v>136</v>
      </c>
      <c r="D1278" t="s">
        <v>2257</v>
      </c>
      <c r="E1278" t="s">
        <v>5855</v>
      </c>
      <c r="F1278" t="s">
        <v>149</v>
      </c>
      <c r="G1278" t="s">
        <v>5856</v>
      </c>
    </row>
    <row r="1279" spans="1:7" s="297" customFormat="1" ht="44.25" customHeight="1">
      <c r="A1279" t="s">
        <v>136</v>
      </c>
      <c r="B1279" t="s">
        <v>5857</v>
      </c>
      <c r="C1279" t="s">
        <v>136</v>
      </c>
      <c r="D1279" t="s">
        <v>2257</v>
      </c>
      <c r="E1279" t="s">
        <v>5691</v>
      </c>
      <c r="F1279" t="s">
        <v>149</v>
      </c>
      <c r="G1279" t="s">
        <v>5858</v>
      </c>
    </row>
    <row r="1280" spans="1:7" s="297" customFormat="1" ht="44.25" customHeight="1">
      <c r="A1280" t="s">
        <v>5859</v>
      </c>
      <c r="B1280" t="s">
        <v>5860</v>
      </c>
      <c r="C1280" t="s">
        <v>136</v>
      </c>
      <c r="D1280" t="s">
        <v>2253</v>
      </c>
      <c r="E1280" t="s">
        <v>5691</v>
      </c>
      <c r="F1280" t="s">
        <v>149</v>
      </c>
      <c r="G1280" t="s">
        <v>5861</v>
      </c>
    </row>
    <row r="1281" spans="1:7" s="297" customFormat="1" ht="44.25" customHeight="1">
      <c r="A1281" t="s">
        <v>478</v>
      </c>
      <c r="B1281" t="s">
        <v>5862</v>
      </c>
      <c r="C1281" t="s">
        <v>136</v>
      </c>
      <c r="D1281" t="s">
        <v>79</v>
      </c>
      <c r="E1281" t="s">
        <v>1536</v>
      </c>
      <c r="F1281" t="s">
        <v>149</v>
      </c>
      <c r="G1281" t="s">
        <v>5863</v>
      </c>
    </row>
    <row r="1282" spans="1:7" s="297" customFormat="1" ht="44.25" customHeight="1">
      <c r="A1282" t="s">
        <v>5864</v>
      </c>
      <c r="B1282" t="s">
        <v>5865</v>
      </c>
      <c r="C1282" t="s">
        <v>136</v>
      </c>
      <c r="D1282" t="s">
        <v>79</v>
      </c>
      <c r="E1282" t="s">
        <v>5866</v>
      </c>
      <c r="F1282" t="s">
        <v>149</v>
      </c>
      <c r="G1282" t="s">
        <v>5867</v>
      </c>
    </row>
    <row r="1283" spans="1:7" s="297" customFormat="1" ht="44.25" customHeight="1">
      <c r="A1283" t="s">
        <v>5868</v>
      </c>
      <c r="B1283" t="s">
        <v>5869</v>
      </c>
      <c r="C1283" t="s">
        <v>136</v>
      </c>
      <c r="D1283" t="s">
        <v>79</v>
      </c>
      <c r="E1283" t="s">
        <v>5870</v>
      </c>
      <c r="F1283" t="s">
        <v>149</v>
      </c>
      <c r="G1283" t="s">
        <v>5871</v>
      </c>
    </row>
    <row r="1284" spans="1:7" s="297" customFormat="1" ht="44.25" customHeight="1">
      <c r="A1284" t="s">
        <v>5872</v>
      </c>
      <c r="B1284" t="s">
        <v>5873</v>
      </c>
      <c r="C1284" t="s">
        <v>136</v>
      </c>
      <c r="D1284" t="s">
        <v>79</v>
      </c>
      <c r="E1284" t="s">
        <v>5874</v>
      </c>
      <c r="F1284" t="s">
        <v>149</v>
      </c>
      <c r="G1284" t="s">
        <v>5875</v>
      </c>
    </row>
    <row r="1285" spans="1:7" s="297" customFormat="1" ht="44.25" customHeight="1">
      <c r="A1285" t="s">
        <v>5876</v>
      </c>
      <c r="B1285" t="s">
        <v>5877</v>
      </c>
      <c r="C1285" t="s">
        <v>136</v>
      </c>
      <c r="D1285" t="s">
        <v>79</v>
      </c>
      <c r="E1285" t="s">
        <v>5878</v>
      </c>
      <c r="F1285" t="s">
        <v>149</v>
      </c>
      <c r="G1285" t="s">
        <v>5879</v>
      </c>
    </row>
    <row r="1286" spans="1:7" s="297" customFormat="1" ht="44.25" customHeight="1">
      <c r="A1286" t="s">
        <v>413</v>
      </c>
      <c r="B1286" t="s">
        <v>5880</v>
      </c>
      <c r="C1286" t="s">
        <v>136</v>
      </c>
      <c r="D1286" t="s">
        <v>2257</v>
      </c>
      <c r="E1286" t="s">
        <v>1521</v>
      </c>
      <c r="F1286" t="s">
        <v>149</v>
      </c>
      <c r="G1286" t="s">
        <v>5881</v>
      </c>
    </row>
    <row r="1287" spans="1:7" s="297" customFormat="1" ht="44.25" customHeight="1">
      <c r="A1287" t="s">
        <v>411</v>
      </c>
      <c r="B1287" t="s">
        <v>5882</v>
      </c>
      <c r="C1287" t="s">
        <v>136</v>
      </c>
      <c r="D1287" t="s">
        <v>2257</v>
      </c>
      <c r="E1287" t="s">
        <v>1520</v>
      </c>
      <c r="F1287" t="s">
        <v>149</v>
      </c>
      <c r="G1287" t="s">
        <v>5883</v>
      </c>
    </row>
    <row r="1288" spans="1:7" s="297" customFormat="1" ht="44.25" customHeight="1">
      <c r="A1288" t="s">
        <v>5884</v>
      </c>
      <c r="B1288" t="s">
        <v>5885</v>
      </c>
      <c r="C1288" t="s">
        <v>136</v>
      </c>
      <c r="D1288" t="s">
        <v>2257</v>
      </c>
      <c r="E1288" t="s">
        <v>1522</v>
      </c>
      <c r="F1288" t="s">
        <v>149</v>
      </c>
      <c r="G1288" t="s">
        <v>5886</v>
      </c>
    </row>
    <row r="1289" spans="1:7" s="297" customFormat="1" ht="44.25" customHeight="1">
      <c r="A1289" t="s">
        <v>415</v>
      </c>
      <c r="B1289" t="s">
        <v>5887</v>
      </c>
      <c r="C1289" t="s">
        <v>136</v>
      </c>
      <c r="D1289" t="s">
        <v>2257</v>
      </c>
      <c r="E1289" t="s">
        <v>1522</v>
      </c>
      <c r="F1289" t="s">
        <v>149</v>
      </c>
      <c r="G1289" t="s">
        <v>5888</v>
      </c>
    </row>
    <row r="1290" spans="1:7" s="297" customFormat="1" ht="44.25" customHeight="1">
      <c r="A1290" t="s">
        <v>5889</v>
      </c>
      <c r="B1290" t="s">
        <v>5890</v>
      </c>
      <c r="C1290" t="s">
        <v>136</v>
      </c>
      <c r="D1290" t="s">
        <v>2257</v>
      </c>
      <c r="E1290" t="s">
        <v>5891</v>
      </c>
      <c r="F1290" t="s">
        <v>149</v>
      </c>
      <c r="G1290" t="s">
        <v>5892</v>
      </c>
    </row>
    <row r="1291" spans="1:7" s="297" customFormat="1" ht="44.25" customHeight="1">
      <c r="A1291" t="s">
        <v>408</v>
      </c>
      <c r="B1291" t="s">
        <v>5893</v>
      </c>
      <c r="C1291" t="s">
        <v>136</v>
      </c>
      <c r="D1291" t="s">
        <v>2257</v>
      </c>
      <c r="E1291" t="s">
        <v>1518</v>
      </c>
      <c r="F1291" t="s">
        <v>149</v>
      </c>
      <c r="G1291" t="s">
        <v>5894</v>
      </c>
    </row>
    <row r="1292" spans="1:7" s="297" customFormat="1" ht="44.25" customHeight="1">
      <c r="A1292" t="s">
        <v>472</v>
      </c>
      <c r="B1292" t="s">
        <v>5895</v>
      </c>
      <c r="C1292" t="s">
        <v>136</v>
      </c>
      <c r="D1292" t="s">
        <v>2253</v>
      </c>
      <c r="E1292" t="s">
        <v>1518</v>
      </c>
      <c r="F1292" t="s">
        <v>149</v>
      </c>
      <c r="G1292" t="s">
        <v>5896</v>
      </c>
    </row>
    <row r="1293" spans="1:7" s="297" customFormat="1" ht="44.25" customHeight="1">
      <c r="A1293" t="s">
        <v>410</v>
      </c>
      <c r="B1293" t="s">
        <v>5897</v>
      </c>
      <c r="C1293" t="s">
        <v>136</v>
      </c>
      <c r="D1293" t="s">
        <v>2257</v>
      </c>
      <c r="E1293" t="s">
        <v>1518</v>
      </c>
      <c r="F1293" t="s">
        <v>149</v>
      </c>
      <c r="G1293" t="s">
        <v>5898</v>
      </c>
    </row>
    <row r="1294" spans="1:7" s="297" customFormat="1" ht="44.25" customHeight="1">
      <c r="A1294" t="s">
        <v>136</v>
      </c>
      <c r="B1294" t="s">
        <v>5899</v>
      </c>
      <c r="C1294" t="s">
        <v>136</v>
      </c>
      <c r="D1294" t="s">
        <v>79</v>
      </c>
      <c r="E1294" t="s">
        <v>1539</v>
      </c>
      <c r="F1294" t="s">
        <v>149</v>
      </c>
      <c r="G1294" t="s">
        <v>5900</v>
      </c>
    </row>
    <row r="1295" spans="1:7" s="297" customFormat="1" ht="44.25" customHeight="1">
      <c r="A1295" t="s">
        <v>5901</v>
      </c>
      <c r="B1295" t="s">
        <v>5902</v>
      </c>
      <c r="C1295" t="s">
        <v>136</v>
      </c>
      <c r="D1295" t="s">
        <v>2257</v>
      </c>
      <c r="E1295" t="s">
        <v>5903</v>
      </c>
      <c r="F1295" t="s">
        <v>149</v>
      </c>
      <c r="G1295" t="s">
        <v>5904</v>
      </c>
    </row>
    <row r="1296" spans="1:7" s="297" customFormat="1" ht="44.25" customHeight="1">
      <c r="A1296" t="s">
        <v>5905</v>
      </c>
      <c r="B1296" t="s">
        <v>5906</v>
      </c>
      <c r="C1296" t="s">
        <v>136</v>
      </c>
      <c r="D1296" t="s">
        <v>79</v>
      </c>
      <c r="E1296" t="s">
        <v>5907</v>
      </c>
      <c r="F1296" t="s">
        <v>149</v>
      </c>
      <c r="G1296" t="s">
        <v>5908</v>
      </c>
    </row>
    <row r="1297" spans="1:7" s="297" customFormat="1" ht="44.25" customHeight="1">
      <c r="A1297" t="s">
        <v>3418</v>
      </c>
      <c r="B1297" t="s">
        <v>3419</v>
      </c>
      <c r="C1297" t="s">
        <v>136</v>
      </c>
      <c r="D1297" t="s">
        <v>2257</v>
      </c>
      <c r="E1297" t="s">
        <v>3420</v>
      </c>
      <c r="F1297" t="s">
        <v>149</v>
      </c>
      <c r="G1297" t="s">
        <v>5909</v>
      </c>
    </row>
    <row r="1298" spans="1:7" s="297" customFormat="1" ht="44.25" customHeight="1">
      <c r="A1298" t="s">
        <v>805</v>
      </c>
      <c r="B1298" t="s">
        <v>5910</v>
      </c>
      <c r="C1298" t="s">
        <v>136</v>
      </c>
      <c r="D1298" t="s">
        <v>2257</v>
      </c>
      <c r="E1298" t="s">
        <v>5903</v>
      </c>
      <c r="F1298" t="s">
        <v>149</v>
      </c>
      <c r="G1298" t="s">
        <v>5911</v>
      </c>
    </row>
    <row r="1299" spans="1:7" s="297" customFormat="1" ht="44.25" customHeight="1">
      <c r="A1299" t="s">
        <v>3434</v>
      </c>
      <c r="B1299" t="s">
        <v>3435</v>
      </c>
      <c r="C1299" t="s">
        <v>136</v>
      </c>
      <c r="D1299" t="s">
        <v>79</v>
      </c>
      <c r="E1299" t="s">
        <v>3436</v>
      </c>
      <c r="F1299" t="s">
        <v>149</v>
      </c>
      <c r="G1299" t="s">
        <v>5912</v>
      </c>
    </row>
    <row r="1300" spans="1:7" s="297" customFormat="1" ht="44.25" customHeight="1">
      <c r="A1300" t="s">
        <v>485</v>
      </c>
      <c r="B1300" t="s">
        <v>5913</v>
      </c>
      <c r="C1300" t="s">
        <v>136</v>
      </c>
      <c r="D1300" t="s">
        <v>79</v>
      </c>
      <c r="E1300" t="s">
        <v>5914</v>
      </c>
      <c r="F1300" t="s">
        <v>149</v>
      </c>
      <c r="G1300" t="s">
        <v>5915</v>
      </c>
    </row>
    <row r="1301" spans="1:7" s="297" customFormat="1" ht="44.25" customHeight="1">
      <c r="A1301" t="s">
        <v>1060</v>
      </c>
      <c r="B1301" t="s">
        <v>5916</v>
      </c>
      <c r="C1301" t="s">
        <v>136</v>
      </c>
      <c r="D1301" t="s">
        <v>79</v>
      </c>
      <c r="E1301" t="s">
        <v>5917</v>
      </c>
      <c r="F1301" t="s">
        <v>149</v>
      </c>
      <c r="G1301" t="s">
        <v>5918</v>
      </c>
    </row>
    <row r="1302" spans="1:7" s="297" customFormat="1" ht="44.25" customHeight="1">
      <c r="A1302" t="s">
        <v>5919</v>
      </c>
      <c r="B1302" t="s">
        <v>5920</v>
      </c>
      <c r="C1302" t="s">
        <v>136</v>
      </c>
      <c r="D1302" t="s">
        <v>79</v>
      </c>
      <c r="E1302" t="s">
        <v>5921</v>
      </c>
      <c r="F1302" t="s">
        <v>149</v>
      </c>
      <c r="G1302" t="s">
        <v>5922</v>
      </c>
    </row>
    <row r="1303" spans="1:7" s="297" customFormat="1" ht="44.25" customHeight="1">
      <c r="A1303" t="s">
        <v>5923</v>
      </c>
      <c r="B1303" t="s">
        <v>5924</v>
      </c>
      <c r="C1303" t="s">
        <v>136</v>
      </c>
      <c r="D1303" t="s">
        <v>79</v>
      </c>
      <c r="E1303" t="s">
        <v>5925</v>
      </c>
      <c r="F1303" t="s">
        <v>149</v>
      </c>
      <c r="G1303" t="s">
        <v>5926</v>
      </c>
    </row>
    <row r="1304" spans="1:7" s="297" customFormat="1" ht="44.25" customHeight="1">
      <c r="A1304" t="s">
        <v>5927</v>
      </c>
      <c r="B1304" t="s">
        <v>5928</v>
      </c>
      <c r="C1304" t="s">
        <v>136</v>
      </c>
      <c r="D1304" t="s">
        <v>79</v>
      </c>
      <c r="E1304" t="s">
        <v>5929</v>
      </c>
      <c r="F1304" t="s">
        <v>149</v>
      </c>
      <c r="G1304" t="s">
        <v>5930</v>
      </c>
    </row>
    <row r="1305" spans="1:7" s="297" customFormat="1" ht="44.25" customHeight="1">
      <c r="A1305" t="s">
        <v>5931</v>
      </c>
      <c r="B1305" t="s">
        <v>5932</v>
      </c>
      <c r="C1305" t="s">
        <v>136</v>
      </c>
      <c r="D1305" t="s">
        <v>79</v>
      </c>
      <c r="E1305" t="s">
        <v>5933</v>
      </c>
      <c r="F1305" t="s">
        <v>149</v>
      </c>
      <c r="G1305" t="s">
        <v>5934</v>
      </c>
    </row>
    <row r="1306" spans="1:7" s="297" customFormat="1" ht="44.25" customHeight="1">
      <c r="A1306" t="s">
        <v>664</v>
      </c>
      <c r="B1306" t="s">
        <v>5935</v>
      </c>
      <c r="C1306" t="s">
        <v>136</v>
      </c>
      <c r="D1306" t="s">
        <v>79</v>
      </c>
      <c r="E1306" t="s">
        <v>5936</v>
      </c>
      <c r="F1306" t="s">
        <v>149</v>
      </c>
      <c r="G1306" t="s">
        <v>5937</v>
      </c>
    </row>
    <row r="1307" spans="1:7" s="297" customFormat="1" ht="44.25" customHeight="1">
      <c r="A1307" t="s">
        <v>658</v>
      </c>
      <c r="B1307" t="s">
        <v>5938</v>
      </c>
      <c r="C1307" t="s">
        <v>136</v>
      </c>
      <c r="D1307" t="s">
        <v>79</v>
      </c>
      <c r="E1307" t="s">
        <v>5939</v>
      </c>
      <c r="F1307" t="s">
        <v>149</v>
      </c>
      <c r="G1307" t="s">
        <v>5940</v>
      </c>
    </row>
    <row r="1308" spans="1:7" s="297" customFormat="1" ht="44.25" customHeight="1">
      <c r="A1308" t="s">
        <v>765</v>
      </c>
      <c r="B1308" t="s">
        <v>5941</v>
      </c>
      <c r="C1308" t="s">
        <v>136</v>
      </c>
      <c r="D1308" t="s">
        <v>79</v>
      </c>
      <c r="E1308" t="s">
        <v>5942</v>
      </c>
      <c r="F1308" t="s">
        <v>149</v>
      </c>
      <c r="G1308" t="s">
        <v>5943</v>
      </c>
    </row>
    <row r="1309" spans="1:7" s="297" customFormat="1" ht="44.25" customHeight="1">
      <c r="A1309" t="s">
        <v>655</v>
      </c>
      <c r="B1309" t="s">
        <v>5944</v>
      </c>
      <c r="C1309" t="s">
        <v>136</v>
      </c>
      <c r="D1309" t="s">
        <v>79</v>
      </c>
      <c r="E1309" t="s">
        <v>5945</v>
      </c>
      <c r="F1309" t="s">
        <v>149</v>
      </c>
      <c r="G1309" t="s">
        <v>5946</v>
      </c>
    </row>
    <row r="1310" spans="1:7" s="297" customFormat="1" ht="44.25" customHeight="1">
      <c r="A1310" t="s">
        <v>803</v>
      </c>
      <c r="B1310" t="s">
        <v>5947</v>
      </c>
      <c r="C1310" t="s">
        <v>136</v>
      </c>
      <c r="D1310" t="s">
        <v>79</v>
      </c>
      <c r="E1310" t="s">
        <v>1588</v>
      </c>
      <c r="F1310" t="s">
        <v>149</v>
      </c>
      <c r="G1310" t="s">
        <v>5948</v>
      </c>
    </row>
    <row r="1311" spans="1:7" s="297" customFormat="1" ht="44.25" customHeight="1">
      <c r="A1311" t="s">
        <v>657</v>
      </c>
      <c r="B1311" t="s">
        <v>5949</v>
      </c>
      <c r="C1311" t="s">
        <v>136</v>
      </c>
      <c r="D1311" t="s">
        <v>79</v>
      </c>
      <c r="E1311" t="s">
        <v>5950</v>
      </c>
      <c r="F1311" t="s">
        <v>149</v>
      </c>
      <c r="G1311" t="s">
        <v>5951</v>
      </c>
    </row>
    <row r="1312" spans="1:7" s="297" customFormat="1" ht="44.25" customHeight="1">
      <c r="A1312" t="s">
        <v>678</v>
      </c>
      <c r="B1312" t="s">
        <v>5952</v>
      </c>
      <c r="C1312" t="s">
        <v>136</v>
      </c>
      <c r="D1312" t="s">
        <v>79</v>
      </c>
      <c r="E1312" t="s">
        <v>1579</v>
      </c>
      <c r="F1312" t="s">
        <v>149</v>
      </c>
      <c r="G1312" t="s">
        <v>5953</v>
      </c>
    </row>
    <row r="1313" spans="1:7" s="297" customFormat="1" ht="44.25" customHeight="1">
      <c r="A1313" t="s">
        <v>812</v>
      </c>
      <c r="B1313" t="s">
        <v>5954</v>
      </c>
      <c r="C1313" t="s">
        <v>136</v>
      </c>
      <c r="D1313" t="s">
        <v>79</v>
      </c>
      <c r="E1313" t="s">
        <v>5955</v>
      </c>
      <c r="F1313" t="s">
        <v>149</v>
      </c>
      <c r="G1313" t="s">
        <v>5956</v>
      </c>
    </row>
    <row r="1314" spans="1:7" s="297" customFormat="1" ht="44.25" customHeight="1">
      <c r="A1314" t="s">
        <v>653</v>
      </c>
      <c r="B1314" t="s">
        <v>5957</v>
      </c>
      <c r="C1314" t="s">
        <v>136</v>
      </c>
      <c r="D1314" t="s">
        <v>79</v>
      </c>
      <c r="E1314" t="s">
        <v>5958</v>
      </c>
      <c r="F1314" t="s">
        <v>149</v>
      </c>
      <c r="G1314" t="s">
        <v>5959</v>
      </c>
    </row>
    <row r="1315" spans="1:7" s="297" customFormat="1" ht="44.25" customHeight="1">
      <c r="A1315" t="s">
        <v>1070</v>
      </c>
      <c r="B1315" t="s">
        <v>5960</v>
      </c>
      <c r="C1315" t="s">
        <v>136</v>
      </c>
      <c r="D1315" t="s">
        <v>79</v>
      </c>
      <c r="E1315" t="s">
        <v>5961</v>
      </c>
      <c r="F1315" t="s">
        <v>149</v>
      </c>
      <c r="G1315" t="s">
        <v>5962</v>
      </c>
    </row>
    <row r="1316" spans="1:7" s="297" customFormat="1" ht="44.25" customHeight="1">
      <c r="A1316" t="s">
        <v>1068</v>
      </c>
      <c r="B1316" t="s">
        <v>5963</v>
      </c>
      <c r="C1316" t="s">
        <v>136</v>
      </c>
      <c r="D1316" t="s">
        <v>79</v>
      </c>
      <c r="E1316" t="s">
        <v>5964</v>
      </c>
      <c r="F1316" t="s">
        <v>149</v>
      </c>
      <c r="G1316" t="s">
        <v>5965</v>
      </c>
    </row>
    <row r="1317" spans="1:7" s="297" customFormat="1" ht="44.25" customHeight="1">
      <c r="A1317" t="s">
        <v>641</v>
      </c>
      <c r="B1317" t="s">
        <v>5966</v>
      </c>
      <c r="C1317" t="s">
        <v>136</v>
      </c>
      <c r="D1317" t="s">
        <v>79</v>
      </c>
      <c r="E1317" t="s">
        <v>1574</v>
      </c>
      <c r="F1317" t="s">
        <v>149</v>
      </c>
      <c r="G1317" t="s">
        <v>5967</v>
      </c>
    </row>
    <row r="1318" spans="1:7" s="297" customFormat="1" ht="44.25" customHeight="1">
      <c r="A1318" t="s">
        <v>446</v>
      </c>
      <c r="B1318" t="s">
        <v>5968</v>
      </c>
      <c r="C1318" t="s">
        <v>136</v>
      </c>
      <c r="D1318" t="s">
        <v>79</v>
      </c>
      <c r="E1318" t="s">
        <v>5969</v>
      </c>
      <c r="F1318" t="s">
        <v>149</v>
      </c>
      <c r="G1318" t="s">
        <v>5970</v>
      </c>
    </row>
    <row r="1319" spans="1:7" s="297" customFormat="1" ht="44.25" customHeight="1">
      <c r="A1319" t="s">
        <v>5971</v>
      </c>
      <c r="B1319" t="s">
        <v>5972</v>
      </c>
      <c r="C1319" t="s">
        <v>136</v>
      </c>
      <c r="D1319" t="s">
        <v>2257</v>
      </c>
      <c r="E1319" t="s">
        <v>5973</v>
      </c>
      <c r="F1319" t="s">
        <v>149</v>
      </c>
      <c r="G1319" t="s">
        <v>5974</v>
      </c>
    </row>
    <row r="1320" spans="1:7" s="297" customFormat="1" ht="44.25" customHeight="1">
      <c r="A1320" t="s">
        <v>583</v>
      </c>
      <c r="B1320" t="s">
        <v>5975</v>
      </c>
      <c r="C1320" t="s">
        <v>136</v>
      </c>
      <c r="D1320" t="s">
        <v>79</v>
      </c>
      <c r="E1320" t="s">
        <v>5907</v>
      </c>
      <c r="F1320" t="s">
        <v>149</v>
      </c>
      <c r="G1320" t="s">
        <v>5976</v>
      </c>
    </row>
    <row r="1321" spans="1:7" s="297" customFormat="1" ht="44.25" customHeight="1">
      <c r="A1321" t="s">
        <v>482</v>
      </c>
      <c r="B1321" t="s">
        <v>5977</v>
      </c>
      <c r="C1321" t="s">
        <v>136</v>
      </c>
      <c r="D1321" t="s">
        <v>79</v>
      </c>
      <c r="E1321" t="s">
        <v>5921</v>
      </c>
      <c r="F1321" t="s">
        <v>149</v>
      </c>
      <c r="G1321" t="s">
        <v>5978</v>
      </c>
    </row>
    <row r="1322" spans="1:7" s="297" customFormat="1" ht="44.25" customHeight="1">
      <c r="A1322" t="s">
        <v>804</v>
      </c>
      <c r="B1322" t="s">
        <v>5979</v>
      </c>
      <c r="C1322" t="s">
        <v>136</v>
      </c>
      <c r="D1322" t="s">
        <v>79</v>
      </c>
      <c r="E1322" t="s">
        <v>5903</v>
      </c>
      <c r="F1322" t="s">
        <v>149</v>
      </c>
      <c r="G1322" t="s">
        <v>5980</v>
      </c>
    </row>
    <row r="1323" spans="1:7" s="297" customFormat="1" ht="44.25" customHeight="1">
      <c r="A1323" t="s">
        <v>580</v>
      </c>
      <c r="B1323" t="s">
        <v>5981</v>
      </c>
      <c r="C1323" t="s">
        <v>136</v>
      </c>
      <c r="D1323" t="s">
        <v>79</v>
      </c>
      <c r="E1323" t="s">
        <v>5982</v>
      </c>
      <c r="F1323" t="s">
        <v>149</v>
      </c>
      <c r="G1323" t="s">
        <v>5983</v>
      </c>
    </row>
    <row r="1324" spans="1:7" s="297" customFormat="1" ht="44.25" customHeight="1">
      <c r="A1324" t="s">
        <v>5984</v>
      </c>
      <c r="B1324" t="s">
        <v>5985</v>
      </c>
      <c r="C1324" t="s">
        <v>136</v>
      </c>
      <c r="D1324" t="s">
        <v>79</v>
      </c>
      <c r="E1324" t="s">
        <v>5986</v>
      </c>
      <c r="F1324" t="s">
        <v>149</v>
      </c>
      <c r="G1324" t="s">
        <v>5987</v>
      </c>
    </row>
    <row r="1325" spans="1:7" s="297" customFormat="1" ht="44.25" customHeight="1">
      <c r="A1325" t="s">
        <v>499</v>
      </c>
      <c r="B1325" t="s">
        <v>5988</v>
      </c>
      <c r="C1325" t="s">
        <v>136</v>
      </c>
      <c r="D1325" t="s">
        <v>2257</v>
      </c>
      <c r="E1325" t="s">
        <v>2258</v>
      </c>
      <c r="F1325" t="s">
        <v>149</v>
      </c>
      <c r="G1325" t="s">
        <v>5989</v>
      </c>
    </row>
    <row r="1326" spans="1:7" s="297" customFormat="1" ht="44.25" customHeight="1">
      <c r="A1326" t="s">
        <v>5990</v>
      </c>
      <c r="B1326" t="s">
        <v>5991</v>
      </c>
      <c r="C1326" t="s">
        <v>136</v>
      </c>
      <c r="D1326" t="s">
        <v>2253</v>
      </c>
      <c r="E1326" t="s">
        <v>1432</v>
      </c>
      <c r="F1326" t="s">
        <v>149</v>
      </c>
      <c r="G1326" t="s">
        <v>5992</v>
      </c>
    </row>
    <row r="1327" spans="1:7" s="297" customFormat="1" ht="44.25" customHeight="1">
      <c r="A1327" t="s">
        <v>5993</v>
      </c>
      <c r="B1327" t="s">
        <v>5994</v>
      </c>
      <c r="C1327" t="s">
        <v>136</v>
      </c>
      <c r="D1327" t="s">
        <v>2253</v>
      </c>
      <c r="E1327" t="s">
        <v>1430</v>
      </c>
      <c r="F1327" t="s">
        <v>149</v>
      </c>
      <c r="G1327" t="s">
        <v>5995</v>
      </c>
    </row>
    <row r="1328" spans="1:7" s="297" customFormat="1" ht="44.25" customHeight="1">
      <c r="A1328" t="s">
        <v>5996</v>
      </c>
      <c r="B1328" t="s">
        <v>5997</v>
      </c>
      <c r="C1328" t="s">
        <v>136</v>
      </c>
      <c r="D1328" t="s">
        <v>2253</v>
      </c>
      <c r="E1328" t="s">
        <v>1430</v>
      </c>
      <c r="F1328" t="s">
        <v>149</v>
      </c>
      <c r="G1328" t="s">
        <v>5998</v>
      </c>
    </row>
    <row r="1329" spans="1:7" s="297" customFormat="1" ht="44.25" customHeight="1">
      <c r="A1329" t="s">
        <v>5999</v>
      </c>
      <c r="B1329" t="s">
        <v>6000</v>
      </c>
      <c r="C1329" t="s">
        <v>136</v>
      </c>
      <c r="D1329" t="s">
        <v>2253</v>
      </c>
      <c r="E1329" t="s">
        <v>1430</v>
      </c>
      <c r="F1329" t="s">
        <v>149</v>
      </c>
      <c r="G1329" t="s">
        <v>6001</v>
      </c>
    </row>
    <row r="1330" spans="1:7" s="297" customFormat="1" ht="44.25" customHeight="1">
      <c r="A1330" t="s">
        <v>6002</v>
      </c>
      <c r="B1330" t="s">
        <v>6003</v>
      </c>
      <c r="C1330" t="s">
        <v>136</v>
      </c>
      <c r="D1330" t="s">
        <v>2253</v>
      </c>
      <c r="E1330" t="s">
        <v>1432</v>
      </c>
      <c r="F1330" t="s">
        <v>149</v>
      </c>
      <c r="G1330" t="s">
        <v>6004</v>
      </c>
    </row>
    <row r="1331" spans="1:7" s="297" customFormat="1" ht="44.25" customHeight="1">
      <c r="A1331" t="s">
        <v>6005</v>
      </c>
      <c r="B1331" t="s">
        <v>6006</v>
      </c>
      <c r="C1331" t="s">
        <v>136</v>
      </c>
      <c r="D1331" t="s">
        <v>2253</v>
      </c>
      <c r="E1331" t="s">
        <v>1430</v>
      </c>
      <c r="F1331" t="s">
        <v>149</v>
      </c>
      <c r="G1331" t="s">
        <v>6007</v>
      </c>
    </row>
    <row r="1332" spans="1:7" s="297" customFormat="1" ht="44.25" customHeight="1">
      <c r="A1332" t="s">
        <v>6008</v>
      </c>
      <c r="B1332" t="s">
        <v>6009</v>
      </c>
      <c r="C1332" t="s">
        <v>136</v>
      </c>
      <c r="D1332" t="s">
        <v>2253</v>
      </c>
      <c r="E1332" t="s">
        <v>1430</v>
      </c>
      <c r="F1332" t="s">
        <v>149</v>
      </c>
      <c r="G1332" t="s">
        <v>6010</v>
      </c>
    </row>
    <row r="1333" spans="1:7" s="297" customFormat="1" ht="44.25" customHeight="1">
      <c r="A1333" t="s">
        <v>6011</v>
      </c>
      <c r="B1333" t="s">
        <v>6012</v>
      </c>
      <c r="C1333" t="s">
        <v>136</v>
      </c>
      <c r="D1333" t="s">
        <v>2257</v>
      </c>
      <c r="E1333" t="s">
        <v>2276</v>
      </c>
      <c r="F1333" t="s">
        <v>149</v>
      </c>
      <c r="G1333" t="s">
        <v>6013</v>
      </c>
    </row>
    <row r="1334" spans="1:7" s="297" customFormat="1" ht="44.25" customHeight="1">
      <c r="A1334" t="s">
        <v>6014</v>
      </c>
      <c r="B1334" t="s">
        <v>6015</v>
      </c>
      <c r="C1334" t="s">
        <v>136</v>
      </c>
      <c r="D1334" t="s">
        <v>2253</v>
      </c>
      <c r="E1334" t="s">
        <v>1430</v>
      </c>
      <c r="F1334" t="s">
        <v>149</v>
      </c>
      <c r="G1334" t="s">
        <v>6016</v>
      </c>
    </row>
    <row r="1335" spans="1:7" s="297" customFormat="1" ht="44.25" customHeight="1">
      <c r="A1335" t="s">
        <v>6017</v>
      </c>
      <c r="B1335" t="s">
        <v>6018</v>
      </c>
      <c r="C1335" t="s">
        <v>136</v>
      </c>
      <c r="D1335" t="s">
        <v>2253</v>
      </c>
      <c r="E1335" t="s">
        <v>1430</v>
      </c>
      <c r="F1335" t="s">
        <v>149</v>
      </c>
      <c r="G1335" t="s">
        <v>6019</v>
      </c>
    </row>
    <row r="1336" spans="1:7" s="297" customFormat="1" ht="44.25" customHeight="1">
      <c r="A1336" t="s">
        <v>6020</v>
      </c>
      <c r="B1336" t="s">
        <v>6021</v>
      </c>
      <c r="C1336" t="s">
        <v>136</v>
      </c>
      <c r="D1336" t="s">
        <v>2257</v>
      </c>
      <c r="E1336" t="s">
        <v>1430</v>
      </c>
      <c r="F1336" t="s">
        <v>149</v>
      </c>
      <c r="G1336" t="s">
        <v>6022</v>
      </c>
    </row>
    <row r="1337" spans="1:7" s="297" customFormat="1" ht="44.25" customHeight="1">
      <c r="A1337" t="s">
        <v>6023</v>
      </c>
      <c r="B1337" t="s">
        <v>6024</v>
      </c>
      <c r="C1337" t="s">
        <v>136</v>
      </c>
      <c r="D1337" t="s">
        <v>2257</v>
      </c>
      <c r="E1337" t="s">
        <v>2276</v>
      </c>
      <c r="F1337" t="s">
        <v>149</v>
      </c>
      <c r="G1337" t="s">
        <v>6025</v>
      </c>
    </row>
    <row r="1338" spans="1:7" s="297" customFormat="1" ht="44.25" customHeight="1">
      <c r="A1338" t="s">
        <v>6026</v>
      </c>
      <c r="B1338" t="s">
        <v>6027</v>
      </c>
      <c r="C1338" t="s">
        <v>136</v>
      </c>
      <c r="D1338" t="s">
        <v>2257</v>
      </c>
      <c r="E1338" t="s">
        <v>1432</v>
      </c>
      <c r="F1338" t="s">
        <v>149</v>
      </c>
      <c r="G1338" t="s">
        <v>6028</v>
      </c>
    </row>
    <row r="1339" spans="1:7" s="297" customFormat="1" ht="44.25" customHeight="1">
      <c r="A1339" t="s">
        <v>6029</v>
      </c>
      <c r="B1339" t="s">
        <v>6030</v>
      </c>
      <c r="C1339" t="s">
        <v>136</v>
      </c>
      <c r="D1339" t="s">
        <v>2257</v>
      </c>
      <c r="E1339" t="s">
        <v>1430</v>
      </c>
      <c r="F1339" t="s">
        <v>149</v>
      </c>
      <c r="G1339" t="s">
        <v>6031</v>
      </c>
    </row>
    <row r="1340" spans="1:7" s="297" customFormat="1" ht="44.25" customHeight="1">
      <c r="A1340" t="s">
        <v>6032</v>
      </c>
      <c r="B1340" t="s">
        <v>6033</v>
      </c>
      <c r="C1340" t="s">
        <v>136</v>
      </c>
      <c r="D1340" t="s">
        <v>2253</v>
      </c>
      <c r="E1340" t="s">
        <v>1432</v>
      </c>
      <c r="F1340" t="s">
        <v>149</v>
      </c>
      <c r="G1340" t="s">
        <v>6034</v>
      </c>
    </row>
    <row r="1341" spans="1:7" s="297" customFormat="1" ht="44.25" customHeight="1">
      <c r="A1341" t="s">
        <v>773</v>
      </c>
      <c r="B1341" t="s">
        <v>6035</v>
      </c>
      <c r="C1341" t="s">
        <v>136</v>
      </c>
      <c r="D1341" t="s">
        <v>2257</v>
      </c>
      <c r="E1341" t="s">
        <v>1432</v>
      </c>
      <c r="F1341" t="s">
        <v>149</v>
      </c>
      <c r="G1341" t="s">
        <v>6036</v>
      </c>
    </row>
    <row r="1342" spans="1:7" s="297" customFormat="1" ht="44.25" customHeight="1">
      <c r="A1342" t="s">
        <v>1461</v>
      </c>
      <c r="B1342" t="s">
        <v>6037</v>
      </c>
      <c r="C1342" t="s">
        <v>136</v>
      </c>
      <c r="D1342" t="s">
        <v>2257</v>
      </c>
      <c r="E1342" t="s">
        <v>1432</v>
      </c>
      <c r="F1342" t="s">
        <v>149</v>
      </c>
      <c r="G1342" t="s">
        <v>6038</v>
      </c>
    </row>
    <row r="1343" spans="1:7" s="297" customFormat="1" ht="44.25" customHeight="1">
      <c r="A1343" t="s">
        <v>1080</v>
      </c>
      <c r="B1343" t="s">
        <v>6039</v>
      </c>
      <c r="C1343" t="s">
        <v>136</v>
      </c>
      <c r="D1343" t="s">
        <v>2257</v>
      </c>
      <c r="E1343" t="s">
        <v>2269</v>
      </c>
      <c r="F1343" t="s">
        <v>149</v>
      </c>
      <c r="G1343" t="s">
        <v>6040</v>
      </c>
    </row>
    <row r="1344" spans="1:7" s="297" customFormat="1" ht="44.25" customHeight="1">
      <c r="A1344" t="s">
        <v>515</v>
      </c>
      <c r="B1344" t="s">
        <v>6041</v>
      </c>
      <c r="C1344" t="s">
        <v>136</v>
      </c>
      <c r="D1344" t="s">
        <v>2257</v>
      </c>
      <c r="E1344" t="s">
        <v>2258</v>
      </c>
      <c r="F1344" t="s">
        <v>149</v>
      </c>
      <c r="G1344" t="s">
        <v>6042</v>
      </c>
    </row>
    <row r="1345" spans="1:7" s="297" customFormat="1" ht="44.25" customHeight="1">
      <c r="A1345" t="s">
        <v>739</v>
      </c>
      <c r="B1345" t="s">
        <v>6043</v>
      </c>
      <c r="C1345" t="s">
        <v>136</v>
      </c>
      <c r="D1345" t="s">
        <v>2257</v>
      </c>
      <c r="E1345" t="s">
        <v>2269</v>
      </c>
      <c r="F1345" t="s">
        <v>149</v>
      </c>
      <c r="G1345" t="s">
        <v>6044</v>
      </c>
    </row>
    <row r="1346" spans="1:7" s="297" customFormat="1" ht="44.25" customHeight="1">
      <c r="A1346" t="s">
        <v>519</v>
      </c>
      <c r="B1346" t="s">
        <v>6045</v>
      </c>
      <c r="C1346" t="s">
        <v>136</v>
      </c>
      <c r="D1346" t="s">
        <v>2257</v>
      </c>
      <c r="E1346" t="s">
        <v>2258</v>
      </c>
      <c r="F1346" t="s">
        <v>149</v>
      </c>
      <c r="G1346" t="s">
        <v>6046</v>
      </c>
    </row>
    <row r="1347" spans="1:7" s="297" customFormat="1" ht="44.25" customHeight="1">
      <c r="A1347" t="s">
        <v>6047</v>
      </c>
      <c r="B1347" t="s">
        <v>6048</v>
      </c>
      <c r="C1347" t="s">
        <v>136</v>
      </c>
      <c r="D1347" t="s">
        <v>2257</v>
      </c>
      <c r="E1347" t="s">
        <v>1430</v>
      </c>
      <c r="F1347" t="s">
        <v>149</v>
      </c>
      <c r="G1347" t="s">
        <v>6049</v>
      </c>
    </row>
    <row r="1348" spans="1:7" s="297" customFormat="1" ht="44.25" customHeight="1">
      <c r="A1348" t="s">
        <v>517</v>
      </c>
      <c r="B1348" t="s">
        <v>6050</v>
      </c>
      <c r="C1348" t="s">
        <v>136</v>
      </c>
      <c r="D1348" t="s">
        <v>2257</v>
      </c>
      <c r="E1348" t="s">
        <v>2258</v>
      </c>
      <c r="F1348" t="s">
        <v>149</v>
      </c>
      <c r="G1348" t="s">
        <v>6051</v>
      </c>
    </row>
    <row r="1349" spans="1:7" s="297" customFormat="1" ht="44.25" customHeight="1">
      <c r="A1349" t="s">
        <v>740</v>
      </c>
      <c r="B1349" t="s">
        <v>6052</v>
      </c>
      <c r="C1349" t="s">
        <v>136</v>
      </c>
      <c r="D1349" t="s">
        <v>2257</v>
      </c>
      <c r="E1349" t="s">
        <v>2269</v>
      </c>
      <c r="F1349" t="s">
        <v>149</v>
      </c>
      <c r="G1349" t="s">
        <v>6053</v>
      </c>
    </row>
    <row r="1350" spans="1:7" s="297" customFormat="1" ht="44.25" customHeight="1">
      <c r="A1350" t="s">
        <v>778</v>
      </c>
      <c r="B1350" t="s">
        <v>6054</v>
      </c>
      <c r="C1350" t="s">
        <v>136</v>
      </c>
      <c r="D1350" t="s">
        <v>2257</v>
      </c>
      <c r="E1350" t="s">
        <v>1432</v>
      </c>
      <c r="F1350" t="s">
        <v>149</v>
      </c>
      <c r="G1350" t="s">
        <v>6055</v>
      </c>
    </row>
    <row r="1351" spans="1:7" s="297" customFormat="1" ht="44.25" customHeight="1">
      <c r="A1351" t="s">
        <v>1429</v>
      </c>
      <c r="B1351" t="s">
        <v>6056</v>
      </c>
      <c r="C1351" t="s">
        <v>136</v>
      </c>
      <c r="D1351" t="s">
        <v>2257</v>
      </c>
      <c r="E1351" t="s">
        <v>1430</v>
      </c>
      <c r="F1351" t="s">
        <v>149</v>
      </c>
      <c r="G1351" t="s">
        <v>6057</v>
      </c>
    </row>
    <row r="1352" spans="1:7" s="297" customFormat="1" ht="44.25" customHeight="1">
      <c r="A1352" t="s">
        <v>6058</v>
      </c>
      <c r="B1352" t="s">
        <v>6059</v>
      </c>
      <c r="C1352" t="s">
        <v>136</v>
      </c>
      <c r="D1352" t="s">
        <v>2257</v>
      </c>
      <c r="E1352" t="s">
        <v>1432</v>
      </c>
      <c r="F1352" t="s">
        <v>149</v>
      </c>
      <c r="G1352" t="s">
        <v>6060</v>
      </c>
    </row>
    <row r="1353" spans="1:7" s="297" customFormat="1" ht="44.25" customHeight="1">
      <c r="A1353" t="s">
        <v>741</v>
      </c>
      <c r="B1353" t="s">
        <v>6061</v>
      </c>
      <c r="C1353" t="s">
        <v>136</v>
      </c>
      <c r="D1353" t="s">
        <v>2257</v>
      </c>
      <c r="E1353" t="s">
        <v>2269</v>
      </c>
      <c r="F1353" t="s">
        <v>149</v>
      </c>
      <c r="G1353" t="s">
        <v>6062</v>
      </c>
    </row>
    <row r="1354" spans="1:7" s="297" customFormat="1" ht="44.25" customHeight="1">
      <c r="A1354" t="s">
        <v>6063</v>
      </c>
      <c r="B1354" t="s">
        <v>6064</v>
      </c>
      <c r="C1354" t="s">
        <v>136</v>
      </c>
      <c r="D1354" t="s">
        <v>2253</v>
      </c>
      <c r="E1354" t="s">
        <v>1432</v>
      </c>
      <c r="F1354" t="s">
        <v>149</v>
      </c>
      <c r="G1354" t="s">
        <v>6065</v>
      </c>
    </row>
    <row r="1355" spans="1:7" s="297" customFormat="1" ht="44.25" customHeight="1">
      <c r="A1355" t="s">
        <v>6066</v>
      </c>
      <c r="B1355" t="s">
        <v>6067</v>
      </c>
      <c r="C1355" t="s">
        <v>136</v>
      </c>
      <c r="D1355" t="s">
        <v>2253</v>
      </c>
      <c r="E1355" t="s">
        <v>1430</v>
      </c>
      <c r="F1355" t="s">
        <v>149</v>
      </c>
      <c r="G1355" t="s">
        <v>6068</v>
      </c>
    </row>
    <row r="1356" spans="1:7" s="297" customFormat="1" ht="44.25" customHeight="1">
      <c r="A1356" t="s">
        <v>6069</v>
      </c>
      <c r="B1356" t="s">
        <v>6070</v>
      </c>
      <c r="C1356" t="s">
        <v>136</v>
      </c>
      <c r="D1356" t="s">
        <v>2253</v>
      </c>
      <c r="E1356" t="s">
        <v>1432</v>
      </c>
      <c r="F1356" t="s">
        <v>149</v>
      </c>
      <c r="G1356" t="s">
        <v>6071</v>
      </c>
    </row>
    <row r="1357" spans="1:7" s="297" customFormat="1" ht="44.25" customHeight="1">
      <c r="A1357" t="s">
        <v>6072</v>
      </c>
      <c r="B1357" t="s">
        <v>6073</v>
      </c>
      <c r="C1357" t="s">
        <v>136</v>
      </c>
      <c r="D1357" t="s">
        <v>2253</v>
      </c>
      <c r="E1357" t="s">
        <v>1430</v>
      </c>
      <c r="F1357" t="s">
        <v>149</v>
      </c>
      <c r="G1357" t="s">
        <v>6074</v>
      </c>
    </row>
    <row r="1358" spans="1:7" s="297" customFormat="1" ht="44.25" customHeight="1">
      <c r="A1358" t="s">
        <v>6075</v>
      </c>
      <c r="B1358" t="s">
        <v>6076</v>
      </c>
      <c r="C1358" t="s">
        <v>136</v>
      </c>
      <c r="D1358" t="s">
        <v>2253</v>
      </c>
      <c r="E1358" t="s">
        <v>1430</v>
      </c>
      <c r="F1358" t="s">
        <v>149</v>
      </c>
      <c r="G1358" t="s">
        <v>6077</v>
      </c>
    </row>
    <row r="1359" spans="1:7" s="297" customFormat="1" ht="44.25" customHeight="1">
      <c r="A1359" t="s">
        <v>6078</v>
      </c>
      <c r="B1359" t="s">
        <v>6079</v>
      </c>
      <c r="C1359" t="s">
        <v>136</v>
      </c>
      <c r="D1359" t="s">
        <v>2253</v>
      </c>
      <c r="E1359" t="s">
        <v>1432</v>
      </c>
      <c r="F1359" t="s">
        <v>149</v>
      </c>
      <c r="G1359" t="s">
        <v>6080</v>
      </c>
    </row>
    <row r="1360" spans="1:7" s="297" customFormat="1" ht="44.25" customHeight="1">
      <c r="A1360" t="s">
        <v>6081</v>
      </c>
      <c r="B1360" t="s">
        <v>6082</v>
      </c>
      <c r="C1360" t="s">
        <v>136</v>
      </c>
      <c r="D1360" t="s">
        <v>2253</v>
      </c>
      <c r="E1360" t="s">
        <v>1430</v>
      </c>
      <c r="F1360" t="s">
        <v>149</v>
      </c>
      <c r="G1360" t="s">
        <v>6083</v>
      </c>
    </row>
    <row r="1361" spans="1:7" s="297" customFormat="1" ht="44.25" customHeight="1">
      <c r="A1361" t="s">
        <v>6084</v>
      </c>
      <c r="B1361" t="s">
        <v>6085</v>
      </c>
      <c r="C1361" t="s">
        <v>136</v>
      </c>
      <c r="D1361" t="s">
        <v>2253</v>
      </c>
      <c r="E1361" t="s">
        <v>1432</v>
      </c>
      <c r="F1361" t="s">
        <v>149</v>
      </c>
      <c r="G1361" t="s">
        <v>6086</v>
      </c>
    </row>
    <row r="1362" spans="1:7" s="297" customFormat="1" ht="44.25" customHeight="1">
      <c r="A1362" t="s">
        <v>6087</v>
      </c>
      <c r="B1362" t="s">
        <v>6088</v>
      </c>
      <c r="C1362" t="s">
        <v>136</v>
      </c>
      <c r="D1362" t="s">
        <v>2253</v>
      </c>
      <c r="E1362" t="s">
        <v>1432</v>
      </c>
      <c r="F1362" t="s">
        <v>149</v>
      </c>
      <c r="G1362" t="s">
        <v>6089</v>
      </c>
    </row>
    <row r="1363" spans="1:7" s="297" customFormat="1" ht="44.25" customHeight="1">
      <c r="A1363" t="s">
        <v>6090</v>
      </c>
      <c r="B1363" t="s">
        <v>6091</v>
      </c>
      <c r="C1363" t="s">
        <v>136</v>
      </c>
      <c r="D1363" t="s">
        <v>2253</v>
      </c>
      <c r="E1363" t="s">
        <v>1432</v>
      </c>
      <c r="F1363" t="s">
        <v>149</v>
      </c>
      <c r="G1363" t="s">
        <v>6092</v>
      </c>
    </row>
    <row r="1364" spans="1:7" s="297" customFormat="1" ht="44.25" customHeight="1">
      <c r="A1364" t="s">
        <v>6093</v>
      </c>
      <c r="B1364" t="s">
        <v>6094</v>
      </c>
      <c r="C1364" t="s">
        <v>136</v>
      </c>
      <c r="D1364" t="s">
        <v>2257</v>
      </c>
      <c r="E1364" t="s">
        <v>2276</v>
      </c>
      <c r="F1364" t="s">
        <v>149</v>
      </c>
      <c r="G1364" t="s">
        <v>6095</v>
      </c>
    </row>
    <row r="1365" spans="1:7" s="297" customFormat="1" ht="44.25" customHeight="1">
      <c r="A1365" t="s">
        <v>6096</v>
      </c>
      <c r="B1365" t="s">
        <v>6097</v>
      </c>
      <c r="C1365" t="s">
        <v>136</v>
      </c>
      <c r="D1365" t="s">
        <v>2253</v>
      </c>
      <c r="E1365" t="s">
        <v>1432</v>
      </c>
      <c r="F1365" t="s">
        <v>149</v>
      </c>
      <c r="G1365" t="s">
        <v>6098</v>
      </c>
    </row>
    <row r="1366" spans="1:7" s="297" customFormat="1" ht="44.25" customHeight="1">
      <c r="A1366" t="s">
        <v>6099</v>
      </c>
      <c r="B1366" t="s">
        <v>6100</v>
      </c>
      <c r="C1366" t="s">
        <v>136</v>
      </c>
      <c r="D1366" t="s">
        <v>2253</v>
      </c>
      <c r="E1366" t="s">
        <v>1432</v>
      </c>
      <c r="F1366" t="s">
        <v>149</v>
      </c>
      <c r="G1366" t="s">
        <v>6101</v>
      </c>
    </row>
    <row r="1367" spans="1:7" s="297" customFormat="1" ht="44.25" customHeight="1">
      <c r="A1367" t="s">
        <v>6102</v>
      </c>
      <c r="B1367" t="s">
        <v>6103</v>
      </c>
      <c r="C1367" t="s">
        <v>136</v>
      </c>
      <c r="D1367" t="s">
        <v>2253</v>
      </c>
      <c r="E1367" t="s">
        <v>1432</v>
      </c>
      <c r="F1367" t="s">
        <v>149</v>
      </c>
      <c r="G1367" t="s">
        <v>6104</v>
      </c>
    </row>
    <row r="1368" spans="1:7" s="297" customFormat="1" ht="44.25" customHeight="1">
      <c r="A1368" t="s">
        <v>6105</v>
      </c>
      <c r="B1368" t="s">
        <v>6106</v>
      </c>
      <c r="C1368" t="s">
        <v>136</v>
      </c>
      <c r="D1368" t="s">
        <v>2253</v>
      </c>
      <c r="E1368" t="s">
        <v>1432</v>
      </c>
      <c r="F1368" t="s">
        <v>149</v>
      </c>
      <c r="G1368" t="s">
        <v>6107</v>
      </c>
    </row>
    <row r="1369" spans="1:7" s="297" customFormat="1" ht="44.25" customHeight="1">
      <c r="A1369" t="s">
        <v>6108</v>
      </c>
      <c r="B1369" t="s">
        <v>6109</v>
      </c>
      <c r="C1369" t="s">
        <v>136</v>
      </c>
      <c r="D1369" t="s">
        <v>2253</v>
      </c>
      <c r="E1369" t="s">
        <v>1432</v>
      </c>
      <c r="F1369" t="s">
        <v>149</v>
      </c>
      <c r="G1369" t="s">
        <v>6110</v>
      </c>
    </row>
    <row r="1370" spans="1:7" s="297" customFormat="1" ht="44.25" customHeight="1">
      <c r="A1370" t="s">
        <v>6111</v>
      </c>
      <c r="B1370" t="s">
        <v>6112</v>
      </c>
      <c r="C1370" t="s">
        <v>136</v>
      </c>
      <c r="D1370" t="s">
        <v>2253</v>
      </c>
      <c r="E1370" t="s">
        <v>1432</v>
      </c>
      <c r="F1370" t="s">
        <v>149</v>
      </c>
      <c r="G1370" t="s">
        <v>6113</v>
      </c>
    </row>
    <row r="1371" spans="1:7" s="297" customFormat="1" ht="44.25" customHeight="1">
      <c r="A1371" t="s">
        <v>6114</v>
      </c>
      <c r="B1371" t="s">
        <v>6115</v>
      </c>
      <c r="C1371" t="s">
        <v>136</v>
      </c>
      <c r="D1371" t="s">
        <v>2253</v>
      </c>
      <c r="E1371" t="s">
        <v>1432</v>
      </c>
      <c r="F1371" t="s">
        <v>149</v>
      </c>
      <c r="G1371" t="s">
        <v>6116</v>
      </c>
    </row>
    <row r="1372" spans="1:7" s="297" customFormat="1" ht="44.25" customHeight="1">
      <c r="A1372" t="s">
        <v>6117</v>
      </c>
      <c r="B1372" t="s">
        <v>6118</v>
      </c>
      <c r="C1372" t="s">
        <v>136</v>
      </c>
      <c r="D1372" t="s">
        <v>2253</v>
      </c>
      <c r="E1372" t="s">
        <v>1432</v>
      </c>
      <c r="F1372" t="s">
        <v>149</v>
      </c>
      <c r="G1372" t="s">
        <v>6119</v>
      </c>
    </row>
    <row r="1373" spans="1:7" s="297" customFormat="1" ht="44.25" customHeight="1">
      <c r="A1373" t="s">
        <v>6120</v>
      </c>
      <c r="B1373" t="s">
        <v>6121</v>
      </c>
      <c r="C1373" t="s">
        <v>136</v>
      </c>
      <c r="D1373" t="s">
        <v>2253</v>
      </c>
      <c r="E1373" t="s">
        <v>1432</v>
      </c>
      <c r="F1373" t="s">
        <v>149</v>
      </c>
      <c r="G1373" t="s">
        <v>6122</v>
      </c>
    </row>
    <row r="1374" spans="1:7" s="297" customFormat="1" ht="44.25" customHeight="1">
      <c r="A1374" t="s">
        <v>6123</v>
      </c>
      <c r="B1374" t="s">
        <v>6124</v>
      </c>
      <c r="C1374" t="s">
        <v>136</v>
      </c>
      <c r="D1374" t="s">
        <v>2253</v>
      </c>
      <c r="E1374" t="s">
        <v>1432</v>
      </c>
      <c r="F1374" t="s">
        <v>149</v>
      </c>
      <c r="G1374" t="s">
        <v>6125</v>
      </c>
    </row>
    <row r="1375" spans="1:7" s="297" customFormat="1" ht="44.25" customHeight="1">
      <c r="A1375" t="s">
        <v>6126</v>
      </c>
      <c r="B1375" t="s">
        <v>6127</v>
      </c>
      <c r="C1375" t="s">
        <v>136</v>
      </c>
      <c r="D1375" t="s">
        <v>2257</v>
      </c>
      <c r="E1375" t="s">
        <v>6128</v>
      </c>
      <c r="F1375" t="s">
        <v>149</v>
      </c>
      <c r="G1375" t="s">
        <v>6129</v>
      </c>
    </row>
    <row r="1376" spans="1:7" s="297" customFormat="1" ht="44.25" customHeight="1">
      <c r="A1376" t="s">
        <v>6130</v>
      </c>
      <c r="B1376" t="s">
        <v>6131</v>
      </c>
      <c r="C1376" t="s">
        <v>136</v>
      </c>
      <c r="D1376" t="s">
        <v>79</v>
      </c>
      <c r="E1376" t="s">
        <v>6132</v>
      </c>
      <c r="F1376" t="s">
        <v>149</v>
      </c>
      <c r="G1376" t="s">
        <v>6133</v>
      </c>
    </row>
    <row r="1377" spans="1:7" s="297" customFormat="1" ht="44.25" customHeight="1">
      <c r="A1377" t="s">
        <v>6134</v>
      </c>
      <c r="B1377" t="s">
        <v>6135</v>
      </c>
      <c r="C1377" t="s">
        <v>136</v>
      </c>
      <c r="D1377" t="s">
        <v>2257</v>
      </c>
      <c r="E1377" t="s">
        <v>2258</v>
      </c>
      <c r="F1377" t="s">
        <v>149</v>
      </c>
      <c r="G1377" t="s">
        <v>6136</v>
      </c>
    </row>
    <row r="1378" spans="1:7" s="297" customFormat="1" ht="44.25" customHeight="1">
      <c r="A1378" t="s">
        <v>6137</v>
      </c>
      <c r="B1378" t="s">
        <v>6138</v>
      </c>
      <c r="C1378" t="s">
        <v>136</v>
      </c>
      <c r="D1378" t="s">
        <v>79</v>
      </c>
      <c r="E1378" t="s">
        <v>6139</v>
      </c>
      <c r="F1378" t="s">
        <v>149</v>
      </c>
      <c r="G1378" t="s">
        <v>6140</v>
      </c>
    </row>
    <row r="1379" spans="1:7" s="297" customFormat="1" ht="44.25" customHeight="1">
      <c r="A1379" t="s">
        <v>6141</v>
      </c>
      <c r="B1379" t="s">
        <v>6142</v>
      </c>
      <c r="C1379" t="s">
        <v>136</v>
      </c>
      <c r="D1379" t="s">
        <v>79</v>
      </c>
      <c r="E1379" t="s">
        <v>6143</v>
      </c>
      <c r="F1379" t="s">
        <v>149</v>
      </c>
      <c r="G1379" t="s">
        <v>6144</v>
      </c>
    </row>
    <row r="1380" spans="1:7" s="297" customFormat="1" ht="44.25" customHeight="1">
      <c r="A1380" t="s">
        <v>6141</v>
      </c>
      <c r="B1380" t="s">
        <v>6142</v>
      </c>
      <c r="C1380" t="s">
        <v>136</v>
      </c>
      <c r="D1380" t="s">
        <v>79</v>
      </c>
      <c r="E1380" t="s">
        <v>6143</v>
      </c>
      <c r="F1380" t="s">
        <v>149</v>
      </c>
      <c r="G1380" t="s">
        <v>6144</v>
      </c>
    </row>
    <row r="1381" spans="1:7" s="297" customFormat="1" ht="44.25" customHeight="1">
      <c r="A1381" t="s">
        <v>6145</v>
      </c>
      <c r="B1381" t="s">
        <v>6146</v>
      </c>
      <c r="C1381" t="s">
        <v>136</v>
      </c>
      <c r="D1381" t="s">
        <v>79</v>
      </c>
      <c r="E1381" t="s">
        <v>6147</v>
      </c>
      <c r="F1381" t="s">
        <v>149</v>
      </c>
      <c r="G1381" t="s">
        <v>6148</v>
      </c>
    </row>
    <row r="1382" spans="1:7" s="297" customFormat="1" ht="44.25" customHeight="1">
      <c r="A1382" t="s">
        <v>6149</v>
      </c>
      <c r="B1382" t="s">
        <v>6150</v>
      </c>
      <c r="C1382" t="s">
        <v>136</v>
      </c>
      <c r="D1382" t="s">
        <v>79</v>
      </c>
      <c r="E1382" t="s">
        <v>6151</v>
      </c>
      <c r="F1382" t="s">
        <v>149</v>
      </c>
      <c r="G1382" t="s">
        <v>6152</v>
      </c>
    </row>
    <row r="1383" spans="1:7" s="297" customFormat="1" ht="44.25" customHeight="1">
      <c r="A1383" t="s">
        <v>370</v>
      </c>
      <c r="B1383" t="s">
        <v>6153</v>
      </c>
      <c r="C1383" t="s">
        <v>136</v>
      </c>
      <c r="D1383" t="s">
        <v>79</v>
      </c>
      <c r="E1383" t="s">
        <v>6154</v>
      </c>
      <c r="F1383" t="s">
        <v>149</v>
      </c>
      <c r="G1383" t="s">
        <v>6155</v>
      </c>
    </row>
    <row r="1384" spans="1:7" s="297" customFormat="1" ht="44.25" customHeight="1">
      <c r="A1384" t="s">
        <v>769</v>
      </c>
      <c r="B1384" t="s">
        <v>6156</v>
      </c>
      <c r="C1384" t="s">
        <v>136</v>
      </c>
      <c r="D1384" t="s">
        <v>2257</v>
      </c>
      <c r="E1384" t="s">
        <v>1432</v>
      </c>
      <c r="F1384" t="s">
        <v>149</v>
      </c>
      <c r="G1384" t="s">
        <v>6157</v>
      </c>
    </row>
    <row r="1385" spans="1:7" s="297" customFormat="1" ht="44.25" customHeight="1">
      <c r="A1385" t="s">
        <v>6158</v>
      </c>
      <c r="B1385" t="s">
        <v>6159</v>
      </c>
      <c r="C1385" t="s">
        <v>136</v>
      </c>
      <c r="D1385" t="s">
        <v>2253</v>
      </c>
      <c r="E1385" t="s">
        <v>1432</v>
      </c>
      <c r="F1385" t="s">
        <v>149</v>
      </c>
      <c r="G1385" t="s">
        <v>6160</v>
      </c>
    </row>
    <row r="1386" spans="1:7" s="297" customFormat="1" ht="44.25" customHeight="1">
      <c r="A1386" t="s">
        <v>6161</v>
      </c>
      <c r="B1386" t="s">
        <v>6162</v>
      </c>
      <c r="C1386" t="s">
        <v>136</v>
      </c>
      <c r="D1386" t="s">
        <v>2253</v>
      </c>
      <c r="E1386" t="s">
        <v>1430</v>
      </c>
      <c r="F1386" t="s">
        <v>149</v>
      </c>
      <c r="G1386" t="s">
        <v>6163</v>
      </c>
    </row>
    <row r="1387" spans="1:7" s="297" customFormat="1" ht="44.25" customHeight="1">
      <c r="A1387" t="s">
        <v>618</v>
      </c>
      <c r="B1387" t="s">
        <v>6164</v>
      </c>
      <c r="C1387" t="s">
        <v>136</v>
      </c>
      <c r="D1387" t="s">
        <v>79</v>
      </c>
      <c r="E1387" t="s">
        <v>6165</v>
      </c>
      <c r="F1387" t="s">
        <v>149</v>
      </c>
      <c r="G1387" t="s">
        <v>6166</v>
      </c>
    </row>
    <row r="1388" spans="1:7" s="297" customFormat="1" ht="44.25" customHeight="1">
      <c r="A1388" t="s">
        <v>617</v>
      </c>
      <c r="B1388" t="s">
        <v>6167</v>
      </c>
      <c r="C1388" t="s">
        <v>136</v>
      </c>
      <c r="D1388" t="s">
        <v>79</v>
      </c>
      <c r="E1388" t="s">
        <v>6165</v>
      </c>
      <c r="F1388" t="s">
        <v>149</v>
      </c>
      <c r="G1388" t="s">
        <v>6168</v>
      </c>
    </row>
    <row r="1389" spans="1:7" s="297" customFormat="1" ht="44.25" customHeight="1">
      <c r="A1389" t="s">
        <v>6169</v>
      </c>
      <c r="B1389" t="s">
        <v>6170</v>
      </c>
      <c r="C1389" t="s">
        <v>136</v>
      </c>
      <c r="D1389" t="s">
        <v>2257</v>
      </c>
      <c r="E1389" t="s">
        <v>2276</v>
      </c>
      <c r="F1389" t="s">
        <v>149</v>
      </c>
      <c r="G1389" t="s">
        <v>6171</v>
      </c>
    </row>
    <row r="1390" spans="1:7" s="297" customFormat="1" ht="44.25" customHeight="1">
      <c r="A1390" t="s">
        <v>6172</v>
      </c>
      <c r="B1390" t="s">
        <v>6173</v>
      </c>
      <c r="C1390" t="s">
        <v>136</v>
      </c>
      <c r="D1390" t="s">
        <v>2253</v>
      </c>
      <c r="E1390" t="s">
        <v>1430</v>
      </c>
      <c r="F1390" t="s">
        <v>149</v>
      </c>
      <c r="G1390" t="s">
        <v>6174</v>
      </c>
    </row>
    <row r="1391" spans="1:7" s="297" customFormat="1" ht="44.25" customHeight="1">
      <c r="A1391" t="s">
        <v>6175</v>
      </c>
      <c r="B1391" t="s">
        <v>6176</v>
      </c>
      <c r="C1391" t="s">
        <v>136</v>
      </c>
      <c r="D1391" t="s">
        <v>2253</v>
      </c>
      <c r="E1391" t="s">
        <v>1430</v>
      </c>
      <c r="F1391" t="s">
        <v>149</v>
      </c>
      <c r="G1391" t="s">
        <v>6177</v>
      </c>
    </row>
    <row r="1392" spans="1:7" s="297" customFormat="1" ht="44.25" customHeight="1">
      <c r="A1392" t="s">
        <v>6178</v>
      </c>
      <c r="B1392" t="s">
        <v>6179</v>
      </c>
      <c r="C1392" t="s">
        <v>136</v>
      </c>
      <c r="D1392" t="s">
        <v>2253</v>
      </c>
      <c r="E1392" t="s">
        <v>1432</v>
      </c>
      <c r="F1392" t="s">
        <v>149</v>
      </c>
      <c r="G1392" t="s">
        <v>6180</v>
      </c>
    </row>
    <row r="1393" spans="1:7" s="297" customFormat="1" ht="44.25" customHeight="1">
      <c r="A1393" t="s">
        <v>6181</v>
      </c>
      <c r="B1393" t="s">
        <v>6182</v>
      </c>
      <c r="C1393" t="s">
        <v>136</v>
      </c>
      <c r="D1393" t="s">
        <v>2257</v>
      </c>
      <c r="E1393" t="s">
        <v>2276</v>
      </c>
      <c r="F1393" t="s">
        <v>149</v>
      </c>
      <c r="G1393" t="s">
        <v>6183</v>
      </c>
    </row>
    <row r="1394" spans="1:7" s="297" customFormat="1" ht="44.25" customHeight="1">
      <c r="A1394" t="s">
        <v>6184</v>
      </c>
      <c r="B1394" t="s">
        <v>6185</v>
      </c>
      <c r="C1394" t="s">
        <v>136</v>
      </c>
      <c r="D1394" t="s">
        <v>2253</v>
      </c>
      <c r="E1394" t="s">
        <v>1430</v>
      </c>
      <c r="F1394" t="s">
        <v>149</v>
      </c>
      <c r="G1394" t="s">
        <v>6186</v>
      </c>
    </row>
    <row r="1395" spans="1:7" s="297" customFormat="1" ht="44.25" customHeight="1">
      <c r="A1395" t="s">
        <v>6187</v>
      </c>
      <c r="B1395" t="s">
        <v>6188</v>
      </c>
      <c r="C1395" t="s">
        <v>136</v>
      </c>
      <c r="D1395" t="s">
        <v>2253</v>
      </c>
      <c r="E1395" t="s">
        <v>1432</v>
      </c>
      <c r="F1395" t="s">
        <v>149</v>
      </c>
      <c r="G1395" t="s">
        <v>6189</v>
      </c>
    </row>
    <row r="1396" spans="1:7" s="297" customFormat="1" ht="44.25" customHeight="1">
      <c r="A1396" t="s">
        <v>6190</v>
      </c>
      <c r="B1396" t="s">
        <v>6191</v>
      </c>
      <c r="C1396" t="s">
        <v>136</v>
      </c>
      <c r="D1396" t="s">
        <v>2257</v>
      </c>
      <c r="E1396" t="s">
        <v>6128</v>
      </c>
      <c r="F1396" t="s">
        <v>149</v>
      </c>
      <c r="G1396" t="s">
        <v>6192</v>
      </c>
    </row>
    <row r="1397" spans="1:7" s="297" customFormat="1" ht="44.25" customHeight="1">
      <c r="A1397" t="s">
        <v>6193</v>
      </c>
      <c r="B1397" t="s">
        <v>6194</v>
      </c>
      <c r="C1397" t="s">
        <v>136</v>
      </c>
      <c r="D1397" t="s">
        <v>79</v>
      </c>
      <c r="E1397" t="s">
        <v>6195</v>
      </c>
      <c r="F1397" t="s">
        <v>149</v>
      </c>
      <c r="G1397" t="s">
        <v>6196</v>
      </c>
    </row>
    <row r="1398" spans="1:7" s="297" customFormat="1" ht="44.25" customHeight="1">
      <c r="A1398" t="s">
        <v>6197</v>
      </c>
      <c r="B1398" t="s">
        <v>6198</v>
      </c>
      <c r="C1398" t="s">
        <v>136</v>
      </c>
      <c r="D1398" t="s">
        <v>2257</v>
      </c>
      <c r="E1398" t="s">
        <v>5684</v>
      </c>
      <c r="F1398" t="s">
        <v>149</v>
      </c>
      <c r="G1398" t="s">
        <v>6199</v>
      </c>
    </row>
    <row r="1399" spans="1:7" s="297" customFormat="1" ht="44.25" customHeight="1">
      <c r="A1399" t="s">
        <v>6200</v>
      </c>
      <c r="B1399" t="s">
        <v>6201</v>
      </c>
      <c r="C1399" t="s">
        <v>136</v>
      </c>
      <c r="D1399" t="s">
        <v>2257</v>
      </c>
      <c r="E1399" t="s">
        <v>5684</v>
      </c>
      <c r="F1399" t="s">
        <v>149</v>
      </c>
      <c r="G1399" t="s">
        <v>6202</v>
      </c>
    </row>
    <row r="1400" spans="1:7" s="297" customFormat="1" ht="44.25" customHeight="1">
      <c r="A1400" t="s">
        <v>6203</v>
      </c>
      <c r="B1400" t="s">
        <v>6204</v>
      </c>
      <c r="C1400" t="s">
        <v>136</v>
      </c>
      <c r="D1400" t="s">
        <v>2253</v>
      </c>
      <c r="E1400" t="s">
        <v>1432</v>
      </c>
      <c r="F1400" t="s">
        <v>149</v>
      </c>
      <c r="G1400" t="s">
        <v>6205</v>
      </c>
    </row>
    <row r="1401" spans="1:7" s="297" customFormat="1" ht="44.25" customHeight="1">
      <c r="A1401" t="s">
        <v>6206</v>
      </c>
      <c r="B1401" t="s">
        <v>6207</v>
      </c>
      <c r="C1401" t="s">
        <v>136</v>
      </c>
      <c r="D1401" t="s">
        <v>2253</v>
      </c>
      <c r="E1401" t="s">
        <v>1432</v>
      </c>
      <c r="F1401" t="s">
        <v>149</v>
      </c>
      <c r="G1401" t="s">
        <v>6208</v>
      </c>
    </row>
    <row r="1402" spans="1:7" s="297" customFormat="1" ht="44.25" customHeight="1">
      <c r="A1402" t="s">
        <v>6209</v>
      </c>
      <c r="B1402" t="s">
        <v>6210</v>
      </c>
      <c r="C1402" t="s">
        <v>136</v>
      </c>
      <c r="D1402" t="s">
        <v>79</v>
      </c>
      <c r="E1402" t="s">
        <v>6211</v>
      </c>
      <c r="F1402" t="s">
        <v>149</v>
      </c>
      <c r="G1402" t="s">
        <v>6212</v>
      </c>
    </row>
    <row r="1403" spans="1:7" s="297" customFormat="1" ht="44.25" customHeight="1">
      <c r="A1403" t="s">
        <v>6213</v>
      </c>
      <c r="B1403" t="s">
        <v>6214</v>
      </c>
      <c r="C1403" t="s">
        <v>136</v>
      </c>
      <c r="D1403" t="s">
        <v>2253</v>
      </c>
      <c r="E1403" t="s">
        <v>1430</v>
      </c>
      <c r="F1403" t="s">
        <v>149</v>
      </c>
      <c r="G1403" t="s">
        <v>6215</v>
      </c>
    </row>
    <row r="1404" spans="1:7" s="297" customFormat="1" ht="44.25" customHeight="1">
      <c r="A1404" t="s">
        <v>6216</v>
      </c>
      <c r="B1404" t="s">
        <v>6217</v>
      </c>
      <c r="C1404" t="s">
        <v>136</v>
      </c>
      <c r="D1404" t="s">
        <v>2253</v>
      </c>
      <c r="E1404" t="s">
        <v>1430</v>
      </c>
      <c r="F1404" t="s">
        <v>149</v>
      </c>
      <c r="G1404" t="s">
        <v>6218</v>
      </c>
    </row>
    <row r="1405" spans="1:7" s="297" customFormat="1" ht="44.25" customHeight="1">
      <c r="A1405" t="s">
        <v>6219</v>
      </c>
      <c r="B1405" t="s">
        <v>6220</v>
      </c>
      <c r="C1405" t="s">
        <v>136</v>
      </c>
      <c r="D1405" t="s">
        <v>2253</v>
      </c>
      <c r="E1405" t="s">
        <v>1430</v>
      </c>
      <c r="F1405" t="s">
        <v>149</v>
      </c>
      <c r="G1405" t="s">
        <v>6221</v>
      </c>
    </row>
    <row r="1406" spans="1:7" s="297" customFormat="1" ht="44.25" customHeight="1">
      <c r="A1406" t="s">
        <v>6222</v>
      </c>
      <c r="B1406" t="s">
        <v>6223</v>
      </c>
      <c r="C1406" t="s">
        <v>136</v>
      </c>
      <c r="D1406" t="s">
        <v>2253</v>
      </c>
      <c r="E1406" t="s">
        <v>1430</v>
      </c>
      <c r="F1406" t="s">
        <v>149</v>
      </c>
      <c r="G1406" t="s">
        <v>6224</v>
      </c>
    </row>
    <row r="1407" spans="1:7" s="297" customFormat="1" ht="44.25" customHeight="1">
      <c r="A1407" t="s">
        <v>6225</v>
      </c>
      <c r="B1407" t="s">
        <v>6226</v>
      </c>
      <c r="C1407" t="s">
        <v>136</v>
      </c>
      <c r="D1407" t="s">
        <v>2257</v>
      </c>
      <c r="E1407" t="s">
        <v>2258</v>
      </c>
      <c r="F1407" t="s">
        <v>149</v>
      </c>
      <c r="G1407" t="s">
        <v>6227</v>
      </c>
    </row>
    <row r="1408" spans="1:7" s="297" customFormat="1" ht="44.25" customHeight="1">
      <c r="A1408" t="s">
        <v>6228</v>
      </c>
      <c r="B1408" t="s">
        <v>6229</v>
      </c>
      <c r="C1408" t="s">
        <v>136</v>
      </c>
      <c r="D1408" t="s">
        <v>2253</v>
      </c>
      <c r="E1408" t="s">
        <v>1432</v>
      </c>
      <c r="F1408" t="s">
        <v>149</v>
      </c>
      <c r="G1408" t="s">
        <v>6230</v>
      </c>
    </row>
    <row r="1409" spans="1:7" s="297" customFormat="1" ht="44.25" customHeight="1">
      <c r="A1409" t="s">
        <v>6231</v>
      </c>
      <c r="B1409" t="s">
        <v>6232</v>
      </c>
      <c r="C1409" t="s">
        <v>136</v>
      </c>
      <c r="D1409" t="s">
        <v>2253</v>
      </c>
      <c r="E1409" t="s">
        <v>1432</v>
      </c>
      <c r="F1409" t="s">
        <v>149</v>
      </c>
      <c r="G1409" t="s">
        <v>6233</v>
      </c>
    </row>
    <row r="1410" spans="1:7" s="297" customFormat="1" ht="44.25" customHeight="1">
      <c r="A1410" t="s">
        <v>6234</v>
      </c>
      <c r="B1410" t="s">
        <v>6235</v>
      </c>
      <c r="C1410" t="s">
        <v>136</v>
      </c>
      <c r="D1410" t="s">
        <v>2253</v>
      </c>
      <c r="E1410" t="s">
        <v>1432</v>
      </c>
      <c r="F1410" t="s">
        <v>149</v>
      </c>
      <c r="G1410" t="s">
        <v>6236</v>
      </c>
    </row>
    <row r="1411" spans="1:7" s="297" customFormat="1" ht="44.25" customHeight="1">
      <c r="A1411" t="s">
        <v>6237</v>
      </c>
      <c r="B1411" t="s">
        <v>6238</v>
      </c>
      <c r="C1411" t="s">
        <v>136</v>
      </c>
      <c r="D1411" t="s">
        <v>2257</v>
      </c>
      <c r="E1411" t="s">
        <v>2269</v>
      </c>
      <c r="F1411" t="s">
        <v>149</v>
      </c>
      <c r="G1411" t="s">
        <v>6239</v>
      </c>
    </row>
    <row r="1412" spans="1:7" s="297" customFormat="1" ht="44.25" customHeight="1">
      <c r="A1412" t="s">
        <v>6240</v>
      </c>
      <c r="B1412" t="s">
        <v>6241</v>
      </c>
      <c r="C1412" t="s">
        <v>136</v>
      </c>
      <c r="D1412" t="s">
        <v>79</v>
      </c>
      <c r="E1412" t="s">
        <v>6242</v>
      </c>
      <c r="F1412" t="s">
        <v>149</v>
      </c>
      <c r="G1412" t="s">
        <v>6243</v>
      </c>
    </row>
    <row r="1413" spans="1:7" s="297" customFormat="1" ht="44.25" customHeight="1">
      <c r="A1413" t="s">
        <v>6244</v>
      </c>
      <c r="B1413" t="s">
        <v>6245</v>
      </c>
      <c r="C1413" t="s">
        <v>136</v>
      </c>
      <c r="D1413" t="s">
        <v>2253</v>
      </c>
      <c r="E1413" t="s">
        <v>1432</v>
      </c>
      <c r="F1413" t="s">
        <v>149</v>
      </c>
      <c r="G1413" t="s">
        <v>6246</v>
      </c>
    </row>
    <row r="1414" spans="1:7" s="297" customFormat="1" ht="44.25" customHeight="1">
      <c r="A1414" t="s">
        <v>6247</v>
      </c>
      <c r="B1414" t="s">
        <v>6248</v>
      </c>
      <c r="C1414" t="s">
        <v>136</v>
      </c>
      <c r="D1414" t="s">
        <v>79</v>
      </c>
      <c r="E1414" t="s">
        <v>4432</v>
      </c>
      <c r="F1414" t="s">
        <v>149</v>
      </c>
      <c r="G1414" t="s">
        <v>6249</v>
      </c>
    </row>
    <row r="1415" spans="1:7" s="297" customFormat="1" ht="44.25" customHeight="1">
      <c r="A1415" t="s">
        <v>6250</v>
      </c>
      <c r="B1415" t="s">
        <v>6251</v>
      </c>
      <c r="C1415" t="s">
        <v>136</v>
      </c>
      <c r="D1415" t="s">
        <v>2253</v>
      </c>
      <c r="E1415" t="s">
        <v>1432</v>
      </c>
      <c r="F1415" t="s">
        <v>149</v>
      </c>
      <c r="G1415" t="s">
        <v>6252</v>
      </c>
    </row>
    <row r="1416" spans="1:7" s="297" customFormat="1" ht="44.25" customHeight="1">
      <c r="A1416" t="s">
        <v>6253</v>
      </c>
      <c r="B1416" t="s">
        <v>6254</v>
      </c>
      <c r="C1416" t="s">
        <v>136</v>
      </c>
      <c r="D1416" t="s">
        <v>2253</v>
      </c>
      <c r="E1416" t="s">
        <v>1432</v>
      </c>
      <c r="F1416" t="s">
        <v>149</v>
      </c>
      <c r="G1416" t="s">
        <v>6255</v>
      </c>
    </row>
    <row r="1417" spans="1:7" s="297" customFormat="1" ht="44.25" customHeight="1">
      <c r="A1417" t="s">
        <v>6256</v>
      </c>
      <c r="B1417" t="s">
        <v>6257</v>
      </c>
      <c r="C1417" t="s">
        <v>136</v>
      </c>
      <c r="D1417" t="s">
        <v>2253</v>
      </c>
      <c r="E1417" t="s">
        <v>1430</v>
      </c>
      <c r="F1417" t="s">
        <v>149</v>
      </c>
      <c r="G1417" t="s">
        <v>6258</v>
      </c>
    </row>
    <row r="1418" spans="1:7" s="297" customFormat="1" ht="44.25" customHeight="1">
      <c r="A1418" t="s">
        <v>6259</v>
      </c>
      <c r="B1418" t="s">
        <v>6260</v>
      </c>
      <c r="C1418" t="s">
        <v>136</v>
      </c>
      <c r="D1418" t="s">
        <v>2253</v>
      </c>
      <c r="E1418" t="s">
        <v>1430</v>
      </c>
      <c r="F1418" t="s">
        <v>149</v>
      </c>
      <c r="G1418" t="s">
        <v>6261</v>
      </c>
    </row>
    <row r="1419" spans="1:7" s="297" customFormat="1" ht="44.25" customHeight="1">
      <c r="A1419" t="s">
        <v>6262</v>
      </c>
      <c r="B1419" t="s">
        <v>6263</v>
      </c>
      <c r="C1419" t="s">
        <v>136</v>
      </c>
      <c r="D1419" t="s">
        <v>2253</v>
      </c>
      <c r="E1419" t="s">
        <v>1432</v>
      </c>
      <c r="F1419" t="s">
        <v>149</v>
      </c>
      <c r="G1419" t="s">
        <v>6264</v>
      </c>
    </row>
    <row r="1420" spans="1:7" s="297" customFormat="1" ht="44.25" customHeight="1">
      <c r="A1420" t="s">
        <v>6265</v>
      </c>
      <c r="B1420" t="s">
        <v>6266</v>
      </c>
      <c r="C1420" t="s">
        <v>136</v>
      </c>
      <c r="D1420" t="s">
        <v>2253</v>
      </c>
      <c r="E1420" t="s">
        <v>1432</v>
      </c>
      <c r="F1420" t="s">
        <v>149</v>
      </c>
      <c r="G1420" t="s">
        <v>6267</v>
      </c>
    </row>
    <row r="1421" spans="1:7" s="297" customFormat="1" ht="44.25" customHeight="1">
      <c r="A1421" t="s">
        <v>6268</v>
      </c>
      <c r="B1421" t="s">
        <v>6269</v>
      </c>
      <c r="C1421" t="s">
        <v>136</v>
      </c>
      <c r="D1421" t="s">
        <v>2253</v>
      </c>
      <c r="E1421" t="s">
        <v>1432</v>
      </c>
      <c r="F1421" t="s">
        <v>149</v>
      </c>
      <c r="G1421" t="s">
        <v>6270</v>
      </c>
    </row>
    <row r="1422" spans="1:7" s="297" customFormat="1" ht="44.25" customHeight="1">
      <c r="A1422" t="s">
        <v>6271</v>
      </c>
      <c r="B1422" t="s">
        <v>6272</v>
      </c>
      <c r="C1422" t="s">
        <v>136</v>
      </c>
      <c r="D1422" t="s">
        <v>2253</v>
      </c>
      <c r="E1422" t="s">
        <v>1432</v>
      </c>
      <c r="F1422" t="s">
        <v>149</v>
      </c>
      <c r="G1422" t="s">
        <v>6273</v>
      </c>
    </row>
    <row r="1423" spans="1:7" s="297" customFormat="1" ht="44.25" customHeight="1">
      <c r="A1423" t="s">
        <v>6274</v>
      </c>
      <c r="B1423" t="s">
        <v>6275</v>
      </c>
      <c r="C1423" t="s">
        <v>136</v>
      </c>
      <c r="D1423" t="s">
        <v>2253</v>
      </c>
      <c r="E1423" t="s">
        <v>1432</v>
      </c>
      <c r="F1423" t="s">
        <v>149</v>
      </c>
      <c r="G1423" t="s">
        <v>6276</v>
      </c>
    </row>
    <row r="1424" spans="1:7" s="297" customFormat="1" ht="44.25" customHeight="1">
      <c r="A1424" t="s">
        <v>6277</v>
      </c>
      <c r="B1424" t="s">
        <v>6278</v>
      </c>
      <c r="C1424" t="s">
        <v>136</v>
      </c>
      <c r="D1424" t="s">
        <v>2253</v>
      </c>
      <c r="E1424" t="s">
        <v>1432</v>
      </c>
      <c r="F1424" t="s">
        <v>149</v>
      </c>
      <c r="G1424" t="s">
        <v>6279</v>
      </c>
    </row>
    <row r="1425" spans="1:7" s="297" customFormat="1" ht="44.25" customHeight="1">
      <c r="A1425" t="s">
        <v>6280</v>
      </c>
      <c r="B1425" t="s">
        <v>6281</v>
      </c>
      <c r="C1425" t="s">
        <v>136</v>
      </c>
      <c r="D1425" t="s">
        <v>2257</v>
      </c>
      <c r="E1425" t="s">
        <v>2276</v>
      </c>
      <c r="F1425" t="s">
        <v>149</v>
      </c>
      <c r="G1425" t="s">
        <v>6282</v>
      </c>
    </row>
    <row r="1426" spans="1:7" s="297" customFormat="1" ht="44.25" customHeight="1">
      <c r="A1426" t="s">
        <v>6283</v>
      </c>
      <c r="B1426" t="s">
        <v>6284</v>
      </c>
      <c r="C1426" t="s">
        <v>136</v>
      </c>
      <c r="D1426" t="s">
        <v>79</v>
      </c>
      <c r="E1426" t="s">
        <v>6285</v>
      </c>
      <c r="F1426" t="s">
        <v>149</v>
      </c>
      <c r="G1426" t="s">
        <v>6286</v>
      </c>
    </row>
    <row r="1427" spans="1:7" s="297" customFormat="1" ht="44.25" customHeight="1">
      <c r="A1427" t="s">
        <v>6287</v>
      </c>
      <c r="B1427" t="s">
        <v>6288</v>
      </c>
      <c r="C1427" t="s">
        <v>136</v>
      </c>
      <c r="D1427" t="s">
        <v>2257</v>
      </c>
      <c r="E1427" t="s">
        <v>1432</v>
      </c>
      <c r="F1427" t="s">
        <v>149</v>
      </c>
      <c r="G1427" t="s">
        <v>6289</v>
      </c>
    </row>
    <row r="1428" spans="1:7" s="297" customFormat="1" ht="44.25" customHeight="1">
      <c r="A1428" t="s">
        <v>6290</v>
      </c>
      <c r="B1428" t="s">
        <v>6291</v>
      </c>
      <c r="C1428" t="s">
        <v>136</v>
      </c>
      <c r="D1428" t="s">
        <v>2253</v>
      </c>
      <c r="E1428" t="s">
        <v>1432</v>
      </c>
      <c r="F1428" t="s">
        <v>149</v>
      </c>
      <c r="G1428" t="s">
        <v>6292</v>
      </c>
    </row>
    <row r="1429" spans="1:7" s="297" customFormat="1" ht="44.25" customHeight="1">
      <c r="A1429" t="s">
        <v>6293</v>
      </c>
      <c r="B1429" t="s">
        <v>6294</v>
      </c>
      <c r="C1429" t="s">
        <v>136</v>
      </c>
      <c r="D1429" t="s">
        <v>2253</v>
      </c>
      <c r="E1429" t="s">
        <v>1432</v>
      </c>
      <c r="F1429" t="s">
        <v>149</v>
      </c>
      <c r="G1429" t="s">
        <v>6295</v>
      </c>
    </row>
    <row r="1430" spans="1:7" s="297" customFormat="1" ht="44.25" customHeight="1">
      <c r="A1430" t="s">
        <v>6296</v>
      </c>
      <c r="B1430" t="s">
        <v>6297</v>
      </c>
      <c r="C1430" t="s">
        <v>136</v>
      </c>
      <c r="D1430" t="s">
        <v>2253</v>
      </c>
      <c r="E1430" t="s">
        <v>1432</v>
      </c>
      <c r="F1430" t="s">
        <v>149</v>
      </c>
      <c r="G1430" t="s">
        <v>6298</v>
      </c>
    </row>
    <row r="1431" spans="1:7" s="297" customFormat="1" ht="44.25" customHeight="1">
      <c r="A1431" t="s">
        <v>6299</v>
      </c>
      <c r="B1431" t="s">
        <v>6300</v>
      </c>
      <c r="C1431" t="s">
        <v>136</v>
      </c>
      <c r="D1431" t="s">
        <v>2253</v>
      </c>
      <c r="E1431" t="s">
        <v>1430</v>
      </c>
      <c r="F1431" t="s">
        <v>149</v>
      </c>
      <c r="G1431" t="s">
        <v>6301</v>
      </c>
    </row>
    <row r="1432" spans="1:7" s="297" customFormat="1" ht="44.25" customHeight="1">
      <c r="A1432" t="s">
        <v>6302</v>
      </c>
      <c r="B1432" t="s">
        <v>6303</v>
      </c>
      <c r="C1432" t="s">
        <v>136</v>
      </c>
      <c r="D1432" t="s">
        <v>79</v>
      </c>
      <c r="E1432" t="s">
        <v>4813</v>
      </c>
      <c r="F1432" t="s">
        <v>149</v>
      </c>
      <c r="G1432" t="s">
        <v>6304</v>
      </c>
    </row>
    <row r="1433" spans="1:7" s="297" customFormat="1" ht="44.25" customHeight="1">
      <c r="A1433" t="s">
        <v>6305</v>
      </c>
      <c r="B1433" t="s">
        <v>6306</v>
      </c>
      <c r="C1433" t="s">
        <v>136</v>
      </c>
      <c r="D1433" t="s">
        <v>2253</v>
      </c>
      <c r="E1433" t="s">
        <v>1432</v>
      </c>
      <c r="F1433" t="s">
        <v>149</v>
      </c>
      <c r="G1433" t="s">
        <v>6307</v>
      </c>
    </row>
    <row r="1434" spans="1:7" s="297" customFormat="1" ht="44.25" customHeight="1">
      <c r="A1434" t="s">
        <v>6308</v>
      </c>
      <c r="B1434" t="s">
        <v>6309</v>
      </c>
      <c r="C1434" t="s">
        <v>136</v>
      </c>
      <c r="D1434" t="s">
        <v>2257</v>
      </c>
      <c r="E1434" t="s">
        <v>1607</v>
      </c>
      <c r="F1434" t="s">
        <v>149</v>
      </c>
      <c r="G1434" t="s">
        <v>6310</v>
      </c>
    </row>
    <row r="1435" spans="1:7" s="297" customFormat="1" ht="44.25" customHeight="1">
      <c r="A1435" t="s">
        <v>1399</v>
      </c>
      <c r="B1435" t="s">
        <v>6311</v>
      </c>
      <c r="C1435" t="s">
        <v>136</v>
      </c>
      <c r="D1435" t="s">
        <v>2257</v>
      </c>
      <c r="E1435" t="s">
        <v>1607</v>
      </c>
      <c r="F1435" t="s">
        <v>149</v>
      </c>
      <c r="G1435" t="s">
        <v>6312</v>
      </c>
    </row>
    <row r="1436" spans="1:7" s="297" customFormat="1" ht="44.25" customHeight="1">
      <c r="A1436" t="s">
        <v>6313</v>
      </c>
      <c r="B1436" t="s">
        <v>6314</v>
      </c>
      <c r="C1436" t="s">
        <v>6315</v>
      </c>
      <c r="D1436" t="s">
        <v>2257</v>
      </c>
      <c r="E1436" t="s">
        <v>2685</v>
      </c>
      <c r="F1436" t="s">
        <v>149</v>
      </c>
      <c r="G1436" t="s">
        <v>6316</v>
      </c>
    </row>
    <row r="1437" spans="1:7" s="297" customFormat="1" ht="44.25" customHeight="1">
      <c r="A1437" t="s">
        <v>6317</v>
      </c>
      <c r="B1437" t="s">
        <v>6318</v>
      </c>
      <c r="C1437" t="s">
        <v>136</v>
      </c>
      <c r="D1437" t="s">
        <v>79</v>
      </c>
      <c r="E1437" t="s">
        <v>6319</v>
      </c>
      <c r="F1437" t="s">
        <v>149</v>
      </c>
      <c r="G1437" t="s">
        <v>6320</v>
      </c>
    </row>
    <row r="1438" spans="1:7" s="297" customFormat="1" ht="44.25" customHeight="1">
      <c r="A1438" t="s">
        <v>6321</v>
      </c>
      <c r="B1438" t="s">
        <v>6322</v>
      </c>
      <c r="C1438" t="s">
        <v>136</v>
      </c>
      <c r="D1438" t="s">
        <v>79</v>
      </c>
      <c r="E1438" t="s">
        <v>6323</v>
      </c>
      <c r="F1438" t="s">
        <v>149</v>
      </c>
      <c r="G1438" t="s">
        <v>6324</v>
      </c>
    </row>
    <row r="1439" spans="1:7" s="297" customFormat="1" ht="44.25" customHeight="1">
      <c r="A1439" t="s">
        <v>6325</v>
      </c>
      <c r="B1439" t="s">
        <v>6326</v>
      </c>
      <c r="C1439" t="s">
        <v>136</v>
      </c>
      <c r="D1439" t="s">
        <v>2253</v>
      </c>
      <c r="E1439" t="s">
        <v>1432</v>
      </c>
      <c r="F1439" t="s">
        <v>149</v>
      </c>
      <c r="G1439" t="s">
        <v>6327</v>
      </c>
    </row>
    <row r="1440" spans="1:7" s="297" customFormat="1" ht="44.25" customHeight="1">
      <c r="A1440" t="s">
        <v>6328</v>
      </c>
      <c r="B1440" t="s">
        <v>6329</v>
      </c>
      <c r="C1440" t="s">
        <v>136</v>
      </c>
      <c r="D1440" t="s">
        <v>2253</v>
      </c>
      <c r="E1440" t="s">
        <v>1432</v>
      </c>
      <c r="F1440" t="s">
        <v>149</v>
      </c>
      <c r="G1440" t="s">
        <v>6330</v>
      </c>
    </row>
    <row r="1441" spans="1:7" s="297" customFormat="1" ht="44.25" customHeight="1">
      <c r="A1441" t="s">
        <v>6331</v>
      </c>
      <c r="B1441" t="s">
        <v>6332</v>
      </c>
      <c r="C1441" t="s">
        <v>136</v>
      </c>
      <c r="D1441" t="s">
        <v>2253</v>
      </c>
      <c r="E1441" t="s">
        <v>1432</v>
      </c>
      <c r="F1441" t="s">
        <v>149</v>
      </c>
      <c r="G1441" t="s">
        <v>6333</v>
      </c>
    </row>
    <row r="1442" spans="1:7" s="297" customFormat="1" ht="44.25" customHeight="1">
      <c r="A1442" t="s">
        <v>6334</v>
      </c>
      <c r="B1442" t="s">
        <v>6335</v>
      </c>
      <c r="C1442" t="s">
        <v>136</v>
      </c>
      <c r="D1442" t="s">
        <v>2257</v>
      </c>
      <c r="E1442" t="s">
        <v>2276</v>
      </c>
      <c r="F1442" t="s">
        <v>149</v>
      </c>
      <c r="G1442" t="s">
        <v>6336</v>
      </c>
    </row>
    <row r="1443" spans="1:7" s="297" customFormat="1" ht="44.25" customHeight="1">
      <c r="A1443" t="s">
        <v>1479</v>
      </c>
      <c r="B1443" t="s">
        <v>6337</v>
      </c>
      <c r="C1443" t="s">
        <v>136</v>
      </c>
      <c r="D1443" t="s">
        <v>2253</v>
      </c>
      <c r="E1443" t="s">
        <v>1432</v>
      </c>
      <c r="F1443" t="s">
        <v>149</v>
      </c>
      <c r="G1443" t="s">
        <v>6338</v>
      </c>
    </row>
    <row r="1444" spans="1:7" s="297" customFormat="1" ht="44.25" customHeight="1">
      <c r="A1444" t="s">
        <v>406</v>
      </c>
      <c r="B1444" t="s">
        <v>6339</v>
      </c>
      <c r="C1444" t="s">
        <v>136</v>
      </c>
      <c r="D1444" t="s">
        <v>2257</v>
      </c>
      <c r="E1444" t="s">
        <v>2276</v>
      </c>
      <c r="F1444" t="s">
        <v>149</v>
      </c>
      <c r="G1444" t="s">
        <v>6340</v>
      </c>
    </row>
    <row r="1445" spans="1:7" s="297" customFormat="1" ht="44.25" customHeight="1">
      <c r="A1445" t="s">
        <v>763</v>
      </c>
      <c r="B1445" t="s">
        <v>6341</v>
      </c>
      <c r="C1445" t="s">
        <v>136</v>
      </c>
      <c r="D1445" t="s">
        <v>79</v>
      </c>
      <c r="E1445" t="s">
        <v>4749</v>
      </c>
      <c r="F1445" t="s">
        <v>149</v>
      </c>
      <c r="G1445" t="s">
        <v>6342</v>
      </c>
    </row>
    <row r="1446" spans="1:7" s="297" customFormat="1" ht="44.25" customHeight="1">
      <c r="A1446" t="s">
        <v>1049</v>
      </c>
      <c r="B1446" t="s">
        <v>6343</v>
      </c>
      <c r="C1446" t="s">
        <v>136</v>
      </c>
      <c r="D1446" t="s">
        <v>2257</v>
      </c>
      <c r="E1446" t="s">
        <v>1624</v>
      </c>
      <c r="F1446" t="s">
        <v>149</v>
      </c>
      <c r="G1446" t="s">
        <v>6344</v>
      </c>
    </row>
    <row r="1447" spans="1:7" s="297" customFormat="1" ht="44.25" customHeight="1">
      <c r="A1447" t="s">
        <v>6345</v>
      </c>
      <c r="B1447" t="s">
        <v>6346</v>
      </c>
      <c r="C1447" t="s">
        <v>136</v>
      </c>
      <c r="D1447" t="s">
        <v>79</v>
      </c>
      <c r="E1447" t="s">
        <v>6347</v>
      </c>
      <c r="F1447" t="s">
        <v>149</v>
      </c>
      <c r="G1447" t="s">
        <v>6348</v>
      </c>
    </row>
    <row r="1448" spans="1:7" s="297" customFormat="1" ht="44.25" customHeight="1">
      <c r="A1448" t="s">
        <v>6349</v>
      </c>
      <c r="B1448" t="s">
        <v>6350</v>
      </c>
      <c r="C1448" t="s">
        <v>136</v>
      </c>
      <c r="D1448" t="s">
        <v>79</v>
      </c>
      <c r="E1448" t="s">
        <v>6351</v>
      </c>
      <c r="F1448" t="s">
        <v>149</v>
      </c>
      <c r="G1448" t="s">
        <v>6352</v>
      </c>
    </row>
    <row r="1449" spans="1:7" s="297" customFormat="1" ht="44.25" customHeight="1">
      <c r="A1449" t="s">
        <v>6353</v>
      </c>
      <c r="B1449" t="s">
        <v>6354</v>
      </c>
      <c r="C1449" t="s">
        <v>136</v>
      </c>
      <c r="D1449" t="s">
        <v>79</v>
      </c>
      <c r="E1449" t="s">
        <v>6355</v>
      </c>
      <c r="F1449" t="s">
        <v>149</v>
      </c>
      <c r="G1449" t="s">
        <v>6356</v>
      </c>
    </row>
    <row r="1450" spans="1:7" s="297" customFormat="1" ht="44.25" customHeight="1">
      <c r="A1450" t="s">
        <v>544</v>
      </c>
      <c r="B1450" t="s">
        <v>6357</v>
      </c>
      <c r="C1450" t="s">
        <v>136</v>
      </c>
      <c r="D1450" t="s">
        <v>79</v>
      </c>
      <c r="E1450" t="s">
        <v>6358</v>
      </c>
      <c r="F1450" t="s">
        <v>149</v>
      </c>
      <c r="G1450" t="s">
        <v>6359</v>
      </c>
    </row>
    <row r="1451" spans="1:7" s="297" customFormat="1" ht="44.25" customHeight="1">
      <c r="A1451" t="s">
        <v>6360</v>
      </c>
      <c r="B1451" t="s">
        <v>6361</v>
      </c>
      <c r="C1451" t="s">
        <v>136</v>
      </c>
      <c r="D1451" t="s">
        <v>2257</v>
      </c>
      <c r="E1451" t="s">
        <v>2399</v>
      </c>
      <c r="F1451" t="s">
        <v>149</v>
      </c>
      <c r="G1451" t="s">
        <v>6362</v>
      </c>
    </row>
    <row r="1452" spans="1:7" s="297" customFormat="1" ht="44.25" customHeight="1">
      <c r="A1452" t="s">
        <v>6363</v>
      </c>
      <c r="B1452" t="s">
        <v>6364</v>
      </c>
      <c r="C1452" t="s">
        <v>136</v>
      </c>
      <c r="D1452" t="s">
        <v>2257</v>
      </c>
      <c r="E1452" t="s">
        <v>1607</v>
      </c>
      <c r="F1452" t="s">
        <v>149</v>
      </c>
      <c r="G1452" t="s">
        <v>6365</v>
      </c>
    </row>
    <row r="1453" spans="1:7" s="297" customFormat="1" ht="44.25" customHeight="1">
      <c r="A1453" t="s">
        <v>6366</v>
      </c>
      <c r="B1453" t="s">
        <v>6367</v>
      </c>
      <c r="C1453" t="s">
        <v>136</v>
      </c>
      <c r="D1453" t="s">
        <v>2257</v>
      </c>
      <c r="E1453" t="s">
        <v>2695</v>
      </c>
      <c r="F1453" t="s">
        <v>149</v>
      </c>
      <c r="G1453" t="s">
        <v>6368</v>
      </c>
    </row>
    <row r="1454" spans="1:7" s="297" customFormat="1" ht="44.25" customHeight="1">
      <c r="A1454" t="s">
        <v>6369</v>
      </c>
      <c r="B1454" t="s">
        <v>6370</v>
      </c>
      <c r="C1454" t="s">
        <v>136</v>
      </c>
      <c r="D1454" t="s">
        <v>2257</v>
      </c>
      <c r="E1454" t="s">
        <v>1607</v>
      </c>
      <c r="F1454" t="s">
        <v>149</v>
      </c>
      <c r="G1454" t="s">
        <v>6371</v>
      </c>
    </row>
    <row r="1455" spans="1:7" s="297" customFormat="1" ht="44.25" customHeight="1">
      <c r="A1455" t="s">
        <v>6372</v>
      </c>
      <c r="B1455" t="s">
        <v>6373</v>
      </c>
      <c r="C1455" t="s">
        <v>136</v>
      </c>
      <c r="D1455" t="s">
        <v>2257</v>
      </c>
      <c r="E1455" t="s">
        <v>2399</v>
      </c>
      <c r="F1455" t="s">
        <v>149</v>
      </c>
      <c r="G1455" t="s">
        <v>6374</v>
      </c>
    </row>
    <row r="1456" spans="1:7" s="297" customFormat="1" ht="44.25" customHeight="1">
      <c r="A1456" t="s">
        <v>6375</v>
      </c>
      <c r="B1456" t="s">
        <v>6376</v>
      </c>
      <c r="C1456" t="s">
        <v>136</v>
      </c>
      <c r="D1456" t="s">
        <v>2257</v>
      </c>
      <c r="E1456" t="s">
        <v>2276</v>
      </c>
      <c r="F1456" t="s">
        <v>149</v>
      </c>
      <c r="G1456" t="s">
        <v>6377</v>
      </c>
    </row>
    <row r="1457" spans="1:7" s="297" customFormat="1" ht="44.25" customHeight="1">
      <c r="A1457" t="s">
        <v>6378</v>
      </c>
      <c r="B1457" t="s">
        <v>6379</v>
      </c>
      <c r="C1457" t="s">
        <v>136</v>
      </c>
      <c r="D1457" t="s">
        <v>2253</v>
      </c>
      <c r="E1457" t="s">
        <v>1430</v>
      </c>
      <c r="F1457" t="s">
        <v>149</v>
      </c>
      <c r="G1457" t="s">
        <v>6380</v>
      </c>
    </row>
    <row r="1458" spans="1:7" s="297" customFormat="1" ht="44.25" customHeight="1">
      <c r="A1458" t="s">
        <v>6381</v>
      </c>
      <c r="B1458" t="s">
        <v>6382</v>
      </c>
      <c r="C1458" t="s">
        <v>136</v>
      </c>
      <c r="D1458" t="s">
        <v>2257</v>
      </c>
      <c r="E1458" t="s">
        <v>2276</v>
      </c>
      <c r="F1458" t="s">
        <v>149</v>
      </c>
      <c r="G1458" t="s">
        <v>6383</v>
      </c>
    </row>
    <row r="1459" spans="1:7" s="297" customFormat="1" ht="44.25" customHeight="1">
      <c r="A1459" t="s">
        <v>1317</v>
      </c>
      <c r="B1459" t="s">
        <v>6384</v>
      </c>
      <c r="C1459" t="s">
        <v>136</v>
      </c>
      <c r="D1459" t="s">
        <v>2253</v>
      </c>
      <c r="E1459" t="s">
        <v>2258</v>
      </c>
      <c r="F1459" t="s">
        <v>149</v>
      </c>
      <c r="G1459" t="s">
        <v>6385</v>
      </c>
    </row>
    <row r="1460" spans="1:7" s="297" customFormat="1" ht="44.25" customHeight="1">
      <c r="A1460" t="s">
        <v>1340</v>
      </c>
      <c r="B1460" t="s">
        <v>6386</v>
      </c>
      <c r="C1460" t="s">
        <v>136</v>
      </c>
      <c r="D1460" t="s">
        <v>2253</v>
      </c>
      <c r="E1460" t="s">
        <v>1432</v>
      </c>
      <c r="F1460" t="s">
        <v>149</v>
      </c>
      <c r="G1460" t="s">
        <v>6387</v>
      </c>
    </row>
    <row r="1461" spans="1:7" s="297" customFormat="1" ht="44.25" customHeight="1">
      <c r="A1461" t="s">
        <v>1450</v>
      </c>
      <c r="B1461" t="s">
        <v>6388</v>
      </c>
      <c r="C1461" t="s">
        <v>136</v>
      </c>
      <c r="D1461" t="s">
        <v>2257</v>
      </c>
      <c r="E1461" t="s">
        <v>2276</v>
      </c>
      <c r="F1461" t="s">
        <v>149</v>
      </c>
      <c r="G1461" t="s">
        <v>6389</v>
      </c>
    </row>
    <row r="1462" spans="1:7" s="297" customFormat="1" ht="44.25" customHeight="1">
      <c r="A1462" t="s">
        <v>878</v>
      </c>
      <c r="B1462" t="s">
        <v>6390</v>
      </c>
      <c r="C1462" t="s">
        <v>136</v>
      </c>
      <c r="D1462" t="s">
        <v>79</v>
      </c>
      <c r="E1462" t="s">
        <v>6211</v>
      </c>
      <c r="F1462" t="s">
        <v>149</v>
      </c>
      <c r="G1462" t="s">
        <v>6391</v>
      </c>
    </row>
    <row r="1463" spans="1:7" s="297" customFormat="1" ht="44.25" customHeight="1">
      <c r="A1463" t="s">
        <v>136</v>
      </c>
      <c r="B1463" t="s">
        <v>6392</v>
      </c>
      <c r="C1463" t="s">
        <v>136</v>
      </c>
      <c r="D1463" t="s">
        <v>79</v>
      </c>
      <c r="E1463" t="s">
        <v>1582</v>
      </c>
      <c r="F1463" t="s">
        <v>149</v>
      </c>
      <c r="G1463" t="s">
        <v>6393</v>
      </c>
    </row>
    <row r="1464" spans="1:7" s="297" customFormat="1" ht="44.25" customHeight="1">
      <c r="A1464" t="s">
        <v>6394</v>
      </c>
      <c r="B1464" t="s">
        <v>6395</v>
      </c>
      <c r="C1464" t="s">
        <v>136</v>
      </c>
      <c r="D1464" t="s">
        <v>79</v>
      </c>
      <c r="E1464" t="s">
        <v>6396</v>
      </c>
      <c r="F1464" t="s">
        <v>149</v>
      </c>
      <c r="G1464" t="s">
        <v>6397</v>
      </c>
    </row>
    <row r="1465" spans="1:7" s="297" customFormat="1" ht="44.25" customHeight="1">
      <c r="A1465" t="s">
        <v>6398</v>
      </c>
      <c r="B1465" t="s">
        <v>6399</v>
      </c>
      <c r="C1465" t="s">
        <v>136</v>
      </c>
      <c r="D1465" t="s">
        <v>79</v>
      </c>
      <c r="E1465" t="s">
        <v>6400</v>
      </c>
      <c r="F1465" t="s">
        <v>149</v>
      </c>
      <c r="G1465" t="s">
        <v>6401</v>
      </c>
    </row>
    <row r="1466" spans="1:7" s="297" customFormat="1" ht="44.25" customHeight="1">
      <c r="A1466" t="s">
        <v>6398</v>
      </c>
      <c r="B1466" t="s">
        <v>6399</v>
      </c>
      <c r="C1466" t="s">
        <v>136</v>
      </c>
      <c r="D1466" t="s">
        <v>79</v>
      </c>
      <c r="E1466" t="s">
        <v>6400</v>
      </c>
      <c r="F1466" t="s">
        <v>149</v>
      </c>
      <c r="G1466" t="s">
        <v>6401</v>
      </c>
    </row>
    <row r="1467" spans="1:7" s="297" customFormat="1" ht="44.25" customHeight="1">
      <c r="A1467" t="s">
        <v>6402</v>
      </c>
      <c r="B1467" t="s">
        <v>6403</v>
      </c>
      <c r="C1467" t="s">
        <v>136</v>
      </c>
      <c r="D1467" t="s">
        <v>2257</v>
      </c>
      <c r="E1467" t="s">
        <v>5684</v>
      </c>
      <c r="F1467" t="s">
        <v>149</v>
      </c>
      <c r="G1467" t="s">
        <v>6404</v>
      </c>
    </row>
    <row r="1468" spans="1:7" s="297" customFormat="1" ht="44.25" customHeight="1">
      <c r="A1468" t="s">
        <v>6405</v>
      </c>
      <c r="B1468" t="s">
        <v>6406</v>
      </c>
      <c r="C1468" t="s">
        <v>136</v>
      </c>
      <c r="D1468" t="s">
        <v>2257</v>
      </c>
      <c r="E1468" t="s">
        <v>5691</v>
      </c>
      <c r="F1468" t="s">
        <v>149</v>
      </c>
      <c r="G1468" t="s">
        <v>6407</v>
      </c>
    </row>
    <row r="1469" spans="1:7" s="297" customFormat="1" ht="44.25" customHeight="1">
      <c r="A1469" t="s">
        <v>136</v>
      </c>
      <c r="B1469" t="s">
        <v>6408</v>
      </c>
      <c r="C1469" t="s">
        <v>136</v>
      </c>
      <c r="D1469" t="s">
        <v>2257</v>
      </c>
      <c r="E1469" t="s">
        <v>6409</v>
      </c>
      <c r="F1469" t="s">
        <v>149</v>
      </c>
      <c r="G1469" t="s">
        <v>6410</v>
      </c>
    </row>
    <row r="1470" spans="1:7" s="297" customFormat="1" ht="44.25" customHeight="1">
      <c r="A1470" t="s">
        <v>136</v>
      </c>
      <c r="B1470" t="s">
        <v>6411</v>
      </c>
      <c r="C1470" t="s">
        <v>136</v>
      </c>
      <c r="D1470" t="s">
        <v>2257</v>
      </c>
      <c r="E1470" t="s">
        <v>5691</v>
      </c>
      <c r="F1470" t="s">
        <v>149</v>
      </c>
      <c r="G1470" t="s">
        <v>6412</v>
      </c>
    </row>
    <row r="1471" spans="1:7" s="297" customFormat="1" ht="44.25" customHeight="1">
      <c r="A1471" t="s">
        <v>136</v>
      </c>
      <c r="B1471" t="s">
        <v>6413</v>
      </c>
      <c r="C1471" t="s">
        <v>136</v>
      </c>
      <c r="D1471" t="s">
        <v>2257</v>
      </c>
      <c r="E1471" t="s">
        <v>5813</v>
      </c>
      <c r="F1471" t="s">
        <v>149</v>
      </c>
      <c r="G1471" t="s">
        <v>6414</v>
      </c>
    </row>
    <row r="1472" spans="1:7" s="297" customFormat="1" ht="44.25" customHeight="1">
      <c r="A1472" t="s">
        <v>6415</v>
      </c>
      <c r="B1472" t="s">
        <v>6416</v>
      </c>
      <c r="C1472" t="s">
        <v>136</v>
      </c>
      <c r="D1472" t="s">
        <v>2257</v>
      </c>
      <c r="E1472" t="s">
        <v>1607</v>
      </c>
      <c r="F1472" t="s">
        <v>149</v>
      </c>
      <c r="G1472" t="s">
        <v>6417</v>
      </c>
    </row>
    <row r="1473" spans="1:7" s="297" customFormat="1" ht="44.25" customHeight="1">
      <c r="A1473" t="s">
        <v>6418</v>
      </c>
      <c r="B1473" t="s">
        <v>6419</v>
      </c>
      <c r="C1473" t="s">
        <v>136</v>
      </c>
      <c r="D1473" t="s">
        <v>2257</v>
      </c>
      <c r="E1473" t="s">
        <v>1607</v>
      </c>
      <c r="F1473" t="s">
        <v>149</v>
      </c>
      <c r="G1473" t="s">
        <v>6420</v>
      </c>
    </row>
    <row r="1474" spans="1:7" s="297" customFormat="1" ht="44.25" customHeight="1">
      <c r="A1474" t="s">
        <v>277</v>
      </c>
      <c r="B1474" t="s">
        <v>6421</v>
      </c>
      <c r="C1474" t="s">
        <v>136</v>
      </c>
      <c r="D1474" t="s">
        <v>2624</v>
      </c>
      <c r="E1474" t="s">
        <v>1607</v>
      </c>
      <c r="F1474" t="s">
        <v>149</v>
      </c>
      <c r="G1474" t="s">
        <v>6422</v>
      </c>
    </row>
    <row r="1475" spans="1:7" s="297" customFormat="1" ht="44.25" customHeight="1">
      <c r="A1475" t="s">
        <v>6423</v>
      </c>
      <c r="B1475" t="s">
        <v>6424</v>
      </c>
      <c r="C1475" t="s">
        <v>136</v>
      </c>
      <c r="D1475" t="s">
        <v>2257</v>
      </c>
      <c r="E1475" t="s">
        <v>1607</v>
      </c>
      <c r="F1475" t="s">
        <v>149</v>
      </c>
      <c r="G1475" t="s">
        <v>6425</v>
      </c>
    </row>
    <row r="1476" spans="1:7" s="297" customFormat="1" ht="44.25" customHeight="1">
      <c r="A1476" t="s">
        <v>6426</v>
      </c>
      <c r="B1476" t="s">
        <v>6427</v>
      </c>
      <c r="C1476" t="s">
        <v>136</v>
      </c>
      <c r="D1476" t="s">
        <v>2257</v>
      </c>
      <c r="E1476" t="s">
        <v>1607</v>
      </c>
      <c r="F1476" t="s">
        <v>149</v>
      </c>
      <c r="G1476" t="s">
        <v>6428</v>
      </c>
    </row>
    <row r="1477" spans="1:7" s="297" customFormat="1" ht="44.25" customHeight="1">
      <c r="A1477" t="s">
        <v>6429</v>
      </c>
      <c r="B1477" t="s">
        <v>6430</v>
      </c>
      <c r="C1477" t="s">
        <v>136</v>
      </c>
      <c r="D1477" t="s">
        <v>2257</v>
      </c>
      <c r="E1477" t="s">
        <v>2399</v>
      </c>
      <c r="F1477" t="s">
        <v>149</v>
      </c>
      <c r="G1477" t="s">
        <v>6431</v>
      </c>
    </row>
    <row r="1478" spans="1:7" s="297" customFormat="1" ht="44.25" customHeight="1">
      <c r="A1478" t="s">
        <v>6432</v>
      </c>
      <c r="B1478" t="s">
        <v>6433</v>
      </c>
      <c r="C1478" t="s">
        <v>136</v>
      </c>
      <c r="D1478" t="s">
        <v>2257</v>
      </c>
      <c r="E1478" t="s">
        <v>2399</v>
      </c>
      <c r="F1478" t="s">
        <v>149</v>
      </c>
      <c r="G1478" t="s">
        <v>6434</v>
      </c>
    </row>
    <row r="1479" spans="1:7" s="297" customFormat="1" ht="44.25" customHeight="1">
      <c r="A1479" t="s">
        <v>889</v>
      </c>
      <c r="B1479" t="s">
        <v>6435</v>
      </c>
      <c r="C1479" t="s">
        <v>136</v>
      </c>
      <c r="D1479" t="s">
        <v>2257</v>
      </c>
      <c r="E1479" t="s">
        <v>3580</v>
      </c>
      <c r="F1479" t="s">
        <v>149</v>
      </c>
      <c r="G1479" t="s">
        <v>6436</v>
      </c>
    </row>
    <row r="1480" spans="1:7" s="297" customFormat="1" ht="44.25" customHeight="1">
      <c r="A1480" t="s">
        <v>6437</v>
      </c>
      <c r="B1480" t="s">
        <v>6438</v>
      </c>
      <c r="C1480" t="s">
        <v>136</v>
      </c>
      <c r="D1480" t="s">
        <v>79</v>
      </c>
      <c r="E1480" t="s">
        <v>3416</v>
      </c>
      <c r="F1480" t="s">
        <v>149</v>
      </c>
      <c r="G1480" t="s">
        <v>6439</v>
      </c>
    </row>
    <row r="1481" spans="1:7" s="297" customFormat="1" ht="44.25" customHeight="1">
      <c r="A1481" t="s">
        <v>6437</v>
      </c>
      <c r="B1481" t="s">
        <v>6438</v>
      </c>
      <c r="C1481" t="s">
        <v>136</v>
      </c>
      <c r="D1481" t="s">
        <v>79</v>
      </c>
      <c r="E1481" t="s">
        <v>3416</v>
      </c>
      <c r="F1481" t="s">
        <v>149</v>
      </c>
      <c r="G1481" t="s">
        <v>6439</v>
      </c>
    </row>
    <row r="1482" spans="1:7" s="297" customFormat="1" ht="44.25" customHeight="1">
      <c r="A1482" t="s">
        <v>6440</v>
      </c>
      <c r="B1482" t="s">
        <v>6441</v>
      </c>
      <c r="C1482" t="s">
        <v>136</v>
      </c>
      <c r="D1482" t="s">
        <v>2253</v>
      </c>
      <c r="E1482" t="s">
        <v>1430</v>
      </c>
      <c r="F1482" t="s">
        <v>149</v>
      </c>
      <c r="G1482" t="s">
        <v>6442</v>
      </c>
    </row>
    <row r="1483" spans="1:7" s="297" customFormat="1" ht="44.25" customHeight="1">
      <c r="A1483" t="s">
        <v>6443</v>
      </c>
      <c r="B1483" t="s">
        <v>6444</v>
      </c>
      <c r="C1483" t="s">
        <v>136</v>
      </c>
      <c r="D1483" t="s">
        <v>2253</v>
      </c>
      <c r="E1483" t="s">
        <v>1430</v>
      </c>
      <c r="F1483" t="s">
        <v>149</v>
      </c>
      <c r="G1483" t="s">
        <v>6445</v>
      </c>
    </row>
    <row r="1484" spans="1:7" s="297" customFormat="1" ht="44.25" customHeight="1">
      <c r="A1484" t="s">
        <v>6446</v>
      </c>
      <c r="B1484" t="s">
        <v>6447</v>
      </c>
      <c r="C1484" t="s">
        <v>136</v>
      </c>
      <c r="D1484" t="s">
        <v>2257</v>
      </c>
      <c r="E1484" t="s">
        <v>2276</v>
      </c>
      <c r="F1484" t="s">
        <v>149</v>
      </c>
      <c r="G1484" t="s">
        <v>6448</v>
      </c>
    </row>
    <row r="1485" spans="1:7" s="297" customFormat="1" ht="44.25" customHeight="1">
      <c r="A1485" t="s">
        <v>6449</v>
      </c>
      <c r="B1485" t="s">
        <v>6450</v>
      </c>
      <c r="C1485" t="s">
        <v>136</v>
      </c>
      <c r="D1485" t="s">
        <v>2253</v>
      </c>
      <c r="E1485" t="s">
        <v>1432</v>
      </c>
      <c r="F1485" t="s">
        <v>149</v>
      </c>
      <c r="G1485" t="s">
        <v>6451</v>
      </c>
    </row>
    <row r="1486" spans="1:7" s="297" customFormat="1" ht="44.25" customHeight="1">
      <c r="A1486" t="s">
        <v>6452</v>
      </c>
      <c r="B1486" t="s">
        <v>6453</v>
      </c>
      <c r="C1486" t="s">
        <v>136</v>
      </c>
      <c r="D1486" t="s">
        <v>2253</v>
      </c>
      <c r="E1486" t="s">
        <v>1432</v>
      </c>
      <c r="F1486" t="s">
        <v>149</v>
      </c>
      <c r="G1486" t="s">
        <v>6454</v>
      </c>
    </row>
    <row r="1487" spans="1:7" s="297" customFormat="1" ht="44.25" customHeight="1">
      <c r="A1487" t="s">
        <v>1347</v>
      </c>
      <c r="B1487" t="s">
        <v>6455</v>
      </c>
      <c r="C1487" t="s">
        <v>136</v>
      </c>
      <c r="D1487" t="s">
        <v>2257</v>
      </c>
      <c r="E1487" t="s">
        <v>2276</v>
      </c>
      <c r="F1487" t="s">
        <v>149</v>
      </c>
      <c r="G1487" t="s">
        <v>6456</v>
      </c>
    </row>
    <row r="1488" spans="1:7" s="297" customFormat="1" ht="44.25" customHeight="1">
      <c r="A1488" t="s">
        <v>1371</v>
      </c>
      <c r="B1488" t="s">
        <v>6457</v>
      </c>
      <c r="C1488" t="s">
        <v>136</v>
      </c>
      <c r="D1488" t="s">
        <v>2257</v>
      </c>
      <c r="E1488" t="s">
        <v>2276</v>
      </c>
      <c r="F1488" t="s">
        <v>149</v>
      </c>
      <c r="G1488" t="s">
        <v>6458</v>
      </c>
    </row>
    <row r="1489" spans="1:7" s="297" customFormat="1" ht="44.25" customHeight="1">
      <c r="A1489" t="s">
        <v>1447</v>
      </c>
      <c r="B1489" t="s">
        <v>6459</v>
      </c>
      <c r="C1489" t="s">
        <v>136</v>
      </c>
      <c r="D1489" t="s">
        <v>2257</v>
      </c>
      <c r="E1489" t="s">
        <v>2276</v>
      </c>
      <c r="F1489" t="s">
        <v>149</v>
      </c>
      <c r="G1489" t="s">
        <v>6460</v>
      </c>
    </row>
    <row r="1490" spans="1:7" s="297" customFormat="1" ht="44.25" customHeight="1">
      <c r="A1490" t="s">
        <v>1484</v>
      </c>
      <c r="B1490" t="s">
        <v>6461</v>
      </c>
      <c r="C1490" t="s">
        <v>136</v>
      </c>
      <c r="D1490" t="s">
        <v>2257</v>
      </c>
      <c r="E1490" t="s">
        <v>2276</v>
      </c>
      <c r="F1490" t="s">
        <v>149</v>
      </c>
      <c r="G1490" t="s">
        <v>6462</v>
      </c>
    </row>
    <row r="1491" spans="1:7" s="297" customFormat="1" ht="44.25" customHeight="1">
      <c r="A1491" t="s">
        <v>925</v>
      </c>
      <c r="B1491" t="s">
        <v>6463</v>
      </c>
      <c r="C1491" t="s">
        <v>136</v>
      </c>
      <c r="D1491" t="s">
        <v>79</v>
      </c>
      <c r="E1491" t="s">
        <v>4511</v>
      </c>
      <c r="F1491" t="s">
        <v>149</v>
      </c>
      <c r="G1491" t="s">
        <v>6464</v>
      </c>
    </row>
    <row r="1492" spans="1:7" s="297" customFormat="1" ht="44.25" customHeight="1">
      <c r="A1492" t="s">
        <v>969</v>
      </c>
      <c r="B1492" t="s">
        <v>6465</v>
      </c>
      <c r="C1492" t="s">
        <v>136</v>
      </c>
      <c r="D1492" t="s">
        <v>2257</v>
      </c>
      <c r="E1492" t="s">
        <v>2276</v>
      </c>
      <c r="F1492" t="s">
        <v>149</v>
      </c>
      <c r="G1492" t="s">
        <v>6466</v>
      </c>
    </row>
    <row r="1493" spans="1:7" s="297" customFormat="1" ht="44.25" customHeight="1">
      <c r="A1493" t="s">
        <v>6467</v>
      </c>
      <c r="B1493" t="s">
        <v>6468</v>
      </c>
      <c r="C1493" t="s">
        <v>136</v>
      </c>
      <c r="D1493" t="s">
        <v>79</v>
      </c>
      <c r="E1493" t="s">
        <v>3482</v>
      </c>
      <c r="F1493" t="s">
        <v>149</v>
      </c>
      <c r="G1493" t="s">
        <v>6469</v>
      </c>
    </row>
    <row r="1494" spans="1:7" s="297" customFormat="1" ht="44.25" customHeight="1">
      <c r="A1494" t="s">
        <v>6470</v>
      </c>
      <c r="B1494" t="s">
        <v>6471</v>
      </c>
      <c r="C1494" t="s">
        <v>136</v>
      </c>
      <c r="D1494" t="s">
        <v>79</v>
      </c>
      <c r="E1494" t="s">
        <v>6472</v>
      </c>
      <c r="F1494" t="s">
        <v>149</v>
      </c>
      <c r="G1494" t="s">
        <v>6473</v>
      </c>
    </row>
    <row r="1495" spans="1:7" s="297" customFormat="1" ht="44.25" customHeight="1">
      <c r="A1495" t="s">
        <v>6474</v>
      </c>
      <c r="B1495" t="s">
        <v>6475</v>
      </c>
      <c r="C1495" t="s">
        <v>136</v>
      </c>
      <c r="D1495" t="s">
        <v>79</v>
      </c>
      <c r="E1495" t="s">
        <v>6476</v>
      </c>
      <c r="F1495" t="s">
        <v>149</v>
      </c>
      <c r="G1495" t="s">
        <v>6477</v>
      </c>
    </row>
    <row r="1496" spans="1:7" s="297" customFormat="1" ht="44.25" customHeight="1">
      <c r="A1496" t="s">
        <v>6478</v>
      </c>
      <c r="B1496" t="s">
        <v>6479</v>
      </c>
      <c r="C1496" t="s">
        <v>136</v>
      </c>
      <c r="D1496" t="s">
        <v>79</v>
      </c>
      <c r="E1496" t="s">
        <v>6480</v>
      </c>
      <c r="F1496" t="s">
        <v>149</v>
      </c>
      <c r="G1496" t="s">
        <v>6481</v>
      </c>
    </row>
    <row r="1497" spans="1:7" s="297" customFormat="1" ht="44.25" customHeight="1">
      <c r="A1497" t="s">
        <v>6482</v>
      </c>
      <c r="B1497" t="s">
        <v>6483</v>
      </c>
      <c r="C1497" t="s">
        <v>136</v>
      </c>
      <c r="D1497" t="s">
        <v>79</v>
      </c>
      <c r="E1497" t="s">
        <v>6484</v>
      </c>
      <c r="F1497" t="s">
        <v>149</v>
      </c>
      <c r="G1497" t="s">
        <v>6485</v>
      </c>
    </row>
    <row r="1498" spans="1:7" s="297" customFormat="1" ht="44.25" customHeight="1">
      <c r="A1498" t="s">
        <v>6486</v>
      </c>
      <c r="B1498" t="s">
        <v>6487</v>
      </c>
      <c r="C1498" t="s">
        <v>136</v>
      </c>
      <c r="D1498" t="s">
        <v>2257</v>
      </c>
      <c r="E1498" t="s">
        <v>5691</v>
      </c>
      <c r="F1498" t="s">
        <v>149</v>
      </c>
      <c r="G1498" t="s">
        <v>6488</v>
      </c>
    </row>
    <row r="1499" spans="1:7" s="297" customFormat="1" ht="44.25" customHeight="1">
      <c r="A1499" t="s">
        <v>136</v>
      </c>
      <c r="B1499" t="s">
        <v>6489</v>
      </c>
      <c r="C1499" t="s">
        <v>136</v>
      </c>
      <c r="D1499" t="s">
        <v>2257</v>
      </c>
      <c r="E1499" t="s">
        <v>5691</v>
      </c>
      <c r="F1499" t="s">
        <v>149</v>
      </c>
      <c r="G1499" t="s">
        <v>6490</v>
      </c>
    </row>
    <row r="1500" spans="1:7" s="297" customFormat="1" ht="44.25" customHeight="1">
      <c r="A1500" t="s">
        <v>136</v>
      </c>
      <c r="B1500" t="s">
        <v>6491</v>
      </c>
      <c r="C1500" t="s">
        <v>136</v>
      </c>
      <c r="D1500" t="s">
        <v>2257</v>
      </c>
      <c r="E1500" t="s">
        <v>5738</v>
      </c>
      <c r="F1500" t="s">
        <v>149</v>
      </c>
      <c r="G1500" t="s">
        <v>6492</v>
      </c>
    </row>
    <row r="1501" spans="1:7" s="297" customFormat="1" ht="44.25" customHeight="1">
      <c r="A1501" t="s">
        <v>1421</v>
      </c>
      <c r="B1501" t="s">
        <v>6493</v>
      </c>
      <c r="C1501" t="s">
        <v>136</v>
      </c>
      <c r="D1501" t="s">
        <v>2257</v>
      </c>
      <c r="E1501" t="s">
        <v>1607</v>
      </c>
      <c r="F1501" t="s">
        <v>149</v>
      </c>
      <c r="G1501" t="s">
        <v>6494</v>
      </c>
    </row>
    <row r="1502" spans="1:7" s="297" customFormat="1" ht="44.25" customHeight="1">
      <c r="A1502" t="s">
        <v>288</v>
      </c>
      <c r="B1502" t="s">
        <v>6495</v>
      </c>
      <c r="C1502" t="s">
        <v>136</v>
      </c>
      <c r="D1502" t="s">
        <v>2257</v>
      </c>
      <c r="E1502" t="s">
        <v>1607</v>
      </c>
      <c r="F1502" t="s">
        <v>149</v>
      </c>
      <c r="G1502" t="s">
        <v>6496</v>
      </c>
    </row>
    <row r="1503" spans="1:7" s="297" customFormat="1" ht="44.25" customHeight="1">
      <c r="A1503" t="s">
        <v>912</v>
      </c>
      <c r="B1503" t="s">
        <v>6497</v>
      </c>
      <c r="C1503" t="s">
        <v>136</v>
      </c>
      <c r="D1503" t="s">
        <v>2257</v>
      </c>
      <c r="E1503" t="s">
        <v>3361</v>
      </c>
      <c r="F1503" t="s">
        <v>149</v>
      </c>
      <c r="G1503" t="s">
        <v>6498</v>
      </c>
    </row>
    <row r="1504" spans="1:7" s="297" customFormat="1" ht="44.25" customHeight="1">
      <c r="A1504" t="s">
        <v>1079</v>
      </c>
      <c r="B1504" t="s">
        <v>6499</v>
      </c>
      <c r="C1504" t="s">
        <v>136</v>
      </c>
      <c r="D1504" t="s">
        <v>2257</v>
      </c>
      <c r="E1504" t="s">
        <v>2276</v>
      </c>
      <c r="F1504" t="s">
        <v>149</v>
      </c>
      <c r="G1504" t="s">
        <v>6500</v>
      </c>
    </row>
    <row r="1505" spans="1:7" s="297" customFormat="1" ht="44.25" customHeight="1">
      <c r="A1505" t="s">
        <v>700</v>
      </c>
      <c r="B1505" t="s">
        <v>6501</v>
      </c>
      <c r="C1505" t="s">
        <v>136</v>
      </c>
      <c r="D1505" t="s">
        <v>2257</v>
      </c>
      <c r="E1505" t="s">
        <v>1584</v>
      </c>
      <c r="F1505" t="s">
        <v>149</v>
      </c>
      <c r="G1505" t="s">
        <v>6502</v>
      </c>
    </row>
    <row r="1506" spans="1:7" s="297" customFormat="1" ht="44.25" customHeight="1">
      <c r="A1506" t="s">
        <v>6503</v>
      </c>
      <c r="B1506" t="s">
        <v>6504</v>
      </c>
      <c r="C1506" t="s">
        <v>136</v>
      </c>
      <c r="D1506" t="s">
        <v>2257</v>
      </c>
      <c r="E1506" t="s">
        <v>6409</v>
      </c>
      <c r="F1506" t="s">
        <v>149</v>
      </c>
      <c r="G1506" t="s">
        <v>6505</v>
      </c>
    </row>
    <row r="1507" spans="1:7" s="297" customFormat="1" ht="44.25" customHeight="1">
      <c r="A1507" t="s">
        <v>6506</v>
      </c>
      <c r="B1507" t="s">
        <v>6507</v>
      </c>
      <c r="C1507" t="s">
        <v>136</v>
      </c>
      <c r="D1507" t="s">
        <v>79</v>
      </c>
      <c r="E1507" t="s">
        <v>1523</v>
      </c>
      <c r="F1507" t="s">
        <v>149</v>
      </c>
      <c r="G1507" t="s">
        <v>6508</v>
      </c>
    </row>
    <row r="1508" spans="1:7" s="297" customFormat="1" ht="44.25" customHeight="1">
      <c r="A1508" t="s">
        <v>6509</v>
      </c>
      <c r="B1508" t="s">
        <v>6510</v>
      </c>
      <c r="C1508" t="s">
        <v>136</v>
      </c>
      <c r="D1508" t="s">
        <v>79</v>
      </c>
      <c r="E1508" t="s">
        <v>6511</v>
      </c>
      <c r="F1508" t="s">
        <v>149</v>
      </c>
      <c r="G1508" t="s">
        <v>6512</v>
      </c>
    </row>
    <row r="1509" spans="1:7" s="297" customFormat="1" ht="44.25" customHeight="1">
      <c r="A1509" t="s">
        <v>6513</v>
      </c>
      <c r="B1509" t="s">
        <v>6514</v>
      </c>
      <c r="C1509" t="s">
        <v>136</v>
      </c>
      <c r="D1509" t="s">
        <v>2257</v>
      </c>
      <c r="E1509" t="s">
        <v>1607</v>
      </c>
      <c r="F1509" t="s">
        <v>149</v>
      </c>
      <c r="G1509" t="s">
        <v>6515</v>
      </c>
    </row>
    <row r="1510" spans="1:7" s="297" customFormat="1" ht="44.25" customHeight="1">
      <c r="A1510" t="s">
        <v>295</v>
      </c>
      <c r="B1510" t="s">
        <v>6516</v>
      </c>
      <c r="C1510" t="s">
        <v>136</v>
      </c>
      <c r="D1510" t="s">
        <v>2257</v>
      </c>
      <c r="E1510" t="s">
        <v>1607</v>
      </c>
      <c r="F1510" t="s">
        <v>149</v>
      </c>
      <c r="G1510" t="s">
        <v>6517</v>
      </c>
    </row>
    <row r="1511" spans="1:7" s="297" customFormat="1" ht="44.25" customHeight="1">
      <c r="A1511" t="s">
        <v>6518</v>
      </c>
      <c r="B1511" t="s">
        <v>6519</v>
      </c>
      <c r="C1511" t="s">
        <v>136</v>
      </c>
      <c r="D1511" t="s">
        <v>2253</v>
      </c>
      <c r="E1511" t="s">
        <v>1432</v>
      </c>
      <c r="F1511" t="s">
        <v>149</v>
      </c>
      <c r="G1511" t="s">
        <v>6520</v>
      </c>
    </row>
    <row r="1512" spans="1:7" s="297" customFormat="1" ht="44.25" customHeight="1">
      <c r="A1512" t="s">
        <v>6521</v>
      </c>
      <c r="B1512" t="s">
        <v>6522</v>
      </c>
      <c r="C1512" t="s">
        <v>136</v>
      </c>
      <c r="D1512" t="s">
        <v>2253</v>
      </c>
      <c r="E1512" t="s">
        <v>1432</v>
      </c>
      <c r="F1512" t="s">
        <v>149</v>
      </c>
      <c r="G1512" t="s">
        <v>6523</v>
      </c>
    </row>
    <row r="1513" spans="1:7" s="297" customFormat="1" ht="44.25" customHeight="1">
      <c r="A1513" t="s">
        <v>1357</v>
      </c>
      <c r="B1513" t="s">
        <v>6524</v>
      </c>
      <c r="C1513" t="s">
        <v>136</v>
      </c>
      <c r="D1513" t="s">
        <v>2257</v>
      </c>
      <c r="E1513" t="s">
        <v>4124</v>
      </c>
      <c r="F1513" t="s">
        <v>149</v>
      </c>
      <c r="G1513" t="s">
        <v>6525</v>
      </c>
    </row>
    <row r="1514" spans="1:7" s="297" customFormat="1" ht="44.25" customHeight="1">
      <c r="A1514" t="s">
        <v>1009</v>
      </c>
      <c r="B1514" t="s">
        <v>6526</v>
      </c>
      <c r="C1514" t="s">
        <v>136</v>
      </c>
      <c r="D1514" t="s">
        <v>2257</v>
      </c>
      <c r="E1514" t="s">
        <v>2276</v>
      </c>
      <c r="F1514" t="s">
        <v>149</v>
      </c>
      <c r="G1514" t="s">
        <v>6527</v>
      </c>
    </row>
    <row r="1515" spans="1:7" s="297" customFormat="1" ht="44.25" customHeight="1">
      <c r="A1515" t="s">
        <v>467</v>
      </c>
      <c r="B1515" t="s">
        <v>6528</v>
      </c>
      <c r="C1515" t="s">
        <v>136</v>
      </c>
      <c r="D1515" t="s">
        <v>79</v>
      </c>
      <c r="E1515" t="s">
        <v>4827</v>
      </c>
      <c r="F1515" t="s">
        <v>149</v>
      </c>
      <c r="G1515" t="s">
        <v>6529</v>
      </c>
    </row>
    <row r="1516" spans="1:7" s="297" customFormat="1" ht="44.25" customHeight="1">
      <c r="A1516" t="s">
        <v>706</v>
      </c>
      <c r="B1516" t="s">
        <v>6530</v>
      </c>
      <c r="C1516" t="s">
        <v>136</v>
      </c>
      <c r="D1516" t="s">
        <v>2257</v>
      </c>
      <c r="E1516" t="s">
        <v>1584</v>
      </c>
      <c r="F1516" t="s">
        <v>149</v>
      </c>
      <c r="G1516" t="s">
        <v>6531</v>
      </c>
    </row>
    <row r="1517" spans="1:7" s="297" customFormat="1" ht="44.25" customHeight="1">
      <c r="A1517" t="s">
        <v>6532</v>
      </c>
      <c r="B1517" t="s">
        <v>6533</v>
      </c>
      <c r="C1517" t="s">
        <v>136</v>
      </c>
      <c r="D1517" t="s">
        <v>79</v>
      </c>
      <c r="E1517" t="s">
        <v>6534</v>
      </c>
      <c r="F1517" t="s">
        <v>149</v>
      </c>
      <c r="G1517" t="s">
        <v>6535</v>
      </c>
    </row>
    <row r="1518" spans="1:7" s="297" customFormat="1" ht="44.25" customHeight="1">
      <c r="A1518" t="s">
        <v>6536</v>
      </c>
      <c r="B1518" t="s">
        <v>6537</v>
      </c>
      <c r="C1518" t="s">
        <v>136</v>
      </c>
      <c r="D1518" t="s">
        <v>79</v>
      </c>
      <c r="E1518" t="s">
        <v>6538</v>
      </c>
      <c r="F1518" t="s">
        <v>149</v>
      </c>
      <c r="G1518" t="s">
        <v>6539</v>
      </c>
    </row>
    <row r="1519" spans="1:7" s="297" customFormat="1" ht="44.25" customHeight="1">
      <c r="A1519" t="s">
        <v>136</v>
      </c>
      <c r="B1519" t="s">
        <v>6540</v>
      </c>
      <c r="C1519" t="s">
        <v>136</v>
      </c>
      <c r="D1519" t="s">
        <v>2257</v>
      </c>
      <c r="E1519" t="s">
        <v>5153</v>
      </c>
      <c r="F1519" t="s">
        <v>149</v>
      </c>
      <c r="G1519" t="s">
        <v>6541</v>
      </c>
    </row>
    <row r="1520" spans="1:7" s="297" customFormat="1" ht="44.25" customHeight="1">
      <c r="A1520" t="s">
        <v>6542</v>
      </c>
      <c r="B1520" t="s">
        <v>6543</v>
      </c>
      <c r="C1520" t="s">
        <v>136</v>
      </c>
      <c r="D1520" t="s">
        <v>79</v>
      </c>
      <c r="E1520" t="s">
        <v>6544</v>
      </c>
      <c r="F1520" t="s">
        <v>149</v>
      </c>
      <c r="G1520" t="s">
        <v>6545</v>
      </c>
    </row>
    <row r="1521" spans="1:7" s="297" customFormat="1" ht="44.25" customHeight="1">
      <c r="A1521" t="s">
        <v>6546</v>
      </c>
      <c r="B1521" t="s">
        <v>6547</v>
      </c>
      <c r="C1521" t="s">
        <v>136</v>
      </c>
      <c r="D1521" t="s">
        <v>2257</v>
      </c>
      <c r="E1521" t="s">
        <v>2695</v>
      </c>
      <c r="F1521" t="s">
        <v>149</v>
      </c>
      <c r="G1521" t="s">
        <v>6548</v>
      </c>
    </row>
    <row r="1522" spans="1:7" s="297" customFormat="1" ht="44.25" customHeight="1">
      <c r="A1522" t="s">
        <v>6549</v>
      </c>
      <c r="B1522" t="s">
        <v>6550</v>
      </c>
      <c r="C1522" t="s">
        <v>136</v>
      </c>
      <c r="D1522" t="s">
        <v>2257</v>
      </c>
      <c r="E1522" t="s">
        <v>1607</v>
      </c>
      <c r="F1522" t="s">
        <v>149</v>
      </c>
      <c r="G1522" t="s">
        <v>6551</v>
      </c>
    </row>
    <row r="1523" spans="1:7" s="297" customFormat="1" ht="44.25" customHeight="1">
      <c r="A1523" t="s">
        <v>6552</v>
      </c>
      <c r="B1523" t="s">
        <v>6553</v>
      </c>
      <c r="C1523" t="s">
        <v>136</v>
      </c>
      <c r="D1523" t="s">
        <v>2257</v>
      </c>
      <c r="E1523" t="s">
        <v>1607</v>
      </c>
      <c r="F1523" t="s">
        <v>149</v>
      </c>
      <c r="G1523" t="s">
        <v>6554</v>
      </c>
    </row>
    <row r="1524" spans="1:7" s="297" customFormat="1" ht="44.25" customHeight="1">
      <c r="A1524" t="s">
        <v>1390</v>
      </c>
      <c r="B1524" t="s">
        <v>6555</v>
      </c>
      <c r="C1524" t="s">
        <v>136</v>
      </c>
      <c r="D1524" t="s">
        <v>2257</v>
      </c>
      <c r="E1524" t="s">
        <v>1607</v>
      </c>
      <c r="F1524" t="s">
        <v>149</v>
      </c>
      <c r="G1524" t="s">
        <v>6556</v>
      </c>
    </row>
    <row r="1525" spans="1:7" s="297" customFormat="1" ht="44.25" customHeight="1">
      <c r="A1525" t="s">
        <v>6557</v>
      </c>
      <c r="B1525" t="s">
        <v>6558</v>
      </c>
      <c r="C1525" t="s">
        <v>136</v>
      </c>
      <c r="D1525" t="s">
        <v>2257</v>
      </c>
      <c r="E1525" t="s">
        <v>1607</v>
      </c>
      <c r="F1525" t="s">
        <v>149</v>
      </c>
      <c r="G1525" t="s">
        <v>6559</v>
      </c>
    </row>
    <row r="1526" spans="1:7" s="297" customFormat="1" ht="44.25" customHeight="1">
      <c r="A1526" t="s">
        <v>6560</v>
      </c>
      <c r="B1526" t="s">
        <v>6561</v>
      </c>
      <c r="C1526" t="s">
        <v>6562</v>
      </c>
      <c r="D1526" t="s">
        <v>2257</v>
      </c>
      <c r="E1526" t="s">
        <v>2685</v>
      </c>
      <c r="F1526" t="s">
        <v>149</v>
      </c>
      <c r="G1526" t="s">
        <v>6563</v>
      </c>
    </row>
    <row r="1527" spans="1:7" s="297" customFormat="1" ht="44.25" customHeight="1">
      <c r="A1527" t="s">
        <v>1414</v>
      </c>
      <c r="B1527" t="s">
        <v>6564</v>
      </c>
      <c r="C1527" t="s">
        <v>136</v>
      </c>
      <c r="D1527" t="s">
        <v>2257</v>
      </c>
      <c r="E1527" t="s">
        <v>1607</v>
      </c>
      <c r="F1527" t="s">
        <v>149</v>
      </c>
      <c r="G1527" t="s">
        <v>6565</v>
      </c>
    </row>
    <row r="1528" spans="1:7" s="297" customFormat="1" ht="44.25" customHeight="1">
      <c r="A1528" t="s">
        <v>903</v>
      </c>
      <c r="B1528" t="s">
        <v>6566</v>
      </c>
      <c r="C1528" t="s">
        <v>136</v>
      </c>
      <c r="D1528" t="s">
        <v>2257</v>
      </c>
      <c r="E1528" t="s">
        <v>1607</v>
      </c>
      <c r="F1528" t="s">
        <v>149</v>
      </c>
      <c r="G1528" t="s">
        <v>6567</v>
      </c>
    </row>
    <row r="1529" spans="1:7" s="297" customFormat="1" ht="44.25" customHeight="1">
      <c r="A1529" t="s">
        <v>456</v>
      </c>
      <c r="B1529" t="s">
        <v>6568</v>
      </c>
      <c r="C1529" t="s">
        <v>136</v>
      </c>
      <c r="D1529" t="s">
        <v>79</v>
      </c>
      <c r="E1529" t="s">
        <v>6569</v>
      </c>
      <c r="F1529" t="s">
        <v>149</v>
      </c>
      <c r="G1529" t="s">
        <v>6570</v>
      </c>
    </row>
    <row r="1530" spans="1:7" s="297" customFormat="1" ht="44.25" customHeight="1">
      <c r="A1530" t="s">
        <v>6571</v>
      </c>
      <c r="B1530" t="s">
        <v>6572</v>
      </c>
      <c r="C1530" t="s">
        <v>136</v>
      </c>
      <c r="D1530" t="s">
        <v>2253</v>
      </c>
      <c r="E1530" t="s">
        <v>3737</v>
      </c>
      <c r="F1530" t="s">
        <v>149</v>
      </c>
      <c r="G1530" t="s">
        <v>6573</v>
      </c>
    </row>
    <row r="1531" spans="1:7" s="297" customFormat="1" ht="44.25" customHeight="1">
      <c r="A1531" t="s">
        <v>1334</v>
      </c>
      <c r="B1531" t="s">
        <v>6574</v>
      </c>
      <c r="C1531" t="s">
        <v>136</v>
      </c>
      <c r="D1531" t="s">
        <v>2257</v>
      </c>
      <c r="E1531" t="s">
        <v>2276</v>
      </c>
      <c r="F1531" t="s">
        <v>149</v>
      </c>
      <c r="G1531" t="s">
        <v>6575</v>
      </c>
    </row>
    <row r="1532" spans="1:7" s="297" customFormat="1" ht="44.25" customHeight="1">
      <c r="A1532" t="s">
        <v>425</v>
      </c>
      <c r="B1532" t="s">
        <v>6576</v>
      </c>
      <c r="C1532" t="s">
        <v>136</v>
      </c>
      <c r="D1532" t="s">
        <v>79</v>
      </c>
      <c r="E1532" t="s">
        <v>6577</v>
      </c>
      <c r="F1532" t="s">
        <v>149</v>
      </c>
      <c r="G1532" t="s">
        <v>6578</v>
      </c>
    </row>
    <row r="1533" spans="1:7" s="297" customFormat="1" ht="44.25" customHeight="1">
      <c r="A1533" t="s">
        <v>536</v>
      </c>
      <c r="B1533" t="s">
        <v>6579</v>
      </c>
      <c r="C1533" t="s">
        <v>136</v>
      </c>
      <c r="D1533" t="s">
        <v>79</v>
      </c>
      <c r="E1533" t="s">
        <v>6580</v>
      </c>
      <c r="F1533" t="s">
        <v>149</v>
      </c>
      <c r="G1533" t="s">
        <v>6581</v>
      </c>
    </row>
    <row r="1534" spans="1:7" s="297" customFormat="1" ht="44.25" customHeight="1">
      <c r="A1534" t="s">
        <v>985</v>
      </c>
      <c r="B1534" t="s">
        <v>6582</v>
      </c>
      <c r="C1534" t="s">
        <v>136</v>
      </c>
      <c r="D1534" t="s">
        <v>2257</v>
      </c>
      <c r="E1534" t="s">
        <v>2276</v>
      </c>
      <c r="F1534" t="s">
        <v>149</v>
      </c>
      <c r="G1534" t="s">
        <v>6583</v>
      </c>
    </row>
    <row r="1535" spans="1:7" s="297" customFormat="1" ht="44.25" customHeight="1">
      <c r="A1535" t="s">
        <v>730</v>
      </c>
      <c r="B1535" t="s">
        <v>6584</v>
      </c>
      <c r="C1535" t="s">
        <v>136</v>
      </c>
      <c r="D1535" t="s">
        <v>2257</v>
      </c>
      <c r="E1535" t="s">
        <v>2269</v>
      </c>
      <c r="F1535" t="s">
        <v>149</v>
      </c>
      <c r="G1535" t="s">
        <v>6585</v>
      </c>
    </row>
    <row r="1536" spans="1:7" s="297" customFormat="1" ht="44.25" customHeight="1">
      <c r="A1536" t="s">
        <v>6586</v>
      </c>
      <c r="B1536" t="s">
        <v>6587</v>
      </c>
      <c r="C1536" t="s">
        <v>136</v>
      </c>
      <c r="D1536" t="s">
        <v>79</v>
      </c>
      <c r="E1536" t="s">
        <v>4177</v>
      </c>
      <c r="F1536" t="s">
        <v>149</v>
      </c>
      <c r="G1536" t="s">
        <v>6588</v>
      </c>
    </row>
    <row r="1537" spans="1:7" s="297" customFormat="1" ht="44.25" customHeight="1">
      <c r="A1537" t="s">
        <v>6589</v>
      </c>
      <c r="B1537" t="s">
        <v>6590</v>
      </c>
      <c r="C1537" t="s">
        <v>136</v>
      </c>
      <c r="D1537" t="s">
        <v>79</v>
      </c>
      <c r="E1537" t="s">
        <v>6591</v>
      </c>
      <c r="F1537" t="s">
        <v>149</v>
      </c>
      <c r="G1537" t="s">
        <v>6592</v>
      </c>
    </row>
    <row r="1538" spans="1:7" s="297" customFormat="1" ht="44.25" customHeight="1">
      <c r="A1538" t="s">
        <v>136</v>
      </c>
      <c r="B1538" t="s">
        <v>6593</v>
      </c>
      <c r="C1538" t="s">
        <v>136</v>
      </c>
      <c r="D1538" t="s">
        <v>2624</v>
      </c>
      <c r="E1538" t="s">
        <v>2625</v>
      </c>
      <c r="F1538" t="s">
        <v>149</v>
      </c>
      <c r="G1538" t="s">
        <v>6594</v>
      </c>
    </row>
    <row r="1539" spans="1:7" s="297" customFormat="1" ht="44.25" customHeight="1">
      <c r="A1539" t="s">
        <v>136</v>
      </c>
      <c r="B1539" t="s">
        <v>6593</v>
      </c>
      <c r="C1539" t="s">
        <v>136</v>
      </c>
      <c r="D1539" t="s">
        <v>2624</v>
      </c>
      <c r="E1539" t="s">
        <v>2625</v>
      </c>
      <c r="F1539" t="s">
        <v>149</v>
      </c>
      <c r="G1539" t="s">
        <v>6594</v>
      </c>
    </row>
    <row r="1540" spans="1:7" s="297" customFormat="1" ht="44.25" customHeight="1">
      <c r="A1540" t="s">
        <v>6595</v>
      </c>
      <c r="B1540" t="s">
        <v>6596</v>
      </c>
      <c r="C1540" t="s">
        <v>136</v>
      </c>
      <c r="D1540" t="s">
        <v>79</v>
      </c>
      <c r="E1540" t="s">
        <v>6597</v>
      </c>
      <c r="F1540" t="s">
        <v>149</v>
      </c>
      <c r="G1540" t="s">
        <v>6598</v>
      </c>
    </row>
    <row r="1541" spans="1:7" s="297" customFormat="1" ht="44.25" customHeight="1">
      <c r="A1541" t="s">
        <v>6599</v>
      </c>
      <c r="B1541" t="s">
        <v>6600</v>
      </c>
      <c r="C1541" t="s">
        <v>136</v>
      </c>
      <c r="D1541" t="s">
        <v>2257</v>
      </c>
      <c r="E1541" t="s">
        <v>5684</v>
      </c>
      <c r="F1541" t="s">
        <v>149</v>
      </c>
      <c r="G1541" t="s">
        <v>6601</v>
      </c>
    </row>
    <row r="1542" spans="1:7" s="297" customFormat="1" ht="44.25" customHeight="1">
      <c r="A1542" t="s">
        <v>136</v>
      </c>
      <c r="B1542" t="s">
        <v>6602</v>
      </c>
      <c r="C1542" t="s">
        <v>136</v>
      </c>
      <c r="D1542" t="s">
        <v>2257</v>
      </c>
      <c r="E1542" t="s">
        <v>6603</v>
      </c>
      <c r="F1542" t="s">
        <v>149</v>
      </c>
      <c r="G1542" t="s">
        <v>6604</v>
      </c>
    </row>
    <row r="1543" spans="1:7" s="297" customFormat="1" ht="44.25" customHeight="1">
      <c r="A1543" t="s">
        <v>6605</v>
      </c>
      <c r="B1543" t="s">
        <v>6606</v>
      </c>
      <c r="C1543" t="s">
        <v>136</v>
      </c>
      <c r="D1543" t="s">
        <v>2257</v>
      </c>
      <c r="E1543" t="s">
        <v>6409</v>
      </c>
      <c r="F1543" t="s">
        <v>149</v>
      </c>
      <c r="G1543" t="s">
        <v>6607</v>
      </c>
    </row>
    <row r="1544" spans="1:7" s="297" customFormat="1" ht="44.25" customHeight="1">
      <c r="A1544" t="s">
        <v>480</v>
      </c>
      <c r="B1544" t="s">
        <v>6608</v>
      </c>
      <c r="C1544" t="s">
        <v>6609</v>
      </c>
      <c r="D1544" t="s">
        <v>79</v>
      </c>
      <c r="E1544" t="s">
        <v>1538</v>
      </c>
      <c r="F1544" t="s">
        <v>149</v>
      </c>
      <c r="G1544" t="s">
        <v>6610</v>
      </c>
    </row>
    <row r="1545" spans="1:7" s="297" customFormat="1" ht="44.25" customHeight="1">
      <c r="A1545" t="s">
        <v>6611</v>
      </c>
      <c r="B1545" t="s">
        <v>6612</v>
      </c>
      <c r="C1545" t="s">
        <v>136</v>
      </c>
      <c r="D1545" t="s">
        <v>2257</v>
      </c>
      <c r="E1545" t="s">
        <v>1607</v>
      </c>
      <c r="F1545" t="s">
        <v>149</v>
      </c>
      <c r="G1545" t="s">
        <v>6613</v>
      </c>
    </row>
    <row r="1546" spans="1:7" s="297" customFormat="1" ht="44.25" customHeight="1">
      <c r="A1546" t="s">
        <v>6614</v>
      </c>
      <c r="B1546" t="s">
        <v>6615</v>
      </c>
      <c r="C1546" t="s">
        <v>136</v>
      </c>
      <c r="D1546" t="s">
        <v>2257</v>
      </c>
      <c r="E1546" t="s">
        <v>1607</v>
      </c>
      <c r="F1546" t="s">
        <v>149</v>
      </c>
      <c r="G1546" t="s">
        <v>6616</v>
      </c>
    </row>
    <row r="1547" spans="1:7" s="297" customFormat="1" ht="44.25" customHeight="1">
      <c r="A1547" t="s">
        <v>6617</v>
      </c>
      <c r="B1547" t="s">
        <v>6618</v>
      </c>
      <c r="C1547" t="s">
        <v>136</v>
      </c>
      <c r="D1547" t="s">
        <v>2257</v>
      </c>
      <c r="E1547" t="s">
        <v>2399</v>
      </c>
      <c r="F1547" t="s">
        <v>149</v>
      </c>
      <c r="G1547" t="s">
        <v>6619</v>
      </c>
    </row>
    <row r="1548" spans="1:7" s="297" customFormat="1" ht="44.25" customHeight="1">
      <c r="A1548" t="s">
        <v>1427</v>
      </c>
      <c r="B1548" t="s">
        <v>6620</v>
      </c>
      <c r="C1548" t="s">
        <v>136</v>
      </c>
      <c r="D1548" t="s">
        <v>2257</v>
      </c>
      <c r="E1548" t="s">
        <v>1607</v>
      </c>
      <c r="F1548" t="s">
        <v>149</v>
      </c>
      <c r="G1548" t="s">
        <v>6621</v>
      </c>
    </row>
    <row r="1549" spans="1:7" s="297" customFormat="1" ht="44.25" customHeight="1">
      <c r="A1549" t="s">
        <v>6622</v>
      </c>
      <c r="B1549" t="s">
        <v>6623</v>
      </c>
      <c r="C1549" t="s">
        <v>136</v>
      </c>
      <c r="D1549" t="s">
        <v>2257</v>
      </c>
      <c r="E1549" t="s">
        <v>1607</v>
      </c>
      <c r="F1549" t="s">
        <v>149</v>
      </c>
      <c r="G1549" t="s">
        <v>6624</v>
      </c>
    </row>
    <row r="1550" spans="1:7" s="297" customFormat="1" ht="44.25" customHeight="1">
      <c r="A1550" t="s">
        <v>6625</v>
      </c>
      <c r="B1550" t="s">
        <v>6626</v>
      </c>
      <c r="C1550" t="s">
        <v>136</v>
      </c>
      <c r="D1550" t="s">
        <v>2253</v>
      </c>
      <c r="E1550" t="s">
        <v>1432</v>
      </c>
      <c r="F1550" t="s">
        <v>149</v>
      </c>
      <c r="G1550" t="s">
        <v>6627</v>
      </c>
    </row>
    <row r="1551" spans="1:7" s="297" customFormat="1" ht="44.25" customHeight="1">
      <c r="A1551" t="s">
        <v>6628</v>
      </c>
      <c r="B1551" t="s">
        <v>6629</v>
      </c>
      <c r="C1551" t="s">
        <v>136</v>
      </c>
      <c r="D1551" t="s">
        <v>2253</v>
      </c>
      <c r="E1551" t="s">
        <v>1430</v>
      </c>
      <c r="F1551" t="s">
        <v>149</v>
      </c>
      <c r="G1551" t="s">
        <v>6630</v>
      </c>
    </row>
    <row r="1552" spans="1:7" s="297" customFormat="1" ht="44.25" customHeight="1">
      <c r="A1552" t="s">
        <v>385</v>
      </c>
      <c r="B1552" t="s">
        <v>6631</v>
      </c>
      <c r="C1552" t="s">
        <v>136</v>
      </c>
      <c r="D1552" t="s">
        <v>2257</v>
      </c>
      <c r="E1552" t="s">
        <v>2276</v>
      </c>
      <c r="F1552" t="s">
        <v>149</v>
      </c>
      <c r="G1552" t="s">
        <v>6632</v>
      </c>
    </row>
    <row r="1553" spans="1:7" s="297" customFormat="1" ht="44.25" customHeight="1">
      <c r="A1553" t="s">
        <v>864</v>
      </c>
      <c r="B1553" t="s">
        <v>6633</v>
      </c>
      <c r="C1553" t="s">
        <v>136</v>
      </c>
      <c r="D1553" t="s">
        <v>2257</v>
      </c>
      <c r="E1553" t="s">
        <v>4124</v>
      </c>
      <c r="F1553" t="s">
        <v>149</v>
      </c>
      <c r="G1553" t="s">
        <v>6634</v>
      </c>
    </row>
    <row r="1554" spans="1:7" ht="44.25" customHeight="1">
      <c r="A1554" t="s">
        <v>6635</v>
      </c>
      <c r="B1554" t="s">
        <v>6636</v>
      </c>
      <c r="C1554" t="s">
        <v>136</v>
      </c>
      <c r="D1554" t="s">
        <v>79</v>
      </c>
      <c r="E1554" t="s">
        <v>6637</v>
      </c>
      <c r="F1554" t="s">
        <v>149</v>
      </c>
      <c r="G1554" t="s">
        <v>6638</v>
      </c>
    </row>
    <row r="1555" spans="1:7" ht="44.25" customHeight="1">
      <c r="A1555" t="s">
        <v>6639</v>
      </c>
      <c r="B1555" t="s">
        <v>6640</v>
      </c>
      <c r="C1555" t="s">
        <v>136</v>
      </c>
      <c r="D1555" t="s">
        <v>79</v>
      </c>
      <c r="E1555" t="s">
        <v>6641</v>
      </c>
      <c r="F1555" t="s">
        <v>149</v>
      </c>
      <c r="G1555" t="s">
        <v>6642</v>
      </c>
    </row>
    <row r="1556" spans="1:7" ht="44.25" customHeight="1">
      <c r="A1556" t="s">
        <v>6643</v>
      </c>
      <c r="B1556" t="s">
        <v>6644</v>
      </c>
      <c r="C1556" t="s">
        <v>136</v>
      </c>
      <c r="D1556" t="s">
        <v>79</v>
      </c>
      <c r="E1556" t="s">
        <v>6645</v>
      </c>
      <c r="F1556" t="s">
        <v>149</v>
      </c>
      <c r="G1556" t="s">
        <v>6646</v>
      </c>
    </row>
    <row r="1557" spans="1:7" ht="44.25" customHeight="1">
      <c r="A1557" t="s">
        <v>6647</v>
      </c>
      <c r="B1557" t="s">
        <v>6648</v>
      </c>
      <c r="C1557" t="s">
        <v>136</v>
      </c>
      <c r="D1557" t="s">
        <v>79</v>
      </c>
      <c r="E1557" t="s">
        <v>6649</v>
      </c>
      <c r="F1557" t="s">
        <v>149</v>
      </c>
      <c r="G1557" t="s">
        <v>6650</v>
      </c>
    </row>
    <row r="1558" spans="1:7" ht="44.25" customHeight="1">
      <c r="A1558" t="s">
        <v>6651</v>
      </c>
      <c r="B1558" t="s">
        <v>6652</v>
      </c>
      <c r="C1558" t="s">
        <v>136</v>
      </c>
      <c r="D1558" t="s">
        <v>79</v>
      </c>
      <c r="E1558" t="s">
        <v>6653</v>
      </c>
      <c r="F1558" t="s">
        <v>149</v>
      </c>
      <c r="G1558" t="s">
        <v>6654</v>
      </c>
    </row>
    <row r="1559" spans="1:7" ht="44.25" customHeight="1">
      <c r="A1559" t="s">
        <v>6655</v>
      </c>
      <c r="B1559" t="s">
        <v>6656</v>
      </c>
      <c r="C1559" t="s">
        <v>136</v>
      </c>
      <c r="D1559" t="s">
        <v>79</v>
      </c>
      <c r="E1559" t="s">
        <v>6657</v>
      </c>
      <c r="F1559" t="s">
        <v>149</v>
      </c>
      <c r="G1559" t="s">
        <v>6658</v>
      </c>
    </row>
    <row r="1560" spans="1:7" ht="44.25" customHeight="1">
      <c r="A1560" t="s">
        <v>6659</v>
      </c>
      <c r="B1560" t="s">
        <v>6660</v>
      </c>
      <c r="C1560" t="s">
        <v>136</v>
      </c>
      <c r="D1560" t="s">
        <v>79</v>
      </c>
      <c r="E1560" t="s">
        <v>6661</v>
      </c>
      <c r="F1560" t="s">
        <v>149</v>
      </c>
      <c r="G1560" t="s">
        <v>6662</v>
      </c>
    </row>
    <row r="1561" spans="1:7" ht="44.25" customHeight="1">
      <c r="A1561" t="s">
        <v>6663</v>
      </c>
      <c r="B1561" t="s">
        <v>6664</v>
      </c>
      <c r="C1561" t="s">
        <v>136</v>
      </c>
      <c r="D1561" t="s">
        <v>2257</v>
      </c>
      <c r="E1561" t="s">
        <v>5973</v>
      </c>
      <c r="F1561" t="s">
        <v>149</v>
      </c>
      <c r="G1561" t="s">
        <v>6665</v>
      </c>
    </row>
    <row r="1562" spans="1:7" ht="44.25" customHeight="1">
      <c r="A1562" t="s">
        <v>6666</v>
      </c>
      <c r="B1562" t="s">
        <v>6667</v>
      </c>
      <c r="C1562" t="s">
        <v>136</v>
      </c>
      <c r="D1562" t="s">
        <v>2257</v>
      </c>
      <c r="E1562" t="s">
        <v>1607</v>
      </c>
      <c r="F1562" t="s">
        <v>149</v>
      </c>
      <c r="G1562" t="s">
        <v>6668</v>
      </c>
    </row>
    <row r="1563" spans="1:7" ht="44.25" customHeight="1">
      <c r="A1563" t="s">
        <v>6669</v>
      </c>
      <c r="B1563" t="s">
        <v>6670</v>
      </c>
      <c r="C1563" t="s">
        <v>136</v>
      </c>
      <c r="D1563" t="s">
        <v>2257</v>
      </c>
      <c r="E1563" t="s">
        <v>1607</v>
      </c>
      <c r="F1563" t="s">
        <v>149</v>
      </c>
      <c r="G1563" t="s">
        <v>6671</v>
      </c>
    </row>
    <row r="1564" spans="1:7" ht="44.25" customHeight="1">
      <c r="A1564" t="s">
        <v>6672</v>
      </c>
      <c r="B1564" t="s">
        <v>6673</v>
      </c>
      <c r="C1564" t="s">
        <v>136</v>
      </c>
      <c r="D1564" t="s">
        <v>2257</v>
      </c>
      <c r="E1564" t="s">
        <v>1607</v>
      </c>
      <c r="F1564" t="s">
        <v>149</v>
      </c>
      <c r="G1564" t="s">
        <v>6674</v>
      </c>
    </row>
    <row r="1565" spans="1:7" ht="44.25" customHeight="1">
      <c r="A1565" t="s">
        <v>136</v>
      </c>
      <c r="B1565" t="s">
        <v>6675</v>
      </c>
      <c r="C1565" t="s">
        <v>136</v>
      </c>
      <c r="D1565" t="s">
        <v>2257</v>
      </c>
      <c r="E1565" t="s">
        <v>1607</v>
      </c>
      <c r="F1565" t="s">
        <v>149</v>
      </c>
      <c r="G1565" t="s">
        <v>6676</v>
      </c>
    </row>
    <row r="1566" spans="1:7" ht="44.25" customHeight="1">
      <c r="A1566" t="s">
        <v>6677</v>
      </c>
      <c r="B1566" t="s">
        <v>6678</v>
      </c>
      <c r="C1566" t="s">
        <v>136</v>
      </c>
      <c r="D1566" t="s">
        <v>2257</v>
      </c>
      <c r="E1566" t="s">
        <v>2695</v>
      </c>
      <c r="F1566" t="s">
        <v>149</v>
      </c>
      <c r="G1566" t="s">
        <v>6679</v>
      </c>
    </row>
    <row r="1567" spans="1:7" ht="44.25" customHeight="1">
      <c r="A1567" t="s">
        <v>289</v>
      </c>
      <c r="B1567" t="s">
        <v>6680</v>
      </c>
      <c r="C1567" t="s">
        <v>136</v>
      </c>
      <c r="D1567" t="s">
        <v>2257</v>
      </c>
      <c r="E1567" t="s">
        <v>1607</v>
      </c>
      <c r="F1567" t="s">
        <v>149</v>
      </c>
      <c r="G1567" t="s">
        <v>6681</v>
      </c>
    </row>
    <row r="1568" spans="1:7" ht="44.25" customHeight="1">
      <c r="A1568" t="s">
        <v>1428</v>
      </c>
      <c r="B1568" t="s">
        <v>6682</v>
      </c>
      <c r="C1568" t="s">
        <v>136</v>
      </c>
      <c r="D1568" t="s">
        <v>2257</v>
      </c>
      <c r="E1568" t="s">
        <v>1607</v>
      </c>
      <c r="F1568" t="s">
        <v>149</v>
      </c>
      <c r="G1568" t="s">
        <v>6683</v>
      </c>
    </row>
    <row r="1569" spans="1:7" ht="44.25" customHeight="1">
      <c r="A1569" t="s">
        <v>6684</v>
      </c>
      <c r="B1569" t="s">
        <v>6685</v>
      </c>
      <c r="C1569" t="s">
        <v>136</v>
      </c>
      <c r="D1569" t="s">
        <v>79</v>
      </c>
      <c r="E1569" t="s">
        <v>3522</v>
      </c>
      <c r="F1569" t="s">
        <v>149</v>
      </c>
      <c r="G1569" t="s">
        <v>6686</v>
      </c>
    </row>
    <row r="1570" spans="1:7" ht="44.25" customHeight="1">
      <c r="A1570" t="s">
        <v>6687</v>
      </c>
      <c r="B1570" t="s">
        <v>6688</v>
      </c>
      <c r="C1570" t="s">
        <v>136</v>
      </c>
      <c r="D1570" t="s">
        <v>79</v>
      </c>
      <c r="E1570" t="s">
        <v>6689</v>
      </c>
      <c r="F1570" t="s">
        <v>149</v>
      </c>
      <c r="G1570" t="s">
        <v>6690</v>
      </c>
    </row>
    <row r="1571" spans="1:7" ht="44.25" customHeight="1">
      <c r="A1571" t="s">
        <v>6691</v>
      </c>
      <c r="B1571" t="s">
        <v>6692</v>
      </c>
      <c r="C1571" t="s">
        <v>136</v>
      </c>
      <c r="D1571" t="s">
        <v>2257</v>
      </c>
      <c r="E1571" t="s">
        <v>2276</v>
      </c>
      <c r="F1571" t="s">
        <v>149</v>
      </c>
      <c r="G1571" t="s">
        <v>6693</v>
      </c>
    </row>
    <row r="1572" spans="1:7" ht="44.25" customHeight="1">
      <c r="A1572" t="s">
        <v>6694</v>
      </c>
      <c r="B1572" t="s">
        <v>6695</v>
      </c>
      <c r="C1572" t="s">
        <v>136</v>
      </c>
      <c r="D1572" t="s">
        <v>2257</v>
      </c>
      <c r="E1572" t="s">
        <v>2276</v>
      </c>
      <c r="F1572" t="s">
        <v>149</v>
      </c>
      <c r="G1572" t="s">
        <v>6696</v>
      </c>
    </row>
    <row r="1573" spans="1:7" ht="44.25" customHeight="1">
      <c r="A1573" t="s">
        <v>689</v>
      </c>
      <c r="B1573" t="s">
        <v>6697</v>
      </c>
      <c r="C1573" t="s">
        <v>136</v>
      </c>
      <c r="D1573" t="s">
        <v>2257</v>
      </c>
      <c r="E1573" t="s">
        <v>1584</v>
      </c>
      <c r="F1573" t="s">
        <v>149</v>
      </c>
      <c r="G1573" t="s">
        <v>6698</v>
      </c>
    </row>
    <row r="1574" spans="1:7" ht="44.25" customHeight="1">
      <c r="A1574" t="s">
        <v>6699</v>
      </c>
      <c r="B1574" t="s">
        <v>6700</v>
      </c>
      <c r="C1574" t="s">
        <v>136</v>
      </c>
      <c r="D1574" t="s">
        <v>79</v>
      </c>
      <c r="E1574" t="s">
        <v>6701</v>
      </c>
      <c r="F1574" t="s">
        <v>149</v>
      </c>
      <c r="G1574" t="s">
        <v>6702</v>
      </c>
    </row>
    <row r="1575" spans="1:7" ht="44.25" customHeight="1">
      <c r="A1575" t="s">
        <v>6703</v>
      </c>
      <c r="B1575" t="s">
        <v>6704</v>
      </c>
      <c r="C1575" t="s">
        <v>136</v>
      </c>
      <c r="D1575" t="s">
        <v>79</v>
      </c>
      <c r="E1575" t="s">
        <v>6705</v>
      </c>
      <c r="F1575" t="s">
        <v>149</v>
      </c>
      <c r="G1575" t="s">
        <v>6706</v>
      </c>
    </row>
    <row r="1576" spans="1:7" ht="44.25" customHeight="1">
      <c r="A1576" t="s">
        <v>6707</v>
      </c>
      <c r="B1576" t="s">
        <v>6708</v>
      </c>
      <c r="C1576" t="s">
        <v>136</v>
      </c>
      <c r="D1576" t="s">
        <v>79</v>
      </c>
      <c r="E1576" t="s">
        <v>6709</v>
      </c>
      <c r="F1576" t="s">
        <v>149</v>
      </c>
      <c r="G1576" t="s">
        <v>6710</v>
      </c>
    </row>
    <row r="1577" spans="1:7" ht="44.25" customHeight="1">
      <c r="A1577" t="s">
        <v>6711</v>
      </c>
      <c r="B1577" t="s">
        <v>6712</v>
      </c>
      <c r="C1577" t="s">
        <v>136</v>
      </c>
      <c r="D1577" t="s">
        <v>79</v>
      </c>
      <c r="E1577" t="s">
        <v>6713</v>
      </c>
      <c r="F1577" t="s">
        <v>149</v>
      </c>
      <c r="G1577" t="s">
        <v>6714</v>
      </c>
    </row>
    <row r="1578" spans="1:7" ht="44.25" customHeight="1">
      <c r="A1578" t="s">
        <v>6715</v>
      </c>
      <c r="B1578" t="s">
        <v>6716</v>
      </c>
      <c r="C1578" t="s">
        <v>136</v>
      </c>
      <c r="D1578" t="s">
        <v>79</v>
      </c>
      <c r="E1578" t="s">
        <v>6717</v>
      </c>
      <c r="F1578" t="s">
        <v>149</v>
      </c>
      <c r="G1578" t="s">
        <v>6718</v>
      </c>
    </row>
    <row r="1579" spans="1:7" ht="44.25" customHeight="1">
      <c r="A1579" t="s">
        <v>6719</v>
      </c>
      <c r="B1579" t="s">
        <v>6720</v>
      </c>
      <c r="C1579" t="s">
        <v>136</v>
      </c>
      <c r="D1579" t="s">
        <v>2257</v>
      </c>
      <c r="E1579" t="s">
        <v>5691</v>
      </c>
      <c r="F1579" t="s">
        <v>149</v>
      </c>
      <c r="G1579" t="s">
        <v>6721</v>
      </c>
    </row>
    <row r="1580" spans="1:7" ht="44.25" customHeight="1">
      <c r="A1580" t="s">
        <v>661</v>
      </c>
      <c r="B1580" t="s">
        <v>6722</v>
      </c>
      <c r="C1580" t="s">
        <v>136</v>
      </c>
      <c r="D1580" t="s">
        <v>79</v>
      </c>
      <c r="E1580" t="s">
        <v>6723</v>
      </c>
      <c r="F1580" t="s">
        <v>149</v>
      </c>
      <c r="G1580" t="s">
        <v>6724</v>
      </c>
    </row>
    <row r="1581" spans="1:7" ht="44.25" customHeight="1">
      <c r="A1581" t="s">
        <v>6725</v>
      </c>
      <c r="B1581" t="s">
        <v>6726</v>
      </c>
      <c r="C1581" t="s">
        <v>136</v>
      </c>
      <c r="D1581" t="s">
        <v>2257</v>
      </c>
      <c r="E1581" t="s">
        <v>1607</v>
      </c>
      <c r="F1581" t="s">
        <v>149</v>
      </c>
      <c r="G1581" t="s">
        <v>6727</v>
      </c>
    </row>
    <row r="1582" spans="1:7" ht="44.25" customHeight="1">
      <c r="A1582" t="s">
        <v>6728</v>
      </c>
      <c r="B1582" t="s">
        <v>6729</v>
      </c>
      <c r="C1582" t="s">
        <v>136</v>
      </c>
      <c r="D1582" t="s">
        <v>2257</v>
      </c>
      <c r="E1582" t="s">
        <v>1607</v>
      </c>
      <c r="F1582" t="s">
        <v>149</v>
      </c>
      <c r="G1582" t="s">
        <v>6730</v>
      </c>
    </row>
    <row r="1583" spans="1:7" ht="44.25" customHeight="1">
      <c r="A1583" t="s">
        <v>6731</v>
      </c>
      <c r="B1583" t="s">
        <v>6732</v>
      </c>
      <c r="C1583" t="s">
        <v>136</v>
      </c>
      <c r="D1583" t="s">
        <v>79</v>
      </c>
      <c r="E1583" t="s">
        <v>6733</v>
      </c>
      <c r="F1583" t="s">
        <v>149</v>
      </c>
      <c r="G1583" t="s">
        <v>6734</v>
      </c>
    </row>
    <row r="1584" spans="1:7" ht="44.25" customHeight="1">
      <c r="A1584" t="s">
        <v>6735</v>
      </c>
      <c r="B1584" t="s">
        <v>6736</v>
      </c>
      <c r="C1584" t="s">
        <v>136</v>
      </c>
      <c r="D1584" t="s">
        <v>2257</v>
      </c>
      <c r="E1584" t="s">
        <v>1592</v>
      </c>
      <c r="F1584" t="s">
        <v>149</v>
      </c>
      <c r="G1584" t="s">
        <v>6737</v>
      </c>
    </row>
    <row r="1585" spans="1:7" ht="44.25" customHeight="1">
      <c r="A1585" t="s">
        <v>6738</v>
      </c>
      <c r="B1585" t="s">
        <v>6739</v>
      </c>
      <c r="C1585" t="s">
        <v>136</v>
      </c>
      <c r="D1585" t="s">
        <v>2253</v>
      </c>
      <c r="E1585" t="s">
        <v>1432</v>
      </c>
      <c r="F1585" t="s">
        <v>149</v>
      </c>
      <c r="G1585" t="s">
        <v>6740</v>
      </c>
    </row>
    <row r="1586" spans="1:7" ht="44.25" customHeight="1">
      <c r="A1586" t="s">
        <v>6741</v>
      </c>
      <c r="B1586" t="s">
        <v>6742</v>
      </c>
      <c r="C1586" t="s">
        <v>136</v>
      </c>
      <c r="D1586" t="s">
        <v>2253</v>
      </c>
      <c r="E1586" t="s">
        <v>1430</v>
      </c>
      <c r="F1586" t="s">
        <v>149</v>
      </c>
      <c r="G1586" t="s">
        <v>6743</v>
      </c>
    </row>
    <row r="1587" spans="1:7" ht="44.25" customHeight="1">
      <c r="A1587" t="s">
        <v>6744</v>
      </c>
      <c r="B1587" t="s">
        <v>6745</v>
      </c>
      <c r="C1587" t="s">
        <v>136</v>
      </c>
      <c r="D1587" t="s">
        <v>2253</v>
      </c>
      <c r="E1587" t="s">
        <v>1432</v>
      </c>
      <c r="F1587" t="s">
        <v>149</v>
      </c>
      <c r="G1587" t="s">
        <v>6746</v>
      </c>
    </row>
    <row r="1588" spans="1:7" ht="44.25" customHeight="1">
      <c r="A1588" t="s">
        <v>6747</v>
      </c>
      <c r="B1588" t="s">
        <v>6748</v>
      </c>
      <c r="C1588" t="s">
        <v>136</v>
      </c>
      <c r="D1588" t="s">
        <v>2253</v>
      </c>
      <c r="E1588" t="s">
        <v>2258</v>
      </c>
      <c r="F1588" t="s">
        <v>149</v>
      </c>
      <c r="G1588" t="s">
        <v>6749</v>
      </c>
    </row>
    <row r="1589" spans="1:7" ht="44.25" customHeight="1">
      <c r="A1589" t="s">
        <v>897</v>
      </c>
      <c r="B1589" t="s">
        <v>6750</v>
      </c>
      <c r="C1589" t="s">
        <v>136</v>
      </c>
      <c r="D1589" t="s">
        <v>2257</v>
      </c>
      <c r="E1589" t="s">
        <v>4699</v>
      </c>
      <c r="F1589" t="s">
        <v>149</v>
      </c>
      <c r="G1589" t="s">
        <v>6751</v>
      </c>
    </row>
    <row r="1590" spans="1:7" ht="44.25" customHeight="1">
      <c r="A1590" t="s">
        <v>895</v>
      </c>
      <c r="B1590" t="s">
        <v>6752</v>
      </c>
      <c r="C1590" t="s">
        <v>136</v>
      </c>
      <c r="D1590" t="s">
        <v>2257</v>
      </c>
      <c r="E1590" t="s">
        <v>4699</v>
      </c>
      <c r="F1590" t="s">
        <v>149</v>
      </c>
      <c r="G1590" t="s">
        <v>6753</v>
      </c>
    </row>
    <row r="1591" spans="1:7" ht="44.25" customHeight="1">
      <c r="A1591" t="s">
        <v>6754</v>
      </c>
      <c r="B1591" t="s">
        <v>6755</v>
      </c>
      <c r="C1591" t="s">
        <v>136</v>
      </c>
      <c r="D1591" t="s">
        <v>79</v>
      </c>
      <c r="E1591" t="s">
        <v>6756</v>
      </c>
      <c r="F1591" t="s">
        <v>149</v>
      </c>
      <c r="G1591" t="s">
        <v>6757</v>
      </c>
    </row>
    <row r="1592" spans="1:7" ht="44.25" customHeight="1">
      <c r="A1592" t="s">
        <v>6758</v>
      </c>
      <c r="B1592" t="s">
        <v>6759</v>
      </c>
      <c r="C1592" t="s">
        <v>136</v>
      </c>
      <c r="D1592" t="s">
        <v>79</v>
      </c>
      <c r="E1592" t="s">
        <v>6760</v>
      </c>
      <c r="F1592" t="s">
        <v>149</v>
      </c>
      <c r="G1592" t="s">
        <v>6761</v>
      </c>
    </row>
    <row r="1593" spans="1:7" ht="44.25" customHeight="1">
      <c r="A1593" t="s">
        <v>6762</v>
      </c>
      <c r="B1593" t="s">
        <v>6763</v>
      </c>
      <c r="C1593" t="s">
        <v>136</v>
      </c>
      <c r="D1593" t="s">
        <v>79</v>
      </c>
      <c r="E1593" t="s">
        <v>6764</v>
      </c>
      <c r="F1593" t="s">
        <v>149</v>
      </c>
      <c r="G1593" t="s">
        <v>6765</v>
      </c>
    </row>
    <row r="1594" spans="1:7" ht="44.25" customHeight="1">
      <c r="A1594" t="s">
        <v>6766</v>
      </c>
      <c r="B1594" t="s">
        <v>6767</v>
      </c>
      <c r="C1594" t="s">
        <v>136</v>
      </c>
      <c r="D1594" t="s">
        <v>79</v>
      </c>
      <c r="E1594" t="s">
        <v>6768</v>
      </c>
      <c r="F1594" t="s">
        <v>149</v>
      </c>
      <c r="G1594" t="s">
        <v>6769</v>
      </c>
    </row>
    <row r="1595" spans="1:7" ht="44.25" customHeight="1">
      <c r="A1595" t="s">
        <v>6770</v>
      </c>
      <c r="B1595" t="s">
        <v>6771</v>
      </c>
      <c r="C1595" t="s">
        <v>136</v>
      </c>
      <c r="D1595" t="s">
        <v>79</v>
      </c>
      <c r="E1595" t="s">
        <v>6772</v>
      </c>
      <c r="F1595" t="s">
        <v>149</v>
      </c>
      <c r="G1595" t="s">
        <v>6773</v>
      </c>
    </row>
    <row r="1596" spans="1:7" ht="44.25" customHeight="1">
      <c r="A1596" t="s">
        <v>394</v>
      </c>
      <c r="B1596" t="s">
        <v>6774</v>
      </c>
      <c r="C1596" t="s">
        <v>136</v>
      </c>
      <c r="D1596" t="s">
        <v>79</v>
      </c>
      <c r="E1596" t="s">
        <v>1515</v>
      </c>
      <c r="F1596" t="s">
        <v>149</v>
      </c>
      <c r="G1596" t="s">
        <v>6775</v>
      </c>
    </row>
    <row r="1597" spans="1:7" ht="44.25" customHeight="1">
      <c r="A1597" t="s">
        <v>6776</v>
      </c>
      <c r="B1597" t="s">
        <v>6777</v>
      </c>
      <c r="C1597" t="s">
        <v>136</v>
      </c>
      <c r="D1597" t="s">
        <v>2257</v>
      </c>
      <c r="E1597" t="s">
        <v>1607</v>
      </c>
      <c r="F1597" t="s">
        <v>149</v>
      </c>
      <c r="G1597" t="s">
        <v>6778</v>
      </c>
    </row>
    <row r="1598" spans="1:7" ht="44.25" customHeight="1">
      <c r="A1598" t="s">
        <v>6779</v>
      </c>
      <c r="B1598" t="s">
        <v>6780</v>
      </c>
      <c r="C1598" t="s">
        <v>136</v>
      </c>
      <c r="D1598" t="s">
        <v>2257</v>
      </c>
      <c r="E1598" t="s">
        <v>1607</v>
      </c>
      <c r="F1598" t="s">
        <v>149</v>
      </c>
      <c r="G1598" t="s">
        <v>6781</v>
      </c>
    </row>
    <row r="1599" spans="1:7" ht="44.25" customHeight="1">
      <c r="A1599" t="s">
        <v>1026</v>
      </c>
      <c r="B1599" t="s">
        <v>6782</v>
      </c>
      <c r="C1599" t="s">
        <v>136</v>
      </c>
      <c r="D1599" t="s">
        <v>79</v>
      </c>
      <c r="E1599" t="s">
        <v>3503</v>
      </c>
      <c r="F1599" t="s">
        <v>149</v>
      </c>
      <c r="G1599" t="s">
        <v>6783</v>
      </c>
    </row>
    <row r="1600" spans="1:7" ht="44.25" customHeight="1">
      <c r="A1600" t="s">
        <v>6784</v>
      </c>
      <c r="B1600" t="s">
        <v>6785</v>
      </c>
      <c r="C1600" t="s">
        <v>136</v>
      </c>
      <c r="D1600" t="s">
        <v>79</v>
      </c>
      <c r="E1600" t="s">
        <v>3556</v>
      </c>
      <c r="F1600" t="s">
        <v>149</v>
      </c>
      <c r="G1600" t="s">
        <v>6786</v>
      </c>
    </row>
    <row r="1601" spans="1:7" ht="44.25" customHeight="1">
      <c r="A1601" t="s">
        <v>6787</v>
      </c>
      <c r="B1601" t="s">
        <v>6788</v>
      </c>
      <c r="C1601" t="s">
        <v>136</v>
      </c>
      <c r="D1601" t="s">
        <v>2253</v>
      </c>
      <c r="E1601" t="s">
        <v>1432</v>
      </c>
      <c r="F1601" t="s">
        <v>149</v>
      </c>
      <c r="G1601" t="s">
        <v>6789</v>
      </c>
    </row>
    <row r="1602" spans="1:7" ht="44.25" customHeight="1">
      <c r="A1602" t="s">
        <v>976</v>
      </c>
      <c r="B1602" t="s">
        <v>6790</v>
      </c>
      <c r="C1602" t="s">
        <v>136</v>
      </c>
      <c r="D1602" t="s">
        <v>2257</v>
      </c>
      <c r="E1602" t="s">
        <v>2276</v>
      </c>
      <c r="F1602" t="s">
        <v>149</v>
      </c>
      <c r="G1602" t="s">
        <v>6791</v>
      </c>
    </row>
    <row r="1603" spans="1:7" ht="44.25" customHeight="1">
      <c r="A1603" t="s">
        <v>527</v>
      </c>
      <c r="B1603" t="s">
        <v>6792</v>
      </c>
      <c r="C1603" t="s">
        <v>136</v>
      </c>
      <c r="D1603" t="s">
        <v>79</v>
      </c>
      <c r="E1603" t="s">
        <v>6793</v>
      </c>
      <c r="F1603" t="s">
        <v>149</v>
      </c>
      <c r="G1603" t="s">
        <v>6794</v>
      </c>
    </row>
    <row r="1604" spans="1:7" ht="44.25" customHeight="1">
      <c r="A1604" t="s">
        <v>6795</v>
      </c>
      <c r="B1604" t="s">
        <v>6796</v>
      </c>
      <c r="C1604" t="s">
        <v>136</v>
      </c>
      <c r="D1604" t="s">
        <v>79</v>
      </c>
      <c r="E1604" t="s">
        <v>6797</v>
      </c>
      <c r="F1604" t="s">
        <v>149</v>
      </c>
      <c r="G1604" t="s">
        <v>6798</v>
      </c>
    </row>
    <row r="1605" spans="1:7" ht="44.25" customHeight="1">
      <c r="A1605" t="s">
        <v>6799</v>
      </c>
      <c r="B1605" t="s">
        <v>6800</v>
      </c>
      <c r="C1605" t="s">
        <v>136</v>
      </c>
      <c r="D1605" t="s">
        <v>79</v>
      </c>
      <c r="E1605" t="s">
        <v>6801</v>
      </c>
      <c r="F1605" t="s">
        <v>149</v>
      </c>
      <c r="G1605" t="s">
        <v>6802</v>
      </c>
    </row>
    <row r="1606" spans="1:7" ht="44.25" customHeight="1">
      <c r="A1606" t="s">
        <v>6803</v>
      </c>
      <c r="B1606" t="s">
        <v>6804</v>
      </c>
      <c r="C1606" t="s">
        <v>136</v>
      </c>
      <c r="D1606" t="s">
        <v>2257</v>
      </c>
      <c r="E1606" t="s">
        <v>6805</v>
      </c>
      <c r="F1606" t="s">
        <v>149</v>
      </c>
      <c r="G1606" t="s">
        <v>6806</v>
      </c>
    </row>
    <row r="1607" spans="1:7" ht="44.25" customHeight="1">
      <c r="A1607" t="s">
        <v>6807</v>
      </c>
      <c r="B1607" t="s">
        <v>6808</v>
      </c>
      <c r="C1607" t="s">
        <v>136</v>
      </c>
      <c r="D1607" t="s">
        <v>2257</v>
      </c>
      <c r="E1607" t="s">
        <v>1607</v>
      </c>
      <c r="F1607" t="s">
        <v>149</v>
      </c>
      <c r="G1607" t="s">
        <v>6809</v>
      </c>
    </row>
    <row r="1608" spans="1:7" ht="44.25" customHeight="1">
      <c r="A1608" t="s">
        <v>6810</v>
      </c>
      <c r="B1608" t="s">
        <v>6811</v>
      </c>
      <c r="C1608" t="s">
        <v>136</v>
      </c>
      <c r="D1608" t="s">
        <v>2257</v>
      </c>
      <c r="E1608" t="s">
        <v>1607</v>
      </c>
      <c r="F1608" t="s">
        <v>149</v>
      </c>
      <c r="G1608" t="s">
        <v>6812</v>
      </c>
    </row>
    <row r="1609" spans="1:7" ht="44.25" customHeight="1">
      <c r="A1609" t="s">
        <v>302</v>
      </c>
      <c r="B1609" t="s">
        <v>6813</v>
      </c>
      <c r="C1609" t="s">
        <v>136</v>
      </c>
      <c r="D1609" t="s">
        <v>2257</v>
      </c>
      <c r="E1609" t="s">
        <v>2695</v>
      </c>
      <c r="F1609" t="s">
        <v>149</v>
      </c>
      <c r="G1609" t="s">
        <v>6814</v>
      </c>
    </row>
    <row r="1610" spans="1:7" ht="44.25" customHeight="1">
      <c r="A1610" t="s">
        <v>6815</v>
      </c>
      <c r="B1610" t="s">
        <v>6816</v>
      </c>
      <c r="C1610" t="s">
        <v>136</v>
      </c>
      <c r="D1610" t="s">
        <v>2257</v>
      </c>
      <c r="E1610" t="s">
        <v>6817</v>
      </c>
      <c r="F1610" t="s">
        <v>149</v>
      </c>
      <c r="G1610" t="s">
        <v>6818</v>
      </c>
    </row>
    <row r="1611" spans="1:7" ht="44.25" customHeight="1">
      <c r="A1611" t="s">
        <v>339</v>
      </c>
      <c r="B1611" t="s">
        <v>6819</v>
      </c>
      <c r="C1611" t="s">
        <v>136</v>
      </c>
      <c r="D1611" t="s">
        <v>2253</v>
      </c>
      <c r="E1611" t="s">
        <v>1432</v>
      </c>
      <c r="F1611" t="s">
        <v>149</v>
      </c>
      <c r="G1611" t="s">
        <v>6820</v>
      </c>
    </row>
    <row r="1612" spans="1:7" ht="44.25" customHeight="1">
      <c r="A1612" t="s">
        <v>979</v>
      </c>
      <c r="B1612" t="s">
        <v>6821</v>
      </c>
      <c r="C1612" t="s">
        <v>136</v>
      </c>
      <c r="D1612" t="s">
        <v>2257</v>
      </c>
      <c r="E1612" t="s">
        <v>2276</v>
      </c>
      <c r="F1612" t="s">
        <v>149</v>
      </c>
      <c r="G1612" t="s">
        <v>6822</v>
      </c>
    </row>
    <row r="1613" spans="1:7" ht="44.25" customHeight="1">
      <c r="A1613" t="s">
        <v>522</v>
      </c>
      <c r="B1613" t="s">
        <v>6823</v>
      </c>
      <c r="C1613" t="s">
        <v>136</v>
      </c>
      <c r="D1613" t="s">
        <v>2257</v>
      </c>
      <c r="E1613" t="s">
        <v>2265</v>
      </c>
      <c r="F1613" t="s">
        <v>149</v>
      </c>
      <c r="G1613" t="s">
        <v>6824</v>
      </c>
    </row>
    <row r="1614" spans="1:7" ht="44.25" customHeight="1">
      <c r="A1614" t="s">
        <v>836</v>
      </c>
      <c r="B1614" t="s">
        <v>6825</v>
      </c>
      <c r="C1614" t="s">
        <v>136</v>
      </c>
      <c r="D1614" t="s">
        <v>2257</v>
      </c>
      <c r="E1614" t="s">
        <v>3703</v>
      </c>
      <c r="F1614" t="s">
        <v>149</v>
      </c>
      <c r="G1614" t="s">
        <v>6826</v>
      </c>
    </row>
    <row r="1615" spans="1:7" ht="44.25" customHeight="1">
      <c r="A1615" t="s">
        <v>688</v>
      </c>
      <c r="B1615" t="s">
        <v>6827</v>
      </c>
      <c r="C1615" t="s">
        <v>136</v>
      </c>
      <c r="D1615" t="s">
        <v>2257</v>
      </c>
      <c r="E1615" t="s">
        <v>1584</v>
      </c>
      <c r="F1615" t="s">
        <v>149</v>
      </c>
      <c r="G1615" t="s">
        <v>6828</v>
      </c>
    </row>
    <row r="1616" spans="1:7" ht="44.25" customHeight="1">
      <c r="A1616" t="s">
        <v>889</v>
      </c>
      <c r="B1616" t="s">
        <v>6435</v>
      </c>
      <c r="C1616" t="s">
        <v>136</v>
      </c>
      <c r="D1616" t="s">
        <v>2257</v>
      </c>
      <c r="E1616" t="s">
        <v>3580</v>
      </c>
      <c r="F1616" t="s">
        <v>149</v>
      </c>
      <c r="G1616" t="s">
        <v>6829</v>
      </c>
    </row>
    <row r="1617" spans="1:7" ht="44.25" customHeight="1">
      <c r="A1617" t="s">
        <v>6830</v>
      </c>
      <c r="B1617" t="s">
        <v>6831</v>
      </c>
      <c r="C1617" t="s">
        <v>136</v>
      </c>
      <c r="D1617" t="s">
        <v>79</v>
      </c>
      <c r="E1617" t="s">
        <v>6832</v>
      </c>
      <c r="F1617" t="s">
        <v>149</v>
      </c>
      <c r="G1617" t="s">
        <v>6833</v>
      </c>
    </row>
    <row r="1618" spans="1:7" ht="44.25" customHeight="1">
      <c r="A1618" t="s">
        <v>6834</v>
      </c>
      <c r="B1618" t="s">
        <v>6835</v>
      </c>
      <c r="C1618" t="s">
        <v>136</v>
      </c>
      <c r="D1618" t="s">
        <v>2257</v>
      </c>
      <c r="E1618" t="s">
        <v>6805</v>
      </c>
      <c r="F1618" t="s">
        <v>149</v>
      </c>
      <c r="G1618" t="s">
        <v>6836</v>
      </c>
    </row>
    <row r="1619" spans="1:7" ht="44.25" customHeight="1">
      <c r="A1619" t="s">
        <v>136</v>
      </c>
      <c r="B1619" t="s">
        <v>6837</v>
      </c>
      <c r="C1619" t="s">
        <v>136</v>
      </c>
      <c r="D1619" t="s">
        <v>2257</v>
      </c>
      <c r="E1619" t="s">
        <v>6409</v>
      </c>
      <c r="F1619" t="s">
        <v>149</v>
      </c>
      <c r="G1619" t="s">
        <v>6838</v>
      </c>
    </row>
    <row r="1620" spans="1:7" ht="44.25" customHeight="1">
      <c r="A1620" t="s">
        <v>6839</v>
      </c>
      <c r="B1620" t="s">
        <v>6840</v>
      </c>
      <c r="C1620" t="s">
        <v>6841</v>
      </c>
      <c r="D1620" t="s">
        <v>2257</v>
      </c>
      <c r="E1620" t="s">
        <v>1503</v>
      </c>
      <c r="F1620" t="s">
        <v>149</v>
      </c>
      <c r="G1620" t="s">
        <v>6842</v>
      </c>
    </row>
    <row r="1621" spans="1:7" ht="44.25" customHeight="1">
      <c r="A1621" t="s">
        <v>6843</v>
      </c>
      <c r="B1621" t="s">
        <v>6844</v>
      </c>
      <c r="C1621" t="s">
        <v>136</v>
      </c>
      <c r="D1621" t="s">
        <v>2257</v>
      </c>
      <c r="E1621" t="s">
        <v>1607</v>
      </c>
      <c r="F1621" t="s">
        <v>149</v>
      </c>
      <c r="G1621" t="s">
        <v>6845</v>
      </c>
    </row>
    <row r="1622" spans="1:7" ht="44.25" customHeight="1">
      <c r="A1622" t="s">
        <v>6846</v>
      </c>
      <c r="B1622" t="s">
        <v>6847</v>
      </c>
      <c r="C1622" t="s">
        <v>136</v>
      </c>
      <c r="D1622" t="s">
        <v>79</v>
      </c>
      <c r="E1622" t="s">
        <v>3910</v>
      </c>
      <c r="F1622" t="s">
        <v>149</v>
      </c>
      <c r="G1622" t="s">
        <v>6848</v>
      </c>
    </row>
    <row r="1623" spans="1:7" ht="44.25" customHeight="1">
      <c r="A1623" t="s">
        <v>6849</v>
      </c>
      <c r="B1623" t="s">
        <v>6850</v>
      </c>
      <c r="C1623" t="s">
        <v>136</v>
      </c>
      <c r="D1623" t="s">
        <v>2257</v>
      </c>
      <c r="E1623" t="s">
        <v>2265</v>
      </c>
      <c r="F1623" t="s">
        <v>149</v>
      </c>
      <c r="G1623" t="s">
        <v>6851</v>
      </c>
    </row>
    <row r="1624" spans="1:7" ht="44.25" customHeight="1">
      <c r="A1624" t="s">
        <v>6852</v>
      </c>
      <c r="B1624" t="s">
        <v>6853</v>
      </c>
      <c r="C1624" t="s">
        <v>136</v>
      </c>
      <c r="D1624" t="s">
        <v>2257</v>
      </c>
      <c r="E1624" t="s">
        <v>2276</v>
      </c>
      <c r="F1624" t="s">
        <v>149</v>
      </c>
      <c r="G1624" t="s">
        <v>6854</v>
      </c>
    </row>
    <row r="1625" spans="1:7" ht="44.25" customHeight="1">
      <c r="A1625" t="s">
        <v>6855</v>
      </c>
      <c r="B1625" t="s">
        <v>6856</v>
      </c>
      <c r="C1625" t="s">
        <v>136</v>
      </c>
      <c r="D1625" t="s">
        <v>2257</v>
      </c>
      <c r="E1625" t="s">
        <v>2276</v>
      </c>
      <c r="F1625" t="s">
        <v>149</v>
      </c>
      <c r="G1625" t="s">
        <v>6857</v>
      </c>
    </row>
    <row r="1626" spans="1:7" ht="44.25" customHeight="1">
      <c r="A1626" t="s">
        <v>6858</v>
      </c>
      <c r="B1626" t="s">
        <v>6859</v>
      </c>
      <c r="C1626" t="s">
        <v>136</v>
      </c>
      <c r="D1626" t="s">
        <v>2257</v>
      </c>
      <c r="E1626" t="s">
        <v>6860</v>
      </c>
      <c r="F1626" t="s">
        <v>149</v>
      </c>
      <c r="G1626" t="s">
        <v>6861</v>
      </c>
    </row>
    <row r="1627" spans="1:7" ht="44.25" customHeight="1">
      <c r="A1627" t="s">
        <v>946</v>
      </c>
      <c r="B1627" t="s">
        <v>6862</v>
      </c>
      <c r="C1627" t="s">
        <v>136</v>
      </c>
      <c r="D1627" t="s">
        <v>2257</v>
      </c>
      <c r="E1627" t="s">
        <v>2276</v>
      </c>
      <c r="F1627" t="s">
        <v>149</v>
      </c>
      <c r="G1627" t="s">
        <v>6863</v>
      </c>
    </row>
    <row r="1628" spans="1:7" ht="44.25" customHeight="1">
      <c r="A1628" t="s">
        <v>902</v>
      </c>
      <c r="B1628" t="s">
        <v>6864</v>
      </c>
      <c r="C1628" t="s">
        <v>136</v>
      </c>
      <c r="D1628" t="s">
        <v>79</v>
      </c>
      <c r="E1628" t="s">
        <v>4699</v>
      </c>
      <c r="F1628" t="s">
        <v>149</v>
      </c>
      <c r="G1628" t="s">
        <v>6865</v>
      </c>
    </row>
    <row r="1629" spans="1:7" ht="44.25" customHeight="1">
      <c r="A1629" t="s">
        <v>6866</v>
      </c>
      <c r="B1629" t="s">
        <v>6867</v>
      </c>
      <c r="C1629" t="s">
        <v>136</v>
      </c>
      <c r="D1629" t="s">
        <v>79</v>
      </c>
      <c r="E1629" t="s">
        <v>6868</v>
      </c>
      <c r="F1629" t="s">
        <v>149</v>
      </c>
      <c r="G1629" t="s">
        <v>6869</v>
      </c>
    </row>
    <row r="1630" spans="1:7" ht="44.25" customHeight="1">
      <c r="A1630" t="s">
        <v>6870</v>
      </c>
      <c r="B1630" t="s">
        <v>6871</v>
      </c>
      <c r="C1630" t="s">
        <v>136</v>
      </c>
      <c r="D1630" t="s">
        <v>79</v>
      </c>
      <c r="E1630" t="s">
        <v>6872</v>
      </c>
      <c r="F1630" t="s">
        <v>149</v>
      </c>
      <c r="G1630" t="s">
        <v>6873</v>
      </c>
    </row>
    <row r="1631" spans="1:7" ht="44.25" customHeight="1">
      <c r="A1631" t="s">
        <v>6874</v>
      </c>
      <c r="B1631" t="s">
        <v>6875</v>
      </c>
      <c r="C1631" t="s">
        <v>136</v>
      </c>
      <c r="D1631" t="s">
        <v>79</v>
      </c>
      <c r="E1631" t="s">
        <v>6876</v>
      </c>
      <c r="F1631" t="s">
        <v>149</v>
      </c>
      <c r="G1631" t="s">
        <v>6877</v>
      </c>
    </row>
    <row r="1632" spans="1:7" ht="44.25" customHeight="1">
      <c r="A1632" t="s">
        <v>6874</v>
      </c>
      <c r="B1632" t="s">
        <v>6875</v>
      </c>
      <c r="C1632" t="s">
        <v>136</v>
      </c>
      <c r="D1632" t="s">
        <v>79</v>
      </c>
      <c r="E1632" t="s">
        <v>6876</v>
      </c>
      <c r="F1632" t="s">
        <v>149</v>
      </c>
      <c r="G1632" t="s">
        <v>6877</v>
      </c>
    </row>
    <row r="1633" spans="1:7" ht="44.25" customHeight="1">
      <c r="A1633" t="s">
        <v>6878</v>
      </c>
      <c r="B1633" t="s">
        <v>6879</v>
      </c>
      <c r="C1633" t="s">
        <v>136</v>
      </c>
      <c r="D1633" t="s">
        <v>2257</v>
      </c>
      <c r="E1633" t="s">
        <v>5691</v>
      </c>
      <c r="F1633" t="s">
        <v>149</v>
      </c>
      <c r="G1633" t="s">
        <v>6880</v>
      </c>
    </row>
    <row r="1634" spans="1:7" ht="44.25" customHeight="1">
      <c r="A1634" t="s">
        <v>136</v>
      </c>
      <c r="B1634" t="s">
        <v>6881</v>
      </c>
      <c r="C1634" t="s">
        <v>136</v>
      </c>
      <c r="D1634" t="s">
        <v>2257</v>
      </c>
      <c r="E1634" t="s">
        <v>6128</v>
      </c>
      <c r="F1634" t="s">
        <v>149</v>
      </c>
      <c r="G1634" t="s">
        <v>6882</v>
      </c>
    </row>
    <row r="1635" spans="1:7" ht="44.25" customHeight="1">
      <c r="A1635" t="s">
        <v>6883</v>
      </c>
      <c r="B1635" t="s">
        <v>6884</v>
      </c>
      <c r="C1635" t="s">
        <v>136</v>
      </c>
      <c r="D1635" t="s">
        <v>2257</v>
      </c>
      <c r="E1635" t="s">
        <v>1607</v>
      </c>
      <c r="F1635" t="s">
        <v>149</v>
      </c>
      <c r="G1635" t="s">
        <v>6885</v>
      </c>
    </row>
    <row r="1636" spans="1:7" ht="44.25" customHeight="1">
      <c r="A1636" t="s">
        <v>6886</v>
      </c>
      <c r="B1636" t="s">
        <v>6887</v>
      </c>
      <c r="C1636" t="s">
        <v>136</v>
      </c>
      <c r="D1636" t="s">
        <v>2257</v>
      </c>
      <c r="E1636" t="s">
        <v>1607</v>
      </c>
      <c r="F1636" t="s">
        <v>149</v>
      </c>
      <c r="G1636" t="s">
        <v>6888</v>
      </c>
    </row>
    <row r="1637" spans="1:7" ht="44.25" customHeight="1">
      <c r="A1637" t="s">
        <v>263</v>
      </c>
      <c r="B1637" t="s">
        <v>6889</v>
      </c>
      <c r="C1637" t="s">
        <v>136</v>
      </c>
      <c r="D1637" t="s">
        <v>2257</v>
      </c>
      <c r="E1637" t="s">
        <v>1607</v>
      </c>
      <c r="F1637" t="s">
        <v>149</v>
      </c>
      <c r="G1637" t="s">
        <v>6890</v>
      </c>
    </row>
    <row r="1638" spans="1:7" ht="44.25" customHeight="1">
      <c r="A1638" t="s">
        <v>6891</v>
      </c>
      <c r="B1638" t="s">
        <v>6892</v>
      </c>
      <c r="C1638" t="s">
        <v>136</v>
      </c>
      <c r="D1638" t="s">
        <v>2257</v>
      </c>
      <c r="E1638" t="s">
        <v>1607</v>
      </c>
      <c r="F1638" t="s">
        <v>149</v>
      </c>
      <c r="G1638" t="s">
        <v>6893</v>
      </c>
    </row>
    <row r="1639" spans="1:7" ht="44.25" customHeight="1">
      <c r="A1639" t="s">
        <v>6894</v>
      </c>
      <c r="B1639" t="s">
        <v>6895</v>
      </c>
      <c r="C1639" t="s">
        <v>136</v>
      </c>
      <c r="D1639" t="s">
        <v>2257</v>
      </c>
      <c r="E1639" t="s">
        <v>1607</v>
      </c>
      <c r="F1639" t="s">
        <v>149</v>
      </c>
      <c r="G1639" t="s">
        <v>6896</v>
      </c>
    </row>
    <row r="1640" spans="1:7" ht="44.25" customHeight="1">
      <c r="A1640" t="s">
        <v>918</v>
      </c>
      <c r="B1640" t="s">
        <v>6897</v>
      </c>
      <c r="C1640" t="s">
        <v>136</v>
      </c>
      <c r="D1640" t="s">
        <v>2257</v>
      </c>
      <c r="E1640" t="s">
        <v>3162</v>
      </c>
      <c r="F1640" t="s">
        <v>149</v>
      </c>
      <c r="G1640" t="s">
        <v>6898</v>
      </c>
    </row>
    <row r="1641" spans="1:7" ht="44.25" customHeight="1">
      <c r="A1641" t="s">
        <v>6899</v>
      </c>
      <c r="B1641" t="s">
        <v>6900</v>
      </c>
      <c r="C1641" t="s">
        <v>136</v>
      </c>
      <c r="D1641" t="s">
        <v>79</v>
      </c>
      <c r="E1641" t="s">
        <v>6901</v>
      </c>
      <c r="F1641" t="s">
        <v>149</v>
      </c>
      <c r="G1641" t="s">
        <v>6902</v>
      </c>
    </row>
    <row r="1642" spans="1:7" ht="44.25" customHeight="1">
      <c r="A1642" t="s">
        <v>6903</v>
      </c>
      <c r="B1642" t="s">
        <v>6904</v>
      </c>
      <c r="C1642" t="s">
        <v>136</v>
      </c>
      <c r="D1642" t="s">
        <v>2253</v>
      </c>
      <c r="E1642" t="s">
        <v>1430</v>
      </c>
      <c r="F1642" t="s">
        <v>149</v>
      </c>
      <c r="G1642" t="s">
        <v>6905</v>
      </c>
    </row>
    <row r="1643" spans="1:7" ht="44.25" customHeight="1">
      <c r="A1643" t="s">
        <v>6906</v>
      </c>
      <c r="B1643" t="s">
        <v>6907</v>
      </c>
      <c r="C1643" t="s">
        <v>136</v>
      </c>
      <c r="D1643" t="s">
        <v>79</v>
      </c>
      <c r="E1643" t="s">
        <v>3910</v>
      </c>
      <c r="F1643" t="s">
        <v>149</v>
      </c>
      <c r="G1643" t="s">
        <v>6908</v>
      </c>
    </row>
    <row r="1644" spans="1:7" ht="44.25" customHeight="1">
      <c r="A1644" t="s">
        <v>6909</v>
      </c>
      <c r="B1644" t="s">
        <v>6910</v>
      </c>
      <c r="C1644" t="s">
        <v>136</v>
      </c>
      <c r="D1644" t="s">
        <v>2253</v>
      </c>
      <c r="E1644" t="s">
        <v>1432</v>
      </c>
      <c r="F1644" t="s">
        <v>149</v>
      </c>
      <c r="G1644" t="s">
        <v>6911</v>
      </c>
    </row>
    <row r="1645" spans="1:7" ht="44.25" customHeight="1">
      <c r="A1645" t="s">
        <v>6912</v>
      </c>
      <c r="B1645" t="s">
        <v>6913</v>
      </c>
      <c r="C1645" t="s">
        <v>136</v>
      </c>
      <c r="D1645" t="s">
        <v>2257</v>
      </c>
      <c r="E1645" t="s">
        <v>2276</v>
      </c>
      <c r="F1645" t="s">
        <v>149</v>
      </c>
      <c r="G1645" t="s">
        <v>6914</v>
      </c>
    </row>
    <row r="1646" spans="1:7" ht="44.25" customHeight="1">
      <c r="A1646" t="s">
        <v>6915</v>
      </c>
      <c r="B1646" t="s">
        <v>6916</v>
      </c>
      <c r="C1646" t="s">
        <v>136</v>
      </c>
      <c r="D1646" t="s">
        <v>79</v>
      </c>
      <c r="E1646" t="s">
        <v>4552</v>
      </c>
      <c r="F1646" t="s">
        <v>149</v>
      </c>
      <c r="G1646" t="s">
        <v>6917</v>
      </c>
    </row>
    <row r="1647" spans="1:7" ht="44.25" customHeight="1">
      <c r="A1647" t="s">
        <v>136</v>
      </c>
      <c r="B1647" t="s">
        <v>6918</v>
      </c>
      <c r="C1647" t="s">
        <v>136</v>
      </c>
      <c r="D1647" t="s">
        <v>79</v>
      </c>
      <c r="E1647" t="s">
        <v>1550</v>
      </c>
      <c r="F1647" t="s">
        <v>149</v>
      </c>
      <c r="G1647" t="s">
        <v>6919</v>
      </c>
    </row>
    <row r="1648" spans="1:7" ht="44.25" customHeight="1">
      <c r="A1648" t="s">
        <v>6920</v>
      </c>
      <c r="B1648" t="s">
        <v>6921</v>
      </c>
      <c r="C1648" t="s">
        <v>136</v>
      </c>
      <c r="D1648" t="s">
        <v>79</v>
      </c>
      <c r="E1648" t="s">
        <v>6922</v>
      </c>
      <c r="F1648" t="s">
        <v>149</v>
      </c>
      <c r="G1648" t="s">
        <v>6923</v>
      </c>
    </row>
    <row r="1649" spans="1:7" ht="44.25" customHeight="1">
      <c r="A1649" t="s">
        <v>6924</v>
      </c>
      <c r="B1649" t="s">
        <v>6925</v>
      </c>
      <c r="C1649" t="s">
        <v>136</v>
      </c>
      <c r="D1649" t="s">
        <v>79</v>
      </c>
      <c r="E1649" t="s">
        <v>6926</v>
      </c>
      <c r="F1649" t="s">
        <v>149</v>
      </c>
      <c r="G1649" t="s">
        <v>6927</v>
      </c>
    </row>
    <row r="1650" spans="1:7" ht="44.25" customHeight="1">
      <c r="A1650" t="s">
        <v>6928</v>
      </c>
      <c r="B1650" t="s">
        <v>6929</v>
      </c>
      <c r="C1650" t="s">
        <v>136</v>
      </c>
      <c r="D1650" t="s">
        <v>2257</v>
      </c>
      <c r="E1650" t="s">
        <v>1607</v>
      </c>
      <c r="F1650" t="s">
        <v>149</v>
      </c>
      <c r="G1650" t="s">
        <v>6930</v>
      </c>
    </row>
    <row r="1651" spans="1:7" ht="44.25" customHeight="1">
      <c r="A1651" t="s">
        <v>6931</v>
      </c>
      <c r="B1651" t="s">
        <v>6932</v>
      </c>
      <c r="C1651" t="s">
        <v>136</v>
      </c>
      <c r="D1651" t="s">
        <v>2257</v>
      </c>
      <c r="E1651" t="s">
        <v>1607</v>
      </c>
      <c r="F1651" t="s">
        <v>149</v>
      </c>
      <c r="G1651" t="s">
        <v>6933</v>
      </c>
    </row>
    <row r="1652" spans="1:7" ht="44.25" customHeight="1">
      <c r="A1652" t="s">
        <v>6934</v>
      </c>
      <c r="B1652" t="s">
        <v>6935</v>
      </c>
      <c r="C1652" t="s">
        <v>136</v>
      </c>
      <c r="D1652" t="s">
        <v>2257</v>
      </c>
      <c r="E1652" t="s">
        <v>1607</v>
      </c>
      <c r="F1652" t="s">
        <v>149</v>
      </c>
      <c r="G1652" t="s">
        <v>6936</v>
      </c>
    </row>
    <row r="1653" spans="1:7" ht="44.25" customHeight="1">
      <c r="A1653" t="s">
        <v>6937</v>
      </c>
      <c r="B1653" t="s">
        <v>6938</v>
      </c>
      <c r="C1653" t="s">
        <v>136</v>
      </c>
      <c r="D1653" t="s">
        <v>2257</v>
      </c>
      <c r="E1653" t="s">
        <v>1607</v>
      </c>
      <c r="F1653" t="s">
        <v>149</v>
      </c>
      <c r="G1653" t="s">
        <v>6939</v>
      </c>
    </row>
    <row r="1654" spans="1:7" ht="44.25" customHeight="1">
      <c r="A1654" t="s">
        <v>6940</v>
      </c>
      <c r="B1654" t="s">
        <v>6941</v>
      </c>
      <c r="C1654" t="s">
        <v>136</v>
      </c>
      <c r="D1654" t="s">
        <v>2257</v>
      </c>
      <c r="E1654" t="s">
        <v>1607</v>
      </c>
      <c r="F1654" t="s">
        <v>149</v>
      </c>
      <c r="G1654" t="s">
        <v>6942</v>
      </c>
    </row>
    <row r="1655" spans="1:7" ht="44.25" customHeight="1">
      <c r="A1655" t="s">
        <v>427</v>
      </c>
      <c r="B1655" t="s">
        <v>6943</v>
      </c>
      <c r="C1655" t="s">
        <v>136</v>
      </c>
      <c r="D1655" t="s">
        <v>79</v>
      </c>
      <c r="E1655" t="s">
        <v>3516</v>
      </c>
      <c r="F1655" t="s">
        <v>149</v>
      </c>
      <c r="G1655" t="s">
        <v>6944</v>
      </c>
    </row>
    <row r="1656" spans="1:7" ht="44.25" customHeight="1">
      <c r="A1656" t="s">
        <v>6945</v>
      </c>
      <c r="B1656" t="s">
        <v>6946</v>
      </c>
      <c r="C1656" t="s">
        <v>136</v>
      </c>
      <c r="D1656" t="s">
        <v>2253</v>
      </c>
      <c r="E1656" t="s">
        <v>1432</v>
      </c>
      <c r="F1656" t="s">
        <v>149</v>
      </c>
      <c r="G1656" t="s">
        <v>6947</v>
      </c>
    </row>
    <row r="1657" spans="1:7" ht="44.25" customHeight="1">
      <c r="A1657" t="s">
        <v>6948</v>
      </c>
      <c r="B1657" t="s">
        <v>6949</v>
      </c>
      <c r="C1657" t="s">
        <v>136</v>
      </c>
      <c r="D1657" t="s">
        <v>2253</v>
      </c>
      <c r="E1657" t="s">
        <v>1430</v>
      </c>
      <c r="F1657" t="s">
        <v>149</v>
      </c>
      <c r="G1657" t="s">
        <v>6950</v>
      </c>
    </row>
    <row r="1658" spans="1:7" ht="44.25" customHeight="1">
      <c r="A1658" t="s">
        <v>6951</v>
      </c>
      <c r="B1658" t="s">
        <v>6952</v>
      </c>
      <c r="C1658" t="s">
        <v>136</v>
      </c>
      <c r="D1658" t="s">
        <v>2253</v>
      </c>
      <c r="E1658" t="s">
        <v>1430</v>
      </c>
      <c r="F1658" t="s">
        <v>149</v>
      </c>
      <c r="G1658" t="s">
        <v>6953</v>
      </c>
    </row>
    <row r="1659" spans="1:7" ht="44.25" customHeight="1">
      <c r="A1659" t="s">
        <v>6954</v>
      </c>
      <c r="B1659" t="s">
        <v>6955</v>
      </c>
      <c r="C1659" t="s">
        <v>136</v>
      </c>
      <c r="D1659" t="s">
        <v>2257</v>
      </c>
      <c r="E1659" t="s">
        <v>2276</v>
      </c>
      <c r="F1659" t="s">
        <v>149</v>
      </c>
      <c r="G1659" t="s">
        <v>6956</v>
      </c>
    </row>
    <row r="1660" spans="1:7" ht="44.25" customHeight="1">
      <c r="A1660" t="s">
        <v>1333</v>
      </c>
      <c r="B1660" t="s">
        <v>6957</v>
      </c>
      <c r="C1660" t="s">
        <v>136</v>
      </c>
      <c r="D1660" t="s">
        <v>2257</v>
      </c>
      <c r="E1660" t="s">
        <v>2276</v>
      </c>
      <c r="F1660" t="s">
        <v>149</v>
      </c>
      <c r="G1660" t="s">
        <v>6958</v>
      </c>
    </row>
    <row r="1661" spans="1:7" ht="44.25" customHeight="1">
      <c r="A1661" t="s">
        <v>1492</v>
      </c>
      <c r="B1661" t="s">
        <v>6959</v>
      </c>
      <c r="C1661" t="s">
        <v>136</v>
      </c>
      <c r="D1661" t="s">
        <v>2257</v>
      </c>
      <c r="E1661" t="s">
        <v>2276</v>
      </c>
      <c r="F1661" t="s">
        <v>149</v>
      </c>
      <c r="G1661" t="s">
        <v>6960</v>
      </c>
    </row>
    <row r="1662" spans="1:7" ht="44.25" customHeight="1">
      <c r="A1662" t="s">
        <v>1032</v>
      </c>
      <c r="B1662" t="s">
        <v>6961</v>
      </c>
      <c r="C1662" t="s">
        <v>136</v>
      </c>
      <c r="D1662" t="s">
        <v>79</v>
      </c>
      <c r="E1662" t="s">
        <v>1430</v>
      </c>
      <c r="F1662" t="s">
        <v>149</v>
      </c>
      <c r="G1662" t="s">
        <v>6962</v>
      </c>
    </row>
    <row r="1663" spans="1:7" ht="44.25" customHeight="1">
      <c r="A1663" t="s">
        <v>6963</v>
      </c>
      <c r="B1663" t="s">
        <v>6964</v>
      </c>
      <c r="C1663" t="s">
        <v>136</v>
      </c>
      <c r="D1663" t="s">
        <v>2257</v>
      </c>
      <c r="E1663" t="s">
        <v>4299</v>
      </c>
      <c r="F1663" t="s">
        <v>149</v>
      </c>
      <c r="G1663" t="s">
        <v>6965</v>
      </c>
    </row>
    <row r="1664" spans="1:7" ht="44.25" customHeight="1">
      <c r="A1664" t="s">
        <v>694</v>
      </c>
      <c r="B1664" t="s">
        <v>6966</v>
      </c>
      <c r="C1664" t="s">
        <v>136</v>
      </c>
      <c r="D1664" t="s">
        <v>2257</v>
      </c>
      <c r="E1664" t="s">
        <v>1584</v>
      </c>
      <c r="F1664" t="s">
        <v>149</v>
      </c>
      <c r="G1664" t="s">
        <v>6967</v>
      </c>
    </row>
    <row r="1665" spans="1:7" ht="44.25" customHeight="1">
      <c r="A1665" t="s">
        <v>6968</v>
      </c>
      <c r="B1665" t="s">
        <v>6969</v>
      </c>
      <c r="C1665" t="s">
        <v>136</v>
      </c>
      <c r="D1665" t="s">
        <v>79</v>
      </c>
      <c r="E1665" t="s">
        <v>6970</v>
      </c>
      <c r="F1665" t="s">
        <v>149</v>
      </c>
      <c r="G1665" t="s">
        <v>6971</v>
      </c>
    </row>
    <row r="1666" spans="1:7" ht="44.25" customHeight="1">
      <c r="A1666" t="s">
        <v>6972</v>
      </c>
      <c r="B1666" t="s">
        <v>6973</v>
      </c>
      <c r="C1666" t="s">
        <v>136</v>
      </c>
      <c r="D1666" t="s">
        <v>79</v>
      </c>
      <c r="E1666" t="s">
        <v>6974</v>
      </c>
      <c r="F1666" t="s">
        <v>149</v>
      </c>
      <c r="G1666" t="s">
        <v>6975</v>
      </c>
    </row>
    <row r="1667" spans="1:7" ht="44.25" customHeight="1">
      <c r="A1667" t="s">
        <v>6976</v>
      </c>
      <c r="B1667" t="s">
        <v>6977</v>
      </c>
      <c r="C1667" t="s">
        <v>136</v>
      </c>
      <c r="D1667" t="s">
        <v>79</v>
      </c>
      <c r="E1667" t="s">
        <v>6978</v>
      </c>
      <c r="F1667" t="s">
        <v>149</v>
      </c>
      <c r="G1667" t="s">
        <v>6979</v>
      </c>
    </row>
    <row r="1668" spans="1:7" ht="44.25" customHeight="1">
      <c r="A1668" t="s">
        <v>6980</v>
      </c>
      <c r="B1668" t="s">
        <v>6981</v>
      </c>
      <c r="C1668" t="s">
        <v>136</v>
      </c>
      <c r="D1668" t="s">
        <v>79</v>
      </c>
      <c r="E1668" t="s">
        <v>6982</v>
      </c>
      <c r="F1668" t="s">
        <v>149</v>
      </c>
      <c r="G1668" t="s">
        <v>6983</v>
      </c>
    </row>
    <row r="1669" spans="1:7" ht="44.25" customHeight="1">
      <c r="A1669" t="s">
        <v>6984</v>
      </c>
      <c r="B1669" t="s">
        <v>6985</v>
      </c>
      <c r="C1669" t="s">
        <v>136</v>
      </c>
      <c r="D1669" t="s">
        <v>79</v>
      </c>
      <c r="E1669" t="s">
        <v>6986</v>
      </c>
      <c r="F1669" t="s">
        <v>149</v>
      </c>
      <c r="G1669" t="s">
        <v>6987</v>
      </c>
    </row>
    <row r="1670" spans="1:7" ht="44.25" customHeight="1">
      <c r="A1670" t="s">
        <v>6988</v>
      </c>
      <c r="B1670" t="s">
        <v>6989</v>
      </c>
      <c r="C1670" t="s">
        <v>136</v>
      </c>
      <c r="D1670" t="s">
        <v>2257</v>
      </c>
      <c r="E1670" t="s">
        <v>5738</v>
      </c>
      <c r="F1670" t="s">
        <v>149</v>
      </c>
      <c r="G1670" t="s">
        <v>6990</v>
      </c>
    </row>
    <row r="1671" spans="1:7" ht="44.25" customHeight="1">
      <c r="A1671" t="s">
        <v>6991</v>
      </c>
      <c r="B1671" t="s">
        <v>6992</v>
      </c>
      <c r="C1671" t="s">
        <v>136</v>
      </c>
      <c r="D1671" t="s">
        <v>2257</v>
      </c>
      <c r="E1671" t="s">
        <v>1607</v>
      </c>
      <c r="F1671" t="s">
        <v>149</v>
      </c>
      <c r="G1671" t="s">
        <v>6993</v>
      </c>
    </row>
    <row r="1672" spans="1:7" ht="44.25" customHeight="1">
      <c r="A1672" t="s">
        <v>6994</v>
      </c>
      <c r="B1672" t="s">
        <v>6995</v>
      </c>
      <c r="C1672" t="s">
        <v>136</v>
      </c>
      <c r="D1672" t="s">
        <v>2257</v>
      </c>
      <c r="E1672" t="s">
        <v>1607</v>
      </c>
      <c r="F1672" t="s">
        <v>149</v>
      </c>
      <c r="G1672" t="s">
        <v>6996</v>
      </c>
    </row>
    <row r="1673" spans="1:7" ht="44.25" customHeight="1">
      <c r="A1673" t="s">
        <v>1396</v>
      </c>
      <c r="B1673" t="s">
        <v>6997</v>
      </c>
      <c r="C1673" t="s">
        <v>136</v>
      </c>
      <c r="D1673" t="s">
        <v>2257</v>
      </c>
      <c r="E1673" t="s">
        <v>1607</v>
      </c>
      <c r="F1673" t="s">
        <v>149</v>
      </c>
      <c r="G1673" t="s">
        <v>6998</v>
      </c>
    </row>
    <row r="1674" spans="1:7" ht="44.25" customHeight="1">
      <c r="A1674" t="s">
        <v>1404</v>
      </c>
      <c r="B1674" t="s">
        <v>6999</v>
      </c>
      <c r="C1674" t="s">
        <v>136</v>
      </c>
      <c r="D1674" t="s">
        <v>2257</v>
      </c>
      <c r="E1674" t="s">
        <v>1607</v>
      </c>
      <c r="F1674" t="s">
        <v>149</v>
      </c>
      <c r="G1674" t="s">
        <v>7000</v>
      </c>
    </row>
    <row r="1675" spans="1:7" ht="44.25" customHeight="1">
      <c r="A1675" t="s">
        <v>7001</v>
      </c>
      <c r="B1675" t="s">
        <v>7002</v>
      </c>
      <c r="C1675" t="s">
        <v>136</v>
      </c>
      <c r="D1675" t="s">
        <v>79</v>
      </c>
      <c r="E1675" t="s">
        <v>3492</v>
      </c>
      <c r="F1675" t="s">
        <v>149</v>
      </c>
      <c r="G1675" t="s">
        <v>7003</v>
      </c>
    </row>
    <row r="1676" spans="1:7" ht="44.25" customHeight="1">
      <c r="A1676" t="s">
        <v>807</v>
      </c>
      <c r="B1676" t="s">
        <v>7004</v>
      </c>
      <c r="C1676" t="s">
        <v>136</v>
      </c>
      <c r="D1676" t="s">
        <v>79</v>
      </c>
      <c r="E1676" t="s">
        <v>7005</v>
      </c>
      <c r="F1676" t="s">
        <v>149</v>
      </c>
      <c r="G1676" t="s">
        <v>7006</v>
      </c>
    </row>
    <row r="1677" spans="1:7" ht="44.25" customHeight="1">
      <c r="A1677" t="s">
        <v>7007</v>
      </c>
      <c r="B1677" t="s">
        <v>7008</v>
      </c>
      <c r="C1677" t="s">
        <v>136</v>
      </c>
      <c r="D1677" t="s">
        <v>79</v>
      </c>
      <c r="E1677" t="s">
        <v>7009</v>
      </c>
      <c r="F1677" t="s">
        <v>149</v>
      </c>
      <c r="G1677" t="s">
        <v>7010</v>
      </c>
    </row>
    <row r="1678" spans="1:7" ht="44.25" customHeight="1">
      <c r="A1678" t="s">
        <v>455</v>
      </c>
      <c r="B1678" t="s">
        <v>7011</v>
      </c>
      <c r="C1678" t="s">
        <v>136</v>
      </c>
      <c r="D1678" t="s">
        <v>79</v>
      </c>
      <c r="E1678" t="s">
        <v>6569</v>
      </c>
      <c r="F1678" t="s">
        <v>149</v>
      </c>
      <c r="G1678" t="s">
        <v>7012</v>
      </c>
    </row>
    <row r="1679" spans="1:7" ht="44.25" customHeight="1">
      <c r="A1679" t="s">
        <v>7013</v>
      </c>
      <c r="B1679" t="s">
        <v>7014</v>
      </c>
      <c r="C1679" t="s">
        <v>136</v>
      </c>
      <c r="D1679" t="s">
        <v>2253</v>
      </c>
      <c r="E1679" t="s">
        <v>1432</v>
      </c>
      <c r="F1679" t="s">
        <v>149</v>
      </c>
      <c r="G1679" t="s">
        <v>7015</v>
      </c>
    </row>
    <row r="1680" spans="1:7" ht="44.25" customHeight="1">
      <c r="A1680" t="s">
        <v>7016</v>
      </c>
      <c r="B1680" t="s">
        <v>7017</v>
      </c>
      <c r="C1680" t="s">
        <v>136</v>
      </c>
      <c r="D1680" t="s">
        <v>2253</v>
      </c>
      <c r="E1680" t="s">
        <v>1430</v>
      </c>
      <c r="F1680" t="s">
        <v>149</v>
      </c>
      <c r="G1680" t="s">
        <v>7018</v>
      </c>
    </row>
    <row r="1681" spans="1:7" ht="44.25" customHeight="1">
      <c r="A1681" t="s">
        <v>7019</v>
      </c>
      <c r="B1681" t="s">
        <v>7020</v>
      </c>
      <c r="C1681" t="s">
        <v>136</v>
      </c>
      <c r="D1681" t="s">
        <v>2253</v>
      </c>
      <c r="E1681" t="s">
        <v>1432</v>
      </c>
      <c r="F1681" t="s">
        <v>149</v>
      </c>
      <c r="G1681" t="s">
        <v>7021</v>
      </c>
    </row>
    <row r="1682" spans="1:7" ht="44.25" customHeight="1">
      <c r="A1682" t="s">
        <v>7022</v>
      </c>
      <c r="B1682" t="s">
        <v>7023</v>
      </c>
      <c r="C1682" t="s">
        <v>136</v>
      </c>
      <c r="D1682" t="s">
        <v>2253</v>
      </c>
      <c r="E1682" t="s">
        <v>1432</v>
      </c>
      <c r="F1682" t="s">
        <v>149</v>
      </c>
      <c r="G1682" t="s">
        <v>7024</v>
      </c>
    </row>
    <row r="1683" spans="1:7" ht="44.25" customHeight="1">
      <c r="A1683" t="s">
        <v>7025</v>
      </c>
      <c r="B1683" t="s">
        <v>7026</v>
      </c>
      <c r="C1683" t="s">
        <v>136</v>
      </c>
      <c r="D1683" t="s">
        <v>2253</v>
      </c>
      <c r="E1683" t="s">
        <v>1432</v>
      </c>
      <c r="F1683" t="s">
        <v>149</v>
      </c>
      <c r="G1683" t="s">
        <v>7027</v>
      </c>
    </row>
    <row r="1684" spans="1:7" ht="44.25" customHeight="1">
      <c r="A1684" t="s">
        <v>7028</v>
      </c>
      <c r="B1684" t="s">
        <v>7029</v>
      </c>
      <c r="C1684" t="s">
        <v>136</v>
      </c>
      <c r="D1684" t="s">
        <v>2257</v>
      </c>
      <c r="E1684" t="s">
        <v>2276</v>
      </c>
      <c r="F1684" t="s">
        <v>149</v>
      </c>
      <c r="G1684" t="s">
        <v>7030</v>
      </c>
    </row>
    <row r="1685" spans="1:7" ht="44.25" customHeight="1">
      <c r="A1685" t="s">
        <v>305</v>
      </c>
      <c r="B1685" t="s">
        <v>7031</v>
      </c>
      <c r="C1685" t="s">
        <v>136</v>
      </c>
      <c r="D1685" t="s">
        <v>2253</v>
      </c>
      <c r="E1685" t="s">
        <v>1432</v>
      </c>
      <c r="F1685" t="s">
        <v>149</v>
      </c>
      <c r="G1685" t="s">
        <v>7032</v>
      </c>
    </row>
    <row r="1686" spans="1:7" ht="44.25" customHeight="1">
      <c r="A1686" t="s">
        <v>326</v>
      </c>
      <c r="B1686" t="s">
        <v>7033</v>
      </c>
      <c r="C1686" t="s">
        <v>136</v>
      </c>
      <c r="D1686" t="s">
        <v>2253</v>
      </c>
      <c r="E1686" t="s">
        <v>1432</v>
      </c>
      <c r="F1686" t="s">
        <v>149</v>
      </c>
      <c r="G1686" t="s">
        <v>7034</v>
      </c>
    </row>
    <row r="1687" spans="1:7" ht="44.25" customHeight="1">
      <c r="A1687" t="s">
        <v>562</v>
      </c>
      <c r="B1687" t="s">
        <v>7035</v>
      </c>
      <c r="C1687" t="s">
        <v>136</v>
      </c>
      <c r="D1687" t="s">
        <v>2257</v>
      </c>
      <c r="E1687" t="s">
        <v>4661</v>
      </c>
      <c r="F1687" t="s">
        <v>149</v>
      </c>
      <c r="G1687" t="s">
        <v>7036</v>
      </c>
    </row>
    <row r="1688" spans="1:7" ht="44.25" customHeight="1">
      <c r="A1688" t="s">
        <v>7037</v>
      </c>
      <c r="B1688" t="s">
        <v>7038</v>
      </c>
      <c r="C1688" t="s">
        <v>136</v>
      </c>
      <c r="D1688" t="s">
        <v>79</v>
      </c>
      <c r="E1688" t="s">
        <v>7039</v>
      </c>
      <c r="F1688" t="s">
        <v>149</v>
      </c>
      <c r="G1688" t="s">
        <v>7040</v>
      </c>
    </row>
    <row r="1689" spans="1:7" ht="44.25" customHeight="1">
      <c r="A1689" t="s">
        <v>7041</v>
      </c>
      <c r="B1689" t="s">
        <v>7042</v>
      </c>
      <c r="C1689" t="s">
        <v>136</v>
      </c>
      <c r="D1689" t="s">
        <v>2257</v>
      </c>
      <c r="E1689" t="s">
        <v>6128</v>
      </c>
      <c r="F1689" t="s">
        <v>149</v>
      </c>
      <c r="G1689" t="s">
        <v>7043</v>
      </c>
    </row>
    <row r="1690" spans="1:7" ht="44.25" customHeight="1">
      <c r="A1690" t="s">
        <v>7044</v>
      </c>
      <c r="B1690" t="s">
        <v>7045</v>
      </c>
      <c r="C1690" t="s">
        <v>136</v>
      </c>
      <c r="D1690" t="s">
        <v>2257</v>
      </c>
      <c r="E1690" t="s">
        <v>7046</v>
      </c>
      <c r="F1690" t="s">
        <v>149</v>
      </c>
      <c r="G1690" t="s">
        <v>7047</v>
      </c>
    </row>
    <row r="1691" spans="1:7" ht="44.25" customHeight="1">
      <c r="A1691" t="s">
        <v>7048</v>
      </c>
      <c r="B1691" t="s">
        <v>7049</v>
      </c>
      <c r="C1691" t="s">
        <v>136</v>
      </c>
      <c r="D1691" t="s">
        <v>2257</v>
      </c>
      <c r="E1691" t="s">
        <v>1607</v>
      </c>
      <c r="F1691" t="s">
        <v>149</v>
      </c>
      <c r="G1691" t="s">
        <v>7050</v>
      </c>
    </row>
    <row r="1692" spans="1:7" ht="44.25" customHeight="1">
      <c r="A1692" t="s">
        <v>7051</v>
      </c>
      <c r="B1692" t="s">
        <v>7052</v>
      </c>
      <c r="C1692" t="s">
        <v>136</v>
      </c>
      <c r="D1692" t="s">
        <v>2257</v>
      </c>
      <c r="E1692" t="s">
        <v>1607</v>
      </c>
      <c r="F1692" t="s">
        <v>149</v>
      </c>
      <c r="G1692" t="s">
        <v>7053</v>
      </c>
    </row>
    <row r="1693" spans="1:7" ht="44.25" customHeight="1">
      <c r="A1693" t="s">
        <v>7054</v>
      </c>
      <c r="B1693" t="s">
        <v>7055</v>
      </c>
      <c r="C1693" t="s">
        <v>136</v>
      </c>
      <c r="D1693" t="s">
        <v>2257</v>
      </c>
      <c r="E1693" t="s">
        <v>1607</v>
      </c>
      <c r="F1693" t="s">
        <v>149</v>
      </c>
      <c r="G1693" t="s">
        <v>7056</v>
      </c>
    </row>
    <row r="1694" spans="1:7" ht="44.25" customHeight="1">
      <c r="A1694" t="s">
        <v>7057</v>
      </c>
      <c r="B1694" t="s">
        <v>7058</v>
      </c>
      <c r="C1694" t="s">
        <v>136</v>
      </c>
      <c r="D1694" t="s">
        <v>2257</v>
      </c>
      <c r="E1694" t="s">
        <v>1607</v>
      </c>
      <c r="F1694" t="s">
        <v>149</v>
      </c>
      <c r="G1694" t="s">
        <v>7059</v>
      </c>
    </row>
    <row r="1695" spans="1:7" ht="44.25" customHeight="1">
      <c r="A1695" t="s">
        <v>7060</v>
      </c>
      <c r="B1695" t="s">
        <v>7061</v>
      </c>
      <c r="C1695" t="s">
        <v>7062</v>
      </c>
      <c r="D1695" t="s">
        <v>2257</v>
      </c>
      <c r="E1695" t="s">
        <v>2685</v>
      </c>
      <c r="F1695" t="s">
        <v>149</v>
      </c>
      <c r="G1695" t="s">
        <v>7063</v>
      </c>
    </row>
    <row r="1696" spans="1:7" ht="44.25" customHeight="1">
      <c r="A1696" t="s">
        <v>7064</v>
      </c>
      <c r="B1696" t="s">
        <v>7065</v>
      </c>
      <c r="C1696" t="s">
        <v>136</v>
      </c>
      <c r="D1696" t="s">
        <v>2257</v>
      </c>
      <c r="E1696" t="s">
        <v>1607</v>
      </c>
      <c r="F1696" t="s">
        <v>149</v>
      </c>
      <c r="G1696" t="s">
        <v>7066</v>
      </c>
    </row>
    <row r="1697" spans="1:7" ht="44.25" customHeight="1">
      <c r="A1697" t="s">
        <v>648</v>
      </c>
      <c r="B1697" t="s">
        <v>7067</v>
      </c>
      <c r="C1697" t="s">
        <v>136</v>
      </c>
      <c r="D1697" t="s">
        <v>79</v>
      </c>
      <c r="E1697" t="s">
        <v>3522</v>
      </c>
      <c r="F1697" t="s">
        <v>149</v>
      </c>
      <c r="G1697" t="s">
        <v>7068</v>
      </c>
    </row>
    <row r="1698" spans="1:7" ht="44.25" customHeight="1">
      <c r="A1698" t="s">
        <v>7069</v>
      </c>
      <c r="B1698" t="s">
        <v>7070</v>
      </c>
      <c r="C1698" t="s">
        <v>136</v>
      </c>
      <c r="D1698" t="s">
        <v>79</v>
      </c>
      <c r="E1698" t="s">
        <v>7071</v>
      </c>
      <c r="F1698" t="s">
        <v>149</v>
      </c>
      <c r="G1698" t="s">
        <v>7072</v>
      </c>
    </row>
    <row r="1699" spans="1:7" ht="44.25" customHeight="1">
      <c r="A1699" t="s">
        <v>1002</v>
      </c>
      <c r="B1699" t="s">
        <v>7073</v>
      </c>
      <c r="C1699" t="s">
        <v>136</v>
      </c>
      <c r="D1699" t="s">
        <v>2257</v>
      </c>
      <c r="E1699" t="s">
        <v>2276</v>
      </c>
      <c r="F1699" t="s">
        <v>149</v>
      </c>
      <c r="G1699" t="s">
        <v>7074</v>
      </c>
    </row>
    <row r="1700" spans="1:7" ht="44.25" customHeight="1">
      <c r="A1700" t="s">
        <v>782</v>
      </c>
      <c r="B1700" t="s">
        <v>7075</v>
      </c>
      <c r="C1700" t="s">
        <v>136</v>
      </c>
      <c r="D1700" t="s">
        <v>2253</v>
      </c>
      <c r="E1700" t="s">
        <v>1432</v>
      </c>
      <c r="F1700" t="s">
        <v>149</v>
      </c>
      <c r="G1700" t="s">
        <v>7076</v>
      </c>
    </row>
    <row r="1701" spans="1:7" ht="44.25" customHeight="1">
      <c r="A1701" t="s">
        <v>780</v>
      </c>
      <c r="B1701" t="s">
        <v>7077</v>
      </c>
      <c r="C1701" t="s">
        <v>136</v>
      </c>
      <c r="D1701" t="s">
        <v>2257</v>
      </c>
      <c r="E1701" t="s">
        <v>1432</v>
      </c>
      <c r="F1701" t="s">
        <v>149</v>
      </c>
      <c r="G1701" t="s">
        <v>7078</v>
      </c>
    </row>
    <row r="1702" spans="1:7" ht="44.25" customHeight="1">
      <c r="A1702" t="s">
        <v>7079</v>
      </c>
      <c r="B1702" t="s">
        <v>7080</v>
      </c>
      <c r="C1702" t="s">
        <v>136</v>
      </c>
      <c r="D1702" t="s">
        <v>79</v>
      </c>
      <c r="E1702" t="s">
        <v>7081</v>
      </c>
      <c r="F1702" t="s">
        <v>149</v>
      </c>
      <c r="G1702" t="s">
        <v>7082</v>
      </c>
    </row>
    <row r="1703" spans="1:7" ht="44.25" customHeight="1">
      <c r="A1703" t="s">
        <v>1435</v>
      </c>
      <c r="B1703" t="s">
        <v>7083</v>
      </c>
      <c r="C1703" t="s">
        <v>136</v>
      </c>
      <c r="D1703" t="s">
        <v>2257</v>
      </c>
      <c r="E1703" t="s">
        <v>7084</v>
      </c>
      <c r="F1703" t="s">
        <v>149</v>
      </c>
      <c r="G1703" t="s">
        <v>7085</v>
      </c>
    </row>
    <row r="1704" spans="1:7" ht="44.25" customHeight="1">
      <c r="A1704" t="s">
        <v>7086</v>
      </c>
      <c r="B1704" t="s">
        <v>7087</v>
      </c>
      <c r="C1704" t="s">
        <v>136</v>
      </c>
      <c r="D1704" t="s">
        <v>79</v>
      </c>
      <c r="E1704" t="s">
        <v>4831</v>
      </c>
      <c r="F1704" t="s">
        <v>149</v>
      </c>
      <c r="G1704" t="s">
        <v>7088</v>
      </c>
    </row>
    <row r="1705" spans="1:7" ht="44.25" customHeight="1">
      <c r="A1705" t="s">
        <v>7089</v>
      </c>
      <c r="B1705" t="s">
        <v>7090</v>
      </c>
      <c r="C1705" t="s">
        <v>136</v>
      </c>
      <c r="D1705" t="s">
        <v>2257</v>
      </c>
      <c r="E1705" t="s">
        <v>6323</v>
      </c>
      <c r="F1705" t="s">
        <v>149</v>
      </c>
      <c r="G1705" t="s">
        <v>7091</v>
      </c>
    </row>
    <row r="1706" spans="1:7" ht="44.25" customHeight="1">
      <c r="A1706" t="s">
        <v>136</v>
      </c>
      <c r="B1706" t="s">
        <v>7092</v>
      </c>
      <c r="C1706" t="s">
        <v>136</v>
      </c>
      <c r="D1706" t="s">
        <v>79</v>
      </c>
      <c r="E1706" t="s">
        <v>7093</v>
      </c>
      <c r="F1706" t="s">
        <v>149</v>
      </c>
      <c r="G1706" t="s">
        <v>7094</v>
      </c>
    </row>
    <row r="1707" spans="1:7" ht="44.25" customHeight="1">
      <c r="A1707" t="s">
        <v>7095</v>
      </c>
      <c r="B1707" t="s">
        <v>7096</v>
      </c>
      <c r="C1707" t="s">
        <v>136</v>
      </c>
      <c r="D1707" t="s">
        <v>79</v>
      </c>
      <c r="E1707" t="s">
        <v>7097</v>
      </c>
      <c r="F1707" t="s">
        <v>149</v>
      </c>
      <c r="G1707" t="s">
        <v>7098</v>
      </c>
    </row>
    <row r="1708" spans="1:7" ht="44.25" customHeight="1">
      <c r="A1708" t="s">
        <v>7099</v>
      </c>
      <c r="B1708" t="s">
        <v>7100</v>
      </c>
      <c r="C1708" t="s">
        <v>136</v>
      </c>
      <c r="D1708" t="s">
        <v>79</v>
      </c>
      <c r="E1708" t="s">
        <v>7101</v>
      </c>
      <c r="F1708" t="s">
        <v>149</v>
      </c>
      <c r="G1708" t="s">
        <v>7102</v>
      </c>
    </row>
    <row r="1709" spans="1:7" ht="44.25" customHeight="1">
      <c r="A1709" t="s">
        <v>7103</v>
      </c>
      <c r="B1709" t="s">
        <v>7104</v>
      </c>
      <c r="C1709" t="s">
        <v>136</v>
      </c>
      <c r="D1709" t="s">
        <v>79</v>
      </c>
      <c r="E1709" t="s">
        <v>7105</v>
      </c>
      <c r="F1709" t="s">
        <v>149</v>
      </c>
      <c r="G1709" t="s">
        <v>7106</v>
      </c>
    </row>
    <row r="1710" spans="1:7" ht="44.25" customHeight="1">
      <c r="A1710" t="s">
        <v>7107</v>
      </c>
      <c r="B1710" t="s">
        <v>7108</v>
      </c>
      <c r="C1710" t="s">
        <v>136</v>
      </c>
      <c r="D1710" t="s">
        <v>79</v>
      </c>
      <c r="E1710" t="s">
        <v>7109</v>
      </c>
      <c r="F1710" t="s">
        <v>149</v>
      </c>
      <c r="G1710" t="s">
        <v>7110</v>
      </c>
    </row>
    <row r="1711" spans="1:7" ht="44.25" customHeight="1">
      <c r="A1711" t="s">
        <v>7111</v>
      </c>
      <c r="B1711" t="s">
        <v>7112</v>
      </c>
      <c r="C1711" t="s">
        <v>136</v>
      </c>
      <c r="D1711" t="s">
        <v>2257</v>
      </c>
      <c r="E1711" t="s">
        <v>1607</v>
      </c>
      <c r="F1711" t="s">
        <v>149</v>
      </c>
      <c r="G1711" t="s">
        <v>7113</v>
      </c>
    </row>
    <row r="1712" spans="1:7" ht="44.25" customHeight="1">
      <c r="A1712" t="s">
        <v>833</v>
      </c>
      <c r="B1712" t="s">
        <v>7114</v>
      </c>
      <c r="C1712" t="s">
        <v>136</v>
      </c>
      <c r="D1712" t="s">
        <v>79</v>
      </c>
      <c r="E1712" t="s">
        <v>1592</v>
      </c>
      <c r="F1712" t="s">
        <v>149</v>
      </c>
      <c r="G1712" t="s">
        <v>7115</v>
      </c>
    </row>
    <row r="1713" spans="1:7" ht="44.25" customHeight="1">
      <c r="A1713" t="s">
        <v>7116</v>
      </c>
      <c r="B1713" t="s">
        <v>7117</v>
      </c>
      <c r="C1713" t="s">
        <v>136</v>
      </c>
      <c r="D1713" t="s">
        <v>2253</v>
      </c>
      <c r="E1713" t="s">
        <v>1432</v>
      </c>
      <c r="F1713" t="s">
        <v>149</v>
      </c>
      <c r="G1713" t="s">
        <v>7118</v>
      </c>
    </row>
    <row r="1714" spans="1:7" ht="44.25" customHeight="1">
      <c r="A1714" t="s">
        <v>7119</v>
      </c>
      <c r="B1714" t="s">
        <v>7120</v>
      </c>
      <c r="C1714" t="s">
        <v>136</v>
      </c>
      <c r="D1714" t="s">
        <v>2253</v>
      </c>
      <c r="E1714" t="s">
        <v>1432</v>
      </c>
      <c r="F1714" t="s">
        <v>149</v>
      </c>
      <c r="G1714" t="s">
        <v>7121</v>
      </c>
    </row>
    <row r="1715" spans="1:7" ht="44.25" customHeight="1">
      <c r="A1715" t="s">
        <v>1375</v>
      </c>
      <c r="B1715" t="s">
        <v>7122</v>
      </c>
      <c r="C1715" t="s">
        <v>136</v>
      </c>
      <c r="D1715" t="s">
        <v>2257</v>
      </c>
      <c r="E1715" t="s">
        <v>2276</v>
      </c>
      <c r="F1715" t="s">
        <v>149</v>
      </c>
      <c r="G1715" t="s">
        <v>7123</v>
      </c>
    </row>
    <row r="1716" spans="1:7" ht="44.25" customHeight="1">
      <c r="A1716" t="s">
        <v>392</v>
      </c>
      <c r="B1716" t="s">
        <v>7124</v>
      </c>
      <c r="C1716" t="s">
        <v>136</v>
      </c>
      <c r="D1716" t="s">
        <v>2257</v>
      </c>
      <c r="E1716" t="s">
        <v>2258</v>
      </c>
      <c r="F1716" t="s">
        <v>149</v>
      </c>
      <c r="G1716" t="s">
        <v>7125</v>
      </c>
    </row>
    <row r="1717" spans="1:7" ht="44.25" customHeight="1">
      <c r="A1717" t="s">
        <v>508</v>
      </c>
      <c r="B1717" t="s">
        <v>7126</v>
      </c>
      <c r="C1717" t="s">
        <v>136</v>
      </c>
      <c r="D1717" t="s">
        <v>2257</v>
      </c>
      <c r="E1717" t="s">
        <v>2258</v>
      </c>
      <c r="F1717" t="s">
        <v>149</v>
      </c>
      <c r="G1717" t="s">
        <v>7127</v>
      </c>
    </row>
    <row r="1718" spans="1:7" ht="44.25" customHeight="1">
      <c r="A1718" t="s">
        <v>7128</v>
      </c>
      <c r="B1718" t="s">
        <v>7129</v>
      </c>
      <c r="C1718" t="s">
        <v>136</v>
      </c>
      <c r="D1718" t="s">
        <v>79</v>
      </c>
      <c r="E1718" t="s">
        <v>7130</v>
      </c>
      <c r="F1718" t="s">
        <v>149</v>
      </c>
      <c r="G1718" t="s">
        <v>7131</v>
      </c>
    </row>
    <row r="1719" spans="1:7" ht="44.25" customHeight="1">
      <c r="A1719" t="s">
        <v>7132</v>
      </c>
      <c r="B1719" t="s">
        <v>7133</v>
      </c>
      <c r="C1719" t="s">
        <v>136</v>
      </c>
      <c r="D1719" t="s">
        <v>79</v>
      </c>
      <c r="E1719" t="s">
        <v>7134</v>
      </c>
      <c r="F1719" t="s">
        <v>149</v>
      </c>
      <c r="G1719" t="s">
        <v>7135</v>
      </c>
    </row>
    <row r="1720" spans="1:7" ht="44.25" customHeight="1">
      <c r="A1720" t="s">
        <v>7136</v>
      </c>
      <c r="B1720" t="s">
        <v>7137</v>
      </c>
      <c r="C1720" t="s">
        <v>136</v>
      </c>
      <c r="D1720" t="s">
        <v>79</v>
      </c>
      <c r="E1720" t="s">
        <v>7138</v>
      </c>
      <c r="F1720" t="s">
        <v>149</v>
      </c>
      <c r="G1720" t="s">
        <v>7139</v>
      </c>
    </row>
    <row r="1721" spans="1:7" ht="44.25" customHeight="1">
      <c r="A1721" t="s">
        <v>7140</v>
      </c>
      <c r="B1721" t="s">
        <v>7141</v>
      </c>
      <c r="C1721" t="s">
        <v>136</v>
      </c>
      <c r="D1721" t="s">
        <v>79</v>
      </c>
      <c r="E1721" t="s">
        <v>7142</v>
      </c>
      <c r="F1721" t="s">
        <v>149</v>
      </c>
      <c r="G1721" t="s">
        <v>7143</v>
      </c>
    </row>
    <row r="1722" spans="1:7" ht="44.25" customHeight="1">
      <c r="A1722" t="s">
        <v>7140</v>
      </c>
      <c r="B1722" t="s">
        <v>7141</v>
      </c>
      <c r="C1722" t="s">
        <v>136</v>
      </c>
      <c r="D1722" t="s">
        <v>79</v>
      </c>
      <c r="E1722" t="s">
        <v>7142</v>
      </c>
      <c r="F1722" t="s">
        <v>149</v>
      </c>
      <c r="G1722" t="s">
        <v>7143</v>
      </c>
    </row>
    <row r="1723" spans="1:7" ht="44.25" customHeight="1">
      <c r="A1723" t="s">
        <v>7144</v>
      </c>
      <c r="B1723" t="s">
        <v>7145</v>
      </c>
      <c r="C1723" t="s">
        <v>136</v>
      </c>
      <c r="D1723" t="s">
        <v>79</v>
      </c>
      <c r="E1723" t="s">
        <v>7146</v>
      </c>
      <c r="F1723" t="s">
        <v>149</v>
      </c>
      <c r="G1723" t="s">
        <v>7147</v>
      </c>
    </row>
    <row r="1724" spans="1:7" ht="44.25" customHeight="1">
      <c r="A1724" t="s">
        <v>7148</v>
      </c>
      <c r="B1724" t="s">
        <v>7149</v>
      </c>
      <c r="C1724" t="s">
        <v>136</v>
      </c>
      <c r="D1724" t="s">
        <v>79</v>
      </c>
      <c r="E1724" t="s">
        <v>7150</v>
      </c>
      <c r="F1724" t="s">
        <v>149</v>
      </c>
      <c r="G1724" t="s">
        <v>7151</v>
      </c>
    </row>
    <row r="1725" spans="1:7" ht="44.25" customHeight="1">
      <c r="A1725" t="s">
        <v>7148</v>
      </c>
      <c r="B1725" t="s">
        <v>7149</v>
      </c>
      <c r="C1725" t="s">
        <v>136</v>
      </c>
      <c r="D1725" t="s">
        <v>79</v>
      </c>
      <c r="E1725" t="s">
        <v>7150</v>
      </c>
      <c r="F1725" t="s">
        <v>149</v>
      </c>
      <c r="G1725" t="s">
        <v>7151</v>
      </c>
    </row>
    <row r="1726" spans="1:7" ht="44.25" customHeight="1">
      <c r="A1726" t="s">
        <v>7152</v>
      </c>
      <c r="B1726" t="s">
        <v>7153</v>
      </c>
      <c r="C1726" t="s">
        <v>136</v>
      </c>
      <c r="D1726" t="s">
        <v>79</v>
      </c>
      <c r="E1726" t="s">
        <v>7154</v>
      </c>
      <c r="F1726" t="s">
        <v>149</v>
      </c>
      <c r="G1726" t="s">
        <v>7155</v>
      </c>
    </row>
    <row r="1727" spans="1:7" ht="44.25" customHeight="1">
      <c r="A1727" t="s">
        <v>586</v>
      </c>
      <c r="B1727" t="s">
        <v>7156</v>
      </c>
      <c r="C1727" t="s">
        <v>136</v>
      </c>
      <c r="D1727" t="s">
        <v>79</v>
      </c>
      <c r="E1727" t="s">
        <v>1559</v>
      </c>
      <c r="F1727" t="s">
        <v>149</v>
      </c>
      <c r="G1727" t="s">
        <v>7157</v>
      </c>
    </row>
    <row r="1728" spans="1:7" ht="44.25" customHeight="1">
      <c r="A1728" t="s">
        <v>7158</v>
      </c>
      <c r="B1728" t="s">
        <v>7159</v>
      </c>
      <c r="C1728" t="s">
        <v>136</v>
      </c>
      <c r="D1728" t="s">
        <v>79</v>
      </c>
      <c r="E1728" t="s">
        <v>7160</v>
      </c>
      <c r="F1728" t="s">
        <v>149</v>
      </c>
      <c r="G1728" t="s">
        <v>7161</v>
      </c>
    </row>
    <row r="1729" spans="1:7" ht="44.25" customHeight="1">
      <c r="A1729" t="s">
        <v>7162</v>
      </c>
      <c r="B1729" t="s">
        <v>7163</v>
      </c>
      <c r="C1729" t="s">
        <v>136</v>
      </c>
      <c r="D1729" t="s">
        <v>2257</v>
      </c>
      <c r="E1729" t="s">
        <v>1607</v>
      </c>
      <c r="F1729" t="s">
        <v>149</v>
      </c>
      <c r="G1729" t="s">
        <v>7164</v>
      </c>
    </row>
    <row r="1730" spans="1:7" ht="44.25" customHeight="1">
      <c r="A1730" t="s">
        <v>136</v>
      </c>
      <c r="B1730" t="s">
        <v>7165</v>
      </c>
      <c r="C1730" t="s">
        <v>136</v>
      </c>
      <c r="D1730" t="s">
        <v>2257</v>
      </c>
      <c r="E1730" t="s">
        <v>2399</v>
      </c>
      <c r="F1730" t="s">
        <v>149</v>
      </c>
      <c r="G1730" t="s">
        <v>7166</v>
      </c>
    </row>
    <row r="1731" spans="1:7" ht="44.25" customHeight="1">
      <c r="A1731" t="s">
        <v>254</v>
      </c>
      <c r="B1731" t="s">
        <v>7167</v>
      </c>
      <c r="C1731" t="s">
        <v>136</v>
      </c>
      <c r="D1731" t="s">
        <v>2257</v>
      </c>
      <c r="E1731" t="s">
        <v>1607</v>
      </c>
      <c r="F1731" t="s">
        <v>149</v>
      </c>
      <c r="G1731" t="s">
        <v>7168</v>
      </c>
    </row>
    <row r="1732" spans="1:7" ht="44.25" customHeight="1">
      <c r="A1732" t="s">
        <v>442</v>
      </c>
      <c r="B1732" t="s">
        <v>7169</v>
      </c>
      <c r="C1732" t="s">
        <v>136</v>
      </c>
      <c r="D1732" t="s">
        <v>79</v>
      </c>
      <c r="E1732" t="s">
        <v>7170</v>
      </c>
      <c r="F1732" t="s">
        <v>149</v>
      </c>
      <c r="G1732" t="s">
        <v>7171</v>
      </c>
    </row>
    <row r="1733" spans="1:7" ht="44.25" customHeight="1">
      <c r="A1733" t="s">
        <v>7172</v>
      </c>
      <c r="B1733" t="s">
        <v>7173</v>
      </c>
      <c r="C1733" t="s">
        <v>136</v>
      </c>
      <c r="D1733" t="s">
        <v>2253</v>
      </c>
      <c r="E1733" t="s">
        <v>1430</v>
      </c>
      <c r="F1733" t="s">
        <v>149</v>
      </c>
      <c r="G1733" t="s">
        <v>7174</v>
      </c>
    </row>
    <row r="1734" spans="1:7" ht="44.25" customHeight="1">
      <c r="A1734" t="s">
        <v>7175</v>
      </c>
      <c r="B1734" t="s">
        <v>7176</v>
      </c>
      <c r="C1734" t="s">
        <v>136</v>
      </c>
      <c r="D1734" t="s">
        <v>2253</v>
      </c>
      <c r="E1734" t="s">
        <v>1432</v>
      </c>
      <c r="F1734" t="s">
        <v>149</v>
      </c>
      <c r="G1734" t="s">
        <v>7177</v>
      </c>
    </row>
    <row r="1735" spans="1:7" ht="44.25" customHeight="1">
      <c r="A1735" t="s">
        <v>379</v>
      </c>
      <c r="B1735" t="s">
        <v>7178</v>
      </c>
      <c r="C1735" t="s">
        <v>136</v>
      </c>
      <c r="D1735" t="s">
        <v>2253</v>
      </c>
      <c r="E1735" t="s">
        <v>1432</v>
      </c>
      <c r="F1735" t="s">
        <v>149</v>
      </c>
      <c r="G1735" t="s">
        <v>7179</v>
      </c>
    </row>
    <row r="1736" spans="1:7" ht="44.25" customHeight="1">
      <c r="A1736" t="s">
        <v>7180</v>
      </c>
      <c r="B1736" t="s">
        <v>7181</v>
      </c>
      <c r="C1736" t="s">
        <v>136</v>
      </c>
      <c r="D1736" t="s">
        <v>79</v>
      </c>
      <c r="E1736" t="s">
        <v>6242</v>
      </c>
      <c r="F1736" t="s">
        <v>149</v>
      </c>
      <c r="G1736" t="s">
        <v>7182</v>
      </c>
    </row>
    <row r="1737" spans="1:7" ht="44.25" customHeight="1">
      <c r="A1737" t="s">
        <v>7183</v>
      </c>
      <c r="B1737" t="s">
        <v>7184</v>
      </c>
      <c r="C1737" t="s">
        <v>136</v>
      </c>
      <c r="D1737" t="s">
        <v>79</v>
      </c>
      <c r="E1737" t="s">
        <v>7185</v>
      </c>
      <c r="F1737" t="s">
        <v>149</v>
      </c>
      <c r="G1737" t="s">
        <v>7186</v>
      </c>
    </row>
    <row r="1738" spans="1:7" ht="44.25" customHeight="1">
      <c r="A1738" t="s">
        <v>7187</v>
      </c>
      <c r="B1738" t="s">
        <v>7188</v>
      </c>
      <c r="C1738" t="s">
        <v>136</v>
      </c>
      <c r="D1738" t="s">
        <v>79</v>
      </c>
      <c r="E1738" t="s">
        <v>7189</v>
      </c>
      <c r="F1738" t="s">
        <v>149</v>
      </c>
      <c r="G1738" t="s">
        <v>7190</v>
      </c>
    </row>
    <row r="1739" spans="1:7" ht="44.25" customHeight="1">
      <c r="A1739" t="s">
        <v>7191</v>
      </c>
      <c r="B1739" t="s">
        <v>7192</v>
      </c>
      <c r="C1739" t="s">
        <v>136</v>
      </c>
      <c r="D1739" t="s">
        <v>79</v>
      </c>
      <c r="E1739" t="s">
        <v>7193</v>
      </c>
      <c r="F1739" t="s">
        <v>149</v>
      </c>
      <c r="G1739" t="s">
        <v>7194</v>
      </c>
    </row>
    <row r="1740" spans="1:7" ht="44.25" customHeight="1">
      <c r="A1740" t="s">
        <v>136</v>
      </c>
      <c r="B1740" t="s">
        <v>7195</v>
      </c>
      <c r="C1740" t="s">
        <v>136</v>
      </c>
      <c r="D1740" t="s">
        <v>2257</v>
      </c>
      <c r="E1740" t="s">
        <v>5691</v>
      </c>
      <c r="F1740" t="s">
        <v>149</v>
      </c>
      <c r="G1740" t="s">
        <v>7196</v>
      </c>
    </row>
    <row r="1741" spans="1:7" ht="44.25" customHeight="1">
      <c r="A1741" t="s">
        <v>136</v>
      </c>
      <c r="B1741" t="s">
        <v>7197</v>
      </c>
      <c r="C1741" t="s">
        <v>136</v>
      </c>
      <c r="D1741" t="s">
        <v>2257</v>
      </c>
      <c r="E1741" t="s">
        <v>5691</v>
      </c>
      <c r="F1741" t="s">
        <v>149</v>
      </c>
      <c r="G1741" t="s">
        <v>7198</v>
      </c>
    </row>
    <row r="1742" spans="1:7" ht="44.25" customHeight="1">
      <c r="A1742" t="s">
        <v>7199</v>
      </c>
      <c r="B1742" t="s">
        <v>7200</v>
      </c>
      <c r="C1742" t="s">
        <v>136</v>
      </c>
      <c r="D1742" t="s">
        <v>79</v>
      </c>
      <c r="E1742" t="s">
        <v>7201</v>
      </c>
      <c r="F1742" t="s">
        <v>149</v>
      </c>
      <c r="G1742" t="s">
        <v>7202</v>
      </c>
    </row>
    <row r="1743" spans="1:7" ht="44.25" customHeight="1">
      <c r="A1743" t="s">
        <v>7203</v>
      </c>
      <c r="B1743" t="s">
        <v>7204</v>
      </c>
      <c r="C1743" t="s">
        <v>136</v>
      </c>
      <c r="D1743" t="s">
        <v>2257</v>
      </c>
      <c r="E1743" t="s">
        <v>2399</v>
      </c>
      <c r="F1743" t="s">
        <v>149</v>
      </c>
      <c r="G1743" t="s">
        <v>7205</v>
      </c>
    </row>
    <row r="1744" spans="1:7" ht="44.25" customHeight="1">
      <c r="A1744" t="s">
        <v>7206</v>
      </c>
      <c r="B1744" t="s">
        <v>7207</v>
      </c>
      <c r="C1744" t="s">
        <v>136</v>
      </c>
      <c r="D1744" t="s">
        <v>2257</v>
      </c>
      <c r="E1744" t="s">
        <v>1607</v>
      </c>
      <c r="F1744" t="s">
        <v>149</v>
      </c>
      <c r="G1744" t="s">
        <v>7208</v>
      </c>
    </row>
    <row r="1745" spans="1:7" ht="44.25" customHeight="1">
      <c r="A1745" t="s">
        <v>7209</v>
      </c>
      <c r="B1745" t="s">
        <v>7210</v>
      </c>
      <c r="C1745" t="s">
        <v>7211</v>
      </c>
      <c r="D1745" t="s">
        <v>2257</v>
      </c>
      <c r="E1745" t="s">
        <v>7212</v>
      </c>
      <c r="F1745" t="s">
        <v>149</v>
      </c>
      <c r="G1745" t="s">
        <v>7213</v>
      </c>
    </row>
    <row r="1746" spans="1:7" ht="44.25" customHeight="1">
      <c r="A1746" t="s">
        <v>7214</v>
      </c>
      <c r="B1746" t="s">
        <v>7215</v>
      </c>
      <c r="C1746" t="s">
        <v>136</v>
      </c>
      <c r="D1746" t="s">
        <v>79</v>
      </c>
      <c r="E1746" t="s">
        <v>7216</v>
      </c>
      <c r="F1746" t="s">
        <v>149</v>
      </c>
      <c r="G1746" t="s">
        <v>7217</v>
      </c>
    </row>
    <row r="1747" spans="1:7" ht="44.25" customHeight="1">
      <c r="A1747" t="s">
        <v>7214</v>
      </c>
      <c r="B1747" t="s">
        <v>7215</v>
      </c>
      <c r="C1747" t="s">
        <v>136</v>
      </c>
      <c r="D1747" t="s">
        <v>79</v>
      </c>
      <c r="E1747" t="s">
        <v>7216</v>
      </c>
      <c r="F1747" t="s">
        <v>149</v>
      </c>
      <c r="G1747" t="s">
        <v>7217</v>
      </c>
    </row>
    <row r="1748" spans="1:7" ht="44.25" customHeight="1">
      <c r="A1748" t="s">
        <v>7218</v>
      </c>
      <c r="B1748" t="s">
        <v>7219</v>
      </c>
      <c r="C1748" t="s">
        <v>136</v>
      </c>
      <c r="D1748" t="s">
        <v>79</v>
      </c>
      <c r="E1748" t="s">
        <v>7220</v>
      </c>
      <c r="F1748" t="s">
        <v>149</v>
      </c>
      <c r="G1748" t="s">
        <v>7221</v>
      </c>
    </row>
    <row r="1749" spans="1:7" ht="44.25" customHeight="1">
      <c r="A1749" t="s">
        <v>7222</v>
      </c>
      <c r="B1749" t="s">
        <v>7223</v>
      </c>
      <c r="C1749" t="s">
        <v>136</v>
      </c>
      <c r="D1749" t="s">
        <v>2253</v>
      </c>
      <c r="E1749" t="s">
        <v>1432</v>
      </c>
      <c r="F1749" t="s">
        <v>149</v>
      </c>
      <c r="G1749" t="s">
        <v>7224</v>
      </c>
    </row>
    <row r="1750" spans="1:7" ht="44.25" customHeight="1">
      <c r="A1750" t="s">
        <v>7225</v>
      </c>
      <c r="B1750" t="s">
        <v>7226</v>
      </c>
      <c r="C1750" t="s">
        <v>136</v>
      </c>
      <c r="D1750" t="s">
        <v>2253</v>
      </c>
      <c r="E1750" t="s">
        <v>1432</v>
      </c>
      <c r="F1750" t="s">
        <v>149</v>
      </c>
      <c r="G1750" t="s">
        <v>7227</v>
      </c>
    </row>
    <row r="1751" spans="1:7" ht="44.25" customHeight="1">
      <c r="A1751" t="s">
        <v>1339</v>
      </c>
      <c r="B1751" t="s">
        <v>7228</v>
      </c>
      <c r="C1751" t="s">
        <v>136</v>
      </c>
      <c r="D1751" t="s">
        <v>2253</v>
      </c>
      <c r="E1751" t="s">
        <v>1432</v>
      </c>
      <c r="F1751" t="s">
        <v>149</v>
      </c>
      <c r="G1751" t="s">
        <v>7229</v>
      </c>
    </row>
    <row r="1752" spans="1:7" ht="44.25" customHeight="1">
      <c r="A1752" t="s">
        <v>638</v>
      </c>
      <c r="B1752" t="s">
        <v>7230</v>
      </c>
      <c r="C1752" t="s">
        <v>136</v>
      </c>
      <c r="D1752" t="s">
        <v>79</v>
      </c>
      <c r="E1752" t="s">
        <v>7231</v>
      </c>
      <c r="F1752" t="s">
        <v>149</v>
      </c>
      <c r="G1752" t="s">
        <v>7232</v>
      </c>
    </row>
    <row r="1753" spans="1:7" ht="44.25" customHeight="1">
      <c r="A1753" t="s">
        <v>1042</v>
      </c>
      <c r="B1753" t="s">
        <v>7233</v>
      </c>
      <c r="C1753" t="s">
        <v>136</v>
      </c>
      <c r="D1753" t="s">
        <v>2257</v>
      </c>
      <c r="E1753" t="s">
        <v>1624</v>
      </c>
      <c r="F1753" t="s">
        <v>149</v>
      </c>
      <c r="G1753" t="s">
        <v>7234</v>
      </c>
    </row>
    <row r="1754" spans="1:7" ht="44.25" customHeight="1">
      <c r="A1754" t="s">
        <v>7235</v>
      </c>
      <c r="B1754" t="s">
        <v>7236</v>
      </c>
      <c r="C1754" t="s">
        <v>136</v>
      </c>
      <c r="D1754" t="s">
        <v>2257</v>
      </c>
      <c r="E1754" t="s">
        <v>3593</v>
      </c>
      <c r="F1754" t="s">
        <v>149</v>
      </c>
      <c r="G1754" t="s">
        <v>7237</v>
      </c>
    </row>
    <row r="1755" spans="1:7" ht="44.25" customHeight="1">
      <c r="A1755" t="s">
        <v>7235</v>
      </c>
      <c r="B1755" t="s">
        <v>7236</v>
      </c>
      <c r="C1755" t="s">
        <v>136</v>
      </c>
      <c r="D1755" t="s">
        <v>2257</v>
      </c>
      <c r="E1755" t="s">
        <v>3593</v>
      </c>
      <c r="F1755" t="s">
        <v>149</v>
      </c>
      <c r="G1755" t="s">
        <v>7237</v>
      </c>
    </row>
    <row r="1756" spans="1:7" ht="44.25" customHeight="1">
      <c r="A1756" t="s">
        <v>7238</v>
      </c>
      <c r="B1756" t="s">
        <v>7239</v>
      </c>
      <c r="C1756" t="s">
        <v>136</v>
      </c>
      <c r="D1756" t="s">
        <v>79</v>
      </c>
      <c r="E1756" t="s">
        <v>7240</v>
      </c>
      <c r="F1756" t="s">
        <v>149</v>
      </c>
      <c r="G1756" t="s">
        <v>7241</v>
      </c>
    </row>
    <row r="1757" spans="1:7" ht="44.25" customHeight="1">
      <c r="A1757" t="s">
        <v>7242</v>
      </c>
      <c r="B1757" t="s">
        <v>7243</v>
      </c>
      <c r="C1757" t="s">
        <v>136</v>
      </c>
      <c r="D1757" t="s">
        <v>79</v>
      </c>
      <c r="E1757" t="s">
        <v>7244</v>
      </c>
      <c r="F1757" t="s">
        <v>149</v>
      </c>
      <c r="G1757" t="s">
        <v>7245</v>
      </c>
    </row>
    <row r="1758" spans="1:7" ht="44.25" customHeight="1">
      <c r="A1758" t="s">
        <v>7246</v>
      </c>
      <c r="B1758" t="s">
        <v>7247</v>
      </c>
      <c r="C1758" t="s">
        <v>136</v>
      </c>
      <c r="D1758" t="s">
        <v>79</v>
      </c>
      <c r="E1758" t="s">
        <v>7248</v>
      </c>
      <c r="F1758" t="s">
        <v>149</v>
      </c>
      <c r="G1758" t="s">
        <v>7249</v>
      </c>
    </row>
    <row r="1759" spans="1:7" ht="44.25" customHeight="1">
      <c r="A1759" t="s">
        <v>7250</v>
      </c>
      <c r="B1759" t="s">
        <v>7251</v>
      </c>
      <c r="C1759" t="s">
        <v>136</v>
      </c>
      <c r="D1759" t="s">
        <v>79</v>
      </c>
      <c r="E1759" t="s">
        <v>7252</v>
      </c>
      <c r="F1759" t="s">
        <v>149</v>
      </c>
      <c r="G1759" t="s">
        <v>7253</v>
      </c>
    </row>
    <row r="1760" spans="1:7" ht="44.25" customHeight="1">
      <c r="A1760" t="s">
        <v>7254</v>
      </c>
      <c r="B1760" t="s">
        <v>7255</v>
      </c>
      <c r="C1760" t="s">
        <v>136</v>
      </c>
      <c r="D1760" t="s">
        <v>2257</v>
      </c>
      <c r="E1760" t="s">
        <v>6805</v>
      </c>
      <c r="F1760" t="s">
        <v>149</v>
      </c>
      <c r="G1760" t="s">
        <v>7256</v>
      </c>
    </row>
    <row r="1761" spans="1:7" ht="44.25" customHeight="1">
      <c r="A1761" t="s">
        <v>136</v>
      </c>
      <c r="B1761" t="s">
        <v>7257</v>
      </c>
      <c r="C1761" t="s">
        <v>136</v>
      </c>
      <c r="D1761" t="s">
        <v>2257</v>
      </c>
      <c r="E1761" t="s">
        <v>5691</v>
      </c>
      <c r="F1761" t="s">
        <v>149</v>
      </c>
      <c r="G1761" t="s">
        <v>7258</v>
      </c>
    </row>
    <row r="1762" spans="1:7" ht="44.25" customHeight="1">
      <c r="A1762" t="s">
        <v>7259</v>
      </c>
      <c r="B1762" t="s">
        <v>7260</v>
      </c>
      <c r="C1762" t="s">
        <v>136</v>
      </c>
      <c r="D1762" t="s">
        <v>2257</v>
      </c>
      <c r="E1762" t="s">
        <v>2399</v>
      </c>
      <c r="F1762" t="s">
        <v>149</v>
      </c>
      <c r="G1762" t="s">
        <v>7261</v>
      </c>
    </row>
    <row r="1763" spans="1:7" ht="44.25" customHeight="1">
      <c r="A1763" t="s">
        <v>7262</v>
      </c>
      <c r="B1763" t="s">
        <v>7263</v>
      </c>
      <c r="C1763" t="s">
        <v>136</v>
      </c>
      <c r="D1763" t="s">
        <v>2257</v>
      </c>
      <c r="E1763" t="s">
        <v>1607</v>
      </c>
      <c r="F1763" t="s">
        <v>149</v>
      </c>
      <c r="G1763" t="s">
        <v>7264</v>
      </c>
    </row>
    <row r="1764" spans="1:7" ht="44.25" customHeight="1">
      <c r="A1764" t="s">
        <v>7265</v>
      </c>
      <c r="B1764" t="s">
        <v>7266</v>
      </c>
      <c r="C1764" t="s">
        <v>136</v>
      </c>
      <c r="D1764" t="s">
        <v>2257</v>
      </c>
      <c r="E1764" t="s">
        <v>1607</v>
      </c>
      <c r="F1764" t="s">
        <v>149</v>
      </c>
      <c r="G1764" t="s">
        <v>7267</v>
      </c>
    </row>
    <row r="1765" spans="1:7" ht="44.25" customHeight="1">
      <c r="A1765" t="s">
        <v>7268</v>
      </c>
      <c r="B1765" t="s">
        <v>7269</v>
      </c>
      <c r="C1765" t="s">
        <v>136</v>
      </c>
      <c r="D1765" t="s">
        <v>2257</v>
      </c>
      <c r="E1765" t="s">
        <v>1607</v>
      </c>
      <c r="F1765" t="s">
        <v>149</v>
      </c>
      <c r="G1765" t="s">
        <v>7270</v>
      </c>
    </row>
    <row r="1766" spans="1:7" ht="44.25" customHeight="1">
      <c r="A1766" t="s">
        <v>7271</v>
      </c>
      <c r="B1766" t="s">
        <v>7272</v>
      </c>
      <c r="C1766" t="s">
        <v>136</v>
      </c>
      <c r="D1766" t="s">
        <v>2257</v>
      </c>
      <c r="E1766" t="s">
        <v>1607</v>
      </c>
      <c r="F1766" t="s">
        <v>149</v>
      </c>
      <c r="G1766" t="s">
        <v>7273</v>
      </c>
    </row>
    <row r="1767" spans="1:7" ht="44.25" customHeight="1">
      <c r="A1767" t="s">
        <v>7274</v>
      </c>
      <c r="B1767" t="s">
        <v>7275</v>
      </c>
      <c r="C1767" t="s">
        <v>136</v>
      </c>
      <c r="D1767" t="s">
        <v>2257</v>
      </c>
      <c r="E1767" t="s">
        <v>1607</v>
      </c>
      <c r="F1767" t="s">
        <v>149</v>
      </c>
      <c r="G1767" t="s">
        <v>7276</v>
      </c>
    </row>
    <row r="1768" spans="1:7" ht="44.25" customHeight="1">
      <c r="A1768" t="s">
        <v>7277</v>
      </c>
      <c r="B1768" t="s">
        <v>7278</v>
      </c>
      <c r="C1768" t="s">
        <v>136</v>
      </c>
      <c r="D1768" t="s">
        <v>2257</v>
      </c>
      <c r="E1768" t="s">
        <v>2399</v>
      </c>
      <c r="F1768" t="s">
        <v>149</v>
      </c>
      <c r="G1768" t="s">
        <v>7279</v>
      </c>
    </row>
    <row r="1769" spans="1:7" ht="44.25" customHeight="1">
      <c r="A1769" t="s">
        <v>7280</v>
      </c>
      <c r="B1769" t="s">
        <v>7281</v>
      </c>
      <c r="C1769" t="s">
        <v>136</v>
      </c>
      <c r="D1769" t="s">
        <v>2257</v>
      </c>
      <c r="E1769" t="s">
        <v>1607</v>
      </c>
      <c r="F1769" t="s">
        <v>149</v>
      </c>
      <c r="G1769" t="s">
        <v>7282</v>
      </c>
    </row>
    <row r="1770" spans="1:7" ht="44.25" customHeight="1">
      <c r="A1770" t="s">
        <v>7283</v>
      </c>
      <c r="B1770" t="s">
        <v>7284</v>
      </c>
      <c r="C1770" t="s">
        <v>136</v>
      </c>
      <c r="D1770" t="s">
        <v>2257</v>
      </c>
      <c r="E1770" t="s">
        <v>3162</v>
      </c>
      <c r="F1770" t="s">
        <v>149</v>
      </c>
      <c r="G1770" t="s">
        <v>7285</v>
      </c>
    </row>
    <row r="1771" spans="1:7" ht="44.25" customHeight="1">
      <c r="A1771" t="s">
        <v>573</v>
      </c>
      <c r="B1771" t="s">
        <v>7286</v>
      </c>
      <c r="C1771" t="s">
        <v>136</v>
      </c>
      <c r="D1771" t="s">
        <v>79</v>
      </c>
      <c r="E1771" t="s">
        <v>7287</v>
      </c>
      <c r="F1771" t="s">
        <v>149</v>
      </c>
      <c r="G1771" t="s">
        <v>7288</v>
      </c>
    </row>
    <row r="1772" spans="1:7" ht="44.25" customHeight="1">
      <c r="A1772" t="s">
        <v>7289</v>
      </c>
      <c r="B1772" t="s">
        <v>7290</v>
      </c>
      <c r="C1772" t="s">
        <v>136</v>
      </c>
      <c r="D1772" t="s">
        <v>79</v>
      </c>
      <c r="E1772" t="s">
        <v>7291</v>
      </c>
      <c r="F1772" t="s">
        <v>149</v>
      </c>
      <c r="G1772" t="s">
        <v>7292</v>
      </c>
    </row>
    <row r="1773" spans="1:7" ht="44.25" customHeight="1">
      <c r="A1773" t="s">
        <v>7289</v>
      </c>
      <c r="B1773" t="s">
        <v>7290</v>
      </c>
      <c r="C1773" t="s">
        <v>136</v>
      </c>
      <c r="D1773" t="s">
        <v>79</v>
      </c>
      <c r="E1773" t="s">
        <v>7291</v>
      </c>
      <c r="F1773" t="s">
        <v>149</v>
      </c>
      <c r="G1773" t="s">
        <v>7292</v>
      </c>
    </row>
    <row r="1774" spans="1:7" ht="44.25" customHeight="1">
      <c r="A1774" t="s">
        <v>7293</v>
      </c>
      <c r="B1774" t="s">
        <v>7294</v>
      </c>
      <c r="C1774" t="s">
        <v>136</v>
      </c>
      <c r="D1774" t="s">
        <v>79</v>
      </c>
      <c r="E1774" t="s">
        <v>7295</v>
      </c>
      <c r="F1774" t="s">
        <v>149</v>
      </c>
      <c r="G1774" t="s">
        <v>7296</v>
      </c>
    </row>
    <row r="1775" spans="1:7" ht="44.25" customHeight="1">
      <c r="A1775" t="s">
        <v>7297</v>
      </c>
      <c r="B1775" t="s">
        <v>7298</v>
      </c>
      <c r="C1775" t="s">
        <v>136</v>
      </c>
      <c r="D1775" t="s">
        <v>2257</v>
      </c>
      <c r="E1775" t="s">
        <v>2269</v>
      </c>
      <c r="F1775" t="s">
        <v>149</v>
      </c>
      <c r="G1775" t="s">
        <v>7299</v>
      </c>
    </row>
    <row r="1776" spans="1:7" ht="44.25" customHeight="1">
      <c r="A1776" t="s">
        <v>7300</v>
      </c>
      <c r="B1776" t="s">
        <v>7301</v>
      </c>
      <c r="C1776" t="s">
        <v>136</v>
      </c>
      <c r="D1776" t="s">
        <v>2253</v>
      </c>
      <c r="E1776" t="s">
        <v>1432</v>
      </c>
      <c r="F1776" t="s">
        <v>149</v>
      </c>
      <c r="G1776" t="s">
        <v>7302</v>
      </c>
    </row>
    <row r="1777" spans="1:7" ht="44.25" customHeight="1">
      <c r="A1777" t="s">
        <v>7303</v>
      </c>
      <c r="B1777" t="s">
        <v>7304</v>
      </c>
      <c r="C1777" t="s">
        <v>136</v>
      </c>
      <c r="D1777" t="s">
        <v>2253</v>
      </c>
      <c r="E1777" t="s">
        <v>1432</v>
      </c>
      <c r="F1777" t="s">
        <v>149</v>
      </c>
      <c r="G1777" t="s">
        <v>7305</v>
      </c>
    </row>
    <row r="1778" spans="1:7" ht="44.25" customHeight="1">
      <c r="A1778" t="s">
        <v>7306</v>
      </c>
      <c r="B1778" t="s">
        <v>7307</v>
      </c>
      <c r="C1778" t="s">
        <v>136</v>
      </c>
      <c r="D1778" t="s">
        <v>2253</v>
      </c>
      <c r="E1778" t="s">
        <v>1432</v>
      </c>
      <c r="F1778" t="s">
        <v>149</v>
      </c>
      <c r="G1778" t="s">
        <v>7308</v>
      </c>
    </row>
    <row r="1779" spans="1:7" ht="44.25" customHeight="1">
      <c r="A1779" t="s">
        <v>1000</v>
      </c>
      <c r="B1779" t="s">
        <v>7309</v>
      </c>
      <c r="C1779" t="s">
        <v>136</v>
      </c>
      <c r="D1779" t="s">
        <v>2257</v>
      </c>
      <c r="E1779" t="s">
        <v>2276</v>
      </c>
      <c r="F1779" t="s">
        <v>149</v>
      </c>
      <c r="G1779" t="s">
        <v>7310</v>
      </c>
    </row>
    <row r="1780" spans="1:7" ht="44.25" customHeight="1">
      <c r="A1780" t="s">
        <v>1083</v>
      </c>
      <c r="B1780" t="s">
        <v>7311</v>
      </c>
      <c r="C1780" t="s">
        <v>136</v>
      </c>
      <c r="D1780" t="s">
        <v>2257</v>
      </c>
      <c r="E1780" t="s">
        <v>2276</v>
      </c>
      <c r="F1780" t="s">
        <v>149</v>
      </c>
      <c r="G1780" t="s">
        <v>7312</v>
      </c>
    </row>
    <row r="1781" spans="1:7" ht="44.25" customHeight="1">
      <c r="A1781" t="s">
        <v>7313</v>
      </c>
      <c r="B1781" t="s">
        <v>7314</v>
      </c>
      <c r="C1781" t="s">
        <v>136</v>
      </c>
      <c r="D1781" t="s">
        <v>79</v>
      </c>
      <c r="E1781" t="s">
        <v>7315</v>
      </c>
      <c r="F1781" t="s">
        <v>149</v>
      </c>
      <c r="G1781" t="s">
        <v>7316</v>
      </c>
    </row>
    <row r="1782" spans="1:7" ht="44.25" customHeight="1">
      <c r="A1782" t="s">
        <v>506</v>
      </c>
      <c r="B1782" t="s">
        <v>7317</v>
      </c>
      <c r="C1782" t="s">
        <v>136</v>
      </c>
      <c r="D1782" t="s">
        <v>2257</v>
      </c>
      <c r="E1782" t="s">
        <v>2258</v>
      </c>
      <c r="F1782" t="s">
        <v>149</v>
      </c>
      <c r="G1782" t="s">
        <v>7318</v>
      </c>
    </row>
    <row r="1783" spans="1:7" ht="44.25" customHeight="1">
      <c r="A1783" t="s">
        <v>7319</v>
      </c>
      <c r="B1783" t="s">
        <v>7320</v>
      </c>
      <c r="C1783" t="s">
        <v>136</v>
      </c>
      <c r="D1783" t="s">
        <v>79</v>
      </c>
      <c r="E1783" t="s">
        <v>7321</v>
      </c>
      <c r="F1783" t="s">
        <v>149</v>
      </c>
      <c r="G1783" t="s">
        <v>7322</v>
      </c>
    </row>
    <row r="1784" spans="1:7" ht="44.25" customHeight="1">
      <c r="A1784" t="s">
        <v>7323</v>
      </c>
      <c r="B1784" t="s">
        <v>7324</v>
      </c>
      <c r="C1784" t="s">
        <v>136</v>
      </c>
      <c r="D1784" t="s">
        <v>79</v>
      </c>
      <c r="E1784" t="s">
        <v>7325</v>
      </c>
      <c r="F1784" t="s">
        <v>149</v>
      </c>
      <c r="G1784" t="s">
        <v>7326</v>
      </c>
    </row>
    <row r="1785" spans="1:7" ht="44.25" customHeight="1">
      <c r="A1785" t="s">
        <v>7323</v>
      </c>
      <c r="B1785" t="s">
        <v>7324</v>
      </c>
      <c r="C1785" t="s">
        <v>136</v>
      </c>
      <c r="D1785" t="s">
        <v>79</v>
      </c>
      <c r="E1785" t="s">
        <v>7325</v>
      </c>
      <c r="F1785" t="s">
        <v>149</v>
      </c>
      <c r="G1785" t="s">
        <v>7326</v>
      </c>
    </row>
    <row r="1786" spans="1:7" ht="44.25" customHeight="1">
      <c r="A1786" t="s">
        <v>7327</v>
      </c>
      <c r="B1786" t="s">
        <v>7328</v>
      </c>
      <c r="C1786" t="s">
        <v>136</v>
      </c>
      <c r="D1786" t="s">
        <v>79</v>
      </c>
      <c r="E1786" t="s">
        <v>7329</v>
      </c>
      <c r="F1786" t="s">
        <v>149</v>
      </c>
      <c r="G1786" t="s">
        <v>7330</v>
      </c>
    </row>
    <row r="1787" spans="1:7" ht="44.25" customHeight="1">
      <c r="A1787" t="s">
        <v>7331</v>
      </c>
      <c r="B1787" t="s">
        <v>7332</v>
      </c>
      <c r="C1787" t="s">
        <v>136</v>
      </c>
      <c r="D1787" t="s">
        <v>2257</v>
      </c>
      <c r="E1787" t="s">
        <v>5691</v>
      </c>
      <c r="F1787" t="s">
        <v>149</v>
      </c>
      <c r="G1787" t="s">
        <v>7333</v>
      </c>
    </row>
    <row r="1788" spans="1:7" ht="44.25" customHeight="1">
      <c r="A1788" t="s">
        <v>7334</v>
      </c>
      <c r="B1788" t="s">
        <v>7335</v>
      </c>
      <c r="C1788" t="s">
        <v>136</v>
      </c>
      <c r="D1788" t="s">
        <v>2257</v>
      </c>
      <c r="E1788" t="s">
        <v>1607</v>
      </c>
      <c r="F1788" t="s">
        <v>149</v>
      </c>
      <c r="G1788" t="s">
        <v>7336</v>
      </c>
    </row>
    <row r="1789" spans="1:7" ht="44.25" customHeight="1">
      <c r="A1789" t="s">
        <v>7337</v>
      </c>
      <c r="B1789" t="s">
        <v>7338</v>
      </c>
      <c r="C1789" t="s">
        <v>136</v>
      </c>
      <c r="D1789" t="s">
        <v>2257</v>
      </c>
      <c r="E1789" t="s">
        <v>1607</v>
      </c>
      <c r="F1789" t="s">
        <v>149</v>
      </c>
      <c r="G1789" t="s">
        <v>7339</v>
      </c>
    </row>
    <row r="1790" spans="1:7" ht="44.25" customHeight="1">
      <c r="A1790" t="s">
        <v>256</v>
      </c>
      <c r="B1790" t="s">
        <v>7340</v>
      </c>
      <c r="C1790" t="s">
        <v>136</v>
      </c>
      <c r="D1790" t="s">
        <v>2257</v>
      </c>
      <c r="E1790" t="s">
        <v>1607</v>
      </c>
      <c r="F1790" t="s">
        <v>149</v>
      </c>
      <c r="G1790" t="s">
        <v>7341</v>
      </c>
    </row>
    <row r="1791" spans="1:7" ht="44.25" customHeight="1">
      <c r="A1791" t="s">
        <v>7342</v>
      </c>
      <c r="B1791" t="s">
        <v>7343</v>
      </c>
      <c r="C1791" t="s">
        <v>136</v>
      </c>
      <c r="D1791" t="s">
        <v>2257</v>
      </c>
      <c r="E1791" t="s">
        <v>1607</v>
      </c>
      <c r="F1791" t="s">
        <v>149</v>
      </c>
      <c r="G1791" t="s">
        <v>7344</v>
      </c>
    </row>
    <row r="1792" spans="1:7" ht="44.25" customHeight="1">
      <c r="A1792" t="s">
        <v>7345</v>
      </c>
      <c r="B1792" t="s">
        <v>7346</v>
      </c>
      <c r="C1792" t="s">
        <v>136</v>
      </c>
      <c r="D1792" t="s">
        <v>2253</v>
      </c>
      <c r="E1792" t="s">
        <v>1432</v>
      </c>
      <c r="F1792" t="s">
        <v>149</v>
      </c>
      <c r="G1792" t="s">
        <v>7347</v>
      </c>
    </row>
    <row r="1793" spans="1:7" ht="44.25" customHeight="1">
      <c r="A1793" t="s">
        <v>1439</v>
      </c>
      <c r="B1793" t="s">
        <v>7348</v>
      </c>
      <c r="C1793" t="s">
        <v>136</v>
      </c>
      <c r="D1793" t="s">
        <v>2257</v>
      </c>
      <c r="E1793" t="s">
        <v>1584</v>
      </c>
      <c r="F1793" t="s">
        <v>149</v>
      </c>
      <c r="G1793" t="s">
        <v>7349</v>
      </c>
    </row>
    <row r="1794" spans="1:7" ht="44.25" customHeight="1">
      <c r="A1794" t="s">
        <v>879</v>
      </c>
      <c r="B1794" t="s">
        <v>7350</v>
      </c>
      <c r="C1794" t="s">
        <v>136</v>
      </c>
      <c r="D1794" t="s">
        <v>79</v>
      </c>
      <c r="E1794" t="s">
        <v>6211</v>
      </c>
      <c r="F1794" t="s">
        <v>149</v>
      </c>
      <c r="G1794" t="s">
        <v>7351</v>
      </c>
    </row>
    <row r="1795" spans="1:7" ht="44.25" customHeight="1">
      <c r="A1795" t="s">
        <v>7352</v>
      </c>
      <c r="B1795" t="s">
        <v>7353</v>
      </c>
      <c r="C1795" t="s">
        <v>136</v>
      </c>
      <c r="D1795" t="s">
        <v>79</v>
      </c>
      <c r="E1795" t="s">
        <v>7354</v>
      </c>
      <c r="F1795" t="s">
        <v>149</v>
      </c>
      <c r="G1795" t="s">
        <v>7355</v>
      </c>
    </row>
    <row r="1796" spans="1:7" ht="44.25" customHeight="1">
      <c r="A1796" t="s">
        <v>695</v>
      </c>
      <c r="B1796" t="s">
        <v>7356</v>
      </c>
      <c r="C1796" t="s">
        <v>136</v>
      </c>
      <c r="D1796" t="s">
        <v>2257</v>
      </c>
      <c r="E1796" t="s">
        <v>1584</v>
      </c>
      <c r="F1796" t="s">
        <v>149</v>
      </c>
      <c r="G1796" t="s">
        <v>7357</v>
      </c>
    </row>
    <row r="1797" spans="1:7" ht="44.25" customHeight="1">
      <c r="A1797" t="s">
        <v>7358</v>
      </c>
      <c r="B1797" t="s">
        <v>7359</v>
      </c>
      <c r="C1797" t="s">
        <v>136</v>
      </c>
      <c r="D1797" t="s">
        <v>79</v>
      </c>
      <c r="E1797" t="s">
        <v>7360</v>
      </c>
      <c r="F1797" t="s">
        <v>149</v>
      </c>
      <c r="G1797" t="s">
        <v>7361</v>
      </c>
    </row>
    <row r="1798" spans="1:7" ht="44.25" customHeight="1">
      <c r="A1798" t="s">
        <v>7362</v>
      </c>
      <c r="B1798" t="s">
        <v>7363</v>
      </c>
      <c r="C1798" t="s">
        <v>136</v>
      </c>
      <c r="D1798" t="s">
        <v>79</v>
      </c>
      <c r="E1798" t="s">
        <v>7364</v>
      </c>
      <c r="F1798" t="s">
        <v>149</v>
      </c>
      <c r="G1798" t="s">
        <v>7365</v>
      </c>
    </row>
    <row r="1799" spans="1:7" ht="44.25" customHeight="1">
      <c r="A1799" t="s">
        <v>7366</v>
      </c>
      <c r="B1799" t="s">
        <v>7367</v>
      </c>
      <c r="C1799" t="s">
        <v>136</v>
      </c>
      <c r="D1799" t="s">
        <v>79</v>
      </c>
      <c r="E1799" t="s">
        <v>7368</v>
      </c>
      <c r="F1799" t="s">
        <v>149</v>
      </c>
      <c r="G1799" t="s">
        <v>7369</v>
      </c>
    </row>
    <row r="1800" spans="1:7" ht="44.25" customHeight="1">
      <c r="A1800" t="s">
        <v>7370</v>
      </c>
      <c r="B1800" t="s">
        <v>7371</v>
      </c>
      <c r="C1800" t="s">
        <v>136</v>
      </c>
      <c r="D1800" t="s">
        <v>79</v>
      </c>
      <c r="E1800" t="s">
        <v>7372</v>
      </c>
      <c r="F1800" t="s">
        <v>149</v>
      </c>
      <c r="G1800" t="s">
        <v>7373</v>
      </c>
    </row>
    <row r="1801" spans="1:7" ht="44.25" customHeight="1">
      <c r="A1801" t="s">
        <v>7374</v>
      </c>
      <c r="B1801" t="s">
        <v>7375</v>
      </c>
      <c r="C1801" t="s">
        <v>136</v>
      </c>
      <c r="D1801" t="s">
        <v>2257</v>
      </c>
      <c r="E1801" t="s">
        <v>7376</v>
      </c>
      <c r="F1801" t="s">
        <v>149</v>
      </c>
      <c r="G1801" t="s">
        <v>7377</v>
      </c>
    </row>
    <row r="1802" spans="1:7" ht="44.25" customHeight="1">
      <c r="A1802" t="s">
        <v>416</v>
      </c>
      <c r="B1802" t="s">
        <v>7378</v>
      </c>
      <c r="C1802" t="s">
        <v>136</v>
      </c>
      <c r="D1802" t="s">
        <v>79</v>
      </c>
      <c r="E1802" t="s">
        <v>1520</v>
      </c>
      <c r="F1802" t="s">
        <v>149</v>
      </c>
      <c r="G1802" t="s">
        <v>7379</v>
      </c>
    </row>
    <row r="1803" spans="1:7" ht="44.25" customHeight="1">
      <c r="A1803" t="s">
        <v>7380</v>
      </c>
      <c r="B1803" t="s">
        <v>7381</v>
      </c>
      <c r="C1803" t="s">
        <v>136</v>
      </c>
      <c r="D1803" t="s">
        <v>2257</v>
      </c>
      <c r="E1803" t="s">
        <v>1607</v>
      </c>
      <c r="F1803" t="s">
        <v>149</v>
      </c>
      <c r="G1803" t="s">
        <v>7382</v>
      </c>
    </row>
    <row r="1804" spans="1:7" ht="44.25" customHeight="1">
      <c r="A1804" t="s">
        <v>7383</v>
      </c>
      <c r="B1804" t="s">
        <v>7384</v>
      </c>
      <c r="C1804" t="s">
        <v>7385</v>
      </c>
      <c r="D1804" t="s">
        <v>2257</v>
      </c>
      <c r="E1804" t="s">
        <v>2685</v>
      </c>
      <c r="F1804" t="s">
        <v>149</v>
      </c>
      <c r="G1804" t="s">
        <v>7386</v>
      </c>
    </row>
    <row r="1805" spans="1:7" ht="44.25" customHeight="1">
      <c r="A1805" t="s">
        <v>260</v>
      </c>
      <c r="B1805" t="s">
        <v>7387</v>
      </c>
      <c r="C1805" t="s">
        <v>136</v>
      </c>
      <c r="D1805" t="s">
        <v>2257</v>
      </c>
      <c r="E1805" t="s">
        <v>1607</v>
      </c>
      <c r="F1805" t="s">
        <v>149</v>
      </c>
      <c r="G1805" t="s">
        <v>7388</v>
      </c>
    </row>
    <row r="1806" spans="1:7" ht="44.25" customHeight="1">
      <c r="A1806" t="s">
        <v>722</v>
      </c>
      <c r="B1806" t="s">
        <v>7389</v>
      </c>
      <c r="C1806" t="s">
        <v>136</v>
      </c>
      <c r="D1806" t="s">
        <v>2257</v>
      </c>
      <c r="E1806" t="s">
        <v>7390</v>
      </c>
      <c r="F1806" t="s">
        <v>149</v>
      </c>
      <c r="G1806" t="s">
        <v>7391</v>
      </c>
    </row>
    <row r="1807" spans="1:7" ht="44.25" customHeight="1">
      <c r="A1807" t="s">
        <v>428</v>
      </c>
      <c r="B1807" t="s">
        <v>7392</v>
      </c>
      <c r="C1807" t="s">
        <v>136</v>
      </c>
      <c r="D1807" t="s">
        <v>79</v>
      </c>
      <c r="E1807" t="s">
        <v>3516</v>
      </c>
      <c r="F1807" t="s">
        <v>149</v>
      </c>
      <c r="G1807" t="s">
        <v>7393</v>
      </c>
    </row>
    <row r="1808" spans="1:7" ht="44.25" customHeight="1">
      <c r="A1808" t="s">
        <v>7394</v>
      </c>
      <c r="B1808" t="s">
        <v>7395</v>
      </c>
      <c r="C1808" t="s">
        <v>136</v>
      </c>
      <c r="D1808" t="s">
        <v>79</v>
      </c>
      <c r="E1808" t="s">
        <v>7396</v>
      </c>
      <c r="F1808" t="s">
        <v>149</v>
      </c>
      <c r="G1808" t="s">
        <v>7397</v>
      </c>
    </row>
    <row r="1809" spans="1:7" ht="44.25" customHeight="1">
      <c r="A1809" t="s">
        <v>7394</v>
      </c>
      <c r="B1809" t="s">
        <v>7395</v>
      </c>
      <c r="C1809" t="s">
        <v>136</v>
      </c>
      <c r="D1809" t="s">
        <v>79</v>
      </c>
      <c r="E1809" t="s">
        <v>7396</v>
      </c>
      <c r="F1809" t="s">
        <v>149</v>
      </c>
      <c r="G1809" t="s">
        <v>7397</v>
      </c>
    </row>
    <row r="1810" spans="1:7" ht="44.25" customHeight="1">
      <c r="A1810" t="s">
        <v>373</v>
      </c>
      <c r="B1810" t="s">
        <v>7398</v>
      </c>
      <c r="C1810" t="s">
        <v>136</v>
      </c>
      <c r="D1810" t="s">
        <v>2253</v>
      </c>
      <c r="E1810" t="s">
        <v>1432</v>
      </c>
      <c r="F1810" t="s">
        <v>149</v>
      </c>
      <c r="G1810" t="s">
        <v>7399</v>
      </c>
    </row>
    <row r="1811" spans="1:7" ht="44.25" customHeight="1">
      <c r="A1811" t="s">
        <v>735</v>
      </c>
      <c r="B1811" t="s">
        <v>7400</v>
      </c>
      <c r="C1811" t="s">
        <v>136</v>
      </c>
      <c r="D1811" t="s">
        <v>2257</v>
      </c>
      <c r="E1811" t="s">
        <v>2269</v>
      </c>
      <c r="F1811" t="s">
        <v>149</v>
      </c>
      <c r="G1811" t="s">
        <v>7401</v>
      </c>
    </row>
    <row r="1812" spans="1:7" ht="44.25" customHeight="1">
      <c r="A1812" t="s">
        <v>891</v>
      </c>
      <c r="B1812" t="s">
        <v>7402</v>
      </c>
      <c r="C1812" t="s">
        <v>136</v>
      </c>
      <c r="D1812" t="s">
        <v>79</v>
      </c>
      <c r="E1812" t="s">
        <v>4852</v>
      </c>
      <c r="F1812" t="s">
        <v>149</v>
      </c>
      <c r="G1812" t="s">
        <v>7403</v>
      </c>
    </row>
    <row r="1813" spans="1:7" ht="44.25" customHeight="1">
      <c r="A1813" t="s">
        <v>723</v>
      </c>
      <c r="B1813" t="s">
        <v>7404</v>
      </c>
      <c r="C1813" t="s">
        <v>136</v>
      </c>
      <c r="D1813" t="s">
        <v>2257</v>
      </c>
      <c r="E1813" t="s">
        <v>2269</v>
      </c>
      <c r="F1813" t="s">
        <v>149</v>
      </c>
      <c r="G1813" t="s">
        <v>7405</v>
      </c>
    </row>
    <row r="1814" spans="1:7" ht="44.25" customHeight="1">
      <c r="A1814" t="s">
        <v>7406</v>
      </c>
      <c r="B1814" t="s">
        <v>7407</v>
      </c>
      <c r="C1814" t="s">
        <v>136</v>
      </c>
      <c r="D1814" t="s">
        <v>79</v>
      </c>
      <c r="E1814" t="s">
        <v>4337</v>
      </c>
      <c r="F1814" t="s">
        <v>149</v>
      </c>
      <c r="G1814" t="s">
        <v>7408</v>
      </c>
    </row>
    <row r="1815" spans="1:7" ht="44.25" customHeight="1">
      <c r="A1815" t="s">
        <v>848</v>
      </c>
      <c r="B1815" t="s">
        <v>7409</v>
      </c>
      <c r="C1815" t="s">
        <v>136</v>
      </c>
      <c r="D1815" t="s">
        <v>2257</v>
      </c>
      <c r="E1815" t="s">
        <v>4124</v>
      </c>
      <c r="F1815" t="s">
        <v>149</v>
      </c>
      <c r="G1815" t="s">
        <v>7410</v>
      </c>
    </row>
    <row r="1816" spans="1:7" ht="44.25" customHeight="1">
      <c r="A1816" t="s">
        <v>7411</v>
      </c>
      <c r="B1816" t="s">
        <v>7412</v>
      </c>
      <c r="C1816" t="s">
        <v>136</v>
      </c>
      <c r="D1816" t="s">
        <v>79</v>
      </c>
      <c r="E1816" t="s">
        <v>7413</v>
      </c>
      <c r="F1816" t="s">
        <v>149</v>
      </c>
      <c r="G1816" t="s">
        <v>7414</v>
      </c>
    </row>
    <row r="1817" spans="1:7" ht="44.25" customHeight="1">
      <c r="A1817" t="s">
        <v>7415</v>
      </c>
      <c r="B1817" t="s">
        <v>7416</v>
      </c>
      <c r="C1817" t="s">
        <v>136</v>
      </c>
      <c r="D1817" t="s">
        <v>79</v>
      </c>
      <c r="E1817" t="s">
        <v>7417</v>
      </c>
      <c r="F1817" t="s">
        <v>149</v>
      </c>
      <c r="G1817" t="s">
        <v>7418</v>
      </c>
    </row>
    <row r="1818" spans="1:7" ht="44.25" customHeight="1">
      <c r="A1818" t="s">
        <v>7419</v>
      </c>
      <c r="B1818" t="s">
        <v>7420</v>
      </c>
      <c r="C1818" t="s">
        <v>136</v>
      </c>
      <c r="D1818" t="s">
        <v>79</v>
      </c>
      <c r="E1818" t="s">
        <v>7421</v>
      </c>
      <c r="F1818" t="s">
        <v>149</v>
      </c>
      <c r="G1818" t="s">
        <v>7422</v>
      </c>
    </row>
    <row r="1819" spans="1:7" ht="44.25" customHeight="1">
      <c r="A1819" t="s">
        <v>7423</v>
      </c>
      <c r="B1819" t="s">
        <v>7424</v>
      </c>
      <c r="C1819" t="s">
        <v>136</v>
      </c>
      <c r="D1819" t="s">
        <v>79</v>
      </c>
      <c r="E1819" t="s">
        <v>7425</v>
      </c>
      <c r="F1819" t="s">
        <v>149</v>
      </c>
      <c r="G1819" t="s">
        <v>7426</v>
      </c>
    </row>
    <row r="1820" spans="1:7" ht="44.25" customHeight="1">
      <c r="A1820" t="s">
        <v>7427</v>
      </c>
      <c r="B1820" t="s">
        <v>7428</v>
      </c>
      <c r="C1820" t="s">
        <v>136</v>
      </c>
      <c r="D1820" t="s">
        <v>2257</v>
      </c>
      <c r="E1820" t="s">
        <v>1607</v>
      </c>
      <c r="F1820" t="s">
        <v>149</v>
      </c>
      <c r="G1820" t="s">
        <v>7429</v>
      </c>
    </row>
    <row r="1821" spans="1:7" ht="44.25" customHeight="1">
      <c r="A1821" t="s">
        <v>7430</v>
      </c>
      <c r="B1821" t="s">
        <v>7431</v>
      </c>
      <c r="C1821" t="s">
        <v>136</v>
      </c>
      <c r="D1821" t="s">
        <v>2257</v>
      </c>
      <c r="E1821" t="s">
        <v>2695</v>
      </c>
      <c r="F1821" t="s">
        <v>149</v>
      </c>
      <c r="G1821" t="s">
        <v>7432</v>
      </c>
    </row>
    <row r="1822" spans="1:7" ht="44.25" customHeight="1">
      <c r="A1822" t="s">
        <v>7433</v>
      </c>
      <c r="B1822" t="s">
        <v>7434</v>
      </c>
      <c r="C1822" t="s">
        <v>136</v>
      </c>
      <c r="D1822" t="s">
        <v>79</v>
      </c>
      <c r="E1822" t="s">
        <v>7435</v>
      </c>
      <c r="F1822" t="s">
        <v>149</v>
      </c>
      <c r="G1822" t="s">
        <v>7436</v>
      </c>
    </row>
    <row r="1823" spans="1:7" ht="44.25" customHeight="1">
      <c r="A1823" t="s">
        <v>7437</v>
      </c>
      <c r="B1823" t="s">
        <v>7438</v>
      </c>
      <c r="C1823" t="s">
        <v>136</v>
      </c>
      <c r="D1823" t="s">
        <v>79</v>
      </c>
      <c r="E1823" t="s">
        <v>7439</v>
      </c>
      <c r="F1823" t="s">
        <v>149</v>
      </c>
      <c r="G1823" t="s">
        <v>7440</v>
      </c>
    </row>
    <row r="1824" spans="1:7" ht="44.25" customHeight="1">
      <c r="A1824" t="s">
        <v>7441</v>
      </c>
      <c r="B1824" t="s">
        <v>7442</v>
      </c>
      <c r="C1824" t="s">
        <v>136</v>
      </c>
      <c r="D1824" t="s">
        <v>2257</v>
      </c>
      <c r="E1824" t="s">
        <v>1430</v>
      </c>
      <c r="F1824" t="s">
        <v>149</v>
      </c>
      <c r="G1824" t="s">
        <v>7443</v>
      </c>
    </row>
    <row r="1825" spans="1:7" ht="44.25" customHeight="1">
      <c r="A1825" t="s">
        <v>7444</v>
      </c>
      <c r="B1825" t="s">
        <v>7445</v>
      </c>
      <c r="C1825" t="s">
        <v>136</v>
      </c>
      <c r="D1825" t="s">
        <v>2257</v>
      </c>
      <c r="E1825" t="s">
        <v>2276</v>
      </c>
      <c r="F1825" t="s">
        <v>149</v>
      </c>
      <c r="G1825" t="s">
        <v>7446</v>
      </c>
    </row>
    <row r="1826" spans="1:7" ht="44.25" customHeight="1">
      <c r="A1826" t="s">
        <v>7447</v>
      </c>
      <c r="B1826" t="s">
        <v>7448</v>
      </c>
      <c r="C1826" t="s">
        <v>136</v>
      </c>
      <c r="D1826" t="s">
        <v>2257</v>
      </c>
      <c r="E1826" t="s">
        <v>1430</v>
      </c>
      <c r="F1826" t="s">
        <v>149</v>
      </c>
      <c r="G1826" t="s">
        <v>7449</v>
      </c>
    </row>
    <row r="1827" spans="1:7" ht="44.25" customHeight="1">
      <c r="A1827" t="s">
        <v>1356</v>
      </c>
      <c r="B1827" t="s">
        <v>7450</v>
      </c>
      <c r="C1827" t="s">
        <v>136</v>
      </c>
      <c r="D1827" t="s">
        <v>2253</v>
      </c>
      <c r="E1827" t="s">
        <v>1432</v>
      </c>
      <c r="F1827" t="s">
        <v>149</v>
      </c>
      <c r="G1827" t="s">
        <v>7451</v>
      </c>
    </row>
    <row r="1828" spans="1:7" ht="44.25" customHeight="1">
      <c r="A1828" t="s">
        <v>423</v>
      </c>
      <c r="B1828" t="s">
        <v>7452</v>
      </c>
      <c r="C1828" t="s">
        <v>136</v>
      </c>
      <c r="D1828" t="s">
        <v>79</v>
      </c>
      <c r="E1828" t="s">
        <v>6577</v>
      </c>
      <c r="F1828" t="s">
        <v>149</v>
      </c>
      <c r="G1828" t="s">
        <v>7453</v>
      </c>
    </row>
    <row r="1829" spans="1:7" ht="44.25" customHeight="1">
      <c r="A1829" t="s">
        <v>358</v>
      </c>
      <c r="B1829" t="s">
        <v>7454</v>
      </c>
      <c r="C1829" t="s">
        <v>136</v>
      </c>
      <c r="D1829" t="s">
        <v>2253</v>
      </c>
      <c r="E1829" t="s">
        <v>1432</v>
      </c>
      <c r="F1829" t="s">
        <v>149</v>
      </c>
      <c r="G1829" t="s">
        <v>7455</v>
      </c>
    </row>
    <row r="1830" spans="1:7" ht="44.25" customHeight="1">
      <c r="A1830" t="s">
        <v>1025</v>
      </c>
      <c r="B1830" t="s">
        <v>7456</v>
      </c>
      <c r="C1830" t="s">
        <v>136</v>
      </c>
      <c r="D1830" t="s">
        <v>79</v>
      </c>
      <c r="E1830" t="s">
        <v>7457</v>
      </c>
      <c r="F1830" t="s">
        <v>149</v>
      </c>
      <c r="G1830" t="s">
        <v>7458</v>
      </c>
    </row>
    <row r="1831" spans="1:7" ht="44.25" customHeight="1">
      <c r="A1831" t="s">
        <v>802</v>
      </c>
      <c r="B1831" t="s">
        <v>7459</v>
      </c>
      <c r="C1831" t="s">
        <v>136</v>
      </c>
      <c r="D1831" t="s">
        <v>79</v>
      </c>
      <c r="E1831" t="s">
        <v>7460</v>
      </c>
      <c r="F1831" t="s">
        <v>149</v>
      </c>
      <c r="G1831" t="s">
        <v>7461</v>
      </c>
    </row>
    <row r="1832" spans="1:7" ht="44.25" customHeight="1">
      <c r="A1832" t="s">
        <v>7462</v>
      </c>
      <c r="B1832" t="s">
        <v>7463</v>
      </c>
      <c r="C1832" t="s">
        <v>136</v>
      </c>
      <c r="D1832" t="s">
        <v>2257</v>
      </c>
      <c r="E1832" t="s">
        <v>7464</v>
      </c>
      <c r="F1832" t="s">
        <v>149</v>
      </c>
      <c r="G1832" t="s">
        <v>7465</v>
      </c>
    </row>
    <row r="1833" spans="1:7" ht="44.25" customHeight="1">
      <c r="A1833" t="s">
        <v>7466</v>
      </c>
      <c r="B1833" t="s">
        <v>7467</v>
      </c>
      <c r="C1833" t="s">
        <v>136</v>
      </c>
      <c r="D1833" t="s">
        <v>79</v>
      </c>
      <c r="E1833" t="s">
        <v>7468</v>
      </c>
      <c r="F1833" t="s">
        <v>149</v>
      </c>
      <c r="G1833" t="s">
        <v>7469</v>
      </c>
    </row>
    <row r="1834" spans="1:7" ht="44.25" customHeight="1">
      <c r="A1834" t="s">
        <v>7470</v>
      </c>
      <c r="B1834" t="s">
        <v>7471</v>
      </c>
      <c r="C1834" t="s">
        <v>136</v>
      </c>
      <c r="D1834" t="s">
        <v>79</v>
      </c>
      <c r="E1834" t="s">
        <v>7472</v>
      </c>
      <c r="F1834" t="s">
        <v>149</v>
      </c>
      <c r="G1834" t="s">
        <v>7473</v>
      </c>
    </row>
    <row r="1835" spans="1:7" ht="44.25" customHeight="1">
      <c r="A1835" t="s">
        <v>7474</v>
      </c>
      <c r="B1835" t="s">
        <v>7475</v>
      </c>
      <c r="C1835" t="s">
        <v>136</v>
      </c>
      <c r="D1835" t="s">
        <v>2257</v>
      </c>
      <c r="E1835" t="s">
        <v>5738</v>
      </c>
      <c r="F1835" t="s">
        <v>149</v>
      </c>
      <c r="G1835" t="s">
        <v>7476</v>
      </c>
    </row>
    <row r="1836" spans="1:7" ht="44.25" customHeight="1">
      <c r="A1836" t="s">
        <v>671</v>
      </c>
      <c r="B1836" t="s">
        <v>7477</v>
      </c>
      <c r="C1836" t="s">
        <v>136</v>
      </c>
      <c r="D1836" t="s">
        <v>79</v>
      </c>
      <c r="E1836" t="s">
        <v>7478</v>
      </c>
      <c r="F1836" t="s">
        <v>149</v>
      </c>
      <c r="G1836" t="s">
        <v>7479</v>
      </c>
    </row>
    <row r="1837" spans="1:7" ht="44.25" customHeight="1">
      <c r="A1837" t="s">
        <v>7480</v>
      </c>
      <c r="B1837" t="s">
        <v>7481</v>
      </c>
      <c r="C1837" t="s">
        <v>136</v>
      </c>
      <c r="D1837" t="s">
        <v>2257</v>
      </c>
      <c r="E1837" t="s">
        <v>1607</v>
      </c>
      <c r="F1837" t="s">
        <v>149</v>
      </c>
      <c r="G1837" t="s">
        <v>7482</v>
      </c>
    </row>
    <row r="1838" spans="1:7" ht="44.25" customHeight="1">
      <c r="A1838" t="s">
        <v>7483</v>
      </c>
      <c r="B1838" t="s">
        <v>7484</v>
      </c>
      <c r="C1838" t="s">
        <v>136</v>
      </c>
      <c r="D1838" t="s">
        <v>79</v>
      </c>
      <c r="E1838" t="s">
        <v>7485</v>
      </c>
      <c r="F1838" t="s">
        <v>149</v>
      </c>
      <c r="G1838" t="s">
        <v>7486</v>
      </c>
    </row>
    <row r="1839" spans="1:7" ht="44.25" customHeight="1">
      <c r="A1839" t="s">
        <v>7487</v>
      </c>
      <c r="B1839" t="s">
        <v>7488</v>
      </c>
      <c r="C1839" t="s">
        <v>136</v>
      </c>
      <c r="D1839" t="s">
        <v>2253</v>
      </c>
      <c r="E1839" t="s">
        <v>1430</v>
      </c>
      <c r="F1839" t="s">
        <v>149</v>
      </c>
      <c r="G1839" t="s">
        <v>7489</v>
      </c>
    </row>
    <row r="1840" spans="1:7" ht="44.25" customHeight="1">
      <c r="A1840" t="s">
        <v>7490</v>
      </c>
      <c r="B1840" t="s">
        <v>7491</v>
      </c>
      <c r="C1840" t="s">
        <v>136</v>
      </c>
      <c r="D1840" t="s">
        <v>2253</v>
      </c>
      <c r="E1840" t="s">
        <v>1432</v>
      </c>
      <c r="F1840" t="s">
        <v>149</v>
      </c>
      <c r="G1840" t="s">
        <v>7492</v>
      </c>
    </row>
    <row r="1841" spans="1:7" ht="44.25" customHeight="1">
      <c r="A1841" t="s">
        <v>7493</v>
      </c>
      <c r="B1841" t="s">
        <v>7494</v>
      </c>
      <c r="C1841" t="s">
        <v>136</v>
      </c>
      <c r="D1841" t="s">
        <v>2253</v>
      </c>
      <c r="E1841" t="s">
        <v>1432</v>
      </c>
      <c r="F1841" t="s">
        <v>149</v>
      </c>
      <c r="G1841" t="s">
        <v>7495</v>
      </c>
    </row>
    <row r="1842" spans="1:7" ht="44.25" customHeight="1">
      <c r="A1842" t="s">
        <v>7496</v>
      </c>
      <c r="B1842" t="s">
        <v>7497</v>
      </c>
      <c r="C1842" t="s">
        <v>136</v>
      </c>
      <c r="D1842" t="s">
        <v>79</v>
      </c>
      <c r="E1842" t="s">
        <v>3703</v>
      </c>
      <c r="F1842" t="s">
        <v>149</v>
      </c>
      <c r="G1842" t="s">
        <v>7498</v>
      </c>
    </row>
    <row r="1843" spans="1:7" ht="44.25" customHeight="1">
      <c r="A1843" t="s">
        <v>7499</v>
      </c>
      <c r="B1843" t="s">
        <v>7500</v>
      </c>
      <c r="C1843" t="s">
        <v>136</v>
      </c>
      <c r="D1843" t="s">
        <v>79</v>
      </c>
      <c r="E1843" t="s">
        <v>7501</v>
      </c>
      <c r="F1843" t="s">
        <v>149</v>
      </c>
      <c r="G1843" t="s">
        <v>7502</v>
      </c>
    </row>
    <row r="1844" spans="1:7" ht="44.25" customHeight="1">
      <c r="A1844" t="s">
        <v>7503</v>
      </c>
      <c r="B1844" t="s">
        <v>7504</v>
      </c>
      <c r="C1844" t="s">
        <v>136</v>
      </c>
      <c r="D1844" t="s">
        <v>79</v>
      </c>
      <c r="E1844" t="s">
        <v>7505</v>
      </c>
      <c r="F1844" t="s">
        <v>149</v>
      </c>
      <c r="G1844" t="s">
        <v>7506</v>
      </c>
    </row>
    <row r="1845" spans="1:7" ht="44.25" customHeight="1">
      <c r="A1845" t="s">
        <v>7507</v>
      </c>
      <c r="B1845" t="s">
        <v>7508</v>
      </c>
      <c r="C1845" t="s">
        <v>136</v>
      </c>
      <c r="D1845" t="s">
        <v>2257</v>
      </c>
      <c r="E1845" t="s">
        <v>1607</v>
      </c>
      <c r="F1845" t="s">
        <v>149</v>
      </c>
      <c r="G1845" t="s">
        <v>7509</v>
      </c>
    </row>
    <row r="1846" spans="1:7" ht="44.25" customHeight="1">
      <c r="A1846" t="s">
        <v>7510</v>
      </c>
      <c r="B1846" t="s">
        <v>7511</v>
      </c>
      <c r="C1846" t="s">
        <v>136</v>
      </c>
      <c r="D1846" t="s">
        <v>2257</v>
      </c>
      <c r="E1846" t="s">
        <v>1607</v>
      </c>
      <c r="F1846" t="s">
        <v>149</v>
      </c>
      <c r="G1846" t="s">
        <v>7512</v>
      </c>
    </row>
    <row r="1847" spans="1:7" ht="44.25" customHeight="1">
      <c r="A1847" t="s">
        <v>7513</v>
      </c>
      <c r="B1847" t="s">
        <v>7514</v>
      </c>
      <c r="C1847" t="s">
        <v>136</v>
      </c>
      <c r="D1847" t="s">
        <v>2253</v>
      </c>
      <c r="E1847" t="s">
        <v>1430</v>
      </c>
      <c r="F1847" t="s">
        <v>149</v>
      </c>
      <c r="G1847" t="s">
        <v>7515</v>
      </c>
    </row>
    <row r="1848" spans="1:7" ht="44.25" customHeight="1">
      <c r="A1848" t="s">
        <v>7516</v>
      </c>
      <c r="B1848" t="s">
        <v>7517</v>
      </c>
      <c r="C1848" t="s">
        <v>136</v>
      </c>
      <c r="D1848" t="s">
        <v>2257</v>
      </c>
      <c r="E1848" t="s">
        <v>1584</v>
      </c>
      <c r="F1848" t="s">
        <v>149</v>
      </c>
      <c r="G1848" t="s">
        <v>7518</v>
      </c>
    </row>
    <row r="1849" spans="1:7" ht="44.25" customHeight="1">
      <c r="A1849" t="s">
        <v>1474</v>
      </c>
      <c r="B1849" t="s">
        <v>7519</v>
      </c>
      <c r="C1849" t="s">
        <v>136</v>
      </c>
      <c r="D1849" t="s">
        <v>2253</v>
      </c>
      <c r="E1849" t="s">
        <v>1432</v>
      </c>
      <c r="F1849" t="s">
        <v>149</v>
      </c>
      <c r="G1849" t="s">
        <v>7520</v>
      </c>
    </row>
    <row r="1850" spans="1:7" ht="44.25" customHeight="1">
      <c r="A1850" t="s">
        <v>1015</v>
      </c>
      <c r="B1850" t="s">
        <v>7521</v>
      </c>
      <c r="C1850" t="s">
        <v>136</v>
      </c>
      <c r="D1850" t="s">
        <v>2257</v>
      </c>
      <c r="E1850" t="s">
        <v>2276</v>
      </c>
      <c r="F1850" t="s">
        <v>149</v>
      </c>
      <c r="G1850" t="s">
        <v>7522</v>
      </c>
    </row>
    <row r="1851" spans="1:7" ht="44.25" customHeight="1">
      <c r="A1851" t="s">
        <v>7523</v>
      </c>
      <c r="B1851" t="s">
        <v>7524</v>
      </c>
      <c r="C1851" t="s">
        <v>136</v>
      </c>
      <c r="D1851" t="s">
        <v>79</v>
      </c>
      <c r="E1851" t="s">
        <v>4177</v>
      </c>
      <c r="F1851" t="s">
        <v>149</v>
      </c>
      <c r="G1851" t="s">
        <v>7525</v>
      </c>
    </row>
    <row r="1852" spans="1:7" ht="44.25" customHeight="1">
      <c r="A1852" t="s">
        <v>7526</v>
      </c>
      <c r="B1852" t="s">
        <v>7527</v>
      </c>
      <c r="C1852" t="s">
        <v>136</v>
      </c>
      <c r="D1852" t="s">
        <v>79</v>
      </c>
      <c r="E1852" t="s">
        <v>7528</v>
      </c>
      <c r="F1852" t="s">
        <v>149</v>
      </c>
      <c r="G1852" t="s">
        <v>7529</v>
      </c>
    </row>
    <row r="1853" spans="1:7" ht="44.25" customHeight="1">
      <c r="A1853" t="s">
        <v>7530</v>
      </c>
      <c r="B1853" t="s">
        <v>7531</v>
      </c>
      <c r="C1853" t="s">
        <v>136</v>
      </c>
      <c r="D1853" t="s">
        <v>2257</v>
      </c>
      <c r="E1853" t="s">
        <v>5684</v>
      </c>
      <c r="F1853" t="s">
        <v>149</v>
      </c>
      <c r="G1853" t="s">
        <v>7532</v>
      </c>
    </row>
    <row r="1854" spans="1:7" ht="44.25" customHeight="1">
      <c r="A1854" t="s">
        <v>7533</v>
      </c>
      <c r="B1854" t="s">
        <v>7534</v>
      </c>
      <c r="C1854" t="s">
        <v>136</v>
      </c>
      <c r="D1854" t="s">
        <v>2257</v>
      </c>
      <c r="E1854" t="s">
        <v>6128</v>
      </c>
      <c r="F1854" t="s">
        <v>149</v>
      </c>
      <c r="G1854" t="s">
        <v>7535</v>
      </c>
    </row>
    <row r="1855" spans="1:7" ht="44.25" customHeight="1">
      <c r="A1855" t="s">
        <v>409</v>
      </c>
      <c r="B1855" t="s">
        <v>7536</v>
      </c>
      <c r="C1855" t="s">
        <v>136</v>
      </c>
      <c r="D1855" t="s">
        <v>2257</v>
      </c>
      <c r="E1855" t="s">
        <v>1518</v>
      </c>
      <c r="F1855" t="s">
        <v>149</v>
      </c>
      <c r="G1855" t="s">
        <v>7537</v>
      </c>
    </row>
    <row r="1856" spans="1:7" ht="44.25" customHeight="1">
      <c r="A1856" t="s">
        <v>670</v>
      </c>
      <c r="B1856" t="s">
        <v>7538</v>
      </c>
      <c r="C1856" t="s">
        <v>136</v>
      </c>
      <c r="D1856" t="s">
        <v>79</v>
      </c>
      <c r="E1856" t="s">
        <v>1578</v>
      </c>
      <c r="F1856" t="s">
        <v>149</v>
      </c>
      <c r="G1856" t="s">
        <v>7539</v>
      </c>
    </row>
    <row r="1857" spans="1:7" ht="44.25" customHeight="1">
      <c r="A1857" t="s">
        <v>7540</v>
      </c>
      <c r="B1857" t="s">
        <v>7541</v>
      </c>
      <c r="C1857" t="s">
        <v>136</v>
      </c>
      <c r="D1857" t="s">
        <v>2257</v>
      </c>
      <c r="E1857" t="s">
        <v>1607</v>
      </c>
      <c r="F1857" t="s">
        <v>149</v>
      </c>
      <c r="G1857" t="s">
        <v>7542</v>
      </c>
    </row>
    <row r="1858" spans="1:7" ht="44.25" customHeight="1">
      <c r="A1858" t="s">
        <v>7543</v>
      </c>
      <c r="B1858" t="s">
        <v>7544</v>
      </c>
      <c r="C1858" t="s">
        <v>136</v>
      </c>
      <c r="D1858" t="s">
        <v>2257</v>
      </c>
      <c r="E1858" t="s">
        <v>1607</v>
      </c>
      <c r="F1858" t="s">
        <v>149</v>
      </c>
      <c r="G1858" t="s">
        <v>7545</v>
      </c>
    </row>
    <row r="1859" spans="1:7" ht="44.25" customHeight="1">
      <c r="A1859" t="s">
        <v>1398</v>
      </c>
      <c r="B1859" t="s">
        <v>7546</v>
      </c>
      <c r="C1859" t="s">
        <v>136</v>
      </c>
      <c r="D1859" t="s">
        <v>2257</v>
      </c>
      <c r="E1859" t="s">
        <v>1607</v>
      </c>
      <c r="F1859" t="s">
        <v>149</v>
      </c>
      <c r="G1859" t="s">
        <v>7547</v>
      </c>
    </row>
    <row r="1860" spans="1:7" ht="44.25" customHeight="1">
      <c r="A1860" t="s">
        <v>7548</v>
      </c>
      <c r="B1860" t="s">
        <v>7549</v>
      </c>
      <c r="C1860" t="s">
        <v>136</v>
      </c>
      <c r="D1860" t="s">
        <v>2257</v>
      </c>
      <c r="E1860" t="s">
        <v>1607</v>
      </c>
      <c r="F1860" t="s">
        <v>149</v>
      </c>
      <c r="G1860" t="s">
        <v>7550</v>
      </c>
    </row>
    <row r="1861" spans="1:7" ht="44.25" customHeight="1">
      <c r="A1861" t="s">
        <v>136</v>
      </c>
      <c r="B1861" t="s">
        <v>7551</v>
      </c>
      <c r="C1861" t="s">
        <v>136</v>
      </c>
      <c r="D1861" t="s">
        <v>79</v>
      </c>
      <c r="E1861" t="s">
        <v>6577</v>
      </c>
      <c r="F1861" t="s">
        <v>149</v>
      </c>
      <c r="G1861" t="s">
        <v>7552</v>
      </c>
    </row>
    <row r="1862" spans="1:7" ht="44.25" customHeight="1">
      <c r="A1862" t="s">
        <v>7553</v>
      </c>
      <c r="B1862" t="s">
        <v>7554</v>
      </c>
      <c r="C1862" t="s">
        <v>136</v>
      </c>
      <c r="D1862" t="s">
        <v>2257</v>
      </c>
      <c r="E1862" t="s">
        <v>2276</v>
      </c>
      <c r="F1862" t="s">
        <v>149</v>
      </c>
      <c r="G1862" t="s">
        <v>7555</v>
      </c>
    </row>
    <row r="1863" spans="1:7" ht="44.25" customHeight="1">
      <c r="A1863" t="s">
        <v>1456</v>
      </c>
      <c r="B1863" t="s">
        <v>7556</v>
      </c>
      <c r="C1863" t="s">
        <v>136</v>
      </c>
      <c r="D1863" t="s">
        <v>2257</v>
      </c>
      <c r="E1863" t="s">
        <v>2258</v>
      </c>
      <c r="F1863" t="s">
        <v>149</v>
      </c>
      <c r="G1863" t="s">
        <v>7557</v>
      </c>
    </row>
    <row r="1864" spans="1:7" ht="44.25" customHeight="1">
      <c r="A1864" t="s">
        <v>7558</v>
      </c>
      <c r="B1864" t="s">
        <v>7559</v>
      </c>
      <c r="C1864" t="s">
        <v>136</v>
      </c>
      <c r="D1864" t="s">
        <v>79</v>
      </c>
      <c r="E1864" t="s">
        <v>7560</v>
      </c>
      <c r="F1864" t="s">
        <v>149</v>
      </c>
      <c r="G1864" t="s">
        <v>7561</v>
      </c>
    </row>
    <row r="1865" spans="1:7" ht="44.25" customHeight="1">
      <c r="A1865" t="s">
        <v>592</v>
      </c>
      <c r="B1865" t="s">
        <v>7562</v>
      </c>
      <c r="C1865" t="s">
        <v>136</v>
      </c>
      <c r="D1865" t="s">
        <v>2257</v>
      </c>
      <c r="E1865" t="s">
        <v>4774</v>
      </c>
      <c r="F1865" t="s">
        <v>149</v>
      </c>
      <c r="G1865" t="s">
        <v>7563</v>
      </c>
    </row>
    <row r="1866" spans="1:7" ht="44.25" customHeight="1">
      <c r="A1866" t="s">
        <v>7564</v>
      </c>
      <c r="B1866" t="s">
        <v>7565</v>
      </c>
      <c r="C1866" t="s">
        <v>136</v>
      </c>
      <c r="D1866" t="s">
        <v>79</v>
      </c>
      <c r="E1866" t="s">
        <v>7566</v>
      </c>
      <c r="F1866" t="s">
        <v>149</v>
      </c>
      <c r="G1866" t="s">
        <v>7567</v>
      </c>
    </row>
    <row r="1867" spans="1:7" ht="44.25" customHeight="1">
      <c r="A1867" t="s">
        <v>7568</v>
      </c>
      <c r="B1867" t="s">
        <v>7569</v>
      </c>
      <c r="C1867" t="s">
        <v>136</v>
      </c>
      <c r="D1867" t="s">
        <v>79</v>
      </c>
      <c r="E1867" t="s">
        <v>7570</v>
      </c>
      <c r="F1867" t="s">
        <v>149</v>
      </c>
      <c r="G1867" t="s">
        <v>7571</v>
      </c>
    </row>
    <row r="1868" spans="1:7" ht="44.25" customHeight="1">
      <c r="A1868" t="s">
        <v>7572</v>
      </c>
      <c r="B1868" t="s">
        <v>7573</v>
      </c>
      <c r="C1868" t="s">
        <v>136</v>
      </c>
      <c r="D1868" t="s">
        <v>79</v>
      </c>
      <c r="E1868" t="s">
        <v>7574</v>
      </c>
      <c r="F1868" t="s">
        <v>149</v>
      </c>
      <c r="G1868" t="s">
        <v>7575</v>
      </c>
    </row>
    <row r="1869" spans="1:7" ht="44.25" customHeight="1">
      <c r="A1869" t="s">
        <v>7576</v>
      </c>
      <c r="B1869" t="s">
        <v>7577</v>
      </c>
      <c r="C1869" t="s">
        <v>136</v>
      </c>
      <c r="D1869" t="s">
        <v>79</v>
      </c>
      <c r="E1869" t="s">
        <v>7578</v>
      </c>
      <c r="F1869" t="s">
        <v>149</v>
      </c>
      <c r="G1869" t="s">
        <v>7579</v>
      </c>
    </row>
    <row r="1870" spans="1:7" ht="44.25" customHeight="1">
      <c r="A1870" t="s">
        <v>136</v>
      </c>
      <c r="B1870" t="s">
        <v>7580</v>
      </c>
      <c r="C1870" t="s">
        <v>136</v>
      </c>
      <c r="D1870" t="s">
        <v>2257</v>
      </c>
      <c r="E1870" t="s">
        <v>1607</v>
      </c>
      <c r="F1870" t="s">
        <v>149</v>
      </c>
      <c r="G1870" t="s">
        <v>7581</v>
      </c>
    </row>
    <row r="1871" spans="1:7" ht="44.25" customHeight="1">
      <c r="A1871" t="s">
        <v>7582</v>
      </c>
      <c r="B1871" t="s">
        <v>7583</v>
      </c>
      <c r="C1871" t="s">
        <v>136</v>
      </c>
      <c r="D1871" t="s">
        <v>2257</v>
      </c>
      <c r="E1871" t="s">
        <v>1503</v>
      </c>
      <c r="F1871" t="s">
        <v>149</v>
      </c>
      <c r="G1871" t="s">
        <v>7584</v>
      </c>
    </row>
    <row r="1872" spans="1:7" ht="44.25" customHeight="1">
      <c r="A1872" t="s">
        <v>7585</v>
      </c>
      <c r="B1872" t="s">
        <v>7586</v>
      </c>
      <c r="C1872" t="s">
        <v>7587</v>
      </c>
      <c r="D1872" t="s">
        <v>2257</v>
      </c>
      <c r="E1872" t="s">
        <v>2685</v>
      </c>
      <c r="F1872" t="s">
        <v>149</v>
      </c>
      <c r="G1872" t="s">
        <v>7588</v>
      </c>
    </row>
    <row r="1873" spans="1:7" ht="44.25" customHeight="1">
      <c r="A1873" t="s">
        <v>7589</v>
      </c>
      <c r="B1873" t="s">
        <v>7590</v>
      </c>
      <c r="C1873" t="s">
        <v>136</v>
      </c>
      <c r="D1873" t="s">
        <v>2257</v>
      </c>
      <c r="E1873" t="s">
        <v>3427</v>
      </c>
      <c r="F1873" t="s">
        <v>149</v>
      </c>
      <c r="G1873" t="s">
        <v>7591</v>
      </c>
    </row>
    <row r="1874" spans="1:7" ht="44.25" customHeight="1">
      <c r="A1874" t="s">
        <v>824</v>
      </c>
      <c r="B1874" t="s">
        <v>7592</v>
      </c>
      <c r="C1874" t="s">
        <v>136</v>
      </c>
      <c r="D1874" t="s">
        <v>79</v>
      </c>
      <c r="E1874" t="s">
        <v>3528</v>
      </c>
      <c r="F1874" t="s">
        <v>149</v>
      </c>
      <c r="G1874" t="s">
        <v>7593</v>
      </c>
    </row>
    <row r="1875" spans="1:7" ht="44.25" customHeight="1">
      <c r="A1875" t="s">
        <v>7594</v>
      </c>
      <c r="B1875" t="s">
        <v>7595</v>
      </c>
      <c r="C1875" t="s">
        <v>136</v>
      </c>
      <c r="D1875" t="s">
        <v>2257</v>
      </c>
      <c r="E1875" t="s">
        <v>2276</v>
      </c>
      <c r="F1875" t="s">
        <v>149</v>
      </c>
      <c r="G1875" t="s">
        <v>7596</v>
      </c>
    </row>
    <row r="1876" spans="1:7" ht="44.25" customHeight="1">
      <c r="A1876" t="s">
        <v>7597</v>
      </c>
      <c r="B1876" t="s">
        <v>7598</v>
      </c>
      <c r="C1876" t="s">
        <v>136</v>
      </c>
      <c r="D1876" t="s">
        <v>2253</v>
      </c>
      <c r="E1876" t="s">
        <v>1432</v>
      </c>
      <c r="F1876" t="s">
        <v>149</v>
      </c>
      <c r="G1876" t="s">
        <v>7599</v>
      </c>
    </row>
    <row r="1877" spans="1:7" ht="44.25" customHeight="1">
      <c r="A1877" t="s">
        <v>7600</v>
      </c>
      <c r="B1877" t="s">
        <v>7601</v>
      </c>
      <c r="C1877" t="s">
        <v>136</v>
      </c>
      <c r="D1877" t="s">
        <v>2257</v>
      </c>
      <c r="E1877" t="s">
        <v>2276</v>
      </c>
      <c r="F1877" t="s">
        <v>149</v>
      </c>
      <c r="G1877" t="s">
        <v>7602</v>
      </c>
    </row>
    <row r="1878" spans="1:7" ht="44.25" customHeight="1">
      <c r="A1878" t="s">
        <v>7603</v>
      </c>
      <c r="B1878" t="s">
        <v>7604</v>
      </c>
      <c r="C1878" t="s">
        <v>136</v>
      </c>
      <c r="D1878" t="s">
        <v>2253</v>
      </c>
      <c r="E1878" t="s">
        <v>1432</v>
      </c>
      <c r="F1878" t="s">
        <v>149</v>
      </c>
      <c r="G1878" t="s">
        <v>7605</v>
      </c>
    </row>
    <row r="1879" spans="1:7" ht="44.25" customHeight="1">
      <c r="A1879" t="s">
        <v>7606</v>
      </c>
      <c r="B1879" t="s">
        <v>7607</v>
      </c>
      <c r="C1879" t="s">
        <v>136</v>
      </c>
      <c r="D1879" t="s">
        <v>2253</v>
      </c>
      <c r="E1879" t="s">
        <v>1432</v>
      </c>
      <c r="F1879" t="s">
        <v>149</v>
      </c>
      <c r="G1879" t="s">
        <v>7608</v>
      </c>
    </row>
    <row r="1880" spans="1:7" ht="44.25" customHeight="1">
      <c r="A1880" t="s">
        <v>1385</v>
      </c>
      <c r="B1880" t="s">
        <v>7609</v>
      </c>
      <c r="C1880" t="s">
        <v>136</v>
      </c>
      <c r="D1880" t="s">
        <v>2257</v>
      </c>
      <c r="E1880" t="s">
        <v>1607</v>
      </c>
      <c r="F1880" t="s">
        <v>149</v>
      </c>
      <c r="G1880" t="s">
        <v>7610</v>
      </c>
    </row>
    <row r="1881" spans="1:7" ht="44.25" customHeight="1">
      <c r="A1881" t="s">
        <v>7611</v>
      </c>
      <c r="B1881" t="s">
        <v>7612</v>
      </c>
      <c r="C1881" t="s">
        <v>136</v>
      </c>
      <c r="D1881" t="s">
        <v>2257</v>
      </c>
      <c r="E1881" t="s">
        <v>2399</v>
      </c>
      <c r="F1881" t="s">
        <v>149</v>
      </c>
      <c r="G1881" t="s">
        <v>7613</v>
      </c>
    </row>
    <row r="1882" spans="1:7" ht="44.25" customHeight="1">
      <c r="A1882" t="s">
        <v>7614</v>
      </c>
      <c r="B1882" t="s">
        <v>7615</v>
      </c>
      <c r="C1882" t="s">
        <v>136</v>
      </c>
      <c r="D1882" t="s">
        <v>2257</v>
      </c>
      <c r="E1882" t="s">
        <v>2399</v>
      </c>
      <c r="F1882" t="s">
        <v>149</v>
      </c>
      <c r="G1882" t="s">
        <v>7616</v>
      </c>
    </row>
    <row r="1883" spans="1:7" ht="44.25" customHeight="1">
      <c r="A1883" t="s">
        <v>484</v>
      </c>
      <c r="B1883" t="s">
        <v>7617</v>
      </c>
      <c r="C1883" t="s">
        <v>136</v>
      </c>
      <c r="D1883" t="s">
        <v>79</v>
      </c>
      <c r="E1883" t="s">
        <v>3522</v>
      </c>
      <c r="F1883" t="s">
        <v>149</v>
      </c>
      <c r="G1883" t="s">
        <v>7618</v>
      </c>
    </row>
    <row r="1884" spans="1:7" ht="44.25" customHeight="1">
      <c r="A1884" t="s">
        <v>7619</v>
      </c>
      <c r="B1884" t="s">
        <v>7620</v>
      </c>
      <c r="C1884" t="s">
        <v>136</v>
      </c>
      <c r="D1884" t="s">
        <v>2253</v>
      </c>
      <c r="E1884" t="s">
        <v>1432</v>
      </c>
      <c r="F1884" t="s">
        <v>149</v>
      </c>
      <c r="G1884" t="s">
        <v>7621</v>
      </c>
    </row>
    <row r="1885" spans="1:7" ht="44.25" customHeight="1">
      <c r="A1885" t="s">
        <v>7622</v>
      </c>
      <c r="B1885" t="s">
        <v>7623</v>
      </c>
      <c r="C1885" t="s">
        <v>136</v>
      </c>
      <c r="D1885" t="s">
        <v>2257</v>
      </c>
      <c r="E1885" t="s">
        <v>2276</v>
      </c>
      <c r="F1885" t="s">
        <v>149</v>
      </c>
      <c r="G1885" t="s">
        <v>7624</v>
      </c>
    </row>
    <row r="1886" spans="1:7" ht="44.25" customHeight="1">
      <c r="A1886" t="s">
        <v>7625</v>
      </c>
      <c r="B1886" t="s">
        <v>7626</v>
      </c>
      <c r="C1886" t="s">
        <v>136</v>
      </c>
      <c r="D1886" t="s">
        <v>2257</v>
      </c>
      <c r="E1886" t="s">
        <v>2276</v>
      </c>
      <c r="F1886" t="s">
        <v>149</v>
      </c>
      <c r="G1886" t="s">
        <v>7627</v>
      </c>
    </row>
    <row r="1887" spans="1:7" ht="44.25" customHeight="1">
      <c r="A1887" t="s">
        <v>7628</v>
      </c>
      <c r="B1887" t="s">
        <v>7629</v>
      </c>
      <c r="C1887" t="s">
        <v>136</v>
      </c>
      <c r="D1887" t="s">
        <v>2253</v>
      </c>
      <c r="E1887" t="s">
        <v>1432</v>
      </c>
      <c r="F1887" t="s">
        <v>149</v>
      </c>
      <c r="G1887" t="s">
        <v>7630</v>
      </c>
    </row>
    <row r="1888" spans="1:7" ht="44.25" customHeight="1">
      <c r="A1888" t="s">
        <v>1469</v>
      </c>
      <c r="B1888" t="s">
        <v>7631</v>
      </c>
      <c r="C1888" t="s">
        <v>136</v>
      </c>
      <c r="D1888" t="s">
        <v>2253</v>
      </c>
      <c r="E1888" t="s">
        <v>2258</v>
      </c>
      <c r="F1888" t="s">
        <v>149</v>
      </c>
      <c r="G1888" t="s">
        <v>7632</v>
      </c>
    </row>
    <row r="1889" spans="1:7" ht="44.25" customHeight="1">
      <c r="A1889" t="s">
        <v>1037</v>
      </c>
      <c r="B1889" t="s">
        <v>7633</v>
      </c>
      <c r="C1889" t="s">
        <v>136</v>
      </c>
      <c r="D1889" t="s">
        <v>2253</v>
      </c>
      <c r="E1889" t="s">
        <v>1430</v>
      </c>
      <c r="F1889" t="s">
        <v>149</v>
      </c>
      <c r="G1889" t="s">
        <v>7634</v>
      </c>
    </row>
    <row r="1890" spans="1:7" ht="44.25" customHeight="1">
      <c r="A1890" t="s">
        <v>397</v>
      </c>
      <c r="B1890" t="s">
        <v>7635</v>
      </c>
      <c r="C1890" t="s">
        <v>136</v>
      </c>
      <c r="D1890" t="s">
        <v>2257</v>
      </c>
      <c r="E1890" t="s">
        <v>2276</v>
      </c>
      <c r="F1890" t="s">
        <v>149</v>
      </c>
      <c r="G1890" t="s">
        <v>7636</v>
      </c>
    </row>
    <row r="1891" spans="1:7" ht="44.25" customHeight="1">
      <c r="A1891" t="s">
        <v>530</v>
      </c>
      <c r="B1891" t="s">
        <v>7637</v>
      </c>
      <c r="C1891" t="s">
        <v>136</v>
      </c>
      <c r="D1891" t="s">
        <v>2257</v>
      </c>
      <c r="E1891" t="s">
        <v>2265</v>
      </c>
      <c r="F1891" t="s">
        <v>149</v>
      </c>
      <c r="G1891" t="s">
        <v>7638</v>
      </c>
    </row>
    <row r="1892" spans="1:7" ht="44.25" customHeight="1">
      <c r="A1892" t="s">
        <v>1036</v>
      </c>
      <c r="B1892" t="s">
        <v>7639</v>
      </c>
      <c r="C1892" t="s">
        <v>136</v>
      </c>
      <c r="D1892" t="s">
        <v>2257</v>
      </c>
      <c r="E1892" t="s">
        <v>1430</v>
      </c>
      <c r="F1892" t="s">
        <v>149</v>
      </c>
      <c r="G1892" t="s">
        <v>7640</v>
      </c>
    </row>
    <row r="1893" spans="1:7" ht="44.25" customHeight="1">
      <c r="A1893" t="s">
        <v>7641</v>
      </c>
      <c r="B1893" t="s">
        <v>7642</v>
      </c>
      <c r="C1893" t="s">
        <v>136</v>
      </c>
      <c r="D1893" t="s">
        <v>79</v>
      </c>
      <c r="E1893" t="s">
        <v>6242</v>
      </c>
      <c r="F1893" t="s">
        <v>149</v>
      </c>
      <c r="G1893" t="s">
        <v>7643</v>
      </c>
    </row>
    <row r="1894" spans="1:7" ht="44.25" customHeight="1">
      <c r="A1894" t="s">
        <v>7644</v>
      </c>
      <c r="B1894" t="s">
        <v>7645</v>
      </c>
      <c r="C1894" t="s">
        <v>136</v>
      </c>
      <c r="D1894" t="s">
        <v>2257</v>
      </c>
      <c r="E1894" t="s">
        <v>4595</v>
      </c>
      <c r="F1894" t="s">
        <v>149</v>
      </c>
      <c r="G1894" t="s">
        <v>7646</v>
      </c>
    </row>
    <row r="1895" spans="1:7" ht="44.25" customHeight="1">
      <c r="A1895" t="s">
        <v>505</v>
      </c>
      <c r="B1895" t="s">
        <v>7647</v>
      </c>
      <c r="C1895" t="s">
        <v>136</v>
      </c>
      <c r="D1895" t="s">
        <v>2257</v>
      </c>
      <c r="E1895" t="s">
        <v>2258</v>
      </c>
      <c r="F1895" t="s">
        <v>149</v>
      </c>
      <c r="G1895" t="s">
        <v>7648</v>
      </c>
    </row>
    <row r="1896" spans="1:7" ht="44.25" customHeight="1">
      <c r="A1896" t="s">
        <v>7649</v>
      </c>
      <c r="B1896" t="s">
        <v>7650</v>
      </c>
      <c r="C1896" t="s">
        <v>136</v>
      </c>
      <c r="D1896" t="s">
        <v>79</v>
      </c>
      <c r="E1896" t="s">
        <v>7651</v>
      </c>
      <c r="F1896" t="s">
        <v>149</v>
      </c>
      <c r="G1896" t="s">
        <v>7652</v>
      </c>
    </row>
    <row r="1897" spans="1:7" ht="44.25" customHeight="1">
      <c r="A1897" t="s">
        <v>136</v>
      </c>
      <c r="B1897" t="s">
        <v>7653</v>
      </c>
      <c r="C1897" t="s">
        <v>136</v>
      </c>
      <c r="D1897" t="s">
        <v>2257</v>
      </c>
      <c r="E1897" t="s">
        <v>6128</v>
      </c>
      <c r="F1897" t="s">
        <v>149</v>
      </c>
      <c r="G1897" t="s">
        <v>7654</v>
      </c>
    </row>
    <row r="1898" spans="1:7" ht="44.25" customHeight="1">
      <c r="A1898" t="s">
        <v>667</v>
      </c>
      <c r="B1898" t="s">
        <v>7655</v>
      </c>
      <c r="C1898" t="s">
        <v>136</v>
      </c>
      <c r="D1898" t="s">
        <v>79</v>
      </c>
      <c r="E1898" t="s">
        <v>7656</v>
      </c>
      <c r="F1898" t="s">
        <v>149</v>
      </c>
      <c r="G1898" t="s">
        <v>7657</v>
      </c>
    </row>
    <row r="1899" spans="1:7" ht="44.25" customHeight="1">
      <c r="A1899" t="s">
        <v>568</v>
      </c>
      <c r="B1899" t="s">
        <v>7658</v>
      </c>
      <c r="C1899" t="s">
        <v>136</v>
      </c>
      <c r="D1899" t="s">
        <v>2257</v>
      </c>
      <c r="E1899" t="s">
        <v>7659</v>
      </c>
      <c r="F1899" t="s">
        <v>149</v>
      </c>
      <c r="G1899" t="s">
        <v>7660</v>
      </c>
    </row>
    <row r="1900" spans="1:7" ht="44.25" customHeight="1">
      <c r="A1900" t="s">
        <v>7661</v>
      </c>
      <c r="B1900" t="s">
        <v>7662</v>
      </c>
      <c r="C1900" t="s">
        <v>136</v>
      </c>
      <c r="D1900" t="s">
        <v>2257</v>
      </c>
      <c r="E1900" t="s">
        <v>1607</v>
      </c>
      <c r="F1900" t="s">
        <v>149</v>
      </c>
      <c r="G1900" t="s">
        <v>7663</v>
      </c>
    </row>
    <row r="1901" spans="1:7" ht="44.25" customHeight="1">
      <c r="A1901" t="s">
        <v>257</v>
      </c>
      <c r="B1901" t="s">
        <v>7664</v>
      </c>
      <c r="C1901" t="s">
        <v>136</v>
      </c>
      <c r="D1901" t="s">
        <v>2257</v>
      </c>
      <c r="E1901" t="s">
        <v>1607</v>
      </c>
      <c r="F1901" t="s">
        <v>149</v>
      </c>
      <c r="G1901" t="s">
        <v>7665</v>
      </c>
    </row>
    <row r="1902" spans="1:7" ht="44.25" customHeight="1">
      <c r="A1902" t="s">
        <v>136</v>
      </c>
      <c r="B1902" t="s">
        <v>7666</v>
      </c>
      <c r="C1902" t="s">
        <v>136</v>
      </c>
      <c r="D1902" t="s">
        <v>2257</v>
      </c>
      <c r="E1902" t="s">
        <v>2399</v>
      </c>
      <c r="F1902" t="s">
        <v>149</v>
      </c>
      <c r="G1902" t="s">
        <v>7667</v>
      </c>
    </row>
    <row r="1903" spans="1:7" ht="44.25" customHeight="1">
      <c r="A1903" t="s">
        <v>317</v>
      </c>
      <c r="B1903" t="s">
        <v>7668</v>
      </c>
      <c r="C1903" t="s">
        <v>1509</v>
      </c>
      <c r="D1903" t="s">
        <v>2257</v>
      </c>
      <c r="E1903" t="s">
        <v>3162</v>
      </c>
      <c r="F1903" t="s">
        <v>149</v>
      </c>
      <c r="G1903" t="s">
        <v>7669</v>
      </c>
    </row>
    <row r="1904" spans="1:7" ht="44.25" customHeight="1">
      <c r="A1904" t="s">
        <v>7670</v>
      </c>
      <c r="B1904" t="s">
        <v>7671</v>
      </c>
      <c r="C1904" t="s">
        <v>136</v>
      </c>
      <c r="D1904" t="s">
        <v>2257</v>
      </c>
      <c r="E1904" t="s">
        <v>2399</v>
      </c>
      <c r="F1904" t="s">
        <v>149</v>
      </c>
      <c r="G1904" t="s">
        <v>7672</v>
      </c>
    </row>
    <row r="1905" spans="1:7" ht="44.25" customHeight="1">
      <c r="A1905" t="s">
        <v>292</v>
      </c>
      <c r="B1905" t="s">
        <v>7673</v>
      </c>
      <c r="C1905" t="s">
        <v>136</v>
      </c>
      <c r="D1905" t="s">
        <v>2257</v>
      </c>
      <c r="E1905" t="s">
        <v>1607</v>
      </c>
      <c r="F1905" t="s">
        <v>149</v>
      </c>
      <c r="G1905" t="s">
        <v>7674</v>
      </c>
    </row>
    <row r="1906" spans="1:7" ht="44.25" customHeight="1">
      <c r="A1906" t="s">
        <v>7675</v>
      </c>
      <c r="B1906" t="s">
        <v>7676</v>
      </c>
      <c r="C1906" t="s">
        <v>136</v>
      </c>
      <c r="D1906" t="s">
        <v>2253</v>
      </c>
      <c r="E1906" t="s">
        <v>1432</v>
      </c>
      <c r="F1906" t="s">
        <v>149</v>
      </c>
      <c r="G1906" t="s">
        <v>7677</v>
      </c>
    </row>
    <row r="1907" spans="1:7" ht="44.25" customHeight="1">
      <c r="A1907" t="s">
        <v>7678</v>
      </c>
      <c r="B1907" t="s">
        <v>7679</v>
      </c>
      <c r="C1907" t="s">
        <v>136</v>
      </c>
      <c r="D1907" t="s">
        <v>79</v>
      </c>
      <c r="E1907" t="s">
        <v>4633</v>
      </c>
      <c r="F1907" t="s">
        <v>149</v>
      </c>
      <c r="G1907" t="s">
        <v>7680</v>
      </c>
    </row>
    <row r="1908" spans="1:7" ht="44.25" customHeight="1">
      <c r="A1908" t="s">
        <v>710</v>
      </c>
      <c r="B1908" t="s">
        <v>7681</v>
      </c>
      <c r="C1908" t="s">
        <v>136</v>
      </c>
      <c r="D1908" t="s">
        <v>2257</v>
      </c>
      <c r="E1908" t="s">
        <v>1584</v>
      </c>
      <c r="F1908" t="s">
        <v>149</v>
      </c>
      <c r="G1908" t="s">
        <v>7682</v>
      </c>
    </row>
    <row r="1909" spans="1:7" ht="44.25" customHeight="1">
      <c r="A1909" t="s">
        <v>729</v>
      </c>
      <c r="B1909" t="s">
        <v>7683</v>
      </c>
      <c r="C1909" t="s">
        <v>136</v>
      </c>
      <c r="D1909" t="s">
        <v>2257</v>
      </c>
      <c r="E1909" t="s">
        <v>2269</v>
      </c>
      <c r="F1909" t="s">
        <v>149</v>
      </c>
      <c r="G1909" t="s">
        <v>7684</v>
      </c>
    </row>
    <row r="1910" spans="1:7" ht="44.25" customHeight="1">
      <c r="A1910" t="s">
        <v>556</v>
      </c>
      <c r="B1910" t="s">
        <v>7685</v>
      </c>
      <c r="C1910" t="s">
        <v>136</v>
      </c>
      <c r="D1910" t="s">
        <v>79</v>
      </c>
      <c r="E1910" t="s">
        <v>7686</v>
      </c>
      <c r="F1910" t="s">
        <v>149</v>
      </c>
      <c r="G1910" t="s">
        <v>7687</v>
      </c>
    </row>
    <row r="1911" spans="1:7" ht="44.25" customHeight="1">
      <c r="A1911" t="s">
        <v>7688</v>
      </c>
      <c r="B1911" t="s">
        <v>7689</v>
      </c>
      <c r="C1911" t="s">
        <v>136</v>
      </c>
      <c r="D1911" t="s">
        <v>79</v>
      </c>
      <c r="E1911" t="s">
        <v>4800</v>
      </c>
      <c r="F1911" t="s">
        <v>149</v>
      </c>
      <c r="G1911" t="s">
        <v>7690</v>
      </c>
    </row>
    <row r="1912" spans="1:7" ht="44.25" customHeight="1">
      <c r="A1912" t="s">
        <v>7691</v>
      </c>
      <c r="B1912" t="s">
        <v>7692</v>
      </c>
      <c r="C1912" t="s">
        <v>136</v>
      </c>
      <c r="D1912" t="s">
        <v>79</v>
      </c>
      <c r="E1912" t="s">
        <v>7693</v>
      </c>
      <c r="F1912" t="s">
        <v>149</v>
      </c>
      <c r="G1912" t="s">
        <v>7694</v>
      </c>
    </row>
    <row r="1913" spans="1:7" ht="44.25" customHeight="1">
      <c r="A1913" t="s">
        <v>7695</v>
      </c>
      <c r="B1913" t="s">
        <v>7696</v>
      </c>
      <c r="C1913" t="s">
        <v>136</v>
      </c>
      <c r="D1913" t="s">
        <v>79</v>
      </c>
      <c r="E1913" t="s">
        <v>7697</v>
      </c>
      <c r="F1913" t="s">
        <v>149</v>
      </c>
      <c r="G1913" t="s">
        <v>7698</v>
      </c>
    </row>
    <row r="1914" spans="1:7" ht="44.25" customHeight="1">
      <c r="A1914" t="s">
        <v>7695</v>
      </c>
      <c r="B1914" t="s">
        <v>7696</v>
      </c>
      <c r="C1914" t="s">
        <v>136</v>
      </c>
      <c r="D1914" t="s">
        <v>79</v>
      </c>
      <c r="E1914" t="s">
        <v>7697</v>
      </c>
      <c r="F1914" t="s">
        <v>149</v>
      </c>
      <c r="G1914" t="s">
        <v>7698</v>
      </c>
    </row>
    <row r="1915" spans="1:7" ht="44.25" customHeight="1">
      <c r="A1915" t="s">
        <v>7695</v>
      </c>
      <c r="B1915" t="s">
        <v>7696</v>
      </c>
      <c r="C1915" t="s">
        <v>136</v>
      </c>
      <c r="D1915" t="s">
        <v>79</v>
      </c>
      <c r="E1915" t="s">
        <v>7697</v>
      </c>
      <c r="F1915" t="s">
        <v>149</v>
      </c>
      <c r="G1915" t="s">
        <v>7698</v>
      </c>
    </row>
    <row r="1916" spans="1:7" ht="44.25" customHeight="1">
      <c r="A1916" t="s">
        <v>7699</v>
      </c>
      <c r="B1916" t="s">
        <v>7700</v>
      </c>
      <c r="C1916" t="s">
        <v>136</v>
      </c>
      <c r="D1916" t="s">
        <v>79</v>
      </c>
      <c r="E1916" t="s">
        <v>7701</v>
      </c>
      <c r="F1916" t="s">
        <v>149</v>
      </c>
      <c r="G1916" t="s">
        <v>7702</v>
      </c>
    </row>
    <row r="1917" spans="1:7" ht="44.25" customHeight="1">
      <c r="A1917" t="s">
        <v>7703</v>
      </c>
      <c r="B1917" t="s">
        <v>7704</v>
      </c>
      <c r="C1917" t="s">
        <v>136</v>
      </c>
      <c r="D1917" t="s">
        <v>2257</v>
      </c>
      <c r="E1917" t="s">
        <v>5691</v>
      </c>
      <c r="F1917" t="s">
        <v>149</v>
      </c>
      <c r="G1917" t="s">
        <v>7705</v>
      </c>
    </row>
    <row r="1918" spans="1:7" ht="44.25" customHeight="1">
      <c r="A1918" t="s">
        <v>7706</v>
      </c>
      <c r="B1918" t="s">
        <v>7707</v>
      </c>
      <c r="C1918" t="s">
        <v>136</v>
      </c>
      <c r="D1918" t="s">
        <v>79</v>
      </c>
      <c r="E1918" t="s">
        <v>7708</v>
      </c>
      <c r="F1918" t="s">
        <v>149</v>
      </c>
      <c r="G1918" t="s">
        <v>7709</v>
      </c>
    </row>
    <row r="1919" spans="1:7" ht="44.25" customHeight="1">
      <c r="A1919" t="s">
        <v>7710</v>
      </c>
      <c r="B1919" t="s">
        <v>7711</v>
      </c>
      <c r="C1919" t="s">
        <v>136</v>
      </c>
      <c r="D1919" t="s">
        <v>2257</v>
      </c>
      <c r="E1919" t="s">
        <v>1607</v>
      </c>
      <c r="F1919" t="s">
        <v>149</v>
      </c>
      <c r="G1919" t="s">
        <v>7712</v>
      </c>
    </row>
    <row r="1920" spans="1:7" ht="44.25" customHeight="1">
      <c r="A1920" t="s">
        <v>7713</v>
      </c>
      <c r="B1920" t="s">
        <v>7714</v>
      </c>
      <c r="C1920" t="s">
        <v>7715</v>
      </c>
      <c r="D1920" t="s">
        <v>2257</v>
      </c>
      <c r="E1920" t="s">
        <v>1503</v>
      </c>
      <c r="F1920" t="s">
        <v>149</v>
      </c>
      <c r="G1920" t="s">
        <v>7716</v>
      </c>
    </row>
    <row r="1921" spans="1:7" ht="44.25" customHeight="1">
      <c r="A1921" t="s">
        <v>7717</v>
      </c>
      <c r="B1921" t="s">
        <v>7718</v>
      </c>
      <c r="C1921" t="s">
        <v>136</v>
      </c>
      <c r="D1921" t="s">
        <v>79</v>
      </c>
      <c r="E1921" t="s">
        <v>7719</v>
      </c>
      <c r="F1921" t="s">
        <v>149</v>
      </c>
      <c r="G1921" t="s">
        <v>7720</v>
      </c>
    </row>
    <row r="1922" spans="1:7" ht="44.25" customHeight="1">
      <c r="A1922" t="s">
        <v>7721</v>
      </c>
      <c r="B1922" t="s">
        <v>7722</v>
      </c>
      <c r="C1922" t="s">
        <v>136</v>
      </c>
      <c r="D1922" t="s">
        <v>2257</v>
      </c>
      <c r="E1922" t="s">
        <v>1607</v>
      </c>
      <c r="F1922" t="s">
        <v>149</v>
      </c>
      <c r="G1922" t="s">
        <v>7723</v>
      </c>
    </row>
    <row r="1923" spans="1:7" ht="44.25" customHeight="1">
      <c r="A1923" t="s">
        <v>7724</v>
      </c>
      <c r="B1923" t="s">
        <v>7725</v>
      </c>
      <c r="C1923" t="s">
        <v>136</v>
      </c>
      <c r="D1923" t="s">
        <v>2253</v>
      </c>
      <c r="E1923" t="s">
        <v>1432</v>
      </c>
      <c r="F1923" t="s">
        <v>149</v>
      </c>
      <c r="G1923" t="s">
        <v>7726</v>
      </c>
    </row>
    <row r="1924" spans="1:7" ht="44.25" customHeight="1">
      <c r="A1924" t="s">
        <v>7727</v>
      </c>
      <c r="B1924" t="s">
        <v>7728</v>
      </c>
      <c r="C1924" t="s">
        <v>136</v>
      </c>
      <c r="D1924" t="s">
        <v>2253</v>
      </c>
      <c r="E1924" t="s">
        <v>1432</v>
      </c>
      <c r="F1924" t="s">
        <v>149</v>
      </c>
      <c r="G1924" t="s">
        <v>7729</v>
      </c>
    </row>
    <row r="1925" spans="1:7" ht="44.25" customHeight="1">
      <c r="A1925" t="s">
        <v>986</v>
      </c>
      <c r="B1925" t="s">
        <v>7730</v>
      </c>
      <c r="C1925" t="s">
        <v>136</v>
      </c>
      <c r="D1925" t="s">
        <v>2257</v>
      </c>
      <c r="E1925" t="s">
        <v>2276</v>
      </c>
      <c r="F1925" t="s">
        <v>149</v>
      </c>
      <c r="G1925" t="s">
        <v>7731</v>
      </c>
    </row>
    <row r="1926" spans="1:7" ht="44.25" customHeight="1">
      <c r="A1926" t="s">
        <v>982</v>
      </c>
      <c r="B1926" t="s">
        <v>7732</v>
      </c>
      <c r="C1926" t="s">
        <v>136</v>
      </c>
      <c r="D1926" t="s">
        <v>2257</v>
      </c>
      <c r="E1926" t="s">
        <v>2276</v>
      </c>
      <c r="F1926" t="s">
        <v>149</v>
      </c>
      <c r="G1926" t="s">
        <v>7733</v>
      </c>
    </row>
    <row r="1927" spans="1:7" ht="44.25" customHeight="1">
      <c r="A1927" t="s">
        <v>1431</v>
      </c>
      <c r="B1927" t="s">
        <v>7734</v>
      </c>
      <c r="C1927" t="s">
        <v>136</v>
      </c>
      <c r="D1927" t="s">
        <v>2253</v>
      </c>
      <c r="E1927" t="s">
        <v>1432</v>
      </c>
      <c r="F1927" t="s">
        <v>149</v>
      </c>
      <c r="G1927" t="s">
        <v>7735</v>
      </c>
    </row>
    <row r="1928" spans="1:7" ht="44.25" customHeight="1">
      <c r="A1928" t="s">
        <v>796</v>
      </c>
      <c r="B1928" t="s">
        <v>7736</v>
      </c>
      <c r="C1928" t="s">
        <v>136</v>
      </c>
      <c r="D1928" t="s">
        <v>79</v>
      </c>
      <c r="E1928" t="s">
        <v>4502</v>
      </c>
      <c r="F1928" t="s">
        <v>149</v>
      </c>
      <c r="G1928" t="s">
        <v>7737</v>
      </c>
    </row>
    <row r="1929" spans="1:7" ht="44.25" customHeight="1">
      <c r="A1929" t="s">
        <v>943</v>
      </c>
      <c r="B1929" t="s">
        <v>7738</v>
      </c>
      <c r="C1929" t="s">
        <v>136</v>
      </c>
      <c r="D1929" t="s">
        <v>2257</v>
      </c>
      <c r="E1929" t="s">
        <v>2276</v>
      </c>
      <c r="F1929" t="s">
        <v>149</v>
      </c>
      <c r="G1929" t="s">
        <v>7739</v>
      </c>
    </row>
    <row r="1930" spans="1:7" ht="44.25" customHeight="1">
      <c r="A1930" t="s">
        <v>7740</v>
      </c>
      <c r="B1930" t="s">
        <v>7741</v>
      </c>
      <c r="C1930" t="s">
        <v>136</v>
      </c>
      <c r="D1930" t="s">
        <v>79</v>
      </c>
      <c r="E1930" t="s">
        <v>7742</v>
      </c>
      <c r="F1930" t="s">
        <v>149</v>
      </c>
      <c r="G1930" t="s">
        <v>7743</v>
      </c>
    </row>
    <row r="1931" spans="1:7" ht="44.25" customHeight="1">
      <c r="A1931" t="s">
        <v>7744</v>
      </c>
      <c r="B1931" t="s">
        <v>7745</v>
      </c>
      <c r="C1931" t="s">
        <v>136</v>
      </c>
      <c r="D1931" t="s">
        <v>79</v>
      </c>
      <c r="E1931" t="s">
        <v>7746</v>
      </c>
      <c r="F1931" t="s">
        <v>149</v>
      </c>
      <c r="G1931" t="s">
        <v>7747</v>
      </c>
    </row>
    <row r="1932" spans="1:7" ht="44.25" customHeight="1">
      <c r="A1932" t="s">
        <v>7748</v>
      </c>
      <c r="B1932" t="s">
        <v>7749</v>
      </c>
      <c r="C1932" t="s">
        <v>136</v>
      </c>
      <c r="D1932" t="s">
        <v>79</v>
      </c>
      <c r="E1932" t="s">
        <v>7750</v>
      </c>
      <c r="F1932" t="s">
        <v>149</v>
      </c>
      <c r="G1932" t="s">
        <v>7751</v>
      </c>
    </row>
    <row r="1933" spans="1:7" ht="44.25" customHeight="1">
      <c r="A1933" t="s">
        <v>7752</v>
      </c>
      <c r="B1933" t="s">
        <v>7753</v>
      </c>
      <c r="C1933" t="s">
        <v>136</v>
      </c>
      <c r="D1933" t="s">
        <v>2257</v>
      </c>
      <c r="E1933" t="s">
        <v>1607</v>
      </c>
      <c r="F1933" t="s">
        <v>149</v>
      </c>
      <c r="G1933" t="s">
        <v>7754</v>
      </c>
    </row>
    <row r="1934" spans="1:7" ht="44.25" customHeight="1">
      <c r="A1934" t="s">
        <v>7755</v>
      </c>
      <c r="B1934" t="s">
        <v>7756</v>
      </c>
      <c r="C1934" t="s">
        <v>136</v>
      </c>
      <c r="D1934" t="s">
        <v>2257</v>
      </c>
      <c r="E1934" t="s">
        <v>2399</v>
      </c>
      <c r="F1934" t="s">
        <v>149</v>
      </c>
      <c r="G1934" t="s">
        <v>7757</v>
      </c>
    </row>
    <row r="1935" spans="1:7" ht="44.25" customHeight="1">
      <c r="A1935" t="s">
        <v>7758</v>
      </c>
      <c r="B1935" t="s">
        <v>7759</v>
      </c>
      <c r="C1935" t="s">
        <v>136</v>
      </c>
      <c r="D1935" t="s">
        <v>2257</v>
      </c>
      <c r="E1935" t="s">
        <v>2685</v>
      </c>
      <c r="F1935" t="s">
        <v>149</v>
      </c>
      <c r="G1935" t="s">
        <v>7760</v>
      </c>
    </row>
    <row r="1936" spans="1:7" ht="44.25" customHeight="1">
      <c r="A1936" t="s">
        <v>7761</v>
      </c>
      <c r="B1936" t="s">
        <v>7762</v>
      </c>
      <c r="C1936" t="s">
        <v>136</v>
      </c>
      <c r="D1936" t="s">
        <v>2257</v>
      </c>
      <c r="E1936" t="s">
        <v>1607</v>
      </c>
      <c r="F1936" t="s">
        <v>149</v>
      </c>
      <c r="G1936" t="s">
        <v>7763</v>
      </c>
    </row>
    <row r="1937" spans="1:7" ht="44.25" customHeight="1">
      <c r="A1937" t="s">
        <v>7764</v>
      </c>
      <c r="B1937" t="s">
        <v>7765</v>
      </c>
      <c r="C1937" t="s">
        <v>136</v>
      </c>
      <c r="D1937" t="s">
        <v>2257</v>
      </c>
      <c r="E1937" t="s">
        <v>1503</v>
      </c>
      <c r="F1937" t="s">
        <v>149</v>
      </c>
      <c r="G1937" t="s">
        <v>7766</v>
      </c>
    </row>
    <row r="1938" spans="1:7" ht="44.25" customHeight="1">
      <c r="A1938" t="s">
        <v>7767</v>
      </c>
      <c r="B1938" t="s">
        <v>7768</v>
      </c>
      <c r="C1938" t="s">
        <v>136</v>
      </c>
      <c r="D1938" t="s">
        <v>2257</v>
      </c>
      <c r="E1938" t="s">
        <v>2399</v>
      </c>
      <c r="F1938" t="s">
        <v>149</v>
      </c>
      <c r="G1938" t="s">
        <v>7769</v>
      </c>
    </row>
    <row r="1939" spans="1:7" ht="44.25" customHeight="1">
      <c r="A1939" t="s">
        <v>1441</v>
      </c>
      <c r="B1939" t="s">
        <v>7770</v>
      </c>
      <c r="C1939" t="s">
        <v>136</v>
      </c>
      <c r="D1939" t="s">
        <v>2253</v>
      </c>
      <c r="E1939" t="s">
        <v>1432</v>
      </c>
      <c r="F1939" t="s">
        <v>149</v>
      </c>
      <c r="G1939" t="s">
        <v>7771</v>
      </c>
    </row>
    <row r="1940" spans="1:7" ht="44.25" customHeight="1">
      <c r="A1940" t="s">
        <v>389</v>
      </c>
      <c r="B1940" t="s">
        <v>7772</v>
      </c>
      <c r="C1940" t="s">
        <v>136</v>
      </c>
      <c r="D1940" t="s">
        <v>2257</v>
      </c>
      <c r="E1940" t="s">
        <v>1432</v>
      </c>
      <c r="F1940" t="s">
        <v>149</v>
      </c>
      <c r="G1940" t="s">
        <v>7773</v>
      </c>
    </row>
    <row r="1941" spans="1:7" ht="44.25" customHeight="1">
      <c r="A1941" t="s">
        <v>383</v>
      </c>
      <c r="B1941" t="s">
        <v>7774</v>
      </c>
      <c r="C1941" t="s">
        <v>136</v>
      </c>
      <c r="D1941" t="s">
        <v>2257</v>
      </c>
      <c r="E1941" t="s">
        <v>2276</v>
      </c>
      <c r="F1941" t="s">
        <v>149</v>
      </c>
      <c r="G1941" t="s">
        <v>7775</v>
      </c>
    </row>
    <row r="1942" spans="1:7" ht="44.25" customHeight="1">
      <c r="A1942" t="s">
        <v>7776</v>
      </c>
      <c r="B1942" t="s">
        <v>7777</v>
      </c>
      <c r="C1942" t="s">
        <v>136</v>
      </c>
      <c r="D1942" t="s">
        <v>79</v>
      </c>
      <c r="E1942" t="s">
        <v>7778</v>
      </c>
      <c r="F1942" t="s">
        <v>149</v>
      </c>
      <c r="G1942" t="s">
        <v>7779</v>
      </c>
    </row>
    <row r="1943" spans="1:7" ht="44.25" customHeight="1">
      <c r="A1943" t="s">
        <v>7780</v>
      </c>
      <c r="B1943" t="s">
        <v>7781</v>
      </c>
      <c r="C1943" t="s">
        <v>136</v>
      </c>
      <c r="D1943" t="s">
        <v>79</v>
      </c>
      <c r="E1943" t="s">
        <v>5107</v>
      </c>
      <c r="F1943" t="s">
        <v>149</v>
      </c>
      <c r="G1943" t="s">
        <v>7782</v>
      </c>
    </row>
    <row r="1944" spans="1:7" ht="44.25" customHeight="1">
      <c r="A1944" t="s">
        <v>7783</v>
      </c>
      <c r="B1944" t="s">
        <v>7784</v>
      </c>
      <c r="C1944" t="s">
        <v>136</v>
      </c>
      <c r="D1944" t="s">
        <v>79</v>
      </c>
      <c r="E1944" t="s">
        <v>7785</v>
      </c>
      <c r="F1944" t="s">
        <v>149</v>
      </c>
      <c r="G1944" t="s">
        <v>7786</v>
      </c>
    </row>
    <row r="1945" spans="1:7" ht="44.25" customHeight="1">
      <c r="A1945" t="s">
        <v>7783</v>
      </c>
      <c r="B1945" t="s">
        <v>7784</v>
      </c>
      <c r="C1945" t="s">
        <v>136</v>
      </c>
      <c r="D1945" t="s">
        <v>79</v>
      </c>
      <c r="E1945" t="s">
        <v>7785</v>
      </c>
      <c r="F1945" t="s">
        <v>149</v>
      </c>
      <c r="G1945" t="s">
        <v>7786</v>
      </c>
    </row>
    <row r="1946" spans="1:7" ht="44.25" customHeight="1">
      <c r="A1946" t="s">
        <v>7787</v>
      </c>
      <c r="B1946" t="s">
        <v>7788</v>
      </c>
      <c r="C1946" t="s">
        <v>136</v>
      </c>
      <c r="D1946" t="s">
        <v>79</v>
      </c>
      <c r="E1946" t="s">
        <v>7789</v>
      </c>
      <c r="F1946" t="s">
        <v>149</v>
      </c>
      <c r="G1946" t="s">
        <v>7790</v>
      </c>
    </row>
    <row r="1947" spans="1:7" ht="44.25" customHeight="1">
      <c r="A1947" t="s">
        <v>7791</v>
      </c>
      <c r="B1947" t="s">
        <v>7792</v>
      </c>
      <c r="C1947" t="s">
        <v>136</v>
      </c>
      <c r="D1947" t="s">
        <v>79</v>
      </c>
      <c r="E1947" t="s">
        <v>7793</v>
      </c>
      <c r="F1947" t="s">
        <v>149</v>
      </c>
      <c r="G1947" t="s">
        <v>7794</v>
      </c>
    </row>
    <row r="1948" spans="1:7" ht="44.25" customHeight="1">
      <c r="A1948" t="s">
        <v>7795</v>
      </c>
      <c r="B1948" t="s">
        <v>7796</v>
      </c>
      <c r="C1948" t="s">
        <v>136</v>
      </c>
      <c r="D1948" t="s">
        <v>79</v>
      </c>
      <c r="E1948" t="s">
        <v>7797</v>
      </c>
      <c r="F1948" t="s">
        <v>149</v>
      </c>
      <c r="G1948" t="s">
        <v>7798</v>
      </c>
    </row>
    <row r="1949" spans="1:7" ht="44.25" customHeight="1">
      <c r="A1949" t="s">
        <v>7799</v>
      </c>
      <c r="B1949" t="s">
        <v>7800</v>
      </c>
      <c r="C1949" t="s">
        <v>136</v>
      </c>
      <c r="D1949" t="s">
        <v>2257</v>
      </c>
      <c r="E1949" t="s">
        <v>5684</v>
      </c>
      <c r="F1949" t="s">
        <v>149</v>
      </c>
      <c r="G1949" t="s">
        <v>7801</v>
      </c>
    </row>
    <row r="1950" spans="1:7" ht="44.25" customHeight="1">
      <c r="A1950" t="s">
        <v>136</v>
      </c>
      <c r="B1950" t="s">
        <v>7802</v>
      </c>
      <c r="C1950" t="s">
        <v>136</v>
      </c>
      <c r="D1950" t="s">
        <v>2257</v>
      </c>
      <c r="E1950" t="s">
        <v>5691</v>
      </c>
      <c r="F1950" t="s">
        <v>149</v>
      </c>
      <c r="G1950" t="s">
        <v>7803</v>
      </c>
    </row>
    <row r="1951" spans="1:7" ht="44.25" customHeight="1">
      <c r="A1951" t="s">
        <v>136</v>
      </c>
      <c r="B1951" t="s">
        <v>7804</v>
      </c>
      <c r="C1951" t="s">
        <v>136</v>
      </c>
      <c r="D1951" t="s">
        <v>2257</v>
      </c>
      <c r="E1951" t="s">
        <v>7046</v>
      </c>
      <c r="F1951" t="s">
        <v>149</v>
      </c>
      <c r="G1951" t="s">
        <v>7805</v>
      </c>
    </row>
    <row r="1952" spans="1:7" ht="44.25" customHeight="1">
      <c r="A1952" t="s">
        <v>7806</v>
      </c>
      <c r="B1952" t="s">
        <v>7807</v>
      </c>
      <c r="C1952" t="s">
        <v>136</v>
      </c>
      <c r="D1952" t="s">
        <v>2257</v>
      </c>
      <c r="E1952" t="s">
        <v>1607</v>
      </c>
      <c r="F1952" t="s">
        <v>149</v>
      </c>
      <c r="G1952" t="s">
        <v>7808</v>
      </c>
    </row>
    <row r="1953" spans="1:7" ht="44.25" customHeight="1">
      <c r="A1953" t="s">
        <v>7809</v>
      </c>
      <c r="B1953" t="s">
        <v>7810</v>
      </c>
      <c r="C1953" t="s">
        <v>136</v>
      </c>
      <c r="D1953" t="s">
        <v>2257</v>
      </c>
      <c r="E1953" t="s">
        <v>2399</v>
      </c>
      <c r="F1953" t="s">
        <v>149</v>
      </c>
      <c r="G1953" t="s">
        <v>7811</v>
      </c>
    </row>
    <row r="1954" spans="1:7" ht="44.25" customHeight="1">
      <c r="A1954" t="s">
        <v>7812</v>
      </c>
      <c r="B1954" t="s">
        <v>7813</v>
      </c>
      <c r="C1954" t="s">
        <v>136</v>
      </c>
      <c r="D1954" t="s">
        <v>2257</v>
      </c>
      <c r="E1954" t="s">
        <v>2695</v>
      </c>
      <c r="F1954" t="s">
        <v>149</v>
      </c>
      <c r="G1954" t="s">
        <v>7814</v>
      </c>
    </row>
    <row r="1955" spans="1:7" ht="44.25" customHeight="1">
      <c r="A1955" t="s">
        <v>429</v>
      </c>
      <c r="B1955" t="s">
        <v>7815</v>
      </c>
      <c r="C1955" t="s">
        <v>136</v>
      </c>
      <c r="D1955" t="s">
        <v>79</v>
      </c>
      <c r="E1955" t="s">
        <v>3516</v>
      </c>
      <c r="F1955" t="s">
        <v>149</v>
      </c>
      <c r="G1955" t="s">
        <v>7816</v>
      </c>
    </row>
    <row r="1956" spans="1:7" ht="44.25" customHeight="1">
      <c r="A1956" t="s">
        <v>1050</v>
      </c>
      <c r="B1956" t="s">
        <v>7817</v>
      </c>
      <c r="C1956" t="s">
        <v>136</v>
      </c>
      <c r="D1956" t="s">
        <v>2257</v>
      </c>
      <c r="E1956" t="s">
        <v>1624</v>
      </c>
      <c r="F1956" t="s">
        <v>149</v>
      </c>
      <c r="G1956" t="s">
        <v>7818</v>
      </c>
    </row>
    <row r="1957" spans="1:7" ht="44.25" customHeight="1">
      <c r="A1957" t="s">
        <v>7819</v>
      </c>
      <c r="B1957" t="s">
        <v>7820</v>
      </c>
      <c r="C1957" t="s">
        <v>136</v>
      </c>
      <c r="D1957" t="s">
        <v>79</v>
      </c>
      <c r="E1957" t="s">
        <v>7821</v>
      </c>
      <c r="F1957" t="s">
        <v>149</v>
      </c>
      <c r="G1957" t="s">
        <v>7822</v>
      </c>
    </row>
    <row r="1958" spans="1:7" ht="44.25" customHeight="1">
      <c r="A1958" t="s">
        <v>407</v>
      </c>
      <c r="B1958" t="s">
        <v>7823</v>
      </c>
      <c r="C1958" t="s">
        <v>136</v>
      </c>
      <c r="D1958" t="s">
        <v>2257</v>
      </c>
      <c r="E1958" t="s">
        <v>1518</v>
      </c>
      <c r="F1958" t="s">
        <v>149</v>
      </c>
      <c r="G1958" t="s">
        <v>7824</v>
      </c>
    </row>
    <row r="1959" spans="1:7" ht="44.25" customHeight="1">
      <c r="A1959" t="s">
        <v>7825</v>
      </c>
      <c r="B1959" t="s">
        <v>7826</v>
      </c>
      <c r="C1959" t="s">
        <v>136</v>
      </c>
      <c r="D1959" t="s">
        <v>2257</v>
      </c>
      <c r="E1959" t="s">
        <v>1607</v>
      </c>
      <c r="F1959" t="s">
        <v>149</v>
      </c>
      <c r="G1959" t="s">
        <v>7827</v>
      </c>
    </row>
    <row r="1960" spans="1:7" ht="44.25" customHeight="1">
      <c r="A1960" t="s">
        <v>136</v>
      </c>
      <c r="B1960" t="s">
        <v>7828</v>
      </c>
      <c r="C1960" t="s">
        <v>136</v>
      </c>
      <c r="D1960" t="s">
        <v>2257</v>
      </c>
      <c r="E1960" t="s">
        <v>3005</v>
      </c>
      <c r="F1960" t="s">
        <v>149</v>
      </c>
      <c r="G1960" t="s">
        <v>7829</v>
      </c>
    </row>
    <row r="1961" spans="1:7" ht="44.25" customHeight="1">
      <c r="A1961" t="s">
        <v>7830</v>
      </c>
      <c r="B1961" t="s">
        <v>7831</v>
      </c>
      <c r="C1961" t="s">
        <v>136</v>
      </c>
      <c r="D1961" t="s">
        <v>2257</v>
      </c>
      <c r="E1961" t="s">
        <v>2685</v>
      </c>
      <c r="F1961" t="s">
        <v>149</v>
      </c>
      <c r="G1961" t="s">
        <v>7832</v>
      </c>
    </row>
    <row r="1962" spans="1:7" ht="44.25" customHeight="1">
      <c r="A1962" t="s">
        <v>7833</v>
      </c>
      <c r="B1962" t="s">
        <v>7834</v>
      </c>
      <c r="C1962" t="s">
        <v>7835</v>
      </c>
      <c r="D1962" t="s">
        <v>2257</v>
      </c>
      <c r="E1962" t="s">
        <v>1503</v>
      </c>
      <c r="F1962" t="s">
        <v>149</v>
      </c>
      <c r="G1962" t="s">
        <v>7836</v>
      </c>
    </row>
    <row r="1963" spans="1:7" ht="44.25" customHeight="1">
      <c r="A1963" t="s">
        <v>7837</v>
      </c>
      <c r="B1963" t="s">
        <v>7838</v>
      </c>
      <c r="C1963" t="s">
        <v>136</v>
      </c>
      <c r="D1963" t="s">
        <v>2257</v>
      </c>
      <c r="E1963" t="s">
        <v>1607</v>
      </c>
      <c r="F1963" t="s">
        <v>149</v>
      </c>
      <c r="G1963" t="s">
        <v>7839</v>
      </c>
    </row>
    <row r="1964" spans="1:7" ht="44.25" customHeight="1">
      <c r="A1964" t="s">
        <v>7840</v>
      </c>
      <c r="B1964" t="s">
        <v>7841</v>
      </c>
      <c r="C1964" t="s">
        <v>136</v>
      </c>
      <c r="D1964" t="s">
        <v>2257</v>
      </c>
      <c r="E1964" t="s">
        <v>2399</v>
      </c>
      <c r="F1964" t="s">
        <v>149</v>
      </c>
      <c r="G1964" t="s">
        <v>7842</v>
      </c>
    </row>
    <row r="1965" spans="1:7" ht="44.25" customHeight="1">
      <c r="A1965" t="s">
        <v>7843</v>
      </c>
      <c r="B1965" t="s">
        <v>7844</v>
      </c>
      <c r="C1965" t="s">
        <v>136</v>
      </c>
      <c r="D1965" t="s">
        <v>79</v>
      </c>
      <c r="E1965" t="s">
        <v>7845</v>
      </c>
      <c r="F1965" t="s">
        <v>149</v>
      </c>
      <c r="G1965" t="s">
        <v>7846</v>
      </c>
    </row>
    <row r="1966" spans="1:7" ht="44.25" customHeight="1">
      <c r="A1966" t="s">
        <v>7847</v>
      </c>
      <c r="B1966" t="s">
        <v>7848</v>
      </c>
      <c r="C1966" t="s">
        <v>136</v>
      </c>
      <c r="D1966" t="s">
        <v>79</v>
      </c>
      <c r="E1966" t="s">
        <v>6323</v>
      </c>
      <c r="F1966" t="s">
        <v>149</v>
      </c>
      <c r="G1966" t="s">
        <v>7849</v>
      </c>
    </row>
    <row r="1967" spans="1:7" ht="44.25" customHeight="1">
      <c r="A1967" t="s">
        <v>7850</v>
      </c>
      <c r="B1967" t="s">
        <v>7851</v>
      </c>
      <c r="C1967" t="s">
        <v>136</v>
      </c>
      <c r="D1967" t="s">
        <v>2257</v>
      </c>
      <c r="E1967" t="s">
        <v>2276</v>
      </c>
      <c r="F1967" t="s">
        <v>149</v>
      </c>
      <c r="G1967" t="s">
        <v>7852</v>
      </c>
    </row>
    <row r="1968" spans="1:7" ht="44.25" customHeight="1">
      <c r="A1968" t="s">
        <v>503</v>
      </c>
      <c r="B1968" t="s">
        <v>7853</v>
      </c>
      <c r="C1968" t="s">
        <v>136</v>
      </c>
      <c r="D1968" t="s">
        <v>79</v>
      </c>
      <c r="E1968" t="s">
        <v>2258</v>
      </c>
      <c r="F1968" t="s">
        <v>149</v>
      </c>
      <c r="G1968" t="s">
        <v>7854</v>
      </c>
    </row>
    <row r="1969" spans="1:7" ht="44.25" customHeight="1">
      <c r="A1969" t="s">
        <v>7855</v>
      </c>
      <c r="B1969" t="s">
        <v>7856</v>
      </c>
      <c r="C1969" t="s">
        <v>136</v>
      </c>
      <c r="D1969" t="s">
        <v>79</v>
      </c>
      <c r="E1969" t="s">
        <v>7857</v>
      </c>
      <c r="F1969" t="s">
        <v>149</v>
      </c>
      <c r="G1969" t="s">
        <v>7858</v>
      </c>
    </row>
    <row r="1970" spans="1:7" ht="44.25" customHeight="1">
      <c r="A1970" t="s">
        <v>7859</v>
      </c>
      <c r="B1970" t="s">
        <v>7860</v>
      </c>
      <c r="C1970" t="s">
        <v>136</v>
      </c>
      <c r="D1970" t="s">
        <v>79</v>
      </c>
      <c r="E1970" t="s">
        <v>7861</v>
      </c>
      <c r="F1970" t="s">
        <v>149</v>
      </c>
      <c r="G1970" t="s">
        <v>7862</v>
      </c>
    </row>
    <row r="1971" spans="1:7" ht="44.25" customHeight="1">
      <c r="A1971" t="s">
        <v>136</v>
      </c>
      <c r="B1971" t="s">
        <v>7863</v>
      </c>
      <c r="C1971" t="s">
        <v>136</v>
      </c>
      <c r="D1971" t="s">
        <v>79</v>
      </c>
      <c r="E1971" t="s">
        <v>7864</v>
      </c>
      <c r="F1971" t="s">
        <v>149</v>
      </c>
      <c r="G1971" t="s">
        <v>7865</v>
      </c>
    </row>
    <row r="1972" spans="1:7" ht="44.25" customHeight="1">
      <c r="A1972" t="s">
        <v>7866</v>
      </c>
      <c r="B1972" t="s">
        <v>7867</v>
      </c>
      <c r="C1972" t="s">
        <v>136</v>
      </c>
      <c r="D1972" t="s">
        <v>79</v>
      </c>
      <c r="E1972" t="s">
        <v>7868</v>
      </c>
      <c r="F1972" t="s">
        <v>149</v>
      </c>
      <c r="G1972" t="s">
        <v>7869</v>
      </c>
    </row>
    <row r="1973" spans="1:7" ht="44.25" customHeight="1">
      <c r="A1973" t="s">
        <v>7870</v>
      </c>
      <c r="B1973" t="s">
        <v>7871</v>
      </c>
      <c r="C1973" t="s">
        <v>136</v>
      </c>
      <c r="D1973" t="s">
        <v>79</v>
      </c>
      <c r="E1973" t="s">
        <v>7872</v>
      </c>
      <c r="F1973" t="s">
        <v>149</v>
      </c>
      <c r="G1973" t="s">
        <v>7873</v>
      </c>
    </row>
    <row r="1974" spans="1:7" ht="44.25" customHeight="1">
      <c r="A1974" t="s">
        <v>136</v>
      </c>
      <c r="B1974" t="s">
        <v>7874</v>
      </c>
      <c r="C1974" t="s">
        <v>136</v>
      </c>
      <c r="D1974" t="s">
        <v>2257</v>
      </c>
      <c r="E1974" t="s">
        <v>6409</v>
      </c>
      <c r="F1974" t="s">
        <v>149</v>
      </c>
      <c r="G1974" t="s">
        <v>7875</v>
      </c>
    </row>
    <row r="1975" spans="1:7" ht="44.25" customHeight="1">
      <c r="A1975" t="s">
        <v>412</v>
      </c>
      <c r="B1975" t="s">
        <v>7876</v>
      </c>
      <c r="C1975" t="s">
        <v>1519</v>
      </c>
      <c r="D1975" t="s">
        <v>2257</v>
      </c>
      <c r="E1975" t="s">
        <v>1520</v>
      </c>
      <c r="F1975" t="s">
        <v>149</v>
      </c>
      <c r="G1975" t="s">
        <v>7877</v>
      </c>
    </row>
    <row r="1976" spans="1:7" ht="44.25" customHeight="1">
      <c r="A1976" t="s">
        <v>7878</v>
      </c>
      <c r="B1976" t="s">
        <v>7879</v>
      </c>
      <c r="C1976" t="s">
        <v>136</v>
      </c>
      <c r="D1976" t="s">
        <v>2257</v>
      </c>
      <c r="E1976" t="s">
        <v>5891</v>
      </c>
      <c r="F1976" t="s">
        <v>149</v>
      </c>
      <c r="G1976" t="s">
        <v>7880</v>
      </c>
    </row>
    <row r="1977" spans="1:7" ht="44.25" customHeight="1">
      <c r="A1977" t="s">
        <v>693</v>
      </c>
      <c r="B1977" t="s">
        <v>7881</v>
      </c>
      <c r="C1977" t="s">
        <v>136</v>
      </c>
      <c r="D1977" t="s">
        <v>2257</v>
      </c>
      <c r="E1977" t="s">
        <v>1584</v>
      </c>
      <c r="F1977" t="s">
        <v>149</v>
      </c>
      <c r="G1977" t="s">
        <v>7882</v>
      </c>
    </row>
    <row r="1978" spans="1:7" ht="44.25" customHeight="1">
      <c r="A1978" t="s">
        <v>7883</v>
      </c>
      <c r="B1978" t="s">
        <v>7884</v>
      </c>
      <c r="C1978" t="s">
        <v>136</v>
      </c>
      <c r="D1978" t="s">
        <v>2257</v>
      </c>
      <c r="E1978" t="s">
        <v>1607</v>
      </c>
      <c r="F1978" t="s">
        <v>149</v>
      </c>
      <c r="G1978" t="s">
        <v>7885</v>
      </c>
    </row>
    <row r="1979" spans="1:7" ht="44.25" customHeight="1">
      <c r="A1979" t="s">
        <v>7886</v>
      </c>
      <c r="B1979" t="s">
        <v>7887</v>
      </c>
      <c r="C1979" t="s">
        <v>136</v>
      </c>
      <c r="D1979" t="s">
        <v>2257</v>
      </c>
      <c r="E1979" t="s">
        <v>2399</v>
      </c>
      <c r="F1979" t="s">
        <v>149</v>
      </c>
      <c r="G1979" t="s">
        <v>7888</v>
      </c>
    </row>
    <row r="1980" spans="1:7" ht="44.25" customHeight="1">
      <c r="A1980" t="s">
        <v>7889</v>
      </c>
      <c r="B1980" t="s">
        <v>7890</v>
      </c>
      <c r="C1980" t="s">
        <v>136</v>
      </c>
      <c r="D1980" t="s">
        <v>79</v>
      </c>
      <c r="E1980" t="s">
        <v>7891</v>
      </c>
      <c r="F1980" t="s">
        <v>149</v>
      </c>
      <c r="G1980" t="s">
        <v>7892</v>
      </c>
    </row>
    <row r="1981" spans="1:7" ht="44.25" customHeight="1">
      <c r="A1981" t="s">
        <v>7893</v>
      </c>
      <c r="B1981" t="s">
        <v>7894</v>
      </c>
      <c r="C1981" t="s">
        <v>136</v>
      </c>
      <c r="D1981" t="s">
        <v>2253</v>
      </c>
      <c r="E1981" t="s">
        <v>1432</v>
      </c>
      <c r="F1981" t="s">
        <v>149</v>
      </c>
      <c r="G1981" t="s">
        <v>7895</v>
      </c>
    </row>
    <row r="1982" spans="1:7" ht="44.25" customHeight="1">
      <c r="A1982" t="s">
        <v>7896</v>
      </c>
      <c r="B1982" t="s">
        <v>7897</v>
      </c>
      <c r="C1982" t="s">
        <v>136</v>
      </c>
      <c r="D1982" t="s">
        <v>2257</v>
      </c>
      <c r="E1982" t="s">
        <v>2276</v>
      </c>
      <c r="F1982" t="s">
        <v>149</v>
      </c>
      <c r="G1982" t="s">
        <v>7898</v>
      </c>
    </row>
    <row r="1983" spans="1:7" ht="44.25" customHeight="1">
      <c r="A1983" t="s">
        <v>362</v>
      </c>
      <c r="B1983" t="s">
        <v>7899</v>
      </c>
      <c r="C1983" t="s">
        <v>136</v>
      </c>
      <c r="D1983" t="s">
        <v>2253</v>
      </c>
      <c r="E1983" t="s">
        <v>1432</v>
      </c>
      <c r="F1983" t="s">
        <v>149</v>
      </c>
      <c r="G1983" t="s">
        <v>7900</v>
      </c>
    </row>
    <row r="1984" spans="1:7" ht="44.25" customHeight="1">
      <c r="A1984" t="s">
        <v>381</v>
      </c>
      <c r="B1984" t="s">
        <v>7901</v>
      </c>
      <c r="C1984" t="s">
        <v>136</v>
      </c>
      <c r="D1984" t="s">
        <v>2257</v>
      </c>
      <c r="E1984" t="s">
        <v>2276</v>
      </c>
      <c r="F1984" t="s">
        <v>149</v>
      </c>
      <c r="G1984" t="s">
        <v>7902</v>
      </c>
    </row>
    <row r="1985" spans="1:7" ht="44.25" customHeight="1">
      <c r="A1985" t="s">
        <v>788</v>
      </c>
      <c r="B1985" t="s">
        <v>7903</v>
      </c>
      <c r="C1985" t="s">
        <v>136</v>
      </c>
      <c r="D1985" t="s">
        <v>2253</v>
      </c>
      <c r="E1985" t="s">
        <v>1432</v>
      </c>
      <c r="F1985" t="s">
        <v>149</v>
      </c>
      <c r="G1985" t="s">
        <v>7904</v>
      </c>
    </row>
    <row r="1986" spans="1:7" ht="44.25" customHeight="1">
      <c r="A1986" t="s">
        <v>978</v>
      </c>
      <c r="B1986" t="s">
        <v>7905</v>
      </c>
      <c r="C1986" t="s">
        <v>136</v>
      </c>
      <c r="D1986" t="s">
        <v>2257</v>
      </c>
      <c r="E1986" t="s">
        <v>2276</v>
      </c>
      <c r="F1986" t="s">
        <v>149</v>
      </c>
      <c r="G1986" t="s">
        <v>7906</v>
      </c>
    </row>
    <row r="1987" spans="1:7" ht="44.25" customHeight="1">
      <c r="A1987" t="s">
        <v>1082</v>
      </c>
      <c r="B1987" t="s">
        <v>7907</v>
      </c>
      <c r="C1987" t="s">
        <v>136</v>
      </c>
      <c r="D1987" t="s">
        <v>2257</v>
      </c>
      <c r="E1987" t="s">
        <v>2276</v>
      </c>
      <c r="F1987" t="s">
        <v>149</v>
      </c>
      <c r="G1987" t="s">
        <v>7908</v>
      </c>
    </row>
    <row r="1988" spans="1:7" ht="44.25" customHeight="1">
      <c r="A1988" t="s">
        <v>539</v>
      </c>
      <c r="B1988" t="s">
        <v>7909</v>
      </c>
      <c r="C1988" t="s">
        <v>136</v>
      </c>
      <c r="D1988" t="s">
        <v>79</v>
      </c>
      <c r="E1988" t="s">
        <v>4800</v>
      </c>
      <c r="F1988" t="s">
        <v>149</v>
      </c>
      <c r="G1988" t="s">
        <v>7910</v>
      </c>
    </row>
    <row r="1989" spans="1:7" ht="44.25" customHeight="1">
      <c r="A1989" t="s">
        <v>521</v>
      </c>
      <c r="B1989" t="s">
        <v>7911</v>
      </c>
      <c r="C1989" t="s">
        <v>136</v>
      </c>
      <c r="D1989" t="s">
        <v>79</v>
      </c>
      <c r="E1989" t="s">
        <v>7912</v>
      </c>
      <c r="F1989" t="s">
        <v>149</v>
      </c>
      <c r="G1989" t="s">
        <v>7913</v>
      </c>
    </row>
    <row r="1990" spans="1:7" ht="44.25" customHeight="1">
      <c r="A1990" t="s">
        <v>697</v>
      </c>
      <c r="B1990" t="s">
        <v>7914</v>
      </c>
      <c r="C1990" t="s">
        <v>136</v>
      </c>
      <c r="D1990" t="s">
        <v>2257</v>
      </c>
      <c r="E1990" t="s">
        <v>1584</v>
      </c>
      <c r="F1990" t="s">
        <v>149</v>
      </c>
      <c r="G1990" t="s">
        <v>7915</v>
      </c>
    </row>
    <row r="1991" spans="1:7" ht="44.25" customHeight="1">
      <c r="A1991" t="s">
        <v>7916</v>
      </c>
      <c r="B1991" t="s">
        <v>7917</v>
      </c>
      <c r="C1991" t="s">
        <v>136</v>
      </c>
      <c r="D1991" t="s">
        <v>2257</v>
      </c>
      <c r="E1991" t="s">
        <v>7918</v>
      </c>
      <c r="F1991" t="s">
        <v>149</v>
      </c>
      <c r="G1991" t="s">
        <v>7919</v>
      </c>
    </row>
    <row r="1992" spans="1:7" ht="44.25" customHeight="1">
      <c r="A1992" t="s">
        <v>7920</v>
      </c>
      <c r="B1992" t="s">
        <v>7921</v>
      </c>
      <c r="C1992" t="s">
        <v>136</v>
      </c>
      <c r="D1992" t="s">
        <v>2257</v>
      </c>
      <c r="E1992" t="s">
        <v>1607</v>
      </c>
      <c r="F1992" t="s">
        <v>149</v>
      </c>
      <c r="G1992" t="s">
        <v>7922</v>
      </c>
    </row>
    <row r="1993" spans="1:7" ht="44.25" customHeight="1">
      <c r="A1993" t="s">
        <v>7923</v>
      </c>
      <c r="B1993" t="s">
        <v>7924</v>
      </c>
      <c r="C1993" t="s">
        <v>136</v>
      </c>
      <c r="D1993" t="s">
        <v>2257</v>
      </c>
      <c r="E1993" t="s">
        <v>1607</v>
      </c>
      <c r="F1993" t="s">
        <v>149</v>
      </c>
      <c r="G1993" t="s">
        <v>7925</v>
      </c>
    </row>
    <row r="1994" spans="1:7" ht="44.25" customHeight="1">
      <c r="A1994" t="s">
        <v>7926</v>
      </c>
      <c r="B1994" t="s">
        <v>7927</v>
      </c>
      <c r="C1994" t="s">
        <v>136</v>
      </c>
      <c r="D1994" t="s">
        <v>2257</v>
      </c>
      <c r="E1994" t="s">
        <v>2695</v>
      </c>
      <c r="F1994" t="s">
        <v>149</v>
      </c>
      <c r="G1994" t="s">
        <v>7928</v>
      </c>
    </row>
    <row r="1995" spans="1:7" ht="44.25" customHeight="1">
      <c r="A1995" t="s">
        <v>7929</v>
      </c>
      <c r="B1995" t="s">
        <v>7930</v>
      </c>
      <c r="C1995" t="s">
        <v>136</v>
      </c>
      <c r="D1995" t="s">
        <v>2253</v>
      </c>
      <c r="E1995" t="s">
        <v>1432</v>
      </c>
      <c r="F1995" t="s">
        <v>149</v>
      </c>
      <c r="G1995" t="s">
        <v>7931</v>
      </c>
    </row>
    <row r="1996" spans="1:7" ht="44.25" customHeight="1">
      <c r="A1996" t="s">
        <v>7932</v>
      </c>
      <c r="B1996" t="s">
        <v>7933</v>
      </c>
      <c r="C1996" t="s">
        <v>136</v>
      </c>
      <c r="D1996" t="s">
        <v>2253</v>
      </c>
      <c r="E1996" t="s">
        <v>1432</v>
      </c>
      <c r="F1996" t="s">
        <v>149</v>
      </c>
      <c r="G1996" t="s">
        <v>7934</v>
      </c>
    </row>
    <row r="1997" spans="1:7" ht="44.25" customHeight="1">
      <c r="A1997" t="s">
        <v>775</v>
      </c>
      <c r="B1997" t="s">
        <v>7935</v>
      </c>
      <c r="C1997" t="s">
        <v>136</v>
      </c>
      <c r="D1997" t="s">
        <v>2253</v>
      </c>
      <c r="E1997" t="s">
        <v>1432</v>
      </c>
      <c r="F1997" t="s">
        <v>149</v>
      </c>
      <c r="G1997" t="s">
        <v>7936</v>
      </c>
    </row>
    <row r="1998" spans="1:7" ht="44.25" customHeight="1">
      <c r="A1998" t="s">
        <v>766</v>
      </c>
      <c r="B1998" t="s">
        <v>7937</v>
      </c>
      <c r="C1998" t="s">
        <v>136</v>
      </c>
      <c r="D1998" t="s">
        <v>79</v>
      </c>
      <c r="E1998" t="s">
        <v>7938</v>
      </c>
      <c r="F1998" t="s">
        <v>149</v>
      </c>
      <c r="G1998" t="s">
        <v>7939</v>
      </c>
    </row>
    <row r="1999" spans="1:7" ht="44.25" customHeight="1">
      <c r="A1999" t="s">
        <v>7940</v>
      </c>
      <c r="B1999" t="s">
        <v>7941</v>
      </c>
      <c r="C1999" t="s">
        <v>136</v>
      </c>
      <c r="D1999" t="s">
        <v>79</v>
      </c>
      <c r="E1999" t="s">
        <v>7942</v>
      </c>
      <c r="F1999" t="s">
        <v>149</v>
      </c>
      <c r="G1999" t="s">
        <v>7943</v>
      </c>
    </row>
    <row r="2000" spans="1:7" ht="44.25" customHeight="1">
      <c r="A2000" t="s">
        <v>7944</v>
      </c>
      <c r="B2000" t="s">
        <v>7945</v>
      </c>
      <c r="C2000" t="s">
        <v>136</v>
      </c>
      <c r="D2000" t="s">
        <v>79</v>
      </c>
      <c r="E2000" t="s">
        <v>7946</v>
      </c>
      <c r="F2000" t="s">
        <v>149</v>
      </c>
      <c r="G2000" t="s">
        <v>7947</v>
      </c>
    </row>
    <row r="2001" spans="1:7" ht="44.25" customHeight="1">
      <c r="A2001" t="s">
        <v>7948</v>
      </c>
      <c r="B2001" t="s">
        <v>7949</v>
      </c>
      <c r="C2001" t="s">
        <v>136</v>
      </c>
      <c r="D2001" t="s">
        <v>79</v>
      </c>
      <c r="E2001" t="s">
        <v>7950</v>
      </c>
      <c r="F2001" t="s">
        <v>149</v>
      </c>
      <c r="G2001" t="s">
        <v>7951</v>
      </c>
    </row>
    <row r="2002" spans="1:7" ht="44.25" customHeight="1">
      <c r="A2002" t="s">
        <v>7948</v>
      </c>
      <c r="B2002" t="s">
        <v>7949</v>
      </c>
      <c r="C2002" t="s">
        <v>136</v>
      </c>
      <c r="D2002" t="s">
        <v>79</v>
      </c>
      <c r="E2002" t="s">
        <v>7950</v>
      </c>
      <c r="F2002" t="s">
        <v>149</v>
      </c>
      <c r="G2002" t="s">
        <v>7951</v>
      </c>
    </row>
    <row r="2003" spans="1:7" ht="44.25" customHeight="1">
      <c r="A2003" t="s">
        <v>7952</v>
      </c>
      <c r="B2003" t="s">
        <v>7953</v>
      </c>
      <c r="C2003" t="s">
        <v>136</v>
      </c>
      <c r="D2003" t="s">
        <v>79</v>
      </c>
      <c r="E2003" t="s">
        <v>7954</v>
      </c>
      <c r="F2003" t="s">
        <v>149</v>
      </c>
      <c r="G2003" t="s">
        <v>7955</v>
      </c>
    </row>
    <row r="2004" spans="1:7" ht="44.25" customHeight="1">
      <c r="A2004" t="s">
        <v>7956</v>
      </c>
      <c r="B2004" t="s">
        <v>7957</v>
      </c>
      <c r="C2004" t="s">
        <v>136</v>
      </c>
      <c r="D2004" t="s">
        <v>2257</v>
      </c>
      <c r="E2004" t="s">
        <v>5691</v>
      </c>
      <c r="F2004" t="s">
        <v>149</v>
      </c>
      <c r="G2004" t="s">
        <v>7958</v>
      </c>
    </row>
    <row r="2005" spans="1:7" ht="44.25" customHeight="1">
      <c r="A2005" t="s">
        <v>136</v>
      </c>
      <c r="B2005" t="s">
        <v>7959</v>
      </c>
      <c r="C2005" t="s">
        <v>136</v>
      </c>
      <c r="D2005" t="s">
        <v>2257</v>
      </c>
      <c r="E2005" t="s">
        <v>7960</v>
      </c>
      <c r="F2005" t="s">
        <v>149</v>
      </c>
      <c r="G2005" t="s">
        <v>7961</v>
      </c>
    </row>
    <row r="2006" spans="1:7" ht="44.25" customHeight="1">
      <c r="A2006" t="s">
        <v>475</v>
      </c>
      <c r="B2006" t="s">
        <v>7962</v>
      </c>
      <c r="C2006" t="s">
        <v>7963</v>
      </c>
      <c r="D2006" t="s">
        <v>79</v>
      </c>
      <c r="E2006" t="s">
        <v>1534</v>
      </c>
      <c r="F2006" t="s">
        <v>149</v>
      </c>
      <c r="G2006" t="s">
        <v>7964</v>
      </c>
    </row>
    <row r="2007" spans="1:7" ht="44.25" customHeight="1">
      <c r="A2007" t="s">
        <v>644</v>
      </c>
      <c r="B2007" t="s">
        <v>7965</v>
      </c>
      <c r="C2007" t="s">
        <v>136</v>
      </c>
      <c r="D2007" t="s">
        <v>79</v>
      </c>
      <c r="E2007" t="s">
        <v>7966</v>
      </c>
      <c r="F2007" t="s">
        <v>149</v>
      </c>
      <c r="G2007" t="s">
        <v>7967</v>
      </c>
    </row>
    <row r="2008" spans="1:7" ht="44.25" customHeight="1">
      <c r="A2008" t="s">
        <v>791</v>
      </c>
      <c r="B2008" t="s">
        <v>7968</v>
      </c>
      <c r="C2008" t="s">
        <v>136</v>
      </c>
      <c r="D2008" t="s">
        <v>2253</v>
      </c>
      <c r="E2008" t="s">
        <v>1432</v>
      </c>
      <c r="F2008" t="s">
        <v>149</v>
      </c>
      <c r="G2008" t="s">
        <v>7969</v>
      </c>
    </row>
    <row r="2009" spans="1:7" ht="44.25" customHeight="1">
      <c r="A2009" t="s">
        <v>497</v>
      </c>
      <c r="B2009" t="s">
        <v>7970</v>
      </c>
      <c r="C2009" t="s">
        <v>136</v>
      </c>
      <c r="D2009" t="s">
        <v>2257</v>
      </c>
      <c r="E2009" t="s">
        <v>2258</v>
      </c>
      <c r="F2009" t="s">
        <v>149</v>
      </c>
      <c r="G2009" t="s">
        <v>7971</v>
      </c>
    </row>
    <row r="2010" spans="1:7" ht="44.25" customHeight="1">
      <c r="A2010" t="s">
        <v>7972</v>
      </c>
      <c r="B2010" t="s">
        <v>7973</v>
      </c>
      <c r="C2010" t="s">
        <v>136</v>
      </c>
      <c r="D2010" t="s">
        <v>2257</v>
      </c>
      <c r="E2010" t="s">
        <v>4177</v>
      </c>
      <c r="F2010" t="s">
        <v>149</v>
      </c>
      <c r="G2010" t="s">
        <v>7974</v>
      </c>
    </row>
    <row r="2011" spans="1:7" ht="44.25" customHeight="1">
      <c r="A2011" t="s">
        <v>7975</v>
      </c>
      <c r="B2011" t="s">
        <v>7976</v>
      </c>
      <c r="C2011" t="s">
        <v>136</v>
      </c>
      <c r="D2011" t="s">
        <v>79</v>
      </c>
      <c r="E2011" t="s">
        <v>7977</v>
      </c>
      <c r="F2011" t="s">
        <v>149</v>
      </c>
      <c r="G2011" t="s">
        <v>7978</v>
      </c>
    </row>
    <row r="2012" spans="1:7" ht="44.25" customHeight="1">
      <c r="A2012" t="s">
        <v>7979</v>
      </c>
      <c r="B2012" t="s">
        <v>7980</v>
      </c>
      <c r="C2012" t="s">
        <v>136</v>
      </c>
      <c r="D2012" t="s">
        <v>79</v>
      </c>
      <c r="E2012" t="s">
        <v>7981</v>
      </c>
      <c r="F2012" t="s">
        <v>149</v>
      </c>
      <c r="G2012" t="s">
        <v>7982</v>
      </c>
    </row>
    <row r="2013" spans="1:7" ht="44.25" customHeight="1">
      <c r="A2013" t="s">
        <v>7983</v>
      </c>
      <c r="B2013" t="s">
        <v>7984</v>
      </c>
      <c r="C2013" t="s">
        <v>136</v>
      </c>
      <c r="D2013" t="s">
        <v>79</v>
      </c>
      <c r="E2013" t="s">
        <v>7985</v>
      </c>
      <c r="F2013" t="s">
        <v>149</v>
      </c>
      <c r="G2013" t="s">
        <v>7986</v>
      </c>
    </row>
    <row r="2014" spans="1:7" ht="44.25" customHeight="1">
      <c r="A2014" t="s">
        <v>136</v>
      </c>
      <c r="B2014" t="s">
        <v>7987</v>
      </c>
      <c r="C2014" t="s">
        <v>136</v>
      </c>
      <c r="D2014" t="s">
        <v>2624</v>
      </c>
      <c r="E2014" t="s">
        <v>2625</v>
      </c>
      <c r="F2014" t="s">
        <v>149</v>
      </c>
      <c r="G2014" t="s">
        <v>7988</v>
      </c>
    </row>
    <row r="2015" spans="1:7" ht="44.25" customHeight="1">
      <c r="A2015" t="s">
        <v>136</v>
      </c>
      <c r="B2015" t="s">
        <v>7987</v>
      </c>
      <c r="C2015" t="s">
        <v>136</v>
      </c>
      <c r="D2015" t="s">
        <v>2624</v>
      </c>
      <c r="E2015" t="s">
        <v>2625</v>
      </c>
      <c r="F2015" t="s">
        <v>149</v>
      </c>
      <c r="G2015" t="s">
        <v>7988</v>
      </c>
    </row>
    <row r="2016" spans="1:7" ht="44.25" customHeight="1">
      <c r="A2016" t="s">
        <v>136</v>
      </c>
      <c r="B2016" t="s">
        <v>7989</v>
      </c>
      <c r="C2016" t="s">
        <v>136</v>
      </c>
      <c r="D2016" t="s">
        <v>2257</v>
      </c>
      <c r="E2016" t="s">
        <v>5782</v>
      </c>
      <c r="F2016" t="s">
        <v>149</v>
      </c>
      <c r="G2016" t="s">
        <v>7990</v>
      </c>
    </row>
    <row r="2017" spans="1:7" ht="44.25" customHeight="1">
      <c r="A2017" t="s">
        <v>136</v>
      </c>
      <c r="B2017" t="s">
        <v>7991</v>
      </c>
      <c r="C2017" t="s">
        <v>136</v>
      </c>
      <c r="D2017" t="s">
        <v>2257</v>
      </c>
      <c r="E2017" t="s">
        <v>6805</v>
      </c>
      <c r="F2017" t="s">
        <v>149</v>
      </c>
      <c r="G2017" t="s">
        <v>7992</v>
      </c>
    </row>
    <row r="2018" spans="1:7" ht="44.25" customHeight="1">
      <c r="A2018" t="s">
        <v>1066</v>
      </c>
      <c r="B2018" t="s">
        <v>7993</v>
      </c>
      <c r="C2018" t="s">
        <v>136</v>
      </c>
      <c r="D2018" t="s">
        <v>79</v>
      </c>
      <c r="E2018" t="s">
        <v>3436</v>
      </c>
      <c r="F2018" t="s">
        <v>149</v>
      </c>
      <c r="G2018" t="s">
        <v>7994</v>
      </c>
    </row>
    <row r="2019" spans="1:7" ht="44.25" customHeight="1">
      <c r="A2019" t="s">
        <v>1066</v>
      </c>
      <c r="B2019" t="s">
        <v>7993</v>
      </c>
      <c r="C2019" t="s">
        <v>136</v>
      </c>
      <c r="D2019" t="s">
        <v>79</v>
      </c>
      <c r="E2019" t="s">
        <v>3436</v>
      </c>
      <c r="F2019" t="s">
        <v>149</v>
      </c>
      <c r="G2019" t="s">
        <v>7994</v>
      </c>
    </row>
    <row r="2020" spans="1:7" ht="44.25" customHeight="1">
      <c r="A2020" t="s">
        <v>1066</v>
      </c>
      <c r="B2020" t="s">
        <v>7993</v>
      </c>
      <c r="C2020" t="s">
        <v>136</v>
      </c>
      <c r="D2020" t="s">
        <v>79</v>
      </c>
      <c r="E2020" t="s">
        <v>3436</v>
      </c>
      <c r="F2020" t="s">
        <v>149</v>
      </c>
      <c r="G2020" t="s">
        <v>7994</v>
      </c>
    </row>
    <row r="2021" spans="1:7" ht="44.25" customHeight="1">
      <c r="A2021" t="s">
        <v>7995</v>
      </c>
      <c r="B2021" t="s">
        <v>7996</v>
      </c>
      <c r="C2021" t="s">
        <v>7997</v>
      </c>
      <c r="D2021" t="s">
        <v>79</v>
      </c>
      <c r="E2021" t="s">
        <v>3005</v>
      </c>
      <c r="F2021" t="s">
        <v>149</v>
      </c>
      <c r="G2021" t="s">
        <v>7998</v>
      </c>
    </row>
    <row r="2022" spans="1:7" ht="44.25" customHeight="1">
      <c r="A2022" t="s">
        <v>7999</v>
      </c>
      <c r="B2022" t="s">
        <v>8000</v>
      </c>
      <c r="C2022" t="s">
        <v>136</v>
      </c>
      <c r="D2022" t="s">
        <v>2257</v>
      </c>
      <c r="E2022" t="s">
        <v>2399</v>
      </c>
      <c r="F2022" t="s">
        <v>149</v>
      </c>
      <c r="G2022" t="s">
        <v>8001</v>
      </c>
    </row>
    <row r="2023" spans="1:7" ht="44.25" customHeight="1">
      <c r="A2023" t="s">
        <v>8002</v>
      </c>
      <c r="B2023" t="s">
        <v>8003</v>
      </c>
      <c r="C2023" t="s">
        <v>136</v>
      </c>
      <c r="D2023" t="s">
        <v>2257</v>
      </c>
      <c r="E2023" t="s">
        <v>1607</v>
      </c>
      <c r="F2023" t="s">
        <v>149</v>
      </c>
      <c r="G2023" t="s">
        <v>8004</v>
      </c>
    </row>
    <row r="2024" spans="1:7" ht="44.25" customHeight="1">
      <c r="A2024" t="s">
        <v>8005</v>
      </c>
      <c r="B2024" t="s">
        <v>8006</v>
      </c>
      <c r="C2024" t="s">
        <v>136</v>
      </c>
      <c r="D2024" t="s">
        <v>79</v>
      </c>
      <c r="E2024" t="s">
        <v>3565</v>
      </c>
      <c r="F2024" t="s">
        <v>149</v>
      </c>
      <c r="G2024" t="s">
        <v>8007</v>
      </c>
    </row>
    <row r="2025" spans="1:7" ht="44.25" customHeight="1">
      <c r="A2025" t="s">
        <v>8008</v>
      </c>
      <c r="B2025" t="s">
        <v>8009</v>
      </c>
      <c r="C2025" t="s">
        <v>136</v>
      </c>
      <c r="D2025" t="s">
        <v>79</v>
      </c>
      <c r="E2025" t="s">
        <v>8010</v>
      </c>
      <c r="F2025" t="s">
        <v>149</v>
      </c>
      <c r="G2025" t="s">
        <v>8011</v>
      </c>
    </row>
    <row r="2026" spans="1:7" ht="44.25" customHeight="1">
      <c r="A2026" t="s">
        <v>8012</v>
      </c>
      <c r="B2026" t="s">
        <v>8013</v>
      </c>
      <c r="C2026" t="s">
        <v>136</v>
      </c>
      <c r="D2026" t="s">
        <v>2253</v>
      </c>
      <c r="E2026" t="s">
        <v>1432</v>
      </c>
      <c r="F2026" t="s">
        <v>149</v>
      </c>
      <c r="G2026" t="s">
        <v>8014</v>
      </c>
    </row>
    <row r="2027" spans="1:7" ht="44.25" customHeight="1">
      <c r="A2027" t="s">
        <v>8015</v>
      </c>
      <c r="B2027" t="s">
        <v>8016</v>
      </c>
      <c r="C2027" t="s">
        <v>136</v>
      </c>
      <c r="D2027" t="s">
        <v>79</v>
      </c>
      <c r="E2027" t="s">
        <v>4177</v>
      </c>
      <c r="F2027" t="s">
        <v>149</v>
      </c>
      <c r="G2027" t="s">
        <v>8017</v>
      </c>
    </row>
    <row r="2028" spans="1:7" ht="44.25" customHeight="1">
      <c r="A2028" t="s">
        <v>8018</v>
      </c>
      <c r="B2028" t="s">
        <v>8019</v>
      </c>
      <c r="C2028" t="s">
        <v>136</v>
      </c>
      <c r="D2028" t="s">
        <v>79</v>
      </c>
      <c r="E2028" t="s">
        <v>8020</v>
      </c>
      <c r="F2028" t="s">
        <v>149</v>
      </c>
      <c r="G2028" t="s">
        <v>8021</v>
      </c>
    </row>
    <row r="2029" spans="1:7" ht="44.25" customHeight="1">
      <c r="A2029" t="s">
        <v>8022</v>
      </c>
      <c r="B2029" t="s">
        <v>8023</v>
      </c>
      <c r="C2029" t="s">
        <v>136</v>
      </c>
      <c r="D2029" t="s">
        <v>79</v>
      </c>
      <c r="E2029" t="s">
        <v>8024</v>
      </c>
      <c r="F2029" t="s">
        <v>149</v>
      </c>
      <c r="G2029" t="s">
        <v>8025</v>
      </c>
    </row>
    <row r="2030" spans="1:7" ht="44.25" customHeight="1">
      <c r="A2030" t="s">
        <v>8026</v>
      </c>
      <c r="B2030" t="s">
        <v>8027</v>
      </c>
      <c r="C2030" t="s">
        <v>136</v>
      </c>
      <c r="D2030" t="s">
        <v>79</v>
      </c>
      <c r="E2030" t="s">
        <v>8028</v>
      </c>
      <c r="F2030" t="s">
        <v>149</v>
      </c>
      <c r="G2030" t="s">
        <v>8029</v>
      </c>
    </row>
    <row r="2031" spans="1:7" ht="44.25" customHeight="1">
      <c r="A2031" t="s">
        <v>8026</v>
      </c>
      <c r="B2031" t="s">
        <v>8027</v>
      </c>
      <c r="C2031" t="s">
        <v>136</v>
      </c>
      <c r="D2031" t="s">
        <v>79</v>
      </c>
      <c r="E2031" t="s">
        <v>8028</v>
      </c>
      <c r="F2031" t="s">
        <v>149</v>
      </c>
      <c r="G2031" t="s">
        <v>8029</v>
      </c>
    </row>
    <row r="2032" spans="1:7" ht="44.25" customHeight="1">
      <c r="A2032" t="s">
        <v>8026</v>
      </c>
      <c r="B2032" t="s">
        <v>8027</v>
      </c>
      <c r="C2032" t="s">
        <v>136</v>
      </c>
      <c r="D2032" t="s">
        <v>79</v>
      </c>
      <c r="E2032" t="s">
        <v>8028</v>
      </c>
      <c r="F2032" t="s">
        <v>149</v>
      </c>
      <c r="G2032" t="s">
        <v>8029</v>
      </c>
    </row>
    <row r="2033" spans="1:7" ht="44.25" customHeight="1">
      <c r="A2033" t="s">
        <v>8030</v>
      </c>
      <c r="B2033" t="s">
        <v>8031</v>
      </c>
      <c r="C2033" t="s">
        <v>136</v>
      </c>
      <c r="D2033" t="s">
        <v>79</v>
      </c>
      <c r="E2033" t="s">
        <v>8032</v>
      </c>
      <c r="F2033" t="s">
        <v>149</v>
      </c>
      <c r="G2033" t="s">
        <v>8033</v>
      </c>
    </row>
    <row r="2034" spans="1:7" ht="44.25" customHeight="1">
      <c r="A2034" t="s">
        <v>8034</v>
      </c>
      <c r="B2034" t="s">
        <v>8035</v>
      </c>
      <c r="C2034" t="s">
        <v>136</v>
      </c>
      <c r="D2034" t="s">
        <v>79</v>
      </c>
      <c r="E2034" t="s">
        <v>8036</v>
      </c>
      <c r="F2034" t="s">
        <v>149</v>
      </c>
      <c r="G2034" t="s">
        <v>8037</v>
      </c>
    </row>
    <row r="2035" spans="1:7" ht="44.25" customHeight="1">
      <c r="A2035" t="s">
        <v>136</v>
      </c>
      <c r="B2035" t="s">
        <v>8038</v>
      </c>
      <c r="C2035" t="s">
        <v>136</v>
      </c>
      <c r="D2035" t="s">
        <v>2257</v>
      </c>
      <c r="E2035" t="s">
        <v>5813</v>
      </c>
      <c r="F2035" t="s">
        <v>149</v>
      </c>
      <c r="G2035" t="s">
        <v>8039</v>
      </c>
    </row>
    <row r="2036" spans="1:7" ht="44.25" customHeight="1">
      <c r="A2036" t="s">
        <v>8040</v>
      </c>
      <c r="B2036" t="s">
        <v>8041</v>
      </c>
      <c r="C2036" t="s">
        <v>136</v>
      </c>
      <c r="D2036" t="s">
        <v>2257</v>
      </c>
      <c r="E2036" t="s">
        <v>1607</v>
      </c>
      <c r="F2036" t="s">
        <v>149</v>
      </c>
      <c r="G2036" t="s">
        <v>8042</v>
      </c>
    </row>
    <row r="2037" spans="1:7" ht="44.25" customHeight="1">
      <c r="A2037" t="s">
        <v>8043</v>
      </c>
      <c r="B2037" t="s">
        <v>8044</v>
      </c>
      <c r="C2037" t="s">
        <v>136</v>
      </c>
      <c r="D2037" t="s">
        <v>2257</v>
      </c>
      <c r="E2037" t="s">
        <v>3405</v>
      </c>
      <c r="F2037" t="s">
        <v>149</v>
      </c>
      <c r="G2037" t="s">
        <v>8045</v>
      </c>
    </row>
    <row r="2038" spans="1:7" ht="44.25" customHeight="1">
      <c r="A2038" t="s">
        <v>329</v>
      </c>
      <c r="B2038" t="s">
        <v>8046</v>
      </c>
      <c r="C2038" t="s">
        <v>136</v>
      </c>
      <c r="D2038" t="s">
        <v>79</v>
      </c>
      <c r="E2038" t="s">
        <v>8047</v>
      </c>
      <c r="F2038" t="s">
        <v>149</v>
      </c>
      <c r="G2038" t="s">
        <v>8048</v>
      </c>
    </row>
    <row r="2039" spans="1:7" ht="44.25" customHeight="1">
      <c r="A2039" t="s">
        <v>8049</v>
      </c>
      <c r="B2039" t="s">
        <v>8050</v>
      </c>
      <c r="C2039" t="s">
        <v>136</v>
      </c>
      <c r="D2039" t="s">
        <v>2253</v>
      </c>
      <c r="E2039" t="s">
        <v>1432</v>
      </c>
      <c r="F2039" t="s">
        <v>149</v>
      </c>
      <c r="G2039" t="s">
        <v>8051</v>
      </c>
    </row>
    <row r="2040" spans="1:7" ht="44.25" customHeight="1">
      <c r="A2040" t="s">
        <v>8052</v>
      </c>
      <c r="B2040" t="s">
        <v>8053</v>
      </c>
      <c r="C2040" t="s">
        <v>136</v>
      </c>
      <c r="D2040" t="s">
        <v>2257</v>
      </c>
      <c r="E2040" t="s">
        <v>2258</v>
      </c>
      <c r="F2040" t="s">
        <v>149</v>
      </c>
      <c r="G2040" t="s">
        <v>8054</v>
      </c>
    </row>
    <row r="2041" spans="1:7" ht="44.25" customHeight="1">
      <c r="A2041" t="s">
        <v>8055</v>
      </c>
      <c r="B2041" t="s">
        <v>8056</v>
      </c>
      <c r="C2041" t="s">
        <v>136</v>
      </c>
      <c r="D2041" t="s">
        <v>2257</v>
      </c>
      <c r="E2041" t="s">
        <v>2276</v>
      </c>
      <c r="F2041" t="s">
        <v>149</v>
      </c>
      <c r="G2041" t="s">
        <v>8057</v>
      </c>
    </row>
    <row r="2042" spans="1:7" ht="44.25" customHeight="1">
      <c r="A2042" t="s">
        <v>703</v>
      </c>
      <c r="B2042" t="s">
        <v>8058</v>
      </c>
      <c r="C2042" t="s">
        <v>136</v>
      </c>
      <c r="D2042" t="s">
        <v>2257</v>
      </c>
      <c r="E2042" t="s">
        <v>1584</v>
      </c>
      <c r="F2042" t="s">
        <v>149</v>
      </c>
      <c r="G2042" t="s">
        <v>8059</v>
      </c>
    </row>
    <row r="2043" spans="1:7" ht="44.25" customHeight="1">
      <c r="A2043" t="s">
        <v>136</v>
      </c>
      <c r="B2043" t="s">
        <v>7551</v>
      </c>
      <c r="C2043" t="s">
        <v>136</v>
      </c>
      <c r="D2043" t="s">
        <v>79</v>
      </c>
      <c r="E2043" t="s">
        <v>6577</v>
      </c>
      <c r="F2043" t="s">
        <v>149</v>
      </c>
      <c r="G2043" t="s">
        <v>8060</v>
      </c>
    </row>
    <row r="2044" spans="1:7" ht="44.25" customHeight="1">
      <c r="A2044" t="s">
        <v>8061</v>
      </c>
      <c r="B2044" t="s">
        <v>8062</v>
      </c>
      <c r="C2044" t="s">
        <v>136</v>
      </c>
      <c r="D2044" t="s">
        <v>79</v>
      </c>
      <c r="E2044" t="s">
        <v>8063</v>
      </c>
      <c r="F2044" t="s">
        <v>149</v>
      </c>
      <c r="G2044" t="s">
        <v>8064</v>
      </c>
    </row>
    <row r="2045" spans="1:7" ht="44.25" customHeight="1">
      <c r="A2045" t="s">
        <v>8065</v>
      </c>
      <c r="B2045" t="s">
        <v>8066</v>
      </c>
      <c r="C2045" t="s">
        <v>136</v>
      </c>
      <c r="D2045" t="s">
        <v>79</v>
      </c>
      <c r="E2045" t="s">
        <v>8067</v>
      </c>
      <c r="F2045" t="s">
        <v>149</v>
      </c>
      <c r="G2045" t="s">
        <v>8068</v>
      </c>
    </row>
    <row r="2046" spans="1:7" ht="44.25" customHeight="1">
      <c r="A2046" t="s">
        <v>8069</v>
      </c>
      <c r="B2046" t="s">
        <v>8070</v>
      </c>
      <c r="C2046" t="s">
        <v>136</v>
      </c>
      <c r="D2046" t="s">
        <v>79</v>
      </c>
      <c r="E2046" t="s">
        <v>8071</v>
      </c>
      <c r="F2046" t="s">
        <v>149</v>
      </c>
      <c r="G2046" t="s">
        <v>8072</v>
      </c>
    </row>
    <row r="2047" spans="1:7" ht="44.25" customHeight="1">
      <c r="A2047" t="s">
        <v>8073</v>
      </c>
      <c r="B2047" t="s">
        <v>8074</v>
      </c>
      <c r="C2047" t="s">
        <v>136</v>
      </c>
      <c r="D2047" t="s">
        <v>79</v>
      </c>
      <c r="E2047" t="s">
        <v>8075</v>
      </c>
      <c r="F2047" t="s">
        <v>149</v>
      </c>
      <c r="G2047" t="s">
        <v>8076</v>
      </c>
    </row>
    <row r="2048" spans="1:7" ht="44.25" customHeight="1">
      <c r="A2048" t="s">
        <v>8077</v>
      </c>
      <c r="B2048" t="s">
        <v>8078</v>
      </c>
      <c r="C2048" t="s">
        <v>136</v>
      </c>
      <c r="D2048" t="s">
        <v>79</v>
      </c>
      <c r="E2048" t="s">
        <v>8079</v>
      </c>
      <c r="F2048" t="s">
        <v>149</v>
      </c>
      <c r="G2048" t="s">
        <v>8080</v>
      </c>
    </row>
    <row r="2049" spans="1:7" ht="44.25" customHeight="1">
      <c r="A2049" t="s">
        <v>8081</v>
      </c>
      <c r="B2049" t="s">
        <v>8082</v>
      </c>
      <c r="C2049" t="s">
        <v>136</v>
      </c>
      <c r="D2049" t="s">
        <v>2257</v>
      </c>
      <c r="E2049" t="s">
        <v>6805</v>
      </c>
      <c r="F2049" t="s">
        <v>149</v>
      </c>
      <c r="G2049" t="s">
        <v>8083</v>
      </c>
    </row>
    <row r="2050" spans="1:7" ht="44.25" customHeight="1">
      <c r="A2050" t="s">
        <v>8084</v>
      </c>
      <c r="B2050" t="s">
        <v>8085</v>
      </c>
      <c r="C2050" t="s">
        <v>136</v>
      </c>
      <c r="D2050" t="s">
        <v>2257</v>
      </c>
      <c r="E2050" t="s">
        <v>1607</v>
      </c>
      <c r="F2050" t="s">
        <v>149</v>
      </c>
      <c r="G2050" t="s">
        <v>8086</v>
      </c>
    </row>
    <row r="2051" spans="1:7" ht="44.25" customHeight="1">
      <c r="A2051" t="s">
        <v>8087</v>
      </c>
      <c r="B2051" t="s">
        <v>8088</v>
      </c>
      <c r="C2051" t="s">
        <v>136</v>
      </c>
      <c r="D2051" t="s">
        <v>2257</v>
      </c>
      <c r="E2051" t="s">
        <v>1607</v>
      </c>
      <c r="F2051" t="s">
        <v>149</v>
      </c>
      <c r="G2051" t="s">
        <v>8089</v>
      </c>
    </row>
    <row r="2052" spans="1:7" ht="44.25" customHeight="1">
      <c r="A2052" t="s">
        <v>8090</v>
      </c>
      <c r="B2052" t="s">
        <v>8091</v>
      </c>
      <c r="C2052" t="s">
        <v>136</v>
      </c>
      <c r="D2052" t="s">
        <v>2257</v>
      </c>
      <c r="E2052" t="s">
        <v>1607</v>
      </c>
      <c r="F2052" t="s">
        <v>149</v>
      </c>
      <c r="G2052" t="s">
        <v>8092</v>
      </c>
    </row>
    <row r="2053" spans="1:7" ht="44.25" customHeight="1">
      <c r="A2053" t="s">
        <v>911</v>
      </c>
      <c r="B2053" t="s">
        <v>8093</v>
      </c>
      <c r="C2053" t="s">
        <v>136</v>
      </c>
      <c r="D2053" t="s">
        <v>2257</v>
      </c>
      <c r="E2053" t="s">
        <v>8094</v>
      </c>
      <c r="F2053" t="s">
        <v>149</v>
      </c>
      <c r="G2053" t="s">
        <v>8095</v>
      </c>
    </row>
    <row r="2054" spans="1:7" ht="44.25" customHeight="1">
      <c r="A2054" t="s">
        <v>8096</v>
      </c>
      <c r="B2054" t="s">
        <v>8097</v>
      </c>
      <c r="C2054" t="s">
        <v>136</v>
      </c>
      <c r="D2054" t="s">
        <v>79</v>
      </c>
      <c r="E2054" t="s">
        <v>3482</v>
      </c>
      <c r="F2054" t="s">
        <v>149</v>
      </c>
      <c r="G2054" t="s">
        <v>8098</v>
      </c>
    </row>
    <row r="2055" spans="1:7" ht="44.25" customHeight="1">
      <c r="A2055" t="s">
        <v>8099</v>
      </c>
      <c r="B2055" t="s">
        <v>8100</v>
      </c>
      <c r="C2055" t="s">
        <v>136</v>
      </c>
      <c r="D2055" t="s">
        <v>79</v>
      </c>
      <c r="E2055" t="s">
        <v>3507</v>
      </c>
      <c r="F2055" t="s">
        <v>149</v>
      </c>
      <c r="G2055" t="s">
        <v>8101</v>
      </c>
    </row>
    <row r="2056" spans="1:7" ht="44.25" customHeight="1">
      <c r="A2056" t="s">
        <v>672</v>
      </c>
      <c r="B2056" t="s">
        <v>8102</v>
      </c>
      <c r="C2056" t="s">
        <v>136</v>
      </c>
      <c r="D2056" t="s">
        <v>79</v>
      </c>
      <c r="E2056" t="s">
        <v>8103</v>
      </c>
      <c r="F2056" t="s">
        <v>149</v>
      </c>
      <c r="G2056" t="s">
        <v>8104</v>
      </c>
    </row>
    <row r="2057" spans="1:7" ht="44.25" customHeight="1">
      <c r="A2057" t="s">
        <v>8105</v>
      </c>
      <c r="B2057" t="s">
        <v>8106</v>
      </c>
      <c r="C2057" t="s">
        <v>136</v>
      </c>
      <c r="D2057" t="s">
        <v>2253</v>
      </c>
      <c r="E2057" t="s">
        <v>1432</v>
      </c>
      <c r="F2057" t="s">
        <v>149</v>
      </c>
      <c r="G2057" t="s">
        <v>8107</v>
      </c>
    </row>
    <row r="2058" spans="1:7" ht="44.25" customHeight="1">
      <c r="A2058" t="s">
        <v>8108</v>
      </c>
      <c r="B2058" t="s">
        <v>8109</v>
      </c>
      <c r="C2058" t="s">
        <v>136</v>
      </c>
      <c r="D2058" t="s">
        <v>2257</v>
      </c>
      <c r="E2058" t="s">
        <v>1432</v>
      </c>
      <c r="F2058" t="s">
        <v>149</v>
      </c>
      <c r="G2058" t="s">
        <v>8110</v>
      </c>
    </row>
    <row r="2059" spans="1:7" ht="44.25" customHeight="1">
      <c r="A2059" t="s">
        <v>359</v>
      </c>
      <c r="B2059" t="s">
        <v>8111</v>
      </c>
      <c r="C2059" t="s">
        <v>136</v>
      </c>
      <c r="D2059" t="s">
        <v>2253</v>
      </c>
      <c r="E2059" t="s">
        <v>1432</v>
      </c>
      <c r="F2059" t="s">
        <v>149</v>
      </c>
      <c r="G2059" t="s">
        <v>8112</v>
      </c>
    </row>
    <row r="2060" spans="1:7" ht="44.25" customHeight="1">
      <c r="A2060" t="s">
        <v>8113</v>
      </c>
      <c r="B2060" t="s">
        <v>8114</v>
      </c>
      <c r="C2060" t="s">
        <v>136</v>
      </c>
      <c r="D2060" t="s">
        <v>2257</v>
      </c>
      <c r="E2060" t="s">
        <v>1432</v>
      </c>
      <c r="F2060" t="s">
        <v>149</v>
      </c>
      <c r="G2060" t="s">
        <v>8115</v>
      </c>
    </row>
    <row r="2061" spans="1:7" ht="44.25" customHeight="1">
      <c r="A2061" t="s">
        <v>862</v>
      </c>
      <c r="B2061" t="s">
        <v>8116</v>
      </c>
      <c r="C2061" t="s">
        <v>136</v>
      </c>
      <c r="D2061" t="s">
        <v>79</v>
      </c>
      <c r="E2061" t="s">
        <v>4124</v>
      </c>
      <c r="F2061" t="s">
        <v>149</v>
      </c>
      <c r="G2061" t="s">
        <v>8117</v>
      </c>
    </row>
    <row r="2062" spans="1:7" ht="44.25" customHeight="1">
      <c r="A2062" t="s">
        <v>675</v>
      </c>
      <c r="B2062" t="s">
        <v>8118</v>
      </c>
      <c r="C2062" t="s">
        <v>136</v>
      </c>
      <c r="D2062" t="s">
        <v>2257</v>
      </c>
      <c r="E2062" t="s">
        <v>2314</v>
      </c>
      <c r="F2062" t="s">
        <v>149</v>
      </c>
      <c r="G2062" t="s">
        <v>8119</v>
      </c>
    </row>
    <row r="2063" spans="1:7" ht="44.25" customHeight="1">
      <c r="A2063" t="s">
        <v>8120</v>
      </c>
      <c r="B2063" t="s">
        <v>8121</v>
      </c>
      <c r="C2063" t="s">
        <v>136</v>
      </c>
      <c r="D2063" t="s">
        <v>79</v>
      </c>
      <c r="E2063" t="s">
        <v>8122</v>
      </c>
      <c r="F2063" t="s">
        <v>149</v>
      </c>
      <c r="G2063" t="s">
        <v>8123</v>
      </c>
    </row>
    <row r="2064" spans="1:7" ht="44.25" customHeight="1">
      <c r="A2064" t="s">
        <v>8124</v>
      </c>
      <c r="B2064" t="s">
        <v>8125</v>
      </c>
      <c r="C2064" t="s">
        <v>136</v>
      </c>
      <c r="D2064" t="s">
        <v>79</v>
      </c>
      <c r="E2064" t="s">
        <v>8126</v>
      </c>
      <c r="F2064" t="s">
        <v>149</v>
      </c>
      <c r="G2064" t="s">
        <v>8127</v>
      </c>
    </row>
    <row r="2065" spans="1:7" ht="44.25" customHeight="1">
      <c r="A2065" t="s">
        <v>8128</v>
      </c>
      <c r="B2065" t="s">
        <v>8129</v>
      </c>
      <c r="C2065" t="s">
        <v>136</v>
      </c>
      <c r="D2065" t="s">
        <v>79</v>
      </c>
      <c r="E2065" t="s">
        <v>8130</v>
      </c>
      <c r="F2065" t="s">
        <v>149</v>
      </c>
      <c r="G2065" t="s">
        <v>8131</v>
      </c>
    </row>
    <row r="2066" spans="1:7" ht="44.25" customHeight="1">
      <c r="A2066" t="s">
        <v>419</v>
      </c>
      <c r="B2066" t="s">
        <v>8132</v>
      </c>
      <c r="C2066" t="s">
        <v>136</v>
      </c>
      <c r="D2066" t="s">
        <v>2257</v>
      </c>
      <c r="E2066" t="s">
        <v>1524</v>
      </c>
      <c r="F2066" t="s">
        <v>149</v>
      </c>
      <c r="G2066" t="s">
        <v>8133</v>
      </c>
    </row>
    <row r="2067" spans="1:7" ht="44.25" customHeight="1">
      <c r="A2067" t="s">
        <v>419</v>
      </c>
      <c r="B2067" t="s">
        <v>8132</v>
      </c>
      <c r="C2067" t="s">
        <v>136</v>
      </c>
      <c r="D2067" t="s">
        <v>2257</v>
      </c>
      <c r="E2067" t="s">
        <v>1524</v>
      </c>
      <c r="F2067" t="s">
        <v>149</v>
      </c>
      <c r="G2067" t="s">
        <v>8133</v>
      </c>
    </row>
    <row r="2068" spans="1:7" ht="44.25" customHeight="1">
      <c r="A2068" t="s">
        <v>8134</v>
      </c>
      <c r="B2068" t="s">
        <v>8135</v>
      </c>
      <c r="C2068" t="s">
        <v>136</v>
      </c>
      <c r="D2068" t="s">
        <v>79</v>
      </c>
      <c r="E2068" t="s">
        <v>8136</v>
      </c>
      <c r="F2068" t="s">
        <v>149</v>
      </c>
      <c r="G2068" t="s">
        <v>8137</v>
      </c>
    </row>
    <row r="2069" spans="1:7" ht="44.25" customHeight="1">
      <c r="A2069" t="s">
        <v>8138</v>
      </c>
      <c r="B2069" t="s">
        <v>8139</v>
      </c>
      <c r="C2069" t="s">
        <v>136</v>
      </c>
      <c r="D2069" t="s">
        <v>79</v>
      </c>
      <c r="E2069" t="s">
        <v>8140</v>
      </c>
      <c r="F2069" t="s">
        <v>149</v>
      </c>
      <c r="G2069" t="s">
        <v>8141</v>
      </c>
    </row>
    <row r="2070" spans="1:7" ht="44.25" customHeight="1">
      <c r="A2070" t="s">
        <v>136</v>
      </c>
      <c r="B2070" t="s">
        <v>8142</v>
      </c>
      <c r="C2070" t="s">
        <v>136</v>
      </c>
      <c r="D2070" t="s">
        <v>2257</v>
      </c>
      <c r="E2070" t="s">
        <v>5782</v>
      </c>
      <c r="F2070" t="s">
        <v>149</v>
      </c>
      <c r="G2070" t="s">
        <v>8143</v>
      </c>
    </row>
    <row r="2071" spans="1:7" ht="44.25" customHeight="1">
      <c r="A2071" t="s">
        <v>8144</v>
      </c>
      <c r="B2071" t="s">
        <v>8145</v>
      </c>
      <c r="C2071" t="s">
        <v>8146</v>
      </c>
      <c r="D2071" t="s">
        <v>79</v>
      </c>
      <c r="E2071" t="s">
        <v>8147</v>
      </c>
      <c r="F2071" t="s">
        <v>149</v>
      </c>
      <c r="G2071" t="s">
        <v>8148</v>
      </c>
    </row>
    <row r="2072" spans="1:7" ht="44.25" customHeight="1">
      <c r="A2072" t="s">
        <v>8149</v>
      </c>
      <c r="B2072" t="s">
        <v>8150</v>
      </c>
      <c r="C2072" t="s">
        <v>136</v>
      </c>
      <c r="D2072" t="s">
        <v>2257</v>
      </c>
      <c r="E2072" t="s">
        <v>1607</v>
      </c>
      <c r="F2072" t="s">
        <v>149</v>
      </c>
      <c r="G2072" t="s">
        <v>8151</v>
      </c>
    </row>
    <row r="2073" spans="1:7" ht="44.25" customHeight="1">
      <c r="A2073" t="s">
        <v>136</v>
      </c>
      <c r="B2073" t="s">
        <v>8152</v>
      </c>
      <c r="C2073" t="s">
        <v>136</v>
      </c>
      <c r="D2073" t="s">
        <v>2257</v>
      </c>
      <c r="E2073" t="s">
        <v>2399</v>
      </c>
      <c r="F2073" t="s">
        <v>149</v>
      </c>
      <c r="G2073" t="s">
        <v>8153</v>
      </c>
    </row>
    <row r="2074" spans="1:7" ht="44.25" customHeight="1">
      <c r="A2074" t="s">
        <v>8154</v>
      </c>
      <c r="B2074" t="s">
        <v>8155</v>
      </c>
      <c r="C2074" t="s">
        <v>136</v>
      </c>
      <c r="D2074" t="s">
        <v>2257</v>
      </c>
      <c r="E2074" t="s">
        <v>2399</v>
      </c>
      <c r="F2074" t="s">
        <v>149</v>
      </c>
      <c r="G2074" t="s">
        <v>8156</v>
      </c>
    </row>
    <row r="2075" spans="1:7" ht="44.25" customHeight="1">
      <c r="A2075" t="s">
        <v>8157</v>
      </c>
      <c r="B2075" t="s">
        <v>8158</v>
      </c>
      <c r="C2075" t="s">
        <v>136</v>
      </c>
      <c r="D2075" t="s">
        <v>2253</v>
      </c>
      <c r="E2075" t="s">
        <v>1432</v>
      </c>
      <c r="F2075" t="s">
        <v>149</v>
      </c>
      <c r="G2075" t="s">
        <v>8159</v>
      </c>
    </row>
    <row r="2076" spans="1:7" ht="44.25" customHeight="1">
      <c r="A2076" t="s">
        <v>8160</v>
      </c>
      <c r="B2076" t="s">
        <v>8161</v>
      </c>
      <c r="C2076" t="s">
        <v>136</v>
      </c>
      <c r="D2076" t="s">
        <v>2253</v>
      </c>
      <c r="E2076" t="s">
        <v>1432</v>
      </c>
      <c r="F2076" t="s">
        <v>149</v>
      </c>
      <c r="G2076" t="s">
        <v>8162</v>
      </c>
    </row>
    <row r="2077" spans="1:7" ht="44.25" customHeight="1">
      <c r="A2077" t="s">
        <v>1017</v>
      </c>
      <c r="B2077" t="s">
        <v>8163</v>
      </c>
      <c r="C2077" t="s">
        <v>136</v>
      </c>
      <c r="D2077" t="s">
        <v>2257</v>
      </c>
      <c r="E2077" t="s">
        <v>2276</v>
      </c>
      <c r="F2077" t="s">
        <v>149</v>
      </c>
      <c r="G2077" t="s">
        <v>8164</v>
      </c>
    </row>
    <row r="2078" spans="1:7" ht="44.25" customHeight="1">
      <c r="A2078" t="s">
        <v>380</v>
      </c>
      <c r="B2078" t="s">
        <v>8165</v>
      </c>
      <c r="C2078" t="s">
        <v>136</v>
      </c>
      <c r="D2078" t="s">
        <v>2253</v>
      </c>
      <c r="E2078" t="s">
        <v>1432</v>
      </c>
      <c r="F2078" t="s">
        <v>149</v>
      </c>
      <c r="G2078" t="s">
        <v>8166</v>
      </c>
    </row>
    <row r="2079" spans="1:7" ht="44.25" customHeight="1">
      <c r="A2079" t="s">
        <v>713</v>
      </c>
      <c r="B2079" t="s">
        <v>8167</v>
      </c>
      <c r="C2079" t="s">
        <v>136</v>
      </c>
      <c r="D2079" t="s">
        <v>2257</v>
      </c>
      <c r="E2079" t="s">
        <v>1584</v>
      </c>
      <c r="F2079" t="s">
        <v>149</v>
      </c>
      <c r="G2079" t="s">
        <v>8168</v>
      </c>
    </row>
    <row r="2080" spans="1:7" ht="44.25" customHeight="1">
      <c r="A2080" t="s">
        <v>8169</v>
      </c>
      <c r="B2080" t="s">
        <v>8170</v>
      </c>
      <c r="C2080" t="s">
        <v>136</v>
      </c>
      <c r="D2080" t="s">
        <v>79</v>
      </c>
      <c r="E2080" t="s">
        <v>8171</v>
      </c>
      <c r="F2080" t="s">
        <v>149</v>
      </c>
      <c r="G2080" t="s">
        <v>8172</v>
      </c>
    </row>
    <row r="2081" spans="1:7" ht="44.25" customHeight="1">
      <c r="A2081" t="s">
        <v>930</v>
      </c>
      <c r="B2081" t="s">
        <v>8173</v>
      </c>
      <c r="C2081" t="s">
        <v>136</v>
      </c>
      <c r="D2081" t="s">
        <v>2257</v>
      </c>
      <c r="E2081" t="s">
        <v>2276</v>
      </c>
      <c r="F2081" t="s">
        <v>149</v>
      </c>
      <c r="G2081" t="s">
        <v>8174</v>
      </c>
    </row>
    <row r="2082" spans="1:7" ht="44.25" customHeight="1">
      <c r="A2082" t="s">
        <v>8175</v>
      </c>
      <c r="B2082" t="s">
        <v>8176</v>
      </c>
      <c r="C2082" t="s">
        <v>136</v>
      </c>
      <c r="D2082" t="s">
        <v>2257</v>
      </c>
      <c r="E2082" t="s">
        <v>1607</v>
      </c>
      <c r="F2082" t="s">
        <v>149</v>
      </c>
      <c r="G2082" t="s">
        <v>8177</v>
      </c>
    </row>
    <row r="2083" spans="1:7" ht="44.25" customHeight="1">
      <c r="A2083" t="s">
        <v>8178</v>
      </c>
      <c r="B2083" t="s">
        <v>8179</v>
      </c>
      <c r="C2083" t="s">
        <v>136</v>
      </c>
      <c r="D2083" t="s">
        <v>2257</v>
      </c>
      <c r="E2083" t="s">
        <v>1607</v>
      </c>
      <c r="F2083" t="s">
        <v>149</v>
      </c>
      <c r="G2083" t="s">
        <v>8180</v>
      </c>
    </row>
    <row r="2084" spans="1:7" ht="44.25" customHeight="1">
      <c r="A2084" t="s">
        <v>1028</v>
      </c>
      <c r="B2084" t="s">
        <v>8181</v>
      </c>
      <c r="C2084" t="s">
        <v>136</v>
      </c>
      <c r="D2084" t="s">
        <v>79</v>
      </c>
      <c r="E2084" t="s">
        <v>3503</v>
      </c>
      <c r="F2084" t="s">
        <v>149</v>
      </c>
      <c r="G2084" t="s">
        <v>8182</v>
      </c>
    </row>
    <row r="2085" spans="1:7" ht="44.25" customHeight="1">
      <c r="A2085" t="s">
        <v>8183</v>
      </c>
      <c r="B2085" t="s">
        <v>8184</v>
      </c>
      <c r="C2085" t="s">
        <v>136</v>
      </c>
      <c r="D2085" t="s">
        <v>2253</v>
      </c>
      <c r="E2085" t="s">
        <v>1432</v>
      </c>
      <c r="F2085" t="s">
        <v>149</v>
      </c>
      <c r="G2085" t="s">
        <v>8185</v>
      </c>
    </row>
    <row r="2086" spans="1:7" ht="44.25" customHeight="1">
      <c r="A2086" t="s">
        <v>965</v>
      </c>
      <c r="B2086" t="s">
        <v>8186</v>
      </c>
      <c r="C2086" t="s">
        <v>136</v>
      </c>
      <c r="D2086" t="s">
        <v>2257</v>
      </c>
      <c r="E2086" t="s">
        <v>2276</v>
      </c>
      <c r="F2086" t="s">
        <v>149</v>
      </c>
      <c r="G2086" t="s">
        <v>8187</v>
      </c>
    </row>
    <row r="2087" spans="1:7" ht="44.25" customHeight="1">
      <c r="A2087" t="s">
        <v>8188</v>
      </c>
      <c r="B2087" t="s">
        <v>8189</v>
      </c>
      <c r="C2087" t="s">
        <v>136</v>
      </c>
      <c r="D2087" t="s">
        <v>79</v>
      </c>
      <c r="E2087" t="s">
        <v>7220</v>
      </c>
      <c r="F2087" t="s">
        <v>149</v>
      </c>
      <c r="G2087" t="s">
        <v>8190</v>
      </c>
    </row>
    <row r="2088" spans="1:7" ht="44.25" customHeight="1">
      <c r="A2088" t="s">
        <v>487</v>
      </c>
      <c r="B2088" t="s">
        <v>8191</v>
      </c>
      <c r="C2088" t="s">
        <v>136</v>
      </c>
      <c r="D2088" t="s">
        <v>79</v>
      </c>
      <c r="E2088" t="s">
        <v>8192</v>
      </c>
      <c r="F2088" t="s">
        <v>149</v>
      </c>
      <c r="G2088" t="s">
        <v>8193</v>
      </c>
    </row>
    <row r="2089" spans="1:7" ht="44.25" customHeight="1">
      <c r="A2089" t="s">
        <v>8194</v>
      </c>
      <c r="B2089" t="s">
        <v>8195</v>
      </c>
      <c r="C2089" t="s">
        <v>136</v>
      </c>
      <c r="D2089" t="s">
        <v>79</v>
      </c>
      <c r="E2089" t="s">
        <v>8196</v>
      </c>
      <c r="F2089" t="s">
        <v>149</v>
      </c>
      <c r="G2089" t="s">
        <v>8197</v>
      </c>
    </row>
    <row r="2090" spans="1:7" ht="44.25" customHeight="1">
      <c r="A2090" t="s">
        <v>8198</v>
      </c>
      <c r="B2090" t="s">
        <v>8199</v>
      </c>
      <c r="C2090" t="s">
        <v>136</v>
      </c>
      <c r="D2090" t="s">
        <v>79</v>
      </c>
      <c r="E2090" t="s">
        <v>8200</v>
      </c>
      <c r="F2090" t="s">
        <v>149</v>
      </c>
      <c r="G2090" t="s">
        <v>8201</v>
      </c>
    </row>
    <row r="2091" spans="1:7" ht="44.25" customHeight="1">
      <c r="A2091" t="s">
        <v>136</v>
      </c>
      <c r="B2091" t="s">
        <v>8202</v>
      </c>
      <c r="C2091" t="s">
        <v>136</v>
      </c>
      <c r="D2091" t="s">
        <v>2257</v>
      </c>
      <c r="E2091" t="s">
        <v>5738</v>
      </c>
      <c r="F2091" t="s">
        <v>149</v>
      </c>
      <c r="G2091" t="s">
        <v>8203</v>
      </c>
    </row>
    <row r="2092" spans="1:7" ht="44.25" customHeight="1">
      <c r="A2092" t="s">
        <v>8204</v>
      </c>
      <c r="B2092" t="s">
        <v>8205</v>
      </c>
      <c r="C2092" t="s">
        <v>136</v>
      </c>
      <c r="D2092" t="s">
        <v>2257</v>
      </c>
      <c r="E2092" t="s">
        <v>5891</v>
      </c>
      <c r="F2092" t="s">
        <v>149</v>
      </c>
      <c r="G2092" t="s">
        <v>8206</v>
      </c>
    </row>
    <row r="2093" spans="1:7" ht="44.25" customHeight="1">
      <c r="A2093" t="s">
        <v>136</v>
      </c>
      <c r="B2093" t="s">
        <v>8207</v>
      </c>
      <c r="C2093" t="s">
        <v>136</v>
      </c>
      <c r="D2093" t="s">
        <v>2257</v>
      </c>
      <c r="E2093" t="s">
        <v>2695</v>
      </c>
      <c r="F2093" t="s">
        <v>149</v>
      </c>
      <c r="G2093" t="s">
        <v>8208</v>
      </c>
    </row>
    <row r="2094" spans="1:7" ht="44.25" customHeight="1">
      <c r="A2094" t="s">
        <v>8209</v>
      </c>
      <c r="B2094" t="s">
        <v>8210</v>
      </c>
      <c r="C2094" t="s">
        <v>136</v>
      </c>
      <c r="D2094" t="s">
        <v>2257</v>
      </c>
      <c r="E2094" t="s">
        <v>1607</v>
      </c>
      <c r="F2094" t="s">
        <v>149</v>
      </c>
      <c r="G2094" t="s">
        <v>8211</v>
      </c>
    </row>
    <row r="2095" spans="1:7" ht="44.25" customHeight="1">
      <c r="A2095" t="s">
        <v>8212</v>
      </c>
      <c r="B2095" t="s">
        <v>8213</v>
      </c>
      <c r="C2095" t="s">
        <v>136</v>
      </c>
      <c r="D2095" t="s">
        <v>2257</v>
      </c>
      <c r="E2095" t="s">
        <v>1607</v>
      </c>
      <c r="F2095" t="s">
        <v>149</v>
      </c>
      <c r="G2095" t="s">
        <v>8214</v>
      </c>
    </row>
    <row r="2096" spans="1:7" ht="44.25" customHeight="1">
      <c r="A2096" t="s">
        <v>1436</v>
      </c>
      <c r="B2096" t="s">
        <v>8215</v>
      </c>
      <c r="C2096" t="s">
        <v>136</v>
      </c>
      <c r="D2096" t="s">
        <v>2257</v>
      </c>
      <c r="E2096" t="s">
        <v>7084</v>
      </c>
      <c r="F2096" t="s">
        <v>149</v>
      </c>
      <c r="G2096" t="s">
        <v>8216</v>
      </c>
    </row>
    <row r="2097" spans="1:7" ht="44.25" customHeight="1">
      <c r="A2097" t="s">
        <v>8217</v>
      </c>
      <c r="B2097" t="s">
        <v>8218</v>
      </c>
      <c r="C2097" t="s">
        <v>136</v>
      </c>
      <c r="D2097" t="s">
        <v>2257</v>
      </c>
      <c r="E2097" t="s">
        <v>2695</v>
      </c>
      <c r="F2097" t="s">
        <v>149</v>
      </c>
      <c r="G2097" t="s">
        <v>8219</v>
      </c>
    </row>
    <row r="2098" spans="1:7" ht="44.25" customHeight="1">
      <c r="A2098" t="s">
        <v>8220</v>
      </c>
      <c r="B2098" t="s">
        <v>8221</v>
      </c>
      <c r="C2098" t="s">
        <v>136</v>
      </c>
      <c r="D2098" t="s">
        <v>2257</v>
      </c>
      <c r="E2098" t="s">
        <v>1607</v>
      </c>
      <c r="F2098" t="s">
        <v>149</v>
      </c>
      <c r="G2098" t="s">
        <v>8222</v>
      </c>
    </row>
    <row r="2099" spans="1:7" ht="44.25" customHeight="1">
      <c r="A2099" t="s">
        <v>1410</v>
      </c>
      <c r="B2099" t="s">
        <v>8223</v>
      </c>
      <c r="C2099" t="s">
        <v>136</v>
      </c>
      <c r="D2099" t="s">
        <v>2257</v>
      </c>
      <c r="E2099" t="s">
        <v>1607</v>
      </c>
      <c r="F2099" t="s">
        <v>149</v>
      </c>
      <c r="G2099" t="s">
        <v>8224</v>
      </c>
    </row>
    <row r="2100" spans="1:7" ht="44.25" customHeight="1">
      <c r="A2100" t="s">
        <v>8225</v>
      </c>
      <c r="B2100" t="s">
        <v>8226</v>
      </c>
      <c r="C2100" t="s">
        <v>136</v>
      </c>
      <c r="D2100" t="s">
        <v>2253</v>
      </c>
      <c r="E2100" t="s">
        <v>1430</v>
      </c>
      <c r="F2100" t="s">
        <v>149</v>
      </c>
      <c r="G2100" t="s">
        <v>8227</v>
      </c>
    </row>
    <row r="2101" spans="1:7" ht="44.25" customHeight="1">
      <c r="A2101" t="s">
        <v>8228</v>
      </c>
      <c r="B2101" t="s">
        <v>8229</v>
      </c>
      <c r="C2101" t="s">
        <v>136</v>
      </c>
      <c r="D2101" t="s">
        <v>2253</v>
      </c>
      <c r="E2101" t="s">
        <v>1432</v>
      </c>
      <c r="F2101" t="s">
        <v>149</v>
      </c>
      <c r="G2101" t="s">
        <v>8230</v>
      </c>
    </row>
    <row r="2102" spans="1:7" ht="44.25" customHeight="1">
      <c r="A2102" t="s">
        <v>8231</v>
      </c>
      <c r="B2102" t="s">
        <v>8232</v>
      </c>
      <c r="C2102" t="s">
        <v>136</v>
      </c>
      <c r="D2102" t="s">
        <v>2253</v>
      </c>
      <c r="E2102" t="s">
        <v>1432</v>
      </c>
      <c r="F2102" t="s">
        <v>149</v>
      </c>
      <c r="G2102" t="s">
        <v>8233</v>
      </c>
    </row>
    <row r="2103" spans="1:7" ht="44.25" customHeight="1">
      <c r="A2103" t="s">
        <v>1351</v>
      </c>
      <c r="B2103" t="s">
        <v>8234</v>
      </c>
      <c r="C2103" t="s">
        <v>136</v>
      </c>
      <c r="D2103" t="s">
        <v>2257</v>
      </c>
      <c r="E2103" t="s">
        <v>2314</v>
      </c>
      <c r="F2103" t="s">
        <v>149</v>
      </c>
      <c r="G2103" t="s">
        <v>8235</v>
      </c>
    </row>
    <row r="2104" spans="1:7" ht="44.25" customHeight="1">
      <c r="A2104" t="s">
        <v>1460</v>
      </c>
      <c r="B2104" t="s">
        <v>8236</v>
      </c>
      <c r="C2104" t="s">
        <v>136</v>
      </c>
      <c r="D2104" t="s">
        <v>2257</v>
      </c>
      <c r="E2104" t="s">
        <v>1430</v>
      </c>
      <c r="F2104" t="s">
        <v>149</v>
      </c>
      <c r="G2104" t="s">
        <v>8237</v>
      </c>
    </row>
    <row r="2105" spans="1:7" ht="44.25" customHeight="1">
      <c r="A2105" t="s">
        <v>1478</v>
      </c>
      <c r="B2105" t="s">
        <v>8238</v>
      </c>
      <c r="C2105" t="s">
        <v>136</v>
      </c>
      <c r="D2105" t="s">
        <v>2257</v>
      </c>
      <c r="E2105" t="s">
        <v>2258</v>
      </c>
      <c r="F2105" t="s">
        <v>149</v>
      </c>
      <c r="G2105" t="s">
        <v>8239</v>
      </c>
    </row>
    <row r="2106" spans="1:7" ht="44.25" customHeight="1">
      <c r="A2106" t="s">
        <v>323</v>
      </c>
      <c r="B2106" t="s">
        <v>8240</v>
      </c>
      <c r="C2106" t="s">
        <v>136</v>
      </c>
      <c r="D2106" t="s">
        <v>2257</v>
      </c>
      <c r="E2106" t="s">
        <v>2276</v>
      </c>
      <c r="F2106" t="s">
        <v>149</v>
      </c>
      <c r="G2106" t="s">
        <v>8241</v>
      </c>
    </row>
    <row r="2107" spans="1:7" ht="44.25" customHeight="1">
      <c r="A2107" t="s">
        <v>573</v>
      </c>
      <c r="B2107" t="s">
        <v>7286</v>
      </c>
      <c r="C2107" t="s">
        <v>136</v>
      </c>
      <c r="D2107" t="s">
        <v>79</v>
      </c>
      <c r="E2107" t="s">
        <v>7287</v>
      </c>
      <c r="F2107" t="s">
        <v>149</v>
      </c>
      <c r="G2107" t="s">
        <v>8242</v>
      </c>
    </row>
    <row r="2108" spans="1:7" ht="44.25" customHeight="1">
      <c r="A2108" t="s">
        <v>543</v>
      </c>
      <c r="B2108" t="s">
        <v>8243</v>
      </c>
      <c r="C2108" t="s">
        <v>136</v>
      </c>
      <c r="D2108" t="s">
        <v>79</v>
      </c>
      <c r="E2108" t="s">
        <v>4337</v>
      </c>
      <c r="F2108" t="s">
        <v>149</v>
      </c>
      <c r="G2108" t="s">
        <v>8244</v>
      </c>
    </row>
    <row r="2109" spans="1:7" ht="44.25" customHeight="1">
      <c r="A2109" t="s">
        <v>1061</v>
      </c>
      <c r="B2109" t="s">
        <v>8245</v>
      </c>
      <c r="C2109" t="s">
        <v>136</v>
      </c>
      <c r="D2109" t="s">
        <v>2257</v>
      </c>
      <c r="E2109" t="s">
        <v>8246</v>
      </c>
      <c r="F2109" t="s">
        <v>149</v>
      </c>
      <c r="G2109" t="s">
        <v>8247</v>
      </c>
    </row>
    <row r="2110" spans="1:7" ht="44.25" customHeight="1">
      <c r="A2110" t="s">
        <v>8248</v>
      </c>
      <c r="B2110" t="s">
        <v>8249</v>
      </c>
      <c r="C2110" t="s">
        <v>136</v>
      </c>
      <c r="D2110" t="s">
        <v>79</v>
      </c>
      <c r="E2110" t="s">
        <v>8250</v>
      </c>
      <c r="F2110" t="s">
        <v>149</v>
      </c>
      <c r="G2110" t="s">
        <v>8251</v>
      </c>
    </row>
    <row r="2111" spans="1:7" ht="44.25" customHeight="1">
      <c r="A2111" t="s">
        <v>8252</v>
      </c>
      <c r="B2111" t="s">
        <v>8253</v>
      </c>
      <c r="C2111" t="s">
        <v>136</v>
      </c>
      <c r="D2111" t="s">
        <v>79</v>
      </c>
      <c r="E2111" t="s">
        <v>8254</v>
      </c>
      <c r="F2111" t="s">
        <v>149</v>
      </c>
      <c r="G2111" t="s">
        <v>8255</v>
      </c>
    </row>
    <row r="2112" spans="1:7" ht="44.25" customHeight="1">
      <c r="A2112" t="s">
        <v>8256</v>
      </c>
      <c r="B2112" t="s">
        <v>8257</v>
      </c>
      <c r="C2112" t="s">
        <v>136</v>
      </c>
      <c r="D2112" t="s">
        <v>79</v>
      </c>
      <c r="E2112" t="s">
        <v>8258</v>
      </c>
      <c r="F2112" t="s">
        <v>149</v>
      </c>
      <c r="G2112" t="s">
        <v>8259</v>
      </c>
    </row>
    <row r="2113" spans="1:7" ht="44.25" customHeight="1">
      <c r="A2113" t="s">
        <v>8260</v>
      </c>
      <c r="B2113" t="s">
        <v>8261</v>
      </c>
      <c r="C2113" t="s">
        <v>136</v>
      </c>
      <c r="D2113" t="s">
        <v>79</v>
      </c>
      <c r="E2113" t="s">
        <v>8262</v>
      </c>
      <c r="F2113" t="s">
        <v>149</v>
      </c>
      <c r="G2113" t="s">
        <v>8263</v>
      </c>
    </row>
    <row r="2114" spans="1:7" ht="44.25" customHeight="1">
      <c r="A2114" t="s">
        <v>8264</v>
      </c>
      <c r="B2114" t="s">
        <v>8265</v>
      </c>
      <c r="C2114" t="s">
        <v>136</v>
      </c>
      <c r="D2114" t="s">
        <v>79</v>
      </c>
      <c r="E2114" t="s">
        <v>8266</v>
      </c>
      <c r="F2114" t="s">
        <v>149</v>
      </c>
      <c r="G2114" t="s">
        <v>8267</v>
      </c>
    </row>
    <row r="2115" spans="1:7" ht="44.25" customHeight="1">
      <c r="A2115" t="s">
        <v>8268</v>
      </c>
      <c r="B2115" t="s">
        <v>8269</v>
      </c>
      <c r="C2115" t="s">
        <v>136</v>
      </c>
      <c r="D2115" t="s">
        <v>2257</v>
      </c>
      <c r="E2115" t="s">
        <v>5684</v>
      </c>
      <c r="F2115" t="s">
        <v>149</v>
      </c>
      <c r="G2115" t="s">
        <v>8270</v>
      </c>
    </row>
    <row r="2116" spans="1:7" ht="44.25" customHeight="1">
      <c r="A2116" t="s">
        <v>136</v>
      </c>
      <c r="B2116" t="s">
        <v>8271</v>
      </c>
      <c r="C2116" t="s">
        <v>136</v>
      </c>
      <c r="D2116" t="s">
        <v>2257</v>
      </c>
      <c r="E2116" t="s">
        <v>5691</v>
      </c>
      <c r="F2116" t="s">
        <v>149</v>
      </c>
      <c r="G2116" t="s">
        <v>8272</v>
      </c>
    </row>
    <row r="2117" spans="1:7" ht="44.25" customHeight="1">
      <c r="A2117" t="s">
        <v>8273</v>
      </c>
      <c r="B2117" t="s">
        <v>8274</v>
      </c>
      <c r="C2117" t="s">
        <v>136</v>
      </c>
      <c r="D2117" t="s">
        <v>2257</v>
      </c>
      <c r="E2117" t="s">
        <v>5738</v>
      </c>
      <c r="F2117" t="s">
        <v>149</v>
      </c>
      <c r="G2117" t="s">
        <v>8275</v>
      </c>
    </row>
    <row r="2118" spans="1:7" ht="44.25" customHeight="1">
      <c r="A2118" t="s">
        <v>8276</v>
      </c>
      <c r="B2118" t="s">
        <v>8277</v>
      </c>
      <c r="C2118" t="s">
        <v>136</v>
      </c>
      <c r="D2118" t="s">
        <v>2257</v>
      </c>
      <c r="E2118" t="s">
        <v>1607</v>
      </c>
      <c r="F2118" t="s">
        <v>149</v>
      </c>
      <c r="G2118" t="s">
        <v>8278</v>
      </c>
    </row>
    <row r="2119" spans="1:7" ht="44.25" customHeight="1">
      <c r="A2119" t="s">
        <v>8279</v>
      </c>
      <c r="B2119" t="s">
        <v>8280</v>
      </c>
      <c r="C2119" t="s">
        <v>136</v>
      </c>
      <c r="D2119" t="s">
        <v>2257</v>
      </c>
      <c r="E2119" t="s">
        <v>1607</v>
      </c>
      <c r="F2119" t="s">
        <v>149</v>
      </c>
      <c r="G2119" t="s">
        <v>8281</v>
      </c>
    </row>
    <row r="2120" spans="1:7" ht="44.25" customHeight="1">
      <c r="A2120" t="s">
        <v>8282</v>
      </c>
      <c r="B2120" t="s">
        <v>8283</v>
      </c>
      <c r="C2120" t="s">
        <v>136</v>
      </c>
      <c r="D2120" t="s">
        <v>2257</v>
      </c>
      <c r="E2120" t="s">
        <v>1607</v>
      </c>
      <c r="F2120" t="s">
        <v>149</v>
      </c>
      <c r="G2120" t="s">
        <v>8284</v>
      </c>
    </row>
    <row r="2121" spans="1:7" ht="44.25" customHeight="1">
      <c r="A2121" t="s">
        <v>8285</v>
      </c>
      <c r="B2121" t="s">
        <v>8286</v>
      </c>
      <c r="C2121" t="s">
        <v>136</v>
      </c>
      <c r="D2121" t="s">
        <v>79</v>
      </c>
      <c r="E2121" t="s">
        <v>3516</v>
      </c>
      <c r="F2121" t="s">
        <v>149</v>
      </c>
      <c r="G2121" t="s">
        <v>8287</v>
      </c>
    </row>
    <row r="2122" spans="1:7" ht="44.25" customHeight="1">
      <c r="A2122" t="s">
        <v>8288</v>
      </c>
      <c r="B2122" t="s">
        <v>8289</v>
      </c>
      <c r="C2122" t="s">
        <v>136</v>
      </c>
      <c r="D2122" t="s">
        <v>2253</v>
      </c>
      <c r="E2122" t="s">
        <v>2258</v>
      </c>
      <c r="F2122" t="s">
        <v>149</v>
      </c>
      <c r="G2122" t="s">
        <v>8290</v>
      </c>
    </row>
    <row r="2123" spans="1:7" ht="44.25" customHeight="1">
      <c r="A2123" t="s">
        <v>8291</v>
      </c>
      <c r="B2123" t="s">
        <v>8292</v>
      </c>
      <c r="C2123" t="s">
        <v>136</v>
      </c>
      <c r="D2123" t="s">
        <v>2253</v>
      </c>
      <c r="E2123" t="s">
        <v>1432</v>
      </c>
      <c r="F2123" t="s">
        <v>149</v>
      </c>
      <c r="G2123" t="s">
        <v>8293</v>
      </c>
    </row>
    <row r="2124" spans="1:7" ht="44.25" customHeight="1">
      <c r="A2124" t="s">
        <v>8294</v>
      </c>
      <c r="B2124" t="s">
        <v>8295</v>
      </c>
      <c r="C2124" t="s">
        <v>136</v>
      </c>
      <c r="D2124" t="s">
        <v>2257</v>
      </c>
      <c r="E2124" t="s">
        <v>2276</v>
      </c>
      <c r="F2124" t="s">
        <v>149</v>
      </c>
      <c r="G2124" t="s">
        <v>8296</v>
      </c>
    </row>
    <row r="2125" spans="1:7" ht="44.25" customHeight="1">
      <c r="A2125" t="s">
        <v>8297</v>
      </c>
      <c r="B2125" t="s">
        <v>8298</v>
      </c>
      <c r="C2125" t="s">
        <v>136</v>
      </c>
      <c r="D2125" t="s">
        <v>2257</v>
      </c>
      <c r="E2125" t="s">
        <v>1430</v>
      </c>
      <c r="F2125" t="s">
        <v>149</v>
      </c>
      <c r="G2125" t="s">
        <v>8299</v>
      </c>
    </row>
    <row r="2126" spans="1:7" ht="44.25" customHeight="1">
      <c r="A2126" t="s">
        <v>1345</v>
      </c>
      <c r="B2126" t="s">
        <v>8300</v>
      </c>
      <c r="C2126" t="s">
        <v>136</v>
      </c>
      <c r="D2126" t="s">
        <v>2253</v>
      </c>
      <c r="E2126" t="s">
        <v>1432</v>
      </c>
      <c r="F2126" t="s">
        <v>149</v>
      </c>
      <c r="G2126" t="s">
        <v>8301</v>
      </c>
    </row>
    <row r="2127" spans="1:7" ht="44.25" customHeight="1">
      <c r="A2127" t="s">
        <v>8302</v>
      </c>
      <c r="B2127" t="s">
        <v>8303</v>
      </c>
      <c r="C2127" t="s">
        <v>136</v>
      </c>
      <c r="D2127" t="s">
        <v>79</v>
      </c>
      <c r="E2127" t="s">
        <v>8304</v>
      </c>
      <c r="F2127" t="s">
        <v>149</v>
      </c>
      <c r="G2127" t="s">
        <v>8305</v>
      </c>
    </row>
    <row r="2128" spans="1:7" ht="44.25" customHeight="1">
      <c r="A2128" t="s">
        <v>8306</v>
      </c>
      <c r="B2128" t="s">
        <v>8307</v>
      </c>
      <c r="C2128" t="s">
        <v>136</v>
      </c>
      <c r="D2128" t="s">
        <v>79</v>
      </c>
      <c r="E2128" t="s">
        <v>8308</v>
      </c>
      <c r="F2128" t="s">
        <v>149</v>
      </c>
      <c r="G2128" t="s">
        <v>8309</v>
      </c>
    </row>
    <row r="2129" spans="1:7" ht="44.25" customHeight="1">
      <c r="A2129" t="s">
        <v>8310</v>
      </c>
      <c r="B2129" t="s">
        <v>8311</v>
      </c>
      <c r="C2129" t="s">
        <v>136</v>
      </c>
      <c r="D2129" t="s">
        <v>79</v>
      </c>
      <c r="E2129" t="s">
        <v>8312</v>
      </c>
      <c r="F2129" t="s">
        <v>149</v>
      </c>
      <c r="G2129" t="s">
        <v>8313</v>
      </c>
    </row>
    <row r="2130" spans="1:7" ht="44.25" customHeight="1">
      <c r="A2130" t="s">
        <v>8314</v>
      </c>
      <c r="B2130" t="s">
        <v>8315</v>
      </c>
      <c r="C2130" t="s">
        <v>136</v>
      </c>
      <c r="D2130" t="s">
        <v>79</v>
      </c>
      <c r="E2130" t="s">
        <v>8316</v>
      </c>
      <c r="F2130" t="s">
        <v>149</v>
      </c>
      <c r="G2130" t="s">
        <v>8317</v>
      </c>
    </row>
    <row r="2131" spans="1:7" ht="44.25" customHeight="1">
      <c r="A2131" t="s">
        <v>136</v>
      </c>
      <c r="B2131" t="s">
        <v>8318</v>
      </c>
      <c r="C2131" t="s">
        <v>136</v>
      </c>
      <c r="D2131" t="s">
        <v>2257</v>
      </c>
      <c r="E2131" t="s">
        <v>6805</v>
      </c>
      <c r="F2131" t="s">
        <v>149</v>
      </c>
      <c r="G2131" t="s">
        <v>8319</v>
      </c>
    </row>
    <row r="2132" spans="1:7" ht="44.25" customHeight="1">
      <c r="A2132" t="s">
        <v>136</v>
      </c>
      <c r="B2132" t="s">
        <v>8320</v>
      </c>
      <c r="C2132" t="s">
        <v>136</v>
      </c>
      <c r="D2132" t="s">
        <v>2257</v>
      </c>
      <c r="E2132" t="s">
        <v>5691</v>
      </c>
      <c r="F2132" t="s">
        <v>149</v>
      </c>
      <c r="G2132" t="s">
        <v>8321</v>
      </c>
    </row>
    <row r="2133" spans="1:7" ht="44.25" customHeight="1">
      <c r="A2133" t="s">
        <v>654</v>
      </c>
      <c r="B2133" t="s">
        <v>8322</v>
      </c>
      <c r="C2133" t="s">
        <v>136</v>
      </c>
      <c r="D2133" t="s">
        <v>79</v>
      </c>
      <c r="E2133" t="s">
        <v>8323</v>
      </c>
      <c r="F2133" t="s">
        <v>149</v>
      </c>
      <c r="G2133" t="s">
        <v>8324</v>
      </c>
    </row>
    <row r="2134" spans="1:7" ht="44.25" customHeight="1">
      <c r="A2134" t="s">
        <v>8325</v>
      </c>
      <c r="B2134" t="s">
        <v>8326</v>
      </c>
      <c r="C2134" t="s">
        <v>136</v>
      </c>
      <c r="D2134" t="s">
        <v>2257</v>
      </c>
      <c r="E2134" t="s">
        <v>1607</v>
      </c>
      <c r="F2134" t="s">
        <v>149</v>
      </c>
      <c r="G2134" t="s">
        <v>8327</v>
      </c>
    </row>
    <row r="2135" spans="1:7" ht="44.25" customHeight="1">
      <c r="A2135" t="s">
        <v>8328</v>
      </c>
      <c r="B2135" t="s">
        <v>8329</v>
      </c>
      <c r="C2135" t="s">
        <v>136</v>
      </c>
      <c r="D2135" t="s">
        <v>2257</v>
      </c>
      <c r="E2135" t="s">
        <v>1607</v>
      </c>
      <c r="F2135" t="s">
        <v>149</v>
      </c>
      <c r="G2135" t="s">
        <v>8330</v>
      </c>
    </row>
    <row r="2136" spans="1:7" ht="44.25" customHeight="1">
      <c r="A2136" t="s">
        <v>8331</v>
      </c>
      <c r="B2136" t="s">
        <v>8332</v>
      </c>
      <c r="C2136" t="s">
        <v>136</v>
      </c>
      <c r="D2136" t="s">
        <v>2257</v>
      </c>
      <c r="E2136" t="s">
        <v>1607</v>
      </c>
      <c r="F2136" t="s">
        <v>149</v>
      </c>
      <c r="G2136" t="s">
        <v>8333</v>
      </c>
    </row>
    <row r="2137" spans="1:7" ht="44.25" customHeight="1">
      <c r="A2137" t="s">
        <v>1387</v>
      </c>
      <c r="B2137" t="s">
        <v>8334</v>
      </c>
      <c r="C2137" t="s">
        <v>136</v>
      </c>
      <c r="D2137" t="s">
        <v>2257</v>
      </c>
      <c r="E2137" t="s">
        <v>1607</v>
      </c>
      <c r="F2137" t="s">
        <v>149</v>
      </c>
      <c r="G2137" t="s">
        <v>8335</v>
      </c>
    </row>
    <row r="2138" spans="1:7" ht="44.25" customHeight="1">
      <c r="A2138" t="s">
        <v>283</v>
      </c>
      <c r="B2138" t="s">
        <v>8336</v>
      </c>
      <c r="C2138" t="s">
        <v>136</v>
      </c>
      <c r="D2138" t="s">
        <v>2257</v>
      </c>
      <c r="E2138" t="s">
        <v>1607</v>
      </c>
      <c r="F2138" t="s">
        <v>149</v>
      </c>
      <c r="G2138" t="s">
        <v>8337</v>
      </c>
    </row>
    <row r="2139" spans="1:7" ht="44.25" customHeight="1">
      <c r="A2139" t="s">
        <v>8338</v>
      </c>
      <c r="B2139" t="s">
        <v>8339</v>
      </c>
      <c r="C2139" t="s">
        <v>8340</v>
      </c>
      <c r="D2139" t="s">
        <v>2257</v>
      </c>
      <c r="E2139" t="s">
        <v>3162</v>
      </c>
      <c r="F2139" t="s">
        <v>149</v>
      </c>
      <c r="G2139" t="s">
        <v>8341</v>
      </c>
    </row>
    <row r="2140" spans="1:7" ht="44.25" customHeight="1">
      <c r="A2140" t="s">
        <v>8342</v>
      </c>
      <c r="B2140" t="s">
        <v>8343</v>
      </c>
      <c r="C2140" t="s">
        <v>136</v>
      </c>
      <c r="D2140" t="s">
        <v>79</v>
      </c>
      <c r="E2140" t="s">
        <v>3492</v>
      </c>
      <c r="F2140" t="s">
        <v>149</v>
      </c>
      <c r="G2140" t="s">
        <v>8344</v>
      </c>
    </row>
    <row r="2141" spans="1:7" ht="44.25" customHeight="1">
      <c r="A2141" t="s">
        <v>8345</v>
      </c>
      <c r="B2141" t="s">
        <v>8346</v>
      </c>
      <c r="C2141" t="s">
        <v>136</v>
      </c>
      <c r="D2141" t="s">
        <v>2253</v>
      </c>
      <c r="E2141" t="s">
        <v>1432</v>
      </c>
      <c r="F2141" t="s">
        <v>149</v>
      </c>
      <c r="G2141" t="s">
        <v>8347</v>
      </c>
    </row>
    <row r="2142" spans="1:7" ht="44.25" customHeight="1">
      <c r="A2142" t="s">
        <v>8348</v>
      </c>
      <c r="B2142" t="s">
        <v>8349</v>
      </c>
      <c r="C2142" t="s">
        <v>136</v>
      </c>
      <c r="D2142" t="s">
        <v>2253</v>
      </c>
      <c r="E2142" t="s">
        <v>1430</v>
      </c>
      <c r="F2142" t="s">
        <v>149</v>
      </c>
      <c r="G2142" t="s">
        <v>8350</v>
      </c>
    </row>
    <row r="2143" spans="1:7" ht="44.25" customHeight="1">
      <c r="A2143" t="s">
        <v>457</v>
      </c>
      <c r="B2143" t="s">
        <v>8351</v>
      </c>
      <c r="C2143" t="s">
        <v>136</v>
      </c>
      <c r="D2143" t="s">
        <v>2257</v>
      </c>
      <c r="E2143" t="s">
        <v>4595</v>
      </c>
      <c r="F2143" t="s">
        <v>149</v>
      </c>
      <c r="G2143" t="s">
        <v>8352</v>
      </c>
    </row>
    <row r="2144" spans="1:7" ht="44.25" customHeight="1">
      <c r="A2144" t="s">
        <v>852</v>
      </c>
      <c r="B2144" t="s">
        <v>8353</v>
      </c>
      <c r="C2144" t="s">
        <v>136</v>
      </c>
      <c r="D2144" t="s">
        <v>2257</v>
      </c>
      <c r="E2144" t="s">
        <v>4124</v>
      </c>
      <c r="F2144" t="s">
        <v>149</v>
      </c>
      <c r="G2144" t="s">
        <v>8354</v>
      </c>
    </row>
    <row r="2145" spans="1:7" ht="44.25" customHeight="1">
      <c r="A2145" t="s">
        <v>8355</v>
      </c>
      <c r="B2145" t="s">
        <v>8356</v>
      </c>
      <c r="C2145" t="s">
        <v>136</v>
      </c>
      <c r="D2145" t="s">
        <v>79</v>
      </c>
      <c r="E2145" t="s">
        <v>8357</v>
      </c>
      <c r="F2145" t="s">
        <v>149</v>
      </c>
      <c r="G2145" t="s">
        <v>8358</v>
      </c>
    </row>
    <row r="2146" spans="1:7" ht="44.25" customHeight="1">
      <c r="A2146" t="s">
        <v>395</v>
      </c>
      <c r="B2146" t="s">
        <v>8359</v>
      </c>
      <c r="C2146" t="s">
        <v>136</v>
      </c>
      <c r="D2146" t="s">
        <v>79</v>
      </c>
      <c r="E2146" t="s">
        <v>1517</v>
      </c>
      <c r="F2146" t="s">
        <v>149</v>
      </c>
      <c r="G2146" t="s">
        <v>8360</v>
      </c>
    </row>
    <row r="2147" spans="1:7" ht="44.25" customHeight="1">
      <c r="A2147" t="s">
        <v>8361</v>
      </c>
      <c r="B2147" t="s">
        <v>8362</v>
      </c>
      <c r="C2147" t="s">
        <v>136</v>
      </c>
      <c r="D2147" t="s">
        <v>79</v>
      </c>
      <c r="E2147" t="s">
        <v>4990</v>
      </c>
      <c r="F2147" t="s">
        <v>149</v>
      </c>
      <c r="G2147" t="s">
        <v>8363</v>
      </c>
    </row>
    <row r="2148" spans="1:7" ht="44.25" customHeight="1">
      <c r="A2148" t="s">
        <v>8364</v>
      </c>
      <c r="B2148" t="s">
        <v>8365</v>
      </c>
      <c r="C2148" t="s">
        <v>136</v>
      </c>
      <c r="D2148" t="s">
        <v>79</v>
      </c>
      <c r="E2148" t="s">
        <v>8366</v>
      </c>
      <c r="F2148" t="s">
        <v>149</v>
      </c>
      <c r="G2148" t="s">
        <v>8367</v>
      </c>
    </row>
    <row r="2149" spans="1:7" ht="44.25" customHeight="1">
      <c r="A2149" t="s">
        <v>8368</v>
      </c>
      <c r="B2149" t="s">
        <v>8369</v>
      </c>
      <c r="C2149" t="s">
        <v>136</v>
      </c>
      <c r="D2149" t="s">
        <v>79</v>
      </c>
      <c r="E2149" t="s">
        <v>8370</v>
      </c>
      <c r="F2149" t="s">
        <v>149</v>
      </c>
      <c r="G2149" t="s">
        <v>8371</v>
      </c>
    </row>
    <row r="2150" spans="1:7" ht="44.25" customHeight="1">
      <c r="A2150" t="s">
        <v>8372</v>
      </c>
      <c r="B2150" t="s">
        <v>8373</v>
      </c>
      <c r="C2150" t="s">
        <v>136</v>
      </c>
      <c r="D2150" t="s">
        <v>2257</v>
      </c>
      <c r="E2150" t="s">
        <v>1607</v>
      </c>
      <c r="F2150" t="s">
        <v>149</v>
      </c>
      <c r="G2150" t="s">
        <v>8374</v>
      </c>
    </row>
    <row r="2151" spans="1:7" ht="44.25" customHeight="1">
      <c r="A2151" t="s">
        <v>8375</v>
      </c>
      <c r="B2151" t="s">
        <v>8376</v>
      </c>
      <c r="C2151" t="s">
        <v>136</v>
      </c>
      <c r="D2151" t="s">
        <v>2257</v>
      </c>
      <c r="E2151" t="s">
        <v>2399</v>
      </c>
      <c r="F2151" t="s">
        <v>149</v>
      </c>
      <c r="G2151" t="s">
        <v>8377</v>
      </c>
    </row>
    <row r="2152" spans="1:7" ht="44.25" customHeight="1">
      <c r="A2152" t="s">
        <v>7847</v>
      </c>
      <c r="B2152" t="s">
        <v>7848</v>
      </c>
      <c r="C2152" t="s">
        <v>136</v>
      </c>
      <c r="D2152" t="s">
        <v>79</v>
      </c>
      <c r="E2152" t="s">
        <v>6323</v>
      </c>
      <c r="F2152" t="s">
        <v>149</v>
      </c>
      <c r="G2152" t="s">
        <v>8378</v>
      </c>
    </row>
    <row r="2153" spans="1:7" ht="44.25" customHeight="1">
      <c r="A2153" t="s">
        <v>8379</v>
      </c>
      <c r="B2153" t="s">
        <v>8380</v>
      </c>
      <c r="C2153" t="s">
        <v>136</v>
      </c>
      <c r="D2153" t="s">
        <v>79</v>
      </c>
      <c r="E2153" t="s">
        <v>3402</v>
      </c>
      <c r="F2153" t="s">
        <v>149</v>
      </c>
      <c r="G2153" t="s">
        <v>8381</v>
      </c>
    </row>
    <row r="2154" spans="1:7" ht="44.25" customHeight="1">
      <c r="A2154" t="s">
        <v>8379</v>
      </c>
      <c r="B2154" t="s">
        <v>8380</v>
      </c>
      <c r="C2154" t="s">
        <v>136</v>
      </c>
      <c r="D2154" t="s">
        <v>79</v>
      </c>
      <c r="E2154" t="s">
        <v>3402</v>
      </c>
      <c r="F2154" t="s">
        <v>149</v>
      </c>
      <c r="G2154" t="s">
        <v>8381</v>
      </c>
    </row>
    <row r="2155" spans="1:7" ht="44.25" customHeight="1">
      <c r="A2155" t="s">
        <v>8382</v>
      </c>
      <c r="B2155" t="s">
        <v>8383</v>
      </c>
      <c r="C2155" t="s">
        <v>136</v>
      </c>
      <c r="D2155" t="s">
        <v>2253</v>
      </c>
      <c r="E2155" t="s">
        <v>1432</v>
      </c>
      <c r="F2155" t="s">
        <v>149</v>
      </c>
      <c r="G2155" t="s">
        <v>8384</v>
      </c>
    </row>
    <row r="2156" spans="1:7" ht="44.25" customHeight="1">
      <c r="A2156" t="s">
        <v>8385</v>
      </c>
      <c r="B2156" t="s">
        <v>8386</v>
      </c>
      <c r="C2156" t="s">
        <v>136</v>
      </c>
      <c r="D2156" t="s">
        <v>2253</v>
      </c>
      <c r="E2156" t="s">
        <v>1430</v>
      </c>
      <c r="F2156" t="s">
        <v>149</v>
      </c>
      <c r="G2156" t="s">
        <v>8387</v>
      </c>
    </row>
    <row r="2157" spans="1:7" ht="44.25" customHeight="1">
      <c r="A2157" t="s">
        <v>8388</v>
      </c>
      <c r="B2157" t="s">
        <v>8389</v>
      </c>
      <c r="C2157" t="s">
        <v>136</v>
      </c>
      <c r="D2157" t="s">
        <v>2253</v>
      </c>
      <c r="E2157" t="s">
        <v>1432</v>
      </c>
      <c r="F2157" t="s">
        <v>149</v>
      </c>
      <c r="G2157" t="s">
        <v>8390</v>
      </c>
    </row>
    <row r="2158" spans="1:7" ht="44.25" customHeight="1">
      <c r="A2158" t="s">
        <v>8391</v>
      </c>
      <c r="B2158" t="s">
        <v>8392</v>
      </c>
      <c r="C2158" t="s">
        <v>136</v>
      </c>
      <c r="D2158" t="s">
        <v>79</v>
      </c>
      <c r="E2158" t="s">
        <v>3929</v>
      </c>
      <c r="F2158" t="s">
        <v>149</v>
      </c>
      <c r="G2158" t="s">
        <v>8393</v>
      </c>
    </row>
    <row r="2159" spans="1:7" ht="44.25" customHeight="1">
      <c r="A2159" t="s">
        <v>8394</v>
      </c>
      <c r="B2159" t="s">
        <v>8395</v>
      </c>
      <c r="C2159" t="s">
        <v>136</v>
      </c>
      <c r="D2159" t="s">
        <v>79</v>
      </c>
      <c r="E2159" t="s">
        <v>2269</v>
      </c>
      <c r="F2159" t="s">
        <v>149</v>
      </c>
      <c r="G2159" t="s">
        <v>8396</v>
      </c>
    </row>
    <row r="2160" spans="1:7" ht="44.25" customHeight="1">
      <c r="A2160" t="s">
        <v>8397</v>
      </c>
      <c r="B2160" t="s">
        <v>8398</v>
      </c>
      <c r="C2160" t="s">
        <v>136</v>
      </c>
      <c r="D2160" t="s">
        <v>2253</v>
      </c>
      <c r="E2160" t="s">
        <v>1432</v>
      </c>
      <c r="F2160" t="s">
        <v>149</v>
      </c>
      <c r="G2160" t="s">
        <v>8399</v>
      </c>
    </row>
    <row r="2161" spans="1:7" ht="44.25" customHeight="1">
      <c r="A2161" t="s">
        <v>8400</v>
      </c>
      <c r="B2161" t="s">
        <v>8401</v>
      </c>
      <c r="C2161" t="s">
        <v>136</v>
      </c>
      <c r="D2161" t="s">
        <v>2257</v>
      </c>
      <c r="E2161" t="s">
        <v>2276</v>
      </c>
      <c r="F2161" t="s">
        <v>149</v>
      </c>
      <c r="G2161" t="s">
        <v>8402</v>
      </c>
    </row>
    <row r="2162" spans="1:7" ht="44.25" customHeight="1">
      <c r="A2162" t="s">
        <v>8403</v>
      </c>
      <c r="B2162" t="s">
        <v>8404</v>
      </c>
      <c r="C2162" t="s">
        <v>136</v>
      </c>
      <c r="D2162" t="s">
        <v>2253</v>
      </c>
      <c r="E2162" t="s">
        <v>1432</v>
      </c>
      <c r="F2162" t="s">
        <v>149</v>
      </c>
      <c r="G2162" t="s">
        <v>8405</v>
      </c>
    </row>
    <row r="2163" spans="1:7" ht="44.25" customHeight="1">
      <c r="A2163" t="s">
        <v>920</v>
      </c>
      <c r="B2163" t="s">
        <v>8406</v>
      </c>
      <c r="C2163" t="s">
        <v>136</v>
      </c>
      <c r="D2163" t="s">
        <v>79</v>
      </c>
      <c r="E2163" t="s">
        <v>4699</v>
      </c>
      <c r="F2163" t="s">
        <v>149</v>
      </c>
      <c r="G2163" t="s">
        <v>8407</v>
      </c>
    </row>
    <row r="2164" spans="1:7" ht="44.25" customHeight="1">
      <c r="A2164" t="s">
        <v>808</v>
      </c>
      <c r="B2164" t="s">
        <v>8408</v>
      </c>
      <c r="C2164" t="s">
        <v>136</v>
      </c>
      <c r="D2164" t="s">
        <v>79</v>
      </c>
      <c r="E2164" t="s">
        <v>1517</v>
      </c>
      <c r="F2164" t="s">
        <v>149</v>
      </c>
      <c r="G2164" t="s">
        <v>8409</v>
      </c>
    </row>
    <row r="2165" spans="1:7" ht="44.25" customHeight="1">
      <c r="A2165" t="s">
        <v>8410</v>
      </c>
      <c r="B2165" t="s">
        <v>8411</v>
      </c>
      <c r="C2165" t="s">
        <v>136</v>
      </c>
      <c r="D2165" t="s">
        <v>79</v>
      </c>
      <c r="E2165" t="s">
        <v>8412</v>
      </c>
      <c r="F2165" t="s">
        <v>149</v>
      </c>
      <c r="G2165" t="s">
        <v>8413</v>
      </c>
    </row>
    <row r="2166" spans="1:7" ht="44.25" customHeight="1">
      <c r="A2166" t="s">
        <v>8414</v>
      </c>
      <c r="B2166" t="s">
        <v>8415</v>
      </c>
      <c r="C2166" t="s">
        <v>136</v>
      </c>
      <c r="D2166" t="s">
        <v>79</v>
      </c>
      <c r="E2166" t="s">
        <v>8416</v>
      </c>
      <c r="F2166" t="s">
        <v>149</v>
      </c>
      <c r="G2166" t="s">
        <v>8417</v>
      </c>
    </row>
    <row r="2167" spans="1:7" ht="44.25" customHeight="1">
      <c r="A2167" t="s">
        <v>8418</v>
      </c>
      <c r="B2167" t="s">
        <v>8419</v>
      </c>
      <c r="C2167" t="s">
        <v>136</v>
      </c>
      <c r="D2167" t="s">
        <v>79</v>
      </c>
      <c r="E2167" t="s">
        <v>8420</v>
      </c>
      <c r="F2167" t="s">
        <v>149</v>
      </c>
      <c r="G2167" t="s">
        <v>8421</v>
      </c>
    </row>
    <row r="2168" spans="1:7" ht="44.25" customHeight="1">
      <c r="A2168" t="s">
        <v>533</v>
      </c>
      <c r="B2168" t="s">
        <v>8422</v>
      </c>
      <c r="C2168" t="s">
        <v>136</v>
      </c>
      <c r="D2168" t="s">
        <v>79</v>
      </c>
      <c r="E2168" t="s">
        <v>1543</v>
      </c>
      <c r="F2168" t="s">
        <v>149</v>
      </c>
      <c r="G2168" t="s">
        <v>8423</v>
      </c>
    </row>
    <row r="2169" spans="1:7" ht="44.25" customHeight="1">
      <c r="A2169" t="s">
        <v>8424</v>
      </c>
      <c r="B2169" t="s">
        <v>8425</v>
      </c>
      <c r="C2169" t="s">
        <v>136</v>
      </c>
      <c r="D2169" t="s">
        <v>2257</v>
      </c>
      <c r="E2169" t="s">
        <v>1607</v>
      </c>
      <c r="F2169" t="s">
        <v>149</v>
      </c>
      <c r="G2169" t="s">
        <v>8426</v>
      </c>
    </row>
    <row r="2170" spans="1:7" ht="44.25" customHeight="1">
      <c r="A2170" t="s">
        <v>8427</v>
      </c>
      <c r="B2170" t="s">
        <v>8428</v>
      </c>
      <c r="C2170" t="s">
        <v>136</v>
      </c>
      <c r="D2170" t="s">
        <v>2257</v>
      </c>
      <c r="E2170" t="s">
        <v>1607</v>
      </c>
      <c r="F2170" t="s">
        <v>149</v>
      </c>
      <c r="G2170" t="s">
        <v>8429</v>
      </c>
    </row>
    <row r="2171" spans="1:7" ht="44.25" customHeight="1">
      <c r="A2171" t="s">
        <v>8430</v>
      </c>
      <c r="B2171" t="s">
        <v>8431</v>
      </c>
      <c r="C2171" t="s">
        <v>136</v>
      </c>
      <c r="D2171" t="s">
        <v>79</v>
      </c>
      <c r="E2171" t="s">
        <v>8147</v>
      </c>
      <c r="F2171" t="s">
        <v>149</v>
      </c>
      <c r="G2171" t="s">
        <v>8432</v>
      </c>
    </row>
    <row r="2172" spans="1:7" ht="44.25" customHeight="1">
      <c r="A2172" t="s">
        <v>8433</v>
      </c>
      <c r="B2172" t="s">
        <v>8434</v>
      </c>
      <c r="C2172" t="s">
        <v>136</v>
      </c>
      <c r="D2172" t="s">
        <v>2257</v>
      </c>
      <c r="E2172" t="s">
        <v>6323</v>
      </c>
      <c r="F2172" t="s">
        <v>149</v>
      </c>
      <c r="G2172" t="s">
        <v>8435</v>
      </c>
    </row>
    <row r="2173" spans="1:7" ht="44.25" customHeight="1">
      <c r="A2173" t="s">
        <v>8436</v>
      </c>
      <c r="B2173" t="s">
        <v>8437</v>
      </c>
      <c r="C2173" t="s">
        <v>136</v>
      </c>
      <c r="D2173" t="s">
        <v>2253</v>
      </c>
      <c r="E2173" t="s">
        <v>1432</v>
      </c>
      <c r="F2173" t="s">
        <v>149</v>
      </c>
      <c r="G2173" t="s">
        <v>8438</v>
      </c>
    </row>
    <row r="2174" spans="1:7" ht="44.25" customHeight="1">
      <c r="A2174" t="s">
        <v>8439</v>
      </c>
      <c r="B2174" t="s">
        <v>8440</v>
      </c>
      <c r="C2174" t="s">
        <v>136</v>
      </c>
      <c r="D2174" t="s">
        <v>2257</v>
      </c>
      <c r="E2174" t="s">
        <v>2276</v>
      </c>
      <c r="F2174" t="s">
        <v>149</v>
      </c>
      <c r="G2174" t="s">
        <v>8441</v>
      </c>
    </row>
    <row r="2175" spans="1:7" ht="44.25" customHeight="1">
      <c r="A2175" t="s">
        <v>1445</v>
      </c>
      <c r="B2175" t="s">
        <v>8442</v>
      </c>
      <c r="C2175" t="s">
        <v>136</v>
      </c>
      <c r="D2175" t="s">
        <v>2257</v>
      </c>
      <c r="E2175" t="s">
        <v>8443</v>
      </c>
      <c r="F2175" t="s">
        <v>149</v>
      </c>
      <c r="G2175" t="s">
        <v>8444</v>
      </c>
    </row>
    <row r="2176" spans="1:7" ht="44.25" customHeight="1">
      <c r="A2176" t="s">
        <v>8445</v>
      </c>
      <c r="B2176" t="s">
        <v>8446</v>
      </c>
      <c r="C2176" t="s">
        <v>136</v>
      </c>
      <c r="D2176" t="s">
        <v>79</v>
      </c>
      <c r="E2176" t="s">
        <v>4556</v>
      </c>
      <c r="F2176" t="s">
        <v>149</v>
      </c>
      <c r="G2176" t="s">
        <v>8447</v>
      </c>
    </row>
    <row r="2177" spans="1:7" ht="44.25" customHeight="1">
      <c r="A2177" t="s">
        <v>8448</v>
      </c>
      <c r="B2177" t="s">
        <v>8449</v>
      </c>
      <c r="C2177" t="s">
        <v>136</v>
      </c>
      <c r="D2177" t="s">
        <v>79</v>
      </c>
      <c r="E2177" t="s">
        <v>8450</v>
      </c>
      <c r="F2177" t="s">
        <v>149</v>
      </c>
      <c r="G2177" t="s">
        <v>8451</v>
      </c>
    </row>
    <row r="2178" spans="1:7" ht="44.25" customHeight="1">
      <c r="A2178" t="s">
        <v>136</v>
      </c>
      <c r="B2178" t="s">
        <v>8452</v>
      </c>
      <c r="C2178" t="s">
        <v>136</v>
      </c>
      <c r="D2178" t="s">
        <v>2257</v>
      </c>
      <c r="E2178" t="s">
        <v>1607</v>
      </c>
      <c r="F2178" t="s">
        <v>149</v>
      </c>
      <c r="G2178" t="s">
        <v>8453</v>
      </c>
    </row>
    <row r="2179" spans="1:7" ht="44.25" customHeight="1">
      <c r="A2179" t="s">
        <v>8454</v>
      </c>
      <c r="B2179" t="s">
        <v>8455</v>
      </c>
      <c r="C2179" t="s">
        <v>136</v>
      </c>
      <c r="D2179" t="s">
        <v>2257</v>
      </c>
      <c r="E2179" t="s">
        <v>2399</v>
      </c>
      <c r="F2179" t="s">
        <v>149</v>
      </c>
      <c r="G2179" t="s">
        <v>8456</v>
      </c>
    </row>
    <row r="2180" spans="1:7" ht="44.25" customHeight="1">
      <c r="A2180" t="s">
        <v>8457</v>
      </c>
      <c r="B2180" t="s">
        <v>8458</v>
      </c>
      <c r="C2180" t="s">
        <v>136</v>
      </c>
      <c r="D2180" t="s">
        <v>2257</v>
      </c>
      <c r="E2180" t="s">
        <v>1607</v>
      </c>
      <c r="F2180" t="s">
        <v>149</v>
      </c>
      <c r="G2180" t="s">
        <v>8459</v>
      </c>
    </row>
    <row r="2181" spans="1:7" ht="44.25" customHeight="1">
      <c r="A2181" t="s">
        <v>282</v>
      </c>
      <c r="B2181" t="s">
        <v>8460</v>
      </c>
      <c r="C2181" t="s">
        <v>8461</v>
      </c>
      <c r="D2181" t="s">
        <v>2257</v>
      </c>
      <c r="E2181" t="s">
        <v>1607</v>
      </c>
      <c r="F2181" t="s">
        <v>149</v>
      </c>
      <c r="G2181" t="s">
        <v>8462</v>
      </c>
    </row>
    <row r="2182" spans="1:7" ht="44.25" customHeight="1">
      <c r="A2182" t="s">
        <v>8463</v>
      </c>
      <c r="B2182" t="s">
        <v>8464</v>
      </c>
      <c r="C2182" t="s">
        <v>136</v>
      </c>
      <c r="D2182" t="s">
        <v>2257</v>
      </c>
      <c r="E2182" t="s">
        <v>1607</v>
      </c>
      <c r="F2182" t="s">
        <v>149</v>
      </c>
      <c r="G2182" t="s">
        <v>8465</v>
      </c>
    </row>
    <row r="2183" spans="1:7" ht="44.25" customHeight="1">
      <c r="A2183" t="s">
        <v>8466</v>
      </c>
      <c r="B2183" t="s">
        <v>8467</v>
      </c>
      <c r="C2183" t="s">
        <v>136</v>
      </c>
      <c r="D2183" t="s">
        <v>2257</v>
      </c>
      <c r="E2183" t="s">
        <v>1607</v>
      </c>
      <c r="F2183" t="s">
        <v>149</v>
      </c>
      <c r="G2183" t="s">
        <v>8468</v>
      </c>
    </row>
    <row r="2184" spans="1:7" ht="44.25" customHeight="1">
      <c r="A2184" t="s">
        <v>8469</v>
      </c>
      <c r="B2184" t="s">
        <v>8470</v>
      </c>
      <c r="C2184" t="s">
        <v>136</v>
      </c>
      <c r="D2184" t="s">
        <v>2257</v>
      </c>
      <c r="E2184" t="s">
        <v>2882</v>
      </c>
      <c r="F2184" t="s">
        <v>149</v>
      </c>
      <c r="G2184" t="s">
        <v>8471</v>
      </c>
    </row>
    <row r="2185" spans="1:7" ht="44.25" customHeight="1">
      <c r="A2185" t="s">
        <v>8472</v>
      </c>
      <c r="B2185" t="s">
        <v>8473</v>
      </c>
      <c r="C2185" t="s">
        <v>136</v>
      </c>
      <c r="D2185" t="s">
        <v>2257</v>
      </c>
      <c r="E2185" t="s">
        <v>1607</v>
      </c>
      <c r="F2185" t="s">
        <v>149</v>
      </c>
      <c r="G2185" t="s">
        <v>8474</v>
      </c>
    </row>
    <row r="2186" spans="1:7" ht="44.25" customHeight="1">
      <c r="A2186" t="s">
        <v>8475</v>
      </c>
      <c r="B2186" t="s">
        <v>8476</v>
      </c>
      <c r="C2186" t="s">
        <v>136</v>
      </c>
      <c r="D2186" t="s">
        <v>79</v>
      </c>
      <c r="E2186" t="s">
        <v>8477</v>
      </c>
      <c r="F2186" t="s">
        <v>149</v>
      </c>
      <c r="G2186" t="s">
        <v>8478</v>
      </c>
    </row>
    <row r="2187" spans="1:7" ht="44.25" customHeight="1">
      <c r="A2187" t="s">
        <v>8479</v>
      </c>
      <c r="B2187" t="s">
        <v>8480</v>
      </c>
      <c r="C2187" t="s">
        <v>136</v>
      </c>
      <c r="D2187" t="s">
        <v>2257</v>
      </c>
      <c r="E2187" t="s">
        <v>2269</v>
      </c>
      <c r="F2187" t="s">
        <v>149</v>
      </c>
      <c r="G2187" t="s">
        <v>8481</v>
      </c>
    </row>
    <row r="2188" spans="1:7" ht="44.25" customHeight="1">
      <c r="A2188" t="s">
        <v>8482</v>
      </c>
      <c r="B2188" t="s">
        <v>8483</v>
      </c>
      <c r="C2188" t="s">
        <v>136</v>
      </c>
      <c r="D2188" t="s">
        <v>2253</v>
      </c>
      <c r="E2188" t="s">
        <v>1432</v>
      </c>
      <c r="F2188" t="s">
        <v>149</v>
      </c>
      <c r="G2188" t="s">
        <v>8484</v>
      </c>
    </row>
    <row r="2189" spans="1:7" ht="44.25" customHeight="1">
      <c r="A2189" t="s">
        <v>826</v>
      </c>
      <c r="B2189" t="s">
        <v>8485</v>
      </c>
      <c r="C2189" t="s">
        <v>136</v>
      </c>
      <c r="D2189" t="s">
        <v>2257</v>
      </c>
      <c r="E2189" t="s">
        <v>8486</v>
      </c>
      <c r="F2189" t="s">
        <v>149</v>
      </c>
      <c r="G2189" t="s">
        <v>8487</v>
      </c>
    </row>
    <row r="2190" spans="1:7" ht="44.25" customHeight="1">
      <c r="A2190" t="s">
        <v>931</v>
      </c>
      <c r="B2190" t="s">
        <v>8488</v>
      </c>
      <c r="C2190" t="s">
        <v>136</v>
      </c>
      <c r="D2190" t="s">
        <v>2257</v>
      </c>
      <c r="E2190" t="s">
        <v>2276</v>
      </c>
      <c r="F2190" t="s">
        <v>149</v>
      </c>
      <c r="G2190" t="s">
        <v>8489</v>
      </c>
    </row>
    <row r="2191" spans="1:7" ht="44.25" customHeight="1">
      <c r="A2191" t="s">
        <v>8490</v>
      </c>
      <c r="B2191" t="s">
        <v>8491</v>
      </c>
      <c r="C2191" t="s">
        <v>136</v>
      </c>
      <c r="D2191" t="s">
        <v>79</v>
      </c>
      <c r="E2191" t="s">
        <v>8492</v>
      </c>
      <c r="F2191" t="s">
        <v>149</v>
      </c>
      <c r="G2191" t="s">
        <v>8493</v>
      </c>
    </row>
    <row r="2192" spans="1:7" ht="44.25" customHeight="1">
      <c r="A2192" t="s">
        <v>8494</v>
      </c>
      <c r="B2192" t="s">
        <v>8495</v>
      </c>
      <c r="C2192" t="s">
        <v>136</v>
      </c>
      <c r="D2192" t="s">
        <v>79</v>
      </c>
      <c r="E2192" t="s">
        <v>8496</v>
      </c>
      <c r="F2192" t="s">
        <v>149</v>
      </c>
      <c r="G2192" t="s">
        <v>8497</v>
      </c>
    </row>
    <row r="2193" spans="1:7" ht="44.25" customHeight="1">
      <c r="A2193" t="s">
        <v>8498</v>
      </c>
      <c r="B2193" t="s">
        <v>8499</v>
      </c>
      <c r="C2193" t="s">
        <v>136</v>
      </c>
      <c r="D2193" t="s">
        <v>79</v>
      </c>
      <c r="E2193" t="s">
        <v>8500</v>
      </c>
      <c r="F2193" t="s">
        <v>149</v>
      </c>
      <c r="G2193" t="s">
        <v>8501</v>
      </c>
    </row>
    <row r="2194" spans="1:7" ht="44.25" customHeight="1">
      <c r="A2194" t="s">
        <v>8502</v>
      </c>
      <c r="B2194" t="s">
        <v>8503</v>
      </c>
      <c r="C2194" t="s">
        <v>136</v>
      </c>
      <c r="D2194" t="s">
        <v>79</v>
      </c>
      <c r="E2194" t="s">
        <v>8504</v>
      </c>
      <c r="F2194" t="s">
        <v>149</v>
      </c>
      <c r="G2194" t="s">
        <v>8505</v>
      </c>
    </row>
    <row r="2195" spans="1:7" ht="44.25" customHeight="1">
      <c r="A2195" t="s">
        <v>8506</v>
      </c>
      <c r="B2195" t="s">
        <v>8507</v>
      </c>
      <c r="C2195" t="s">
        <v>136</v>
      </c>
      <c r="D2195" t="s">
        <v>2257</v>
      </c>
      <c r="E2195" t="s">
        <v>2695</v>
      </c>
      <c r="F2195" t="s">
        <v>149</v>
      </c>
      <c r="G2195" t="s">
        <v>8508</v>
      </c>
    </row>
    <row r="2196" spans="1:7" ht="44.25" customHeight="1">
      <c r="A2196" t="s">
        <v>8509</v>
      </c>
      <c r="B2196" t="s">
        <v>8510</v>
      </c>
      <c r="C2196" t="s">
        <v>136</v>
      </c>
      <c r="D2196" t="s">
        <v>2257</v>
      </c>
      <c r="E2196" t="s">
        <v>1607</v>
      </c>
      <c r="F2196" t="s">
        <v>149</v>
      </c>
      <c r="G2196" t="s">
        <v>8511</v>
      </c>
    </row>
    <row r="2197" spans="1:7" ht="44.25" customHeight="1">
      <c r="A2197" t="s">
        <v>8512</v>
      </c>
      <c r="B2197" t="s">
        <v>8513</v>
      </c>
      <c r="C2197" t="s">
        <v>8514</v>
      </c>
      <c r="D2197" t="s">
        <v>2257</v>
      </c>
      <c r="E2197" t="s">
        <v>2685</v>
      </c>
      <c r="F2197" t="s">
        <v>149</v>
      </c>
      <c r="G2197" t="s">
        <v>8515</v>
      </c>
    </row>
    <row r="2198" spans="1:7" ht="44.25" customHeight="1">
      <c r="A2198" t="s">
        <v>262</v>
      </c>
      <c r="B2198" t="s">
        <v>8516</v>
      </c>
      <c r="C2198" t="s">
        <v>136</v>
      </c>
      <c r="D2198" t="s">
        <v>2257</v>
      </c>
      <c r="E2198" t="s">
        <v>1607</v>
      </c>
      <c r="F2198" t="s">
        <v>149</v>
      </c>
      <c r="G2198" t="s">
        <v>8517</v>
      </c>
    </row>
    <row r="2199" spans="1:7" ht="44.25" customHeight="1">
      <c r="A2199" t="s">
        <v>8518</v>
      </c>
      <c r="B2199" t="s">
        <v>8519</v>
      </c>
      <c r="C2199" t="s">
        <v>136</v>
      </c>
      <c r="D2199" t="s">
        <v>2257</v>
      </c>
      <c r="E2199" t="s">
        <v>2276</v>
      </c>
      <c r="F2199" t="s">
        <v>149</v>
      </c>
      <c r="G2199" t="s">
        <v>8520</v>
      </c>
    </row>
    <row r="2200" spans="1:7" ht="44.25" customHeight="1">
      <c r="A2200" t="s">
        <v>8521</v>
      </c>
      <c r="B2200" t="s">
        <v>8522</v>
      </c>
      <c r="C2200" t="s">
        <v>136</v>
      </c>
      <c r="D2200" t="s">
        <v>2257</v>
      </c>
      <c r="E2200" t="s">
        <v>2276</v>
      </c>
      <c r="F2200" t="s">
        <v>149</v>
      </c>
      <c r="G2200" t="s">
        <v>8523</v>
      </c>
    </row>
    <row r="2201" spans="1:7" ht="44.25" customHeight="1">
      <c r="A2201" t="s">
        <v>8524</v>
      </c>
      <c r="B2201" t="s">
        <v>8525</v>
      </c>
      <c r="C2201" t="s">
        <v>136</v>
      </c>
      <c r="D2201" t="s">
        <v>2257</v>
      </c>
      <c r="E2201" t="s">
        <v>2276</v>
      </c>
      <c r="F2201" t="s">
        <v>149</v>
      </c>
      <c r="G2201" t="s">
        <v>8526</v>
      </c>
    </row>
    <row r="2202" spans="1:7" ht="44.25" customHeight="1">
      <c r="A2202" t="s">
        <v>8527</v>
      </c>
      <c r="B2202" t="s">
        <v>8528</v>
      </c>
      <c r="C2202" t="s">
        <v>136</v>
      </c>
      <c r="D2202" t="s">
        <v>2257</v>
      </c>
      <c r="E2202" t="s">
        <v>2276</v>
      </c>
      <c r="F2202" t="s">
        <v>149</v>
      </c>
      <c r="G2202" t="s">
        <v>8529</v>
      </c>
    </row>
    <row r="2203" spans="1:7" ht="44.25" customHeight="1">
      <c r="A2203" t="s">
        <v>1338</v>
      </c>
      <c r="B2203" t="s">
        <v>8530</v>
      </c>
      <c r="C2203" t="s">
        <v>136</v>
      </c>
      <c r="D2203" t="s">
        <v>2253</v>
      </c>
      <c r="E2203" t="s">
        <v>1432</v>
      </c>
      <c r="F2203" t="s">
        <v>149</v>
      </c>
      <c r="G2203" t="s">
        <v>8531</v>
      </c>
    </row>
    <row r="2204" spans="1:7" ht="44.25" customHeight="1">
      <c r="A2204" t="s">
        <v>1344</v>
      </c>
      <c r="B2204" t="s">
        <v>8532</v>
      </c>
      <c r="C2204" t="s">
        <v>136</v>
      </c>
      <c r="D2204" t="s">
        <v>2253</v>
      </c>
      <c r="E2204" t="s">
        <v>1432</v>
      </c>
      <c r="F2204" t="s">
        <v>149</v>
      </c>
      <c r="G2204" t="s">
        <v>8533</v>
      </c>
    </row>
    <row r="2205" spans="1:7" ht="44.25" customHeight="1">
      <c r="A2205" t="s">
        <v>755</v>
      </c>
      <c r="B2205" t="s">
        <v>8534</v>
      </c>
      <c r="C2205" t="s">
        <v>136</v>
      </c>
      <c r="D2205" t="s">
        <v>2257</v>
      </c>
      <c r="E2205" t="s">
        <v>4511</v>
      </c>
      <c r="F2205" t="s">
        <v>149</v>
      </c>
      <c r="G2205" t="s">
        <v>8535</v>
      </c>
    </row>
    <row r="2206" spans="1:7" ht="44.25" customHeight="1">
      <c r="A2206" t="s">
        <v>511</v>
      </c>
      <c r="B2206" t="s">
        <v>8536</v>
      </c>
      <c r="C2206" t="s">
        <v>136</v>
      </c>
      <c r="D2206" t="s">
        <v>2257</v>
      </c>
      <c r="E2206" t="s">
        <v>2258</v>
      </c>
      <c r="F2206" t="s">
        <v>149</v>
      </c>
      <c r="G2206" t="s">
        <v>8537</v>
      </c>
    </row>
    <row r="2207" spans="1:7" ht="44.25" customHeight="1">
      <c r="A2207" t="s">
        <v>767</v>
      </c>
      <c r="B2207" t="s">
        <v>8538</v>
      </c>
      <c r="C2207" t="s">
        <v>136</v>
      </c>
      <c r="D2207" t="s">
        <v>2257</v>
      </c>
      <c r="E2207" t="s">
        <v>8539</v>
      </c>
      <c r="F2207" t="s">
        <v>149</v>
      </c>
      <c r="G2207" t="s">
        <v>8540</v>
      </c>
    </row>
    <row r="2208" spans="1:7" ht="44.25" customHeight="1">
      <c r="A2208" t="s">
        <v>535</v>
      </c>
      <c r="B2208" t="s">
        <v>8541</v>
      </c>
      <c r="C2208" t="s">
        <v>136</v>
      </c>
      <c r="D2208" t="s">
        <v>2257</v>
      </c>
      <c r="E2208" t="s">
        <v>6580</v>
      </c>
      <c r="F2208" t="s">
        <v>149</v>
      </c>
      <c r="G2208" t="s">
        <v>8542</v>
      </c>
    </row>
    <row r="2209" spans="1:7" ht="44.25" customHeight="1">
      <c r="A2209" t="s">
        <v>136</v>
      </c>
      <c r="B2209" t="s">
        <v>8543</v>
      </c>
      <c r="C2209" t="s">
        <v>136</v>
      </c>
      <c r="D2209" t="s">
        <v>79</v>
      </c>
      <c r="E2209" t="s">
        <v>1544</v>
      </c>
      <c r="F2209" t="s">
        <v>149</v>
      </c>
      <c r="G2209" t="s">
        <v>8544</v>
      </c>
    </row>
    <row r="2210" spans="1:7" ht="44.25" customHeight="1">
      <c r="A2210" t="s">
        <v>136</v>
      </c>
      <c r="B2210" t="s">
        <v>8545</v>
      </c>
      <c r="C2210" t="s">
        <v>136</v>
      </c>
      <c r="D2210" t="s">
        <v>79</v>
      </c>
      <c r="E2210" t="s">
        <v>8546</v>
      </c>
      <c r="F2210" t="s">
        <v>149</v>
      </c>
      <c r="G2210" t="s">
        <v>8547</v>
      </c>
    </row>
    <row r="2211" spans="1:7" ht="44.25" customHeight="1">
      <c r="A2211" t="s">
        <v>8548</v>
      </c>
      <c r="B2211" t="s">
        <v>8549</v>
      </c>
      <c r="C2211" t="s">
        <v>136</v>
      </c>
      <c r="D2211" t="s">
        <v>79</v>
      </c>
      <c r="E2211" t="s">
        <v>8550</v>
      </c>
      <c r="F2211" t="s">
        <v>149</v>
      </c>
      <c r="G2211" t="s">
        <v>8551</v>
      </c>
    </row>
    <row r="2212" spans="1:7" ht="44.25" customHeight="1">
      <c r="A2212" t="s">
        <v>8552</v>
      </c>
      <c r="B2212" t="s">
        <v>8553</v>
      </c>
      <c r="C2212" t="s">
        <v>136</v>
      </c>
      <c r="D2212" t="s">
        <v>79</v>
      </c>
      <c r="E2212" t="s">
        <v>8554</v>
      </c>
      <c r="F2212" t="s">
        <v>149</v>
      </c>
      <c r="G2212" t="s">
        <v>8555</v>
      </c>
    </row>
    <row r="2213" spans="1:7" ht="44.25" customHeight="1">
      <c r="A2213" t="s">
        <v>8556</v>
      </c>
      <c r="B2213" t="s">
        <v>8557</v>
      </c>
      <c r="C2213" t="s">
        <v>136</v>
      </c>
      <c r="D2213" t="s">
        <v>2398</v>
      </c>
      <c r="E2213" t="s">
        <v>1524</v>
      </c>
      <c r="F2213" t="s">
        <v>149</v>
      </c>
      <c r="G2213" t="s">
        <v>8558</v>
      </c>
    </row>
    <row r="2214" spans="1:7" ht="44.25" customHeight="1">
      <c r="A2214" t="s">
        <v>8556</v>
      </c>
      <c r="B2214" t="s">
        <v>8557</v>
      </c>
      <c r="C2214" t="s">
        <v>136</v>
      </c>
      <c r="D2214" t="s">
        <v>2398</v>
      </c>
      <c r="E2214" t="s">
        <v>1524</v>
      </c>
      <c r="F2214" t="s">
        <v>149</v>
      </c>
      <c r="G2214" t="s">
        <v>8558</v>
      </c>
    </row>
    <row r="2215" spans="1:7" ht="44.25" customHeight="1">
      <c r="A2215" t="s">
        <v>8559</v>
      </c>
      <c r="B2215" t="s">
        <v>8560</v>
      </c>
      <c r="C2215" t="s">
        <v>136</v>
      </c>
      <c r="D2215" t="s">
        <v>79</v>
      </c>
      <c r="E2215" t="s">
        <v>8561</v>
      </c>
      <c r="F2215" t="s">
        <v>149</v>
      </c>
      <c r="G2215" t="s">
        <v>8562</v>
      </c>
    </row>
    <row r="2216" spans="1:7" ht="44.25" customHeight="1">
      <c r="A2216" t="s">
        <v>8563</v>
      </c>
      <c r="B2216" t="s">
        <v>8564</v>
      </c>
      <c r="C2216" t="s">
        <v>136</v>
      </c>
      <c r="D2216" t="s">
        <v>79</v>
      </c>
      <c r="E2216" t="s">
        <v>8565</v>
      </c>
      <c r="F2216" t="s">
        <v>149</v>
      </c>
      <c r="G2216" t="s">
        <v>8566</v>
      </c>
    </row>
    <row r="2217" spans="1:7" ht="44.25" customHeight="1">
      <c r="A2217" t="s">
        <v>8567</v>
      </c>
      <c r="B2217" t="s">
        <v>8568</v>
      </c>
      <c r="C2217" t="s">
        <v>136</v>
      </c>
      <c r="D2217" t="s">
        <v>79</v>
      </c>
      <c r="E2217" t="s">
        <v>8569</v>
      </c>
      <c r="F2217" t="s">
        <v>149</v>
      </c>
      <c r="G2217" t="s">
        <v>8570</v>
      </c>
    </row>
    <row r="2218" spans="1:7" ht="44.25" customHeight="1">
      <c r="A2218" t="s">
        <v>8571</v>
      </c>
      <c r="B2218" t="s">
        <v>8572</v>
      </c>
      <c r="C2218" t="s">
        <v>136</v>
      </c>
      <c r="D2218" t="s">
        <v>2257</v>
      </c>
      <c r="E2218" t="s">
        <v>5684</v>
      </c>
      <c r="F2218" t="s">
        <v>149</v>
      </c>
      <c r="G2218" t="s">
        <v>8573</v>
      </c>
    </row>
    <row r="2219" spans="1:7" ht="44.25" customHeight="1">
      <c r="A2219" t="s">
        <v>473</v>
      </c>
      <c r="B2219" t="s">
        <v>8574</v>
      </c>
      <c r="C2219" t="s">
        <v>136</v>
      </c>
      <c r="D2219" t="s">
        <v>2257</v>
      </c>
      <c r="E2219" t="s">
        <v>1518</v>
      </c>
      <c r="F2219" t="s">
        <v>149</v>
      </c>
      <c r="G2219" t="s">
        <v>8575</v>
      </c>
    </row>
    <row r="2220" spans="1:7" ht="44.25" customHeight="1">
      <c r="A2220" t="s">
        <v>8576</v>
      </c>
      <c r="B2220" t="s">
        <v>8577</v>
      </c>
      <c r="C2220" t="s">
        <v>136</v>
      </c>
      <c r="D2220" t="s">
        <v>79</v>
      </c>
      <c r="E2220" t="s">
        <v>8578</v>
      </c>
      <c r="F2220" t="s">
        <v>149</v>
      </c>
      <c r="G2220" t="s">
        <v>8579</v>
      </c>
    </row>
    <row r="2221" spans="1:7" ht="44.25" customHeight="1">
      <c r="A2221" t="s">
        <v>8580</v>
      </c>
      <c r="B2221" t="s">
        <v>8581</v>
      </c>
      <c r="C2221" t="s">
        <v>136</v>
      </c>
      <c r="D2221" t="s">
        <v>79</v>
      </c>
      <c r="E2221" t="s">
        <v>8582</v>
      </c>
      <c r="F2221" t="s">
        <v>149</v>
      </c>
      <c r="G2221" t="s">
        <v>8583</v>
      </c>
    </row>
    <row r="2222" spans="1:7" ht="44.25" customHeight="1">
      <c r="A2222" t="s">
        <v>8584</v>
      </c>
      <c r="B2222" t="s">
        <v>8585</v>
      </c>
      <c r="C2222" t="s">
        <v>136</v>
      </c>
      <c r="D2222" t="s">
        <v>79</v>
      </c>
      <c r="E2222" t="s">
        <v>8586</v>
      </c>
      <c r="F2222" t="s">
        <v>149</v>
      </c>
      <c r="G2222" t="s">
        <v>8587</v>
      </c>
    </row>
    <row r="2223" spans="1:7" ht="44.25" customHeight="1">
      <c r="A2223" t="s">
        <v>8588</v>
      </c>
      <c r="B2223" t="s">
        <v>8589</v>
      </c>
      <c r="C2223" t="s">
        <v>136</v>
      </c>
      <c r="D2223" t="s">
        <v>79</v>
      </c>
      <c r="E2223" t="s">
        <v>8590</v>
      </c>
      <c r="F2223" t="s">
        <v>149</v>
      </c>
      <c r="G2223" t="s">
        <v>8591</v>
      </c>
    </row>
    <row r="2224" spans="1:7" ht="44.25" customHeight="1">
      <c r="A2224" t="s">
        <v>8592</v>
      </c>
      <c r="B2224" t="s">
        <v>8593</v>
      </c>
      <c r="C2224" t="s">
        <v>136</v>
      </c>
      <c r="D2224" t="s">
        <v>79</v>
      </c>
      <c r="E2224" t="s">
        <v>8594</v>
      </c>
      <c r="F2224" t="s">
        <v>149</v>
      </c>
      <c r="G2224" t="s">
        <v>8595</v>
      </c>
    </row>
    <row r="2225" spans="1:7" ht="44.25" customHeight="1">
      <c r="A2225" t="s">
        <v>8596</v>
      </c>
      <c r="B2225" t="s">
        <v>8597</v>
      </c>
      <c r="C2225" t="s">
        <v>136</v>
      </c>
      <c r="D2225" t="s">
        <v>2257</v>
      </c>
      <c r="E2225" t="s">
        <v>5691</v>
      </c>
      <c r="F2225" t="s">
        <v>149</v>
      </c>
      <c r="G2225" t="s">
        <v>8598</v>
      </c>
    </row>
    <row r="2226" spans="1:7" ht="44.25" customHeight="1">
      <c r="A2226" t="s">
        <v>8599</v>
      </c>
      <c r="B2226" t="s">
        <v>8600</v>
      </c>
      <c r="C2226" t="s">
        <v>136</v>
      </c>
      <c r="D2226" t="s">
        <v>2257</v>
      </c>
      <c r="E2226" t="s">
        <v>5684</v>
      </c>
      <c r="F2226" t="s">
        <v>149</v>
      </c>
      <c r="G2226" t="s">
        <v>8601</v>
      </c>
    </row>
    <row r="2227" spans="1:7" ht="44.25" customHeight="1">
      <c r="A2227" t="s">
        <v>393</v>
      </c>
      <c r="B2227" t="s">
        <v>8602</v>
      </c>
      <c r="C2227" t="s">
        <v>136</v>
      </c>
      <c r="D2227" t="s">
        <v>79</v>
      </c>
      <c r="E2227" t="s">
        <v>1515</v>
      </c>
      <c r="F2227" t="s">
        <v>149</v>
      </c>
      <c r="G2227" t="s">
        <v>8603</v>
      </c>
    </row>
    <row r="2228" spans="1:7" ht="44.25" customHeight="1">
      <c r="A2228" t="s">
        <v>8604</v>
      </c>
      <c r="B2228" t="s">
        <v>8605</v>
      </c>
      <c r="C2228" t="s">
        <v>136</v>
      </c>
      <c r="D2228" t="s">
        <v>2257</v>
      </c>
      <c r="E2228" t="s">
        <v>5891</v>
      </c>
      <c r="F2228" t="s">
        <v>149</v>
      </c>
      <c r="G2228" t="s">
        <v>8606</v>
      </c>
    </row>
    <row r="2229" spans="1:7" ht="44.25" customHeight="1">
      <c r="A2229" t="s">
        <v>8607</v>
      </c>
      <c r="B2229" t="s">
        <v>8608</v>
      </c>
      <c r="C2229" t="s">
        <v>136</v>
      </c>
      <c r="D2229" t="s">
        <v>2257</v>
      </c>
      <c r="E2229" t="s">
        <v>1607</v>
      </c>
      <c r="F2229" t="s">
        <v>149</v>
      </c>
      <c r="G2229" t="s">
        <v>8609</v>
      </c>
    </row>
    <row r="2230" spans="1:7" ht="44.25" customHeight="1">
      <c r="A2230" t="s">
        <v>8610</v>
      </c>
      <c r="B2230" t="s">
        <v>8611</v>
      </c>
      <c r="C2230" t="s">
        <v>136</v>
      </c>
      <c r="D2230" t="s">
        <v>2624</v>
      </c>
      <c r="E2230" t="s">
        <v>2695</v>
      </c>
      <c r="F2230" t="s">
        <v>149</v>
      </c>
      <c r="G2230" t="s">
        <v>8612</v>
      </c>
    </row>
    <row r="2231" spans="1:7" ht="44.25" customHeight="1">
      <c r="A2231" t="s">
        <v>8613</v>
      </c>
      <c r="B2231" t="s">
        <v>8614</v>
      </c>
      <c r="C2231" t="s">
        <v>136</v>
      </c>
      <c r="D2231" t="s">
        <v>2257</v>
      </c>
      <c r="E2231" t="s">
        <v>1607</v>
      </c>
      <c r="F2231" t="s">
        <v>149</v>
      </c>
      <c r="G2231" t="s">
        <v>8615</v>
      </c>
    </row>
    <row r="2232" spans="1:7" ht="44.25" customHeight="1">
      <c r="A2232" t="s">
        <v>1023</v>
      </c>
      <c r="B2232" t="s">
        <v>8616</v>
      </c>
      <c r="C2232" t="s">
        <v>136</v>
      </c>
      <c r="D2232" t="s">
        <v>79</v>
      </c>
      <c r="E2232" t="s">
        <v>1622</v>
      </c>
      <c r="F2232" t="s">
        <v>149</v>
      </c>
      <c r="G2232" t="s">
        <v>8617</v>
      </c>
    </row>
    <row r="2233" spans="1:7" ht="44.25" customHeight="1">
      <c r="A2233" t="s">
        <v>443</v>
      </c>
      <c r="B2233" t="s">
        <v>8618</v>
      </c>
      <c r="C2233" t="s">
        <v>136</v>
      </c>
      <c r="D2233" t="s">
        <v>79</v>
      </c>
      <c r="E2233" t="s">
        <v>7170</v>
      </c>
      <c r="F2233" t="s">
        <v>149</v>
      </c>
      <c r="G2233" t="s">
        <v>8619</v>
      </c>
    </row>
    <row r="2234" spans="1:7" ht="44.25" customHeight="1">
      <c r="A2234" t="s">
        <v>8620</v>
      </c>
      <c r="B2234" t="s">
        <v>8621</v>
      </c>
      <c r="C2234" t="s">
        <v>136</v>
      </c>
      <c r="D2234" t="s">
        <v>2253</v>
      </c>
      <c r="E2234" t="s">
        <v>1432</v>
      </c>
      <c r="F2234" t="s">
        <v>149</v>
      </c>
      <c r="G2234" t="s">
        <v>8622</v>
      </c>
    </row>
    <row r="2235" spans="1:7" ht="44.25" customHeight="1">
      <c r="A2235" t="s">
        <v>8623</v>
      </c>
      <c r="B2235" t="s">
        <v>8624</v>
      </c>
      <c r="C2235" t="s">
        <v>136</v>
      </c>
      <c r="D2235" t="s">
        <v>2253</v>
      </c>
      <c r="E2235" t="s">
        <v>2258</v>
      </c>
      <c r="F2235" t="s">
        <v>149</v>
      </c>
      <c r="G2235" t="s">
        <v>8625</v>
      </c>
    </row>
    <row r="2236" spans="1:7" ht="44.25" customHeight="1">
      <c r="A2236" t="s">
        <v>8626</v>
      </c>
      <c r="B2236" t="s">
        <v>8627</v>
      </c>
      <c r="C2236" t="s">
        <v>136</v>
      </c>
      <c r="D2236" t="s">
        <v>2253</v>
      </c>
      <c r="E2236" t="s">
        <v>1430</v>
      </c>
      <c r="F2236" t="s">
        <v>149</v>
      </c>
      <c r="G2236" t="s">
        <v>8628</v>
      </c>
    </row>
    <row r="2237" spans="1:7" ht="44.25" customHeight="1">
      <c r="A2237" t="s">
        <v>8629</v>
      </c>
      <c r="B2237" t="s">
        <v>8630</v>
      </c>
      <c r="C2237" t="s">
        <v>136</v>
      </c>
      <c r="D2237" t="s">
        <v>2257</v>
      </c>
      <c r="E2237" t="s">
        <v>2276</v>
      </c>
      <c r="F2237" t="s">
        <v>149</v>
      </c>
      <c r="G2237" t="s">
        <v>8631</v>
      </c>
    </row>
    <row r="2238" spans="1:7" ht="44.25" customHeight="1">
      <c r="A2238" t="s">
        <v>8632</v>
      </c>
      <c r="B2238" t="s">
        <v>8633</v>
      </c>
      <c r="C2238" t="s">
        <v>136</v>
      </c>
      <c r="D2238" t="s">
        <v>2257</v>
      </c>
      <c r="E2238" t="s">
        <v>2276</v>
      </c>
      <c r="F2238" t="s">
        <v>149</v>
      </c>
      <c r="G2238" t="s">
        <v>8634</v>
      </c>
    </row>
    <row r="2239" spans="1:7" ht="44.25" customHeight="1">
      <c r="A2239" t="s">
        <v>8635</v>
      </c>
      <c r="B2239" t="s">
        <v>8636</v>
      </c>
      <c r="C2239" t="s">
        <v>136</v>
      </c>
      <c r="D2239" t="s">
        <v>2253</v>
      </c>
      <c r="E2239" t="s">
        <v>1432</v>
      </c>
      <c r="F2239" t="s">
        <v>149</v>
      </c>
      <c r="G2239" t="s">
        <v>8637</v>
      </c>
    </row>
    <row r="2240" spans="1:7" ht="44.25" customHeight="1">
      <c r="A2240" t="s">
        <v>8638</v>
      </c>
      <c r="B2240" t="s">
        <v>8639</v>
      </c>
      <c r="C2240" t="s">
        <v>136</v>
      </c>
      <c r="D2240" t="s">
        <v>79</v>
      </c>
      <c r="E2240" t="s">
        <v>6211</v>
      </c>
      <c r="F2240" t="s">
        <v>149</v>
      </c>
      <c r="G2240" t="s">
        <v>8640</v>
      </c>
    </row>
    <row r="2241" spans="1:7" ht="44.25" customHeight="1">
      <c r="A2241" t="s">
        <v>8641</v>
      </c>
      <c r="B2241" t="s">
        <v>8642</v>
      </c>
      <c r="C2241" t="s">
        <v>136</v>
      </c>
      <c r="D2241" t="s">
        <v>79</v>
      </c>
      <c r="E2241" t="s">
        <v>8643</v>
      </c>
      <c r="F2241" t="s">
        <v>149</v>
      </c>
      <c r="G2241" t="s">
        <v>8644</v>
      </c>
    </row>
    <row r="2242" spans="1:7" ht="44.25" customHeight="1">
      <c r="A2242" t="s">
        <v>996</v>
      </c>
      <c r="B2242" t="s">
        <v>8645</v>
      </c>
      <c r="C2242" t="s">
        <v>136</v>
      </c>
      <c r="D2242" t="s">
        <v>2257</v>
      </c>
      <c r="E2242" t="s">
        <v>2276</v>
      </c>
      <c r="F2242" t="s">
        <v>149</v>
      </c>
      <c r="G2242" t="s">
        <v>8646</v>
      </c>
    </row>
    <row r="2243" spans="1:7" ht="44.25" customHeight="1">
      <c r="A2243" t="s">
        <v>942</v>
      </c>
      <c r="B2243" t="s">
        <v>8647</v>
      </c>
      <c r="C2243" t="s">
        <v>136</v>
      </c>
      <c r="D2243" t="s">
        <v>2257</v>
      </c>
      <c r="E2243" t="s">
        <v>2276</v>
      </c>
      <c r="F2243" t="s">
        <v>149</v>
      </c>
      <c r="G2243" t="s">
        <v>8648</v>
      </c>
    </row>
    <row r="2244" spans="1:7" ht="44.25" customHeight="1">
      <c r="A2244" t="s">
        <v>665</v>
      </c>
      <c r="B2244" t="s">
        <v>8649</v>
      </c>
      <c r="C2244" t="s">
        <v>136</v>
      </c>
      <c r="D2244" t="s">
        <v>79</v>
      </c>
      <c r="E2244" t="s">
        <v>4205</v>
      </c>
      <c r="F2244" t="s">
        <v>149</v>
      </c>
      <c r="G2244" t="s">
        <v>8650</v>
      </c>
    </row>
    <row r="2245" spans="1:7" ht="44.25" customHeight="1">
      <c r="A2245" t="s">
        <v>747</v>
      </c>
      <c r="B2245" t="s">
        <v>8651</v>
      </c>
      <c r="C2245" t="s">
        <v>136</v>
      </c>
      <c r="D2245" t="s">
        <v>79</v>
      </c>
      <c r="E2245" t="s">
        <v>4477</v>
      </c>
      <c r="F2245" t="s">
        <v>149</v>
      </c>
      <c r="G2245" t="s">
        <v>8652</v>
      </c>
    </row>
    <row r="2246" spans="1:7" ht="44.25" customHeight="1">
      <c r="A2246" t="s">
        <v>136</v>
      </c>
      <c r="B2246" t="s">
        <v>8653</v>
      </c>
      <c r="C2246" t="s">
        <v>136</v>
      </c>
      <c r="D2246" t="s">
        <v>79</v>
      </c>
      <c r="E2246" t="s">
        <v>3482</v>
      </c>
      <c r="F2246" t="s">
        <v>149</v>
      </c>
      <c r="G2246" t="s">
        <v>8654</v>
      </c>
    </row>
    <row r="2247" spans="1:7" ht="44.25" customHeight="1">
      <c r="A2247" t="s">
        <v>8655</v>
      </c>
      <c r="B2247" t="s">
        <v>8656</v>
      </c>
      <c r="C2247" t="s">
        <v>136</v>
      </c>
      <c r="D2247" t="s">
        <v>79</v>
      </c>
      <c r="E2247" t="s">
        <v>8657</v>
      </c>
      <c r="F2247" t="s">
        <v>149</v>
      </c>
      <c r="G2247" t="s">
        <v>8658</v>
      </c>
    </row>
    <row r="2248" spans="1:7" ht="44.25" customHeight="1">
      <c r="A2248" t="s">
        <v>8659</v>
      </c>
      <c r="B2248" t="s">
        <v>8660</v>
      </c>
      <c r="C2248" t="s">
        <v>136</v>
      </c>
      <c r="D2248" t="s">
        <v>79</v>
      </c>
      <c r="E2248" t="s">
        <v>8661</v>
      </c>
      <c r="F2248" t="s">
        <v>149</v>
      </c>
      <c r="G2248" t="s">
        <v>8662</v>
      </c>
    </row>
    <row r="2249" spans="1:7" ht="44.25" customHeight="1">
      <c r="A2249" t="s">
        <v>8663</v>
      </c>
      <c r="B2249" t="s">
        <v>8664</v>
      </c>
      <c r="C2249" t="s">
        <v>136</v>
      </c>
      <c r="D2249" t="s">
        <v>79</v>
      </c>
      <c r="E2249" t="s">
        <v>8665</v>
      </c>
      <c r="F2249" t="s">
        <v>149</v>
      </c>
      <c r="G2249" t="s">
        <v>8666</v>
      </c>
    </row>
    <row r="2250" spans="1:7" ht="44.25" customHeight="1">
      <c r="A2250" t="s">
        <v>136</v>
      </c>
      <c r="B2250" t="s">
        <v>8667</v>
      </c>
      <c r="C2250" t="s">
        <v>136</v>
      </c>
      <c r="D2250" t="s">
        <v>2257</v>
      </c>
      <c r="E2250" t="s">
        <v>6128</v>
      </c>
      <c r="F2250" t="s">
        <v>149</v>
      </c>
      <c r="G2250" t="s">
        <v>8668</v>
      </c>
    </row>
    <row r="2251" spans="1:7" ht="44.25" customHeight="1">
      <c r="A2251" t="s">
        <v>538</v>
      </c>
      <c r="B2251" t="s">
        <v>8669</v>
      </c>
      <c r="C2251" t="s">
        <v>136</v>
      </c>
      <c r="D2251" t="s">
        <v>79</v>
      </c>
      <c r="E2251" t="s">
        <v>1523</v>
      </c>
      <c r="F2251" t="s">
        <v>149</v>
      </c>
      <c r="G2251" t="s">
        <v>8670</v>
      </c>
    </row>
    <row r="2252" spans="1:7" ht="44.25" customHeight="1">
      <c r="A2252" t="s">
        <v>8671</v>
      </c>
      <c r="B2252" t="s">
        <v>8672</v>
      </c>
      <c r="C2252" t="s">
        <v>136</v>
      </c>
      <c r="D2252" t="s">
        <v>2257</v>
      </c>
      <c r="E2252" t="s">
        <v>1607</v>
      </c>
      <c r="F2252" t="s">
        <v>149</v>
      </c>
      <c r="G2252" t="s">
        <v>8673</v>
      </c>
    </row>
    <row r="2253" spans="1:7" ht="44.25" customHeight="1">
      <c r="A2253" t="s">
        <v>8674</v>
      </c>
      <c r="B2253" t="s">
        <v>8675</v>
      </c>
      <c r="C2253" t="s">
        <v>136</v>
      </c>
      <c r="D2253" t="s">
        <v>2257</v>
      </c>
      <c r="E2253" t="s">
        <v>1584</v>
      </c>
      <c r="F2253" t="s">
        <v>149</v>
      </c>
      <c r="G2253" t="s">
        <v>8676</v>
      </c>
    </row>
    <row r="2254" spans="1:7" ht="44.25" customHeight="1">
      <c r="A2254" t="s">
        <v>8677</v>
      </c>
      <c r="B2254" t="s">
        <v>8678</v>
      </c>
      <c r="C2254" t="s">
        <v>136</v>
      </c>
      <c r="D2254" t="s">
        <v>2253</v>
      </c>
      <c r="E2254" t="s">
        <v>1432</v>
      </c>
      <c r="F2254" t="s">
        <v>149</v>
      </c>
      <c r="G2254" t="s">
        <v>8679</v>
      </c>
    </row>
    <row r="2255" spans="1:7" ht="44.25" customHeight="1">
      <c r="A2255" t="s">
        <v>8680</v>
      </c>
      <c r="B2255" t="s">
        <v>8681</v>
      </c>
      <c r="C2255" t="s">
        <v>136</v>
      </c>
      <c r="D2255" t="s">
        <v>79</v>
      </c>
      <c r="E2255" t="s">
        <v>3910</v>
      </c>
      <c r="F2255" t="s">
        <v>149</v>
      </c>
      <c r="G2255" t="s">
        <v>8682</v>
      </c>
    </row>
    <row r="2256" spans="1:7" ht="44.25" customHeight="1">
      <c r="A2256" t="s">
        <v>8683</v>
      </c>
      <c r="B2256" t="s">
        <v>8684</v>
      </c>
      <c r="C2256" t="s">
        <v>136</v>
      </c>
      <c r="D2256" t="s">
        <v>2257</v>
      </c>
      <c r="E2256" t="s">
        <v>1430</v>
      </c>
      <c r="F2256" t="s">
        <v>149</v>
      </c>
      <c r="G2256" t="s">
        <v>8685</v>
      </c>
    </row>
    <row r="2257" spans="1:7" ht="44.25" customHeight="1">
      <c r="A2257" t="s">
        <v>8686</v>
      </c>
      <c r="B2257" t="s">
        <v>8687</v>
      </c>
      <c r="C2257" t="s">
        <v>136</v>
      </c>
      <c r="D2257" t="s">
        <v>2253</v>
      </c>
      <c r="E2257" t="s">
        <v>1432</v>
      </c>
      <c r="F2257" t="s">
        <v>149</v>
      </c>
      <c r="G2257" t="s">
        <v>8688</v>
      </c>
    </row>
    <row r="2258" spans="1:7" ht="44.25" customHeight="1">
      <c r="A2258" t="s">
        <v>8689</v>
      </c>
      <c r="B2258" t="s">
        <v>8690</v>
      </c>
      <c r="C2258" t="s">
        <v>136</v>
      </c>
      <c r="D2258" t="s">
        <v>2253</v>
      </c>
      <c r="E2258" t="s">
        <v>1432</v>
      </c>
      <c r="F2258" t="s">
        <v>149</v>
      </c>
      <c r="G2258" t="s">
        <v>8691</v>
      </c>
    </row>
    <row r="2259" spans="1:7" ht="44.25" customHeight="1">
      <c r="A2259" t="s">
        <v>794</v>
      </c>
      <c r="B2259" t="s">
        <v>8692</v>
      </c>
      <c r="C2259" t="s">
        <v>136</v>
      </c>
      <c r="D2259" t="s">
        <v>2253</v>
      </c>
      <c r="E2259" t="s">
        <v>1432</v>
      </c>
      <c r="F2259" t="s">
        <v>149</v>
      </c>
      <c r="G2259" t="s">
        <v>8693</v>
      </c>
    </row>
    <row r="2260" spans="1:7" ht="44.25" customHeight="1">
      <c r="A2260" t="s">
        <v>8694</v>
      </c>
      <c r="B2260" t="s">
        <v>8695</v>
      </c>
      <c r="C2260" t="s">
        <v>136</v>
      </c>
      <c r="D2260" t="s">
        <v>79</v>
      </c>
      <c r="E2260" t="s">
        <v>8696</v>
      </c>
      <c r="F2260" t="s">
        <v>149</v>
      </c>
      <c r="G2260" t="s">
        <v>8697</v>
      </c>
    </row>
    <row r="2261" spans="1:7" ht="44.25" customHeight="1">
      <c r="A2261" t="s">
        <v>793</v>
      </c>
      <c r="B2261" t="s">
        <v>8698</v>
      </c>
      <c r="C2261" t="s">
        <v>136</v>
      </c>
      <c r="D2261" t="s">
        <v>2253</v>
      </c>
      <c r="E2261" t="s">
        <v>1432</v>
      </c>
      <c r="F2261" t="s">
        <v>149</v>
      </c>
      <c r="G2261" t="s">
        <v>8699</v>
      </c>
    </row>
    <row r="2262" spans="1:7" ht="44.25" customHeight="1">
      <c r="A2262" t="s">
        <v>458</v>
      </c>
      <c r="B2262" t="s">
        <v>8700</v>
      </c>
      <c r="C2262" t="s">
        <v>136</v>
      </c>
      <c r="D2262" t="s">
        <v>2257</v>
      </c>
      <c r="E2262" t="s">
        <v>4595</v>
      </c>
      <c r="F2262" t="s">
        <v>149</v>
      </c>
      <c r="G2262" t="s">
        <v>8701</v>
      </c>
    </row>
    <row r="2263" spans="1:7" ht="44.25" customHeight="1">
      <c r="A2263" t="s">
        <v>734</v>
      </c>
      <c r="B2263" t="s">
        <v>8702</v>
      </c>
      <c r="C2263" t="s">
        <v>136</v>
      </c>
      <c r="D2263" t="s">
        <v>2257</v>
      </c>
      <c r="E2263" t="s">
        <v>2269</v>
      </c>
      <c r="F2263" t="s">
        <v>149</v>
      </c>
      <c r="G2263" t="s">
        <v>8703</v>
      </c>
    </row>
    <row r="2264" spans="1:7" ht="44.25" customHeight="1">
      <c r="A2264" t="s">
        <v>8704</v>
      </c>
      <c r="B2264" t="s">
        <v>8705</v>
      </c>
      <c r="C2264" t="s">
        <v>136</v>
      </c>
      <c r="D2264" t="s">
        <v>2257</v>
      </c>
      <c r="E2264" t="s">
        <v>4452</v>
      </c>
      <c r="F2264" t="s">
        <v>149</v>
      </c>
      <c r="G2264" t="s">
        <v>8706</v>
      </c>
    </row>
    <row r="2265" spans="1:7" ht="44.25" customHeight="1">
      <c r="A2265" t="s">
        <v>8707</v>
      </c>
      <c r="B2265" t="s">
        <v>8708</v>
      </c>
      <c r="C2265" t="s">
        <v>136</v>
      </c>
      <c r="D2265" t="s">
        <v>2257</v>
      </c>
      <c r="E2265" t="s">
        <v>4865</v>
      </c>
      <c r="F2265" t="s">
        <v>149</v>
      </c>
      <c r="G2265" t="s">
        <v>8709</v>
      </c>
    </row>
    <row r="2266" spans="1:7" ht="44.25" customHeight="1">
      <c r="A2266" t="s">
        <v>8710</v>
      </c>
      <c r="B2266" t="s">
        <v>8711</v>
      </c>
      <c r="C2266" t="s">
        <v>136</v>
      </c>
      <c r="D2266" t="s">
        <v>79</v>
      </c>
      <c r="E2266" t="s">
        <v>8712</v>
      </c>
      <c r="F2266" t="s">
        <v>149</v>
      </c>
      <c r="G2266" t="s">
        <v>8713</v>
      </c>
    </row>
    <row r="2267" spans="1:7" ht="44.25" customHeight="1">
      <c r="A2267" t="s">
        <v>8714</v>
      </c>
      <c r="B2267" t="s">
        <v>8715</v>
      </c>
      <c r="C2267" t="s">
        <v>136</v>
      </c>
      <c r="D2267" t="s">
        <v>79</v>
      </c>
      <c r="E2267" t="s">
        <v>8716</v>
      </c>
      <c r="F2267" t="s">
        <v>149</v>
      </c>
      <c r="G2267" t="s">
        <v>8717</v>
      </c>
    </row>
    <row r="2268" spans="1:7" ht="44.25" customHeight="1">
      <c r="A2268" t="s">
        <v>8718</v>
      </c>
      <c r="B2268" t="s">
        <v>8719</v>
      </c>
      <c r="C2268" t="s">
        <v>136</v>
      </c>
      <c r="D2268" t="s">
        <v>79</v>
      </c>
      <c r="E2268" t="s">
        <v>8720</v>
      </c>
      <c r="F2268" t="s">
        <v>149</v>
      </c>
      <c r="G2268" t="s">
        <v>8721</v>
      </c>
    </row>
    <row r="2269" spans="1:7" ht="44.25" customHeight="1">
      <c r="A2269" t="s">
        <v>8722</v>
      </c>
      <c r="B2269" t="s">
        <v>8723</v>
      </c>
      <c r="C2269" t="s">
        <v>136</v>
      </c>
      <c r="D2269" t="s">
        <v>79</v>
      </c>
      <c r="E2269" t="s">
        <v>8724</v>
      </c>
      <c r="F2269" t="s">
        <v>149</v>
      </c>
      <c r="G2269" t="s">
        <v>8725</v>
      </c>
    </row>
    <row r="2270" spans="1:7" ht="44.25" customHeight="1">
      <c r="A2270" t="s">
        <v>136</v>
      </c>
      <c r="B2270" t="s">
        <v>8726</v>
      </c>
      <c r="C2270" t="s">
        <v>136</v>
      </c>
      <c r="D2270" t="s">
        <v>2257</v>
      </c>
      <c r="E2270" t="s">
        <v>5855</v>
      </c>
      <c r="F2270" t="s">
        <v>149</v>
      </c>
      <c r="G2270" t="s">
        <v>8727</v>
      </c>
    </row>
    <row r="2271" spans="1:7" ht="44.25" customHeight="1">
      <c r="A2271" t="s">
        <v>628</v>
      </c>
      <c r="B2271" t="s">
        <v>8728</v>
      </c>
      <c r="C2271" t="s">
        <v>136</v>
      </c>
      <c r="D2271" t="s">
        <v>8729</v>
      </c>
      <c r="E2271" t="s">
        <v>1520</v>
      </c>
      <c r="F2271" t="s">
        <v>149</v>
      </c>
      <c r="G2271" t="s">
        <v>8730</v>
      </c>
    </row>
    <row r="2272" spans="1:7" ht="44.25" customHeight="1">
      <c r="A2272" t="s">
        <v>8731</v>
      </c>
      <c r="B2272" t="s">
        <v>8732</v>
      </c>
      <c r="C2272" t="s">
        <v>136</v>
      </c>
      <c r="D2272" t="s">
        <v>2257</v>
      </c>
      <c r="E2272" t="s">
        <v>2399</v>
      </c>
      <c r="F2272" t="s">
        <v>149</v>
      </c>
      <c r="G2272" t="s">
        <v>8733</v>
      </c>
    </row>
    <row r="2273" spans="1:7" ht="44.25" customHeight="1">
      <c r="A2273" t="s">
        <v>8734</v>
      </c>
      <c r="B2273" t="s">
        <v>8735</v>
      </c>
      <c r="C2273" t="s">
        <v>136</v>
      </c>
      <c r="D2273" t="s">
        <v>2257</v>
      </c>
      <c r="E2273" t="s">
        <v>2695</v>
      </c>
      <c r="F2273" t="s">
        <v>149</v>
      </c>
      <c r="G2273" t="s">
        <v>8736</v>
      </c>
    </row>
    <row r="2274" spans="1:7" ht="44.25" customHeight="1">
      <c r="A2274" t="s">
        <v>320</v>
      </c>
      <c r="B2274" t="s">
        <v>8737</v>
      </c>
      <c r="C2274" t="s">
        <v>1510</v>
      </c>
      <c r="D2274" t="s">
        <v>2257</v>
      </c>
      <c r="E2274" t="s">
        <v>3162</v>
      </c>
      <c r="F2274" t="s">
        <v>149</v>
      </c>
      <c r="G2274" t="s">
        <v>8738</v>
      </c>
    </row>
    <row r="2275" spans="1:7" ht="44.25" customHeight="1">
      <c r="A2275" t="s">
        <v>6321</v>
      </c>
      <c r="B2275" t="s">
        <v>6322</v>
      </c>
      <c r="C2275" t="s">
        <v>136</v>
      </c>
      <c r="D2275" t="s">
        <v>79</v>
      </c>
      <c r="E2275" t="s">
        <v>6323</v>
      </c>
      <c r="F2275" t="s">
        <v>149</v>
      </c>
      <c r="G2275" t="s">
        <v>8739</v>
      </c>
    </row>
    <row r="2276" spans="1:7" ht="44.25" customHeight="1">
      <c r="A2276" t="s">
        <v>8740</v>
      </c>
      <c r="B2276" t="s">
        <v>8741</v>
      </c>
      <c r="C2276" t="s">
        <v>136</v>
      </c>
      <c r="D2276" t="s">
        <v>79</v>
      </c>
      <c r="E2276" t="s">
        <v>7457</v>
      </c>
      <c r="F2276" t="s">
        <v>149</v>
      </c>
      <c r="G2276" t="s">
        <v>8742</v>
      </c>
    </row>
    <row r="2277" spans="1:7" ht="44.25" customHeight="1">
      <c r="A2277" t="s">
        <v>8743</v>
      </c>
      <c r="B2277" t="s">
        <v>8744</v>
      </c>
      <c r="C2277" t="s">
        <v>136</v>
      </c>
      <c r="D2277" t="s">
        <v>2257</v>
      </c>
      <c r="E2277" t="s">
        <v>2276</v>
      </c>
      <c r="F2277" t="s">
        <v>149</v>
      </c>
      <c r="G2277" t="s">
        <v>8745</v>
      </c>
    </row>
    <row r="2278" spans="1:7" ht="44.25" customHeight="1">
      <c r="A2278" t="s">
        <v>8746</v>
      </c>
      <c r="B2278" t="s">
        <v>8747</v>
      </c>
      <c r="C2278" t="s">
        <v>136</v>
      </c>
      <c r="D2278" t="s">
        <v>2253</v>
      </c>
      <c r="E2278" t="s">
        <v>1430</v>
      </c>
      <c r="F2278" t="s">
        <v>149</v>
      </c>
      <c r="G2278" t="s">
        <v>8748</v>
      </c>
    </row>
    <row r="2279" spans="1:7" ht="44.25" customHeight="1">
      <c r="A2279" t="s">
        <v>8749</v>
      </c>
      <c r="B2279" t="s">
        <v>8750</v>
      </c>
      <c r="C2279" t="s">
        <v>136</v>
      </c>
      <c r="D2279" t="s">
        <v>2257</v>
      </c>
      <c r="E2279" t="s">
        <v>2276</v>
      </c>
      <c r="F2279" t="s">
        <v>149</v>
      </c>
      <c r="G2279" t="s">
        <v>8751</v>
      </c>
    </row>
    <row r="2280" spans="1:7" ht="44.25" customHeight="1">
      <c r="A2280" t="s">
        <v>792</v>
      </c>
      <c r="B2280" t="s">
        <v>8752</v>
      </c>
      <c r="C2280" t="s">
        <v>136</v>
      </c>
      <c r="D2280" t="s">
        <v>2253</v>
      </c>
      <c r="E2280" t="s">
        <v>1432</v>
      </c>
      <c r="F2280" t="s">
        <v>149</v>
      </c>
      <c r="G2280" t="s">
        <v>8753</v>
      </c>
    </row>
    <row r="2281" spans="1:7" ht="44.25" customHeight="1">
      <c r="A2281" t="s">
        <v>8754</v>
      </c>
      <c r="B2281" t="s">
        <v>8755</v>
      </c>
      <c r="C2281" t="s">
        <v>136</v>
      </c>
      <c r="D2281" t="s">
        <v>79</v>
      </c>
      <c r="E2281" t="s">
        <v>4918</v>
      </c>
      <c r="F2281" t="s">
        <v>149</v>
      </c>
      <c r="G2281" t="s">
        <v>8756</v>
      </c>
    </row>
    <row r="2282" spans="1:7" ht="44.25" customHeight="1">
      <c r="A2282" t="s">
        <v>8757</v>
      </c>
      <c r="B2282" t="s">
        <v>8758</v>
      </c>
      <c r="C2282" t="s">
        <v>136</v>
      </c>
      <c r="D2282" t="s">
        <v>2257</v>
      </c>
      <c r="E2282" t="s">
        <v>6128</v>
      </c>
      <c r="F2282" t="s">
        <v>149</v>
      </c>
      <c r="G2282" t="s">
        <v>8759</v>
      </c>
    </row>
    <row r="2283" spans="1:7" ht="44.25" customHeight="1">
      <c r="A2283" t="s">
        <v>136</v>
      </c>
      <c r="B2283" t="s">
        <v>8760</v>
      </c>
      <c r="C2283" t="s">
        <v>136</v>
      </c>
      <c r="D2283" t="s">
        <v>2257</v>
      </c>
      <c r="E2283" t="s">
        <v>2399</v>
      </c>
      <c r="F2283" t="s">
        <v>149</v>
      </c>
      <c r="G2283" t="s">
        <v>8761</v>
      </c>
    </row>
    <row r="2284" spans="1:7" ht="44.25" customHeight="1">
      <c r="A2284" t="s">
        <v>8762</v>
      </c>
      <c r="B2284" t="s">
        <v>8763</v>
      </c>
      <c r="C2284" t="s">
        <v>136</v>
      </c>
      <c r="D2284" t="s">
        <v>79</v>
      </c>
      <c r="E2284" t="s">
        <v>8764</v>
      </c>
      <c r="F2284" t="s">
        <v>149</v>
      </c>
      <c r="G2284" t="s">
        <v>8765</v>
      </c>
    </row>
    <row r="2285" spans="1:7" ht="44.25" customHeight="1">
      <c r="A2285" t="s">
        <v>8766</v>
      </c>
      <c r="B2285" t="s">
        <v>8767</v>
      </c>
      <c r="C2285" t="s">
        <v>136</v>
      </c>
      <c r="D2285" t="s">
        <v>2257</v>
      </c>
      <c r="E2285" t="s">
        <v>2276</v>
      </c>
      <c r="F2285" t="s">
        <v>149</v>
      </c>
      <c r="G2285" t="s">
        <v>8768</v>
      </c>
    </row>
    <row r="2286" spans="1:7" ht="44.25" customHeight="1">
      <c r="A2286" t="s">
        <v>8769</v>
      </c>
      <c r="B2286" t="s">
        <v>8770</v>
      </c>
      <c r="C2286" t="s">
        <v>136</v>
      </c>
      <c r="D2286" t="s">
        <v>2257</v>
      </c>
      <c r="E2286" t="s">
        <v>8443</v>
      </c>
      <c r="F2286" t="s">
        <v>149</v>
      </c>
      <c r="G2286" t="s">
        <v>8771</v>
      </c>
    </row>
    <row r="2287" spans="1:7" ht="44.25" customHeight="1">
      <c r="A2287" t="s">
        <v>8772</v>
      </c>
      <c r="B2287" t="s">
        <v>8773</v>
      </c>
      <c r="C2287" t="s">
        <v>136</v>
      </c>
      <c r="D2287" t="s">
        <v>2253</v>
      </c>
      <c r="E2287" t="s">
        <v>1430</v>
      </c>
      <c r="F2287" t="s">
        <v>149</v>
      </c>
      <c r="G2287" t="s">
        <v>8774</v>
      </c>
    </row>
    <row r="2288" spans="1:7" ht="44.25" customHeight="1">
      <c r="A2288" t="s">
        <v>8775</v>
      </c>
      <c r="B2288" t="s">
        <v>8776</v>
      </c>
      <c r="C2288" t="s">
        <v>136</v>
      </c>
      <c r="D2288" t="s">
        <v>2257</v>
      </c>
      <c r="E2288" t="s">
        <v>1430</v>
      </c>
      <c r="F2288" t="s">
        <v>149</v>
      </c>
      <c r="G2288" t="s">
        <v>8777</v>
      </c>
    </row>
    <row r="2289" spans="1:7" ht="44.25" customHeight="1">
      <c r="A2289" t="s">
        <v>954</v>
      </c>
      <c r="B2289" t="s">
        <v>8778</v>
      </c>
      <c r="C2289" t="s">
        <v>136</v>
      </c>
      <c r="D2289" t="s">
        <v>2257</v>
      </c>
      <c r="E2289" t="s">
        <v>2276</v>
      </c>
      <c r="F2289" t="s">
        <v>149</v>
      </c>
      <c r="G2289" t="s">
        <v>8779</v>
      </c>
    </row>
    <row r="2290" spans="1:7" ht="44.25" customHeight="1">
      <c r="A2290" t="s">
        <v>863</v>
      </c>
      <c r="B2290" t="s">
        <v>8780</v>
      </c>
      <c r="C2290" t="s">
        <v>136</v>
      </c>
      <c r="D2290" t="s">
        <v>2257</v>
      </c>
      <c r="E2290" t="s">
        <v>4124</v>
      </c>
      <c r="F2290" t="s">
        <v>149</v>
      </c>
      <c r="G2290" t="s">
        <v>8781</v>
      </c>
    </row>
    <row r="2291" spans="1:7" ht="44.25" customHeight="1">
      <c r="A2291" t="s">
        <v>8782</v>
      </c>
      <c r="B2291" t="s">
        <v>8783</v>
      </c>
      <c r="C2291" t="s">
        <v>136</v>
      </c>
      <c r="D2291" t="s">
        <v>79</v>
      </c>
      <c r="E2291" t="s">
        <v>8784</v>
      </c>
      <c r="F2291" t="s">
        <v>149</v>
      </c>
      <c r="G2291" t="s">
        <v>8785</v>
      </c>
    </row>
    <row r="2292" spans="1:7" ht="44.25" customHeight="1">
      <c r="A2292" t="s">
        <v>690</v>
      </c>
      <c r="B2292" t="s">
        <v>8786</v>
      </c>
      <c r="C2292" t="s">
        <v>136</v>
      </c>
      <c r="D2292" t="s">
        <v>2257</v>
      </c>
      <c r="E2292" t="s">
        <v>1584</v>
      </c>
      <c r="F2292" t="s">
        <v>149</v>
      </c>
      <c r="G2292" t="s">
        <v>8787</v>
      </c>
    </row>
    <row r="2293" spans="1:7" ht="44.25" customHeight="1">
      <c r="A2293" t="s">
        <v>8788</v>
      </c>
      <c r="B2293" t="s">
        <v>8789</v>
      </c>
      <c r="C2293" t="s">
        <v>136</v>
      </c>
      <c r="D2293" t="s">
        <v>79</v>
      </c>
      <c r="E2293" t="s">
        <v>8790</v>
      </c>
      <c r="F2293" t="s">
        <v>149</v>
      </c>
      <c r="G2293" t="s">
        <v>8791</v>
      </c>
    </row>
    <row r="2294" spans="1:7" ht="44.25" customHeight="1">
      <c r="A2294" t="s">
        <v>8792</v>
      </c>
      <c r="B2294" t="s">
        <v>8793</v>
      </c>
      <c r="C2294" t="s">
        <v>136</v>
      </c>
      <c r="D2294" t="s">
        <v>79</v>
      </c>
      <c r="E2294" t="s">
        <v>8794</v>
      </c>
      <c r="F2294" t="s">
        <v>149</v>
      </c>
      <c r="G2294" t="s">
        <v>8795</v>
      </c>
    </row>
    <row r="2295" spans="1:7" ht="44.25" customHeight="1">
      <c r="A2295" t="s">
        <v>8796</v>
      </c>
      <c r="B2295" t="s">
        <v>8797</v>
      </c>
      <c r="C2295" t="s">
        <v>136</v>
      </c>
      <c r="D2295" t="s">
        <v>79</v>
      </c>
      <c r="E2295" t="s">
        <v>8798</v>
      </c>
      <c r="F2295" t="s">
        <v>149</v>
      </c>
      <c r="G2295" t="s">
        <v>8799</v>
      </c>
    </row>
    <row r="2296" spans="1:7" ht="44.25" customHeight="1">
      <c r="A2296" t="s">
        <v>8800</v>
      </c>
      <c r="B2296" t="s">
        <v>8801</v>
      </c>
      <c r="C2296" t="s">
        <v>136</v>
      </c>
      <c r="D2296" t="s">
        <v>79</v>
      </c>
      <c r="E2296" t="s">
        <v>8802</v>
      </c>
      <c r="F2296" t="s">
        <v>149</v>
      </c>
      <c r="G2296" t="s">
        <v>8803</v>
      </c>
    </row>
    <row r="2297" spans="1:7" ht="44.25" customHeight="1">
      <c r="A2297" t="s">
        <v>8804</v>
      </c>
      <c r="B2297" t="s">
        <v>8805</v>
      </c>
      <c r="C2297" t="s">
        <v>136</v>
      </c>
      <c r="D2297" t="s">
        <v>79</v>
      </c>
      <c r="E2297" t="s">
        <v>8806</v>
      </c>
      <c r="F2297" t="s">
        <v>149</v>
      </c>
      <c r="G2297" t="s">
        <v>8807</v>
      </c>
    </row>
    <row r="2298" spans="1:7" ht="44.25" customHeight="1">
      <c r="A2298" t="s">
        <v>8808</v>
      </c>
      <c r="B2298" t="s">
        <v>8809</v>
      </c>
      <c r="C2298" t="s">
        <v>136</v>
      </c>
      <c r="D2298" t="s">
        <v>79</v>
      </c>
      <c r="E2298" t="s">
        <v>8810</v>
      </c>
      <c r="F2298" t="s">
        <v>149</v>
      </c>
      <c r="G2298" t="s">
        <v>8811</v>
      </c>
    </row>
    <row r="2299" spans="1:7" ht="44.25" customHeight="1">
      <c r="A2299" t="s">
        <v>8812</v>
      </c>
      <c r="B2299" t="s">
        <v>8813</v>
      </c>
      <c r="C2299" t="s">
        <v>136</v>
      </c>
      <c r="D2299" t="s">
        <v>79</v>
      </c>
      <c r="E2299" t="s">
        <v>8814</v>
      </c>
      <c r="F2299" t="s">
        <v>149</v>
      </c>
      <c r="G2299" t="s">
        <v>8815</v>
      </c>
    </row>
    <row r="2300" spans="1:7" ht="44.25" customHeight="1">
      <c r="A2300" t="s">
        <v>136</v>
      </c>
      <c r="B2300" t="s">
        <v>8816</v>
      </c>
      <c r="C2300" t="s">
        <v>136</v>
      </c>
      <c r="D2300" t="s">
        <v>2257</v>
      </c>
      <c r="E2300" t="s">
        <v>7046</v>
      </c>
      <c r="F2300" t="s">
        <v>149</v>
      </c>
      <c r="G2300" t="s">
        <v>8817</v>
      </c>
    </row>
    <row r="2301" spans="1:7" ht="44.25" customHeight="1">
      <c r="A2301" t="s">
        <v>8818</v>
      </c>
      <c r="B2301" t="s">
        <v>8819</v>
      </c>
      <c r="C2301" t="s">
        <v>136</v>
      </c>
      <c r="D2301" t="s">
        <v>8820</v>
      </c>
      <c r="E2301" t="s">
        <v>5891</v>
      </c>
      <c r="F2301" t="s">
        <v>149</v>
      </c>
      <c r="G2301" t="s">
        <v>8821</v>
      </c>
    </row>
    <row r="2302" spans="1:7" ht="44.25" customHeight="1">
      <c r="A2302" t="s">
        <v>814</v>
      </c>
      <c r="B2302" t="s">
        <v>8822</v>
      </c>
      <c r="C2302" t="s">
        <v>136</v>
      </c>
      <c r="D2302" t="s">
        <v>79</v>
      </c>
      <c r="E2302" t="s">
        <v>8823</v>
      </c>
      <c r="F2302" t="s">
        <v>149</v>
      </c>
      <c r="G2302" t="s">
        <v>8824</v>
      </c>
    </row>
    <row r="2303" spans="1:7" ht="44.25" customHeight="1">
      <c r="A2303" t="s">
        <v>8825</v>
      </c>
      <c r="B2303" t="s">
        <v>8826</v>
      </c>
      <c r="C2303" t="s">
        <v>136</v>
      </c>
      <c r="D2303" t="s">
        <v>2257</v>
      </c>
      <c r="E2303" t="s">
        <v>1607</v>
      </c>
      <c r="F2303" t="s">
        <v>149</v>
      </c>
      <c r="G2303" t="s">
        <v>8827</v>
      </c>
    </row>
    <row r="2304" spans="1:7" ht="44.25" customHeight="1">
      <c r="A2304" t="s">
        <v>8828</v>
      </c>
      <c r="B2304" t="s">
        <v>8829</v>
      </c>
      <c r="C2304" t="s">
        <v>136</v>
      </c>
      <c r="D2304" t="s">
        <v>2257</v>
      </c>
      <c r="E2304" t="s">
        <v>1607</v>
      </c>
      <c r="F2304" t="s">
        <v>149</v>
      </c>
      <c r="G2304" t="s">
        <v>8830</v>
      </c>
    </row>
    <row r="2305" spans="1:7" ht="44.25" customHeight="1">
      <c r="A2305" t="s">
        <v>8831</v>
      </c>
      <c r="B2305" t="s">
        <v>8832</v>
      </c>
      <c r="C2305" t="s">
        <v>8833</v>
      </c>
      <c r="D2305" t="s">
        <v>2257</v>
      </c>
      <c r="E2305" t="s">
        <v>1504</v>
      </c>
      <c r="F2305" t="s">
        <v>149</v>
      </c>
      <c r="G2305" t="s">
        <v>8834</v>
      </c>
    </row>
    <row r="2306" spans="1:7" ht="44.25" customHeight="1">
      <c r="A2306" t="s">
        <v>8835</v>
      </c>
      <c r="B2306" t="s">
        <v>8836</v>
      </c>
      <c r="C2306" t="s">
        <v>136</v>
      </c>
      <c r="D2306" t="s">
        <v>2257</v>
      </c>
      <c r="E2306" t="s">
        <v>1430</v>
      </c>
      <c r="F2306" t="s">
        <v>149</v>
      </c>
      <c r="G2306" t="s">
        <v>8837</v>
      </c>
    </row>
    <row r="2307" spans="1:7" ht="44.25" customHeight="1">
      <c r="A2307" t="s">
        <v>6731</v>
      </c>
      <c r="B2307" t="s">
        <v>6732</v>
      </c>
      <c r="C2307" t="s">
        <v>136</v>
      </c>
      <c r="D2307" t="s">
        <v>79</v>
      </c>
      <c r="E2307" t="s">
        <v>6733</v>
      </c>
      <c r="F2307" t="s">
        <v>149</v>
      </c>
      <c r="G2307" t="s">
        <v>8838</v>
      </c>
    </row>
    <row r="2308" spans="1:7" ht="44.25" customHeight="1">
      <c r="A2308" t="s">
        <v>8839</v>
      </c>
      <c r="B2308" t="s">
        <v>8840</v>
      </c>
      <c r="C2308" t="s">
        <v>136</v>
      </c>
      <c r="D2308" t="s">
        <v>2257</v>
      </c>
      <c r="E2308" t="s">
        <v>2276</v>
      </c>
      <c r="F2308" t="s">
        <v>149</v>
      </c>
      <c r="G2308" t="s">
        <v>8841</v>
      </c>
    </row>
    <row r="2309" spans="1:7" ht="44.25" customHeight="1">
      <c r="A2309" t="s">
        <v>8842</v>
      </c>
      <c r="B2309" t="s">
        <v>8843</v>
      </c>
      <c r="C2309" t="s">
        <v>136</v>
      </c>
      <c r="D2309" t="s">
        <v>2253</v>
      </c>
      <c r="E2309" t="s">
        <v>1432</v>
      </c>
      <c r="F2309" t="s">
        <v>149</v>
      </c>
      <c r="G2309" t="s">
        <v>8844</v>
      </c>
    </row>
    <row r="2310" spans="1:7" ht="44.25" customHeight="1">
      <c r="A2310" t="s">
        <v>1363</v>
      </c>
      <c r="B2310" t="s">
        <v>8845</v>
      </c>
      <c r="C2310" t="s">
        <v>136</v>
      </c>
      <c r="D2310" t="s">
        <v>2257</v>
      </c>
      <c r="E2310" t="s">
        <v>1430</v>
      </c>
      <c r="F2310" t="s">
        <v>149</v>
      </c>
      <c r="G2310" t="s">
        <v>8846</v>
      </c>
    </row>
    <row r="2311" spans="1:7" ht="44.25" customHeight="1">
      <c r="A2311" t="s">
        <v>341</v>
      </c>
      <c r="B2311" t="s">
        <v>8847</v>
      </c>
      <c r="C2311" t="s">
        <v>136</v>
      </c>
      <c r="D2311" t="s">
        <v>2257</v>
      </c>
      <c r="E2311" t="s">
        <v>1432</v>
      </c>
      <c r="F2311" t="s">
        <v>149</v>
      </c>
      <c r="G2311" t="s">
        <v>8848</v>
      </c>
    </row>
    <row r="2312" spans="1:7" ht="44.25" customHeight="1">
      <c r="A2312" t="s">
        <v>883</v>
      </c>
      <c r="B2312" t="s">
        <v>8849</v>
      </c>
      <c r="C2312" t="s">
        <v>136</v>
      </c>
      <c r="D2312" t="s">
        <v>2257</v>
      </c>
      <c r="E2312" t="s">
        <v>4636</v>
      </c>
      <c r="F2312" t="s">
        <v>149</v>
      </c>
      <c r="G2312" t="s">
        <v>8850</v>
      </c>
    </row>
    <row r="2313" spans="1:7" ht="44.25" customHeight="1">
      <c r="A2313" t="s">
        <v>686</v>
      </c>
      <c r="B2313" t="s">
        <v>8851</v>
      </c>
      <c r="C2313" t="s">
        <v>136</v>
      </c>
      <c r="D2313" t="s">
        <v>2257</v>
      </c>
      <c r="E2313" t="s">
        <v>1584</v>
      </c>
      <c r="F2313" t="s">
        <v>149</v>
      </c>
      <c r="G2313" t="s">
        <v>8852</v>
      </c>
    </row>
    <row r="2314" spans="1:7" ht="44.25" customHeight="1">
      <c r="A2314" t="s">
        <v>8853</v>
      </c>
      <c r="B2314" t="s">
        <v>8854</v>
      </c>
      <c r="C2314" t="s">
        <v>136</v>
      </c>
      <c r="D2314" t="s">
        <v>79</v>
      </c>
      <c r="E2314" t="s">
        <v>2625</v>
      </c>
      <c r="F2314" t="s">
        <v>149</v>
      </c>
      <c r="G2314" t="s">
        <v>8855</v>
      </c>
    </row>
    <row r="2315" spans="1:7" ht="44.25" customHeight="1">
      <c r="A2315" t="s">
        <v>8853</v>
      </c>
      <c r="B2315" t="s">
        <v>8854</v>
      </c>
      <c r="C2315" t="s">
        <v>136</v>
      </c>
      <c r="D2315" t="s">
        <v>79</v>
      </c>
      <c r="E2315" t="s">
        <v>2625</v>
      </c>
      <c r="F2315" t="s">
        <v>149</v>
      </c>
      <c r="G2315" t="s">
        <v>8855</v>
      </c>
    </row>
    <row r="2316" spans="1:7" ht="44.25" customHeight="1">
      <c r="A2316" t="s">
        <v>8856</v>
      </c>
      <c r="B2316" t="s">
        <v>8857</v>
      </c>
      <c r="C2316" t="s">
        <v>136</v>
      </c>
      <c r="D2316" t="s">
        <v>79</v>
      </c>
      <c r="E2316" t="s">
        <v>8858</v>
      </c>
      <c r="F2316" t="s">
        <v>149</v>
      </c>
      <c r="G2316" t="s">
        <v>8859</v>
      </c>
    </row>
    <row r="2317" spans="1:7" ht="44.25" customHeight="1">
      <c r="A2317" t="s">
        <v>8860</v>
      </c>
      <c r="B2317" t="s">
        <v>8861</v>
      </c>
      <c r="C2317" t="s">
        <v>136</v>
      </c>
      <c r="D2317" t="s">
        <v>79</v>
      </c>
      <c r="E2317" t="s">
        <v>8862</v>
      </c>
      <c r="F2317" t="s">
        <v>149</v>
      </c>
      <c r="G2317" t="s">
        <v>8863</v>
      </c>
    </row>
    <row r="2318" spans="1:7" ht="44.25" customHeight="1">
      <c r="A2318" t="s">
        <v>8864</v>
      </c>
      <c r="B2318" t="s">
        <v>8865</v>
      </c>
      <c r="C2318" t="s">
        <v>136</v>
      </c>
      <c r="D2318" t="s">
        <v>79</v>
      </c>
      <c r="E2318" t="s">
        <v>8866</v>
      </c>
      <c r="F2318" t="s">
        <v>149</v>
      </c>
      <c r="G2318" t="s">
        <v>8867</v>
      </c>
    </row>
    <row r="2319" spans="1:7" ht="44.25" customHeight="1">
      <c r="A2319" t="s">
        <v>8868</v>
      </c>
      <c r="B2319" t="s">
        <v>8869</v>
      </c>
      <c r="C2319" t="s">
        <v>136</v>
      </c>
      <c r="D2319" t="s">
        <v>79</v>
      </c>
      <c r="E2319" t="s">
        <v>8870</v>
      </c>
      <c r="F2319" t="s">
        <v>149</v>
      </c>
      <c r="G2319" t="s">
        <v>8871</v>
      </c>
    </row>
    <row r="2320" spans="1:7" ht="44.25" customHeight="1">
      <c r="A2320" t="s">
        <v>8872</v>
      </c>
      <c r="B2320" t="s">
        <v>8873</v>
      </c>
      <c r="C2320" t="s">
        <v>136</v>
      </c>
      <c r="D2320" t="s">
        <v>2257</v>
      </c>
      <c r="E2320" t="s">
        <v>1607</v>
      </c>
      <c r="F2320" t="s">
        <v>149</v>
      </c>
      <c r="G2320" t="s">
        <v>8874</v>
      </c>
    </row>
    <row r="2321" spans="1:7" ht="44.25" customHeight="1">
      <c r="A2321" t="s">
        <v>8875</v>
      </c>
      <c r="B2321" t="s">
        <v>8876</v>
      </c>
      <c r="C2321" t="s">
        <v>136</v>
      </c>
      <c r="D2321" t="s">
        <v>2257</v>
      </c>
      <c r="E2321" t="s">
        <v>1607</v>
      </c>
      <c r="F2321" t="s">
        <v>149</v>
      </c>
      <c r="G2321" t="s">
        <v>8877</v>
      </c>
    </row>
    <row r="2322" spans="1:7" ht="44.25" customHeight="1">
      <c r="A2322" t="s">
        <v>8878</v>
      </c>
      <c r="B2322" t="s">
        <v>8879</v>
      </c>
      <c r="C2322" t="s">
        <v>136</v>
      </c>
      <c r="D2322" t="s">
        <v>2257</v>
      </c>
      <c r="E2322" t="s">
        <v>1607</v>
      </c>
      <c r="F2322" t="s">
        <v>149</v>
      </c>
      <c r="G2322" t="s">
        <v>8880</v>
      </c>
    </row>
    <row r="2323" spans="1:7" ht="44.25" customHeight="1">
      <c r="A2323" t="s">
        <v>8881</v>
      </c>
      <c r="B2323" t="s">
        <v>8882</v>
      </c>
      <c r="C2323" t="s">
        <v>136</v>
      </c>
      <c r="D2323" t="s">
        <v>2257</v>
      </c>
      <c r="E2323" t="s">
        <v>2399</v>
      </c>
      <c r="F2323" t="s">
        <v>149</v>
      </c>
      <c r="G2323" t="s">
        <v>8883</v>
      </c>
    </row>
    <row r="2324" spans="1:7" ht="44.25" customHeight="1">
      <c r="A2324" t="s">
        <v>8884</v>
      </c>
      <c r="B2324" t="s">
        <v>8885</v>
      </c>
      <c r="C2324" t="s">
        <v>136</v>
      </c>
      <c r="D2324" t="s">
        <v>2257</v>
      </c>
      <c r="E2324" t="s">
        <v>3162</v>
      </c>
      <c r="F2324" t="s">
        <v>149</v>
      </c>
      <c r="G2324" t="s">
        <v>8886</v>
      </c>
    </row>
    <row r="2325" spans="1:7" ht="44.25" customHeight="1">
      <c r="A2325" t="s">
        <v>8887</v>
      </c>
      <c r="B2325" t="s">
        <v>8888</v>
      </c>
      <c r="C2325" t="s">
        <v>136</v>
      </c>
      <c r="D2325" t="s">
        <v>2253</v>
      </c>
      <c r="E2325" t="s">
        <v>1432</v>
      </c>
      <c r="F2325" t="s">
        <v>149</v>
      </c>
      <c r="G2325" t="s">
        <v>8889</v>
      </c>
    </row>
    <row r="2326" spans="1:7" ht="44.25" customHeight="1">
      <c r="A2326" t="s">
        <v>8890</v>
      </c>
      <c r="B2326" t="s">
        <v>8891</v>
      </c>
      <c r="C2326" t="s">
        <v>136</v>
      </c>
      <c r="D2326" t="s">
        <v>2257</v>
      </c>
      <c r="E2326" t="s">
        <v>2276</v>
      </c>
      <c r="F2326" t="s">
        <v>149</v>
      </c>
      <c r="G2326" t="s">
        <v>8892</v>
      </c>
    </row>
    <row r="2327" spans="1:7" ht="44.25" customHeight="1">
      <c r="A2327" t="s">
        <v>8893</v>
      </c>
      <c r="B2327" t="s">
        <v>8894</v>
      </c>
      <c r="C2327" t="s">
        <v>136</v>
      </c>
      <c r="D2327" t="s">
        <v>2253</v>
      </c>
      <c r="E2327" t="s">
        <v>1432</v>
      </c>
      <c r="F2327" t="s">
        <v>149</v>
      </c>
      <c r="G2327" t="s">
        <v>8895</v>
      </c>
    </row>
    <row r="2328" spans="1:7" ht="44.25" customHeight="1">
      <c r="A2328" t="s">
        <v>306</v>
      </c>
      <c r="B2328" t="s">
        <v>8896</v>
      </c>
      <c r="C2328" t="s">
        <v>136</v>
      </c>
      <c r="D2328" t="s">
        <v>2257</v>
      </c>
      <c r="E2328" t="s">
        <v>2258</v>
      </c>
      <c r="F2328" t="s">
        <v>149</v>
      </c>
      <c r="G2328" t="s">
        <v>8897</v>
      </c>
    </row>
    <row r="2329" spans="1:7" ht="44.25" customHeight="1">
      <c r="A2329" t="s">
        <v>652</v>
      </c>
      <c r="B2329" t="s">
        <v>8898</v>
      </c>
      <c r="C2329" t="s">
        <v>136</v>
      </c>
      <c r="D2329" t="s">
        <v>2257</v>
      </c>
      <c r="E2329" t="s">
        <v>2265</v>
      </c>
      <c r="F2329" t="s">
        <v>149</v>
      </c>
      <c r="G2329" t="s">
        <v>8899</v>
      </c>
    </row>
    <row r="2330" spans="1:7" ht="44.25" customHeight="1">
      <c r="A2330" t="s">
        <v>8900</v>
      </c>
      <c r="B2330" t="s">
        <v>8901</v>
      </c>
      <c r="C2330" t="s">
        <v>136</v>
      </c>
      <c r="D2330" t="s">
        <v>79</v>
      </c>
      <c r="E2330" t="s">
        <v>8902</v>
      </c>
      <c r="F2330" t="s">
        <v>149</v>
      </c>
      <c r="G2330" t="s">
        <v>8903</v>
      </c>
    </row>
    <row r="2331" spans="1:7" ht="44.25" customHeight="1">
      <c r="A2331" t="s">
        <v>8904</v>
      </c>
      <c r="B2331" t="s">
        <v>8905</v>
      </c>
      <c r="C2331" t="s">
        <v>136</v>
      </c>
      <c r="D2331" t="s">
        <v>79</v>
      </c>
      <c r="E2331" t="s">
        <v>8906</v>
      </c>
      <c r="F2331" t="s">
        <v>149</v>
      </c>
      <c r="G2331" t="s">
        <v>8907</v>
      </c>
    </row>
    <row r="2332" spans="1:7" ht="44.25" customHeight="1">
      <c r="A2332" t="s">
        <v>8908</v>
      </c>
      <c r="B2332" t="s">
        <v>8909</v>
      </c>
      <c r="C2332" t="s">
        <v>136</v>
      </c>
      <c r="D2332" t="s">
        <v>79</v>
      </c>
      <c r="E2332" t="s">
        <v>8910</v>
      </c>
      <c r="F2332" t="s">
        <v>149</v>
      </c>
      <c r="G2332" t="s">
        <v>8911</v>
      </c>
    </row>
    <row r="2333" spans="1:7" ht="44.25" customHeight="1">
      <c r="A2333" t="s">
        <v>8912</v>
      </c>
      <c r="B2333" t="s">
        <v>8913</v>
      </c>
      <c r="C2333" t="s">
        <v>136</v>
      </c>
      <c r="D2333" t="s">
        <v>2257</v>
      </c>
      <c r="E2333" t="s">
        <v>1607</v>
      </c>
      <c r="F2333" t="s">
        <v>149</v>
      </c>
      <c r="G2333" t="s">
        <v>8914</v>
      </c>
    </row>
    <row r="2334" spans="1:7" ht="44.25" customHeight="1">
      <c r="A2334" t="s">
        <v>8915</v>
      </c>
      <c r="B2334" t="s">
        <v>8916</v>
      </c>
      <c r="C2334" t="s">
        <v>136</v>
      </c>
      <c r="D2334" t="s">
        <v>2257</v>
      </c>
      <c r="E2334" t="s">
        <v>1607</v>
      </c>
      <c r="F2334" t="s">
        <v>149</v>
      </c>
      <c r="G2334" t="s">
        <v>8917</v>
      </c>
    </row>
    <row r="2335" spans="1:7" ht="44.25" customHeight="1">
      <c r="A2335" t="s">
        <v>8918</v>
      </c>
      <c r="B2335" t="s">
        <v>8919</v>
      </c>
      <c r="C2335" t="s">
        <v>136</v>
      </c>
      <c r="D2335" t="s">
        <v>2257</v>
      </c>
      <c r="E2335" t="s">
        <v>1607</v>
      </c>
      <c r="F2335" t="s">
        <v>149</v>
      </c>
      <c r="G2335" t="s">
        <v>8920</v>
      </c>
    </row>
    <row r="2336" spans="1:7" ht="44.25" customHeight="1">
      <c r="A2336" t="s">
        <v>1502</v>
      </c>
      <c r="B2336" t="s">
        <v>8921</v>
      </c>
      <c r="C2336" t="s">
        <v>136</v>
      </c>
      <c r="D2336" t="s">
        <v>2257</v>
      </c>
      <c r="E2336" t="s">
        <v>1503</v>
      </c>
      <c r="F2336" t="s">
        <v>149</v>
      </c>
      <c r="G2336" t="s">
        <v>8922</v>
      </c>
    </row>
    <row r="2337" spans="1:7" ht="44.25" customHeight="1">
      <c r="A2337" t="s">
        <v>312</v>
      </c>
      <c r="B2337" t="s">
        <v>8923</v>
      </c>
      <c r="C2337" t="s">
        <v>136</v>
      </c>
      <c r="D2337" t="s">
        <v>2257</v>
      </c>
      <c r="E2337" t="s">
        <v>3162</v>
      </c>
      <c r="F2337" t="s">
        <v>149</v>
      </c>
      <c r="G2337" t="s">
        <v>8924</v>
      </c>
    </row>
    <row r="2338" spans="1:7" ht="44.25" customHeight="1">
      <c r="A2338" t="s">
        <v>8925</v>
      </c>
      <c r="B2338" t="s">
        <v>8926</v>
      </c>
      <c r="C2338" t="s">
        <v>136</v>
      </c>
      <c r="D2338" t="s">
        <v>2257</v>
      </c>
      <c r="E2338" t="s">
        <v>2276</v>
      </c>
      <c r="F2338" t="s">
        <v>149</v>
      </c>
      <c r="G2338" t="s">
        <v>8927</v>
      </c>
    </row>
    <row r="2339" spans="1:7" ht="44.25" customHeight="1">
      <c r="A2339" t="s">
        <v>1377</v>
      </c>
      <c r="B2339" t="s">
        <v>8928</v>
      </c>
      <c r="C2339" t="s">
        <v>136</v>
      </c>
      <c r="D2339" t="s">
        <v>2253</v>
      </c>
      <c r="E2339" t="s">
        <v>1432</v>
      </c>
      <c r="F2339" t="s">
        <v>149</v>
      </c>
      <c r="G2339" t="s">
        <v>8929</v>
      </c>
    </row>
    <row r="2340" spans="1:7" ht="44.25" customHeight="1">
      <c r="A2340" t="s">
        <v>732</v>
      </c>
      <c r="B2340" t="s">
        <v>8930</v>
      </c>
      <c r="C2340" t="s">
        <v>136</v>
      </c>
      <c r="D2340" t="s">
        <v>2257</v>
      </c>
      <c r="E2340" t="s">
        <v>2269</v>
      </c>
      <c r="F2340" t="s">
        <v>149</v>
      </c>
      <c r="G2340" t="s">
        <v>8931</v>
      </c>
    </row>
    <row r="2341" spans="1:7" ht="44.25" customHeight="1">
      <c r="A2341" t="s">
        <v>1062</v>
      </c>
      <c r="B2341" t="s">
        <v>8932</v>
      </c>
      <c r="C2341" t="s">
        <v>136</v>
      </c>
      <c r="D2341" t="s">
        <v>2257</v>
      </c>
      <c r="E2341" t="s">
        <v>8246</v>
      </c>
      <c r="F2341" t="s">
        <v>149</v>
      </c>
      <c r="G2341" t="s">
        <v>8933</v>
      </c>
    </row>
    <row r="2342" spans="1:7" ht="44.25" customHeight="1">
      <c r="A2342" t="s">
        <v>8934</v>
      </c>
      <c r="B2342" t="s">
        <v>8935</v>
      </c>
      <c r="C2342" t="s">
        <v>136</v>
      </c>
      <c r="D2342" t="s">
        <v>79</v>
      </c>
      <c r="E2342" t="s">
        <v>8936</v>
      </c>
      <c r="F2342" t="s">
        <v>149</v>
      </c>
      <c r="G2342" t="s">
        <v>8937</v>
      </c>
    </row>
    <row r="2343" spans="1:7" ht="44.25" customHeight="1">
      <c r="A2343" t="s">
        <v>8938</v>
      </c>
      <c r="B2343" t="s">
        <v>8939</v>
      </c>
      <c r="C2343" t="s">
        <v>136</v>
      </c>
      <c r="D2343" t="s">
        <v>79</v>
      </c>
      <c r="E2343" t="s">
        <v>8940</v>
      </c>
      <c r="F2343" t="s">
        <v>149</v>
      </c>
      <c r="G2343" t="s">
        <v>8941</v>
      </c>
    </row>
    <row r="2344" spans="1:7" ht="44.25" customHeight="1">
      <c r="A2344" t="s">
        <v>8938</v>
      </c>
      <c r="B2344" t="s">
        <v>8939</v>
      </c>
      <c r="C2344" t="s">
        <v>136</v>
      </c>
      <c r="D2344" t="s">
        <v>79</v>
      </c>
      <c r="E2344" t="s">
        <v>8940</v>
      </c>
      <c r="F2344" t="s">
        <v>149</v>
      </c>
      <c r="G2344" t="s">
        <v>8941</v>
      </c>
    </row>
    <row r="2345" spans="1:7" ht="44.25" customHeight="1">
      <c r="A2345" t="s">
        <v>8942</v>
      </c>
      <c r="B2345" t="s">
        <v>8943</v>
      </c>
      <c r="C2345" t="s">
        <v>136</v>
      </c>
      <c r="D2345" t="s">
        <v>8820</v>
      </c>
      <c r="E2345" t="s">
        <v>5891</v>
      </c>
      <c r="F2345" t="s">
        <v>149</v>
      </c>
      <c r="G2345" t="s">
        <v>8944</v>
      </c>
    </row>
    <row r="2346" spans="1:7" ht="44.25" customHeight="1">
      <c r="A2346" t="s">
        <v>136</v>
      </c>
      <c r="B2346" t="s">
        <v>8945</v>
      </c>
      <c r="C2346" t="s">
        <v>136</v>
      </c>
      <c r="D2346" t="s">
        <v>2257</v>
      </c>
      <c r="E2346" t="s">
        <v>2695</v>
      </c>
      <c r="F2346" t="s">
        <v>149</v>
      </c>
      <c r="G2346" t="s">
        <v>8946</v>
      </c>
    </row>
    <row r="2347" spans="1:7" ht="44.25" customHeight="1">
      <c r="A2347" t="s">
        <v>8947</v>
      </c>
      <c r="B2347" t="s">
        <v>8948</v>
      </c>
      <c r="C2347" t="s">
        <v>136</v>
      </c>
      <c r="D2347" t="s">
        <v>79</v>
      </c>
      <c r="E2347" t="s">
        <v>8949</v>
      </c>
      <c r="F2347" t="s">
        <v>149</v>
      </c>
      <c r="G2347" t="s">
        <v>8950</v>
      </c>
    </row>
    <row r="2348" spans="1:7" ht="44.25" customHeight="1">
      <c r="A2348" t="s">
        <v>529</v>
      </c>
      <c r="B2348" t="s">
        <v>8951</v>
      </c>
      <c r="C2348" t="s">
        <v>136</v>
      </c>
      <c r="D2348" t="s">
        <v>2257</v>
      </c>
      <c r="E2348" t="s">
        <v>2265</v>
      </c>
      <c r="F2348" t="s">
        <v>149</v>
      </c>
      <c r="G2348" t="s">
        <v>8952</v>
      </c>
    </row>
    <row r="2349" spans="1:7" ht="44.25" customHeight="1">
      <c r="A2349" t="s">
        <v>881</v>
      </c>
      <c r="B2349" t="s">
        <v>8953</v>
      </c>
      <c r="C2349" t="s">
        <v>136</v>
      </c>
      <c r="D2349" t="s">
        <v>2257</v>
      </c>
      <c r="E2349" t="s">
        <v>4636</v>
      </c>
      <c r="F2349" t="s">
        <v>149</v>
      </c>
      <c r="G2349" t="s">
        <v>8954</v>
      </c>
    </row>
    <row r="2350" spans="1:7" ht="44.25" customHeight="1">
      <c r="A2350" t="s">
        <v>727</v>
      </c>
      <c r="B2350" t="s">
        <v>8955</v>
      </c>
      <c r="C2350" t="s">
        <v>136</v>
      </c>
      <c r="D2350" t="s">
        <v>2257</v>
      </c>
      <c r="E2350" t="s">
        <v>2269</v>
      </c>
      <c r="F2350" t="s">
        <v>149</v>
      </c>
      <c r="G2350" t="s">
        <v>8956</v>
      </c>
    </row>
    <row r="2351" spans="1:7" ht="44.25" customHeight="1">
      <c r="A2351" t="s">
        <v>8957</v>
      </c>
      <c r="B2351" t="s">
        <v>8958</v>
      </c>
      <c r="C2351" t="s">
        <v>136</v>
      </c>
      <c r="D2351" t="s">
        <v>79</v>
      </c>
      <c r="E2351" t="s">
        <v>8959</v>
      </c>
      <c r="F2351" t="s">
        <v>149</v>
      </c>
      <c r="G2351" t="s">
        <v>8960</v>
      </c>
    </row>
    <row r="2352" spans="1:7" ht="44.25" customHeight="1">
      <c r="A2352" t="s">
        <v>8961</v>
      </c>
      <c r="B2352" t="s">
        <v>8962</v>
      </c>
      <c r="C2352" t="s">
        <v>136</v>
      </c>
      <c r="D2352" t="s">
        <v>79</v>
      </c>
      <c r="E2352" t="s">
        <v>8963</v>
      </c>
      <c r="F2352" t="s">
        <v>149</v>
      </c>
      <c r="G2352" t="s">
        <v>8964</v>
      </c>
    </row>
    <row r="2353" spans="1:7" ht="44.25" customHeight="1">
      <c r="A2353" t="s">
        <v>8961</v>
      </c>
      <c r="B2353" t="s">
        <v>8962</v>
      </c>
      <c r="C2353" t="s">
        <v>136</v>
      </c>
      <c r="D2353" t="s">
        <v>79</v>
      </c>
      <c r="E2353" t="s">
        <v>8963</v>
      </c>
      <c r="F2353" t="s">
        <v>149</v>
      </c>
      <c r="G2353" t="s">
        <v>8964</v>
      </c>
    </row>
    <row r="2354" spans="1:7" ht="44.25" customHeight="1">
      <c r="A2354" t="s">
        <v>8965</v>
      </c>
      <c r="B2354" t="s">
        <v>8966</v>
      </c>
      <c r="C2354" t="s">
        <v>136</v>
      </c>
      <c r="D2354" t="s">
        <v>2253</v>
      </c>
      <c r="E2354" t="s">
        <v>1430</v>
      </c>
      <c r="F2354" t="s">
        <v>149</v>
      </c>
      <c r="G2354" t="s">
        <v>8967</v>
      </c>
    </row>
    <row r="2355" spans="1:7" ht="44.25" customHeight="1">
      <c r="A2355" t="s">
        <v>8968</v>
      </c>
      <c r="B2355" t="s">
        <v>8969</v>
      </c>
      <c r="C2355" t="s">
        <v>136</v>
      </c>
      <c r="D2355" t="s">
        <v>2257</v>
      </c>
      <c r="E2355" t="s">
        <v>2276</v>
      </c>
      <c r="F2355" t="s">
        <v>149</v>
      </c>
      <c r="G2355" t="s">
        <v>8970</v>
      </c>
    </row>
    <row r="2356" spans="1:7" ht="44.25" customHeight="1">
      <c r="A2356" t="s">
        <v>1448</v>
      </c>
      <c r="B2356" t="s">
        <v>8971</v>
      </c>
      <c r="C2356" t="s">
        <v>136</v>
      </c>
      <c r="D2356" t="s">
        <v>2257</v>
      </c>
      <c r="E2356" t="s">
        <v>2276</v>
      </c>
      <c r="F2356" t="s">
        <v>149</v>
      </c>
      <c r="G2356" t="s">
        <v>8972</v>
      </c>
    </row>
    <row r="2357" spans="1:7" ht="44.25" customHeight="1">
      <c r="A2357" t="s">
        <v>1451</v>
      </c>
      <c r="B2357" t="s">
        <v>8973</v>
      </c>
      <c r="C2357" t="s">
        <v>136</v>
      </c>
      <c r="D2357" t="s">
        <v>2257</v>
      </c>
      <c r="E2357" t="s">
        <v>2276</v>
      </c>
      <c r="F2357" t="s">
        <v>149</v>
      </c>
      <c r="G2357" t="s">
        <v>8974</v>
      </c>
    </row>
    <row r="2358" spans="1:7" ht="44.25" customHeight="1">
      <c r="A2358" t="s">
        <v>1493</v>
      </c>
      <c r="B2358" t="s">
        <v>8975</v>
      </c>
      <c r="C2358" t="s">
        <v>136</v>
      </c>
      <c r="D2358" t="s">
        <v>2257</v>
      </c>
      <c r="E2358" t="s">
        <v>2276</v>
      </c>
      <c r="F2358" t="s">
        <v>149</v>
      </c>
      <c r="G2358" t="s">
        <v>8976</v>
      </c>
    </row>
    <row r="2359" spans="1:7" ht="44.25" customHeight="1">
      <c r="A2359" t="s">
        <v>1035</v>
      </c>
      <c r="B2359" t="s">
        <v>8977</v>
      </c>
      <c r="C2359" t="s">
        <v>136</v>
      </c>
      <c r="D2359" t="s">
        <v>2257</v>
      </c>
      <c r="E2359" t="s">
        <v>1430</v>
      </c>
      <c r="F2359" t="s">
        <v>149</v>
      </c>
      <c r="G2359" t="s">
        <v>8978</v>
      </c>
    </row>
    <row r="2360" spans="1:7" ht="44.25" customHeight="1">
      <c r="A2360" t="s">
        <v>938</v>
      </c>
      <c r="B2360" t="s">
        <v>8979</v>
      </c>
      <c r="C2360" t="s">
        <v>136</v>
      </c>
      <c r="D2360" t="s">
        <v>2257</v>
      </c>
      <c r="E2360" t="s">
        <v>2276</v>
      </c>
      <c r="F2360" t="s">
        <v>149</v>
      </c>
      <c r="G2360" t="s">
        <v>8980</v>
      </c>
    </row>
    <row r="2361" spans="1:7" ht="44.25" customHeight="1">
      <c r="A2361" t="s">
        <v>8981</v>
      </c>
      <c r="B2361" t="s">
        <v>8982</v>
      </c>
      <c r="C2361" t="s">
        <v>136</v>
      </c>
      <c r="D2361" t="s">
        <v>2257</v>
      </c>
      <c r="E2361" t="s">
        <v>8983</v>
      </c>
      <c r="F2361" t="s">
        <v>149</v>
      </c>
      <c r="G2361" t="s">
        <v>8984</v>
      </c>
    </row>
    <row r="2362" spans="1:7" ht="44.25" customHeight="1">
      <c r="A2362" t="s">
        <v>933</v>
      </c>
      <c r="B2362" t="s">
        <v>8985</v>
      </c>
      <c r="C2362" t="s">
        <v>136</v>
      </c>
      <c r="D2362" t="s">
        <v>2257</v>
      </c>
      <c r="E2362" t="s">
        <v>2276</v>
      </c>
      <c r="F2362" t="s">
        <v>149</v>
      </c>
      <c r="G2362" t="s">
        <v>8986</v>
      </c>
    </row>
    <row r="2363" spans="1:7" ht="44.25" customHeight="1">
      <c r="A2363" t="s">
        <v>867</v>
      </c>
      <c r="B2363" t="s">
        <v>8987</v>
      </c>
      <c r="C2363" t="s">
        <v>136</v>
      </c>
      <c r="D2363" t="s">
        <v>79</v>
      </c>
      <c r="E2363" t="s">
        <v>4205</v>
      </c>
      <c r="F2363" t="s">
        <v>149</v>
      </c>
      <c r="G2363" t="s">
        <v>8988</v>
      </c>
    </row>
    <row r="2364" spans="1:7" ht="44.25" customHeight="1">
      <c r="A2364" t="s">
        <v>8989</v>
      </c>
      <c r="B2364" t="s">
        <v>8990</v>
      </c>
      <c r="C2364" t="s">
        <v>136</v>
      </c>
      <c r="D2364" t="s">
        <v>79</v>
      </c>
      <c r="E2364" t="s">
        <v>8991</v>
      </c>
      <c r="F2364" t="s">
        <v>149</v>
      </c>
      <c r="G2364" t="s">
        <v>8992</v>
      </c>
    </row>
    <row r="2365" spans="1:7" ht="44.25" customHeight="1">
      <c r="A2365" t="s">
        <v>8993</v>
      </c>
      <c r="B2365" t="s">
        <v>8994</v>
      </c>
      <c r="C2365" t="s">
        <v>136</v>
      </c>
      <c r="D2365" t="s">
        <v>79</v>
      </c>
      <c r="E2365" t="s">
        <v>8995</v>
      </c>
      <c r="F2365" t="s">
        <v>149</v>
      </c>
      <c r="G2365" t="s">
        <v>8996</v>
      </c>
    </row>
    <row r="2366" spans="1:7" ht="44.25" customHeight="1">
      <c r="A2366" t="s">
        <v>8993</v>
      </c>
      <c r="B2366" t="s">
        <v>8994</v>
      </c>
      <c r="C2366" t="s">
        <v>136</v>
      </c>
      <c r="D2366" t="s">
        <v>79</v>
      </c>
      <c r="E2366" t="s">
        <v>8995</v>
      </c>
      <c r="F2366" t="s">
        <v>149</v>
      </c>
      <c r="G2366" t="s">
        <v>8996</v>
      </c>
    </row>
    <row r="2367" spans="1:7" ht="44.25" customHeight="1">
      <c r="A2367" t="s">
        <v>8993</v>
      </c>
      <c r="B2367" t="s">
        <v>8994</v>
      </c>
      <c r="C2367" t="s">
        <v>136</v>
      </c>
      <c r="D2367" t="s">
        <v>79</v>
      </c>
      <c r="E2367" t="s">
        <v>8995</v>
      </c>
      <c r="F2367" t="s">
        <v>149</v>
      </c>
      <c r="G2367" t="s">
        <v>8996</v>
      </c>
    </row>
    <row r="2368" spans="1:7" ht="44.25" customHeight="1">
      <c r="A2368" t="s">
        <v>136</v>
      </c>
      <c r="B2368" t="s">
        <v>8997</v>
      </c>
      <c r="C2368" t="s">
        <v>136</v>
      </c>
      <c r="D2368" t="s">
        <v>2257</v>
      </c>
      <c r="E2368" t="s">
        <v>5691</v>
      </c>
      <c r="F2368" t="s">
        <v>149</v>
      </c>
      <c r="G2368" t="s">
        <v>8998</v>
      </c>
    </row>
    <row r="2369" spans="1:7" ht="44.25" customHeight="1">
      <c r="A2369" t="s">
        <v>8999</v>
      </c>
      <c r="B2369" t="s">
        <v>9000</v>
      </c>
      <c r="C2369" t="s">
        <v>136</v>
      </c>
      <c r="D2369" t="s">
        <v>79</v>
      </c>
      <c r="E2369" t="s">
        <v>9001</v>
      </c>
      <c r="F2369" t="s">
        <v>149</v>
      </c>
      <c r="G2369" t="s">
        <v>9002</v>
      </c>
    </row>
    <row r="2370" spans="1:7" ht="44.25" customHeight="1">
      <c r="A2370" t="s">
        <v>9003</v>
      </c>
      <c r="B2370" t="s">
        <v>9004</v>
      </c>
      <c r="C2370" t="s">
        <v>136</v>
      </c>
      <c r="D2370" t="s">
        <v>2257</v>
      </c>
      <c r="E2370" t="s">
        <v>1607</v>
      </c>
      <c r="F2370" t="s">
        <v>149</v>
      </c>
      <c r="G2370" t="s">
        <v>9005</v>
      </c>
    </row>
    <row r="2371" spans="1:7" ht="44.25" customHeight="1">
      <c r="A2371" t="s">
        <v>9006</v>
      </c>
      <c r="B2371" t="s">
        <v>9007</v>
      </c>
      <c r="C2371" t="s">
        <v>136</v>
      </c>
      <c r="D2371" t="s">
        <v>2257</v>
      </c>
      <c r="E2371" t="s">
        <v>1607</v>
      </c>
      <c r="F2371" t="s">
        <v>149</v>
      </c>
      <c r="G2371" t="s">
        <v>9008</v>
      </c>
    </row>
    <row r="2372" spans="1:7" ht="44.25" customHeight="1">
      <c r="A2372" t="s">
        <v>1423</v>
      </c>
      <c r="B2372" t="s">
        <v>9009</v>
      </c>
      <c r="C2372" t="s">
        <v>136</v>
      </c>
      <c r="D2372" t="s">
        <v>2257</v>
      </c>
      <c r="E2372" t="s">
        <v>1607</v>
      </c>
      <c r="F2372" t="s">
        <v>149</v>
      </c>
      <c r="G2372" t="s">
        <v>9010</v>
      </c>
    </row>
    <row r="2373" spans="1:7" ht="44.25" customHeight="1">
      <c r="A2373" t="s">
        <v>9011</v>
      </c>
      <c r="B2373" t="s">
        <v>9012</v>
      </c>
      <c r="C2373" t="s">
        <v>136</v>
      </c>
      <c r="D2373" t="s">
        <v>2253</v>
      </c>
      <c r="E2373" t="s">
        <v>1432</v>
      </c>
      <c r="F2373" t="s">
        <v>149</v>
      </c>
      <c r="G2373" t="s">
        <v>9013</v>
      </c>
    </row>
    <row r="2374" spans="1:7" ht="44.25" customHeight="1">
      <c r="A2374" t="s">
        <v>1446</v>
      </c>
      <c r="B2374" t="s">
        <v>9014</v>
      </c>
      <c r="C2374" t="s">
        <v>136</v>
      </c>
      <c r="D2374" t="s">
        <v>2257</v>
      </c>
      <c r="E2374" t="s">
        <v>2276</v>
      </c>
      <c r="F2374" t="s">
        <v>149</v>
      </c>
      <c r="G2374" t="s">
        <v>9015</v>
      </c>
    </row>
    <row r="2375" spans="1:7" ht="44.25" customHeight="1">
      <c r="A2375" t="s">
        <v>853</v>
      </c>
      <c r="B2375" t="s">
        <v>9016</v>
      </c>
      <c r="C2375" t="s">
        <v>136</v>
      </c>
      <c r="D2375" t="s">
        <v>2257</v>
      </c>
      <c r="E2375" t="s">
        <v>4124</v>
      </c>
      <c r="F2375" t="s">
        <v>149</v>
      </c>
      <c r="G2375" t="s">
        <v>9017</v>
      </c>
    </row>
    <row r="2376" spans="1:7" ht="44.25" customHeight="1">
      <c r="A2376" t="s">
        <v>8096</v>
      </c>
      <c r="B2376" t="s">
        <v>8097</v>
      </c>
      <c r="C2376" t="s">
        <v>136</v>
      </c>
      <c r="D2376" t="s">
        <v>79</v>
      </c>
      <c r="E2376" t="s">
        <v>3482</v>
      </c>
      <c r="F2376" t="s">
        <v>149</v>
      </c>
      <c r="G2376" t="s">
        <v>9018</v>
      </c>
    </row>
    <row r="2377" spans="1:7" ht="44.25" customHeight="1">
      <c r="A2377" t="s">
        <v>9019</v>
      </c>
      <c r="B2377" t="s">
        <v>9020</v>
      </c>
      <c r="C2377" t="s">
        <v>136</v>
      </c>
      <c r="D2377" t="s">
        <v>79</v>
      </c>
      <c r="E2377" t="s">
        <v>9021</v>
      </c>
      <c r="F2377" t="s">
        <v>149</v>
      </c>
      <c r="G2377" t="s">
        <v>9022</v>
      </c>
    </row>
    <row r="2378" spans="1:7" ht="44.25" customHeight="1">
      <c r="A2378" t="s">
        <v>9023</v>
      </c>
      <c r="B2378" t="s">
        <v>9024</v>
      </c>
      <c r="C2378" t="s">
        <v>136</v>
      </c>
      <c r="D2378" t="s">
        <v>79</v>
      </c>
      <c r="E2378" t="s">
        <v>4477</v>
      </c>
      <c r="F2378" t="s">
        <v>149</v>
      </c>
      <c r="G2378" t="s">
        <v>9025</v>
      </c>
    </row>
    <row r="2379" spans="1:7" ht="44.25" customHeight="1">
      <c r="A2379" t="s">
        <v>9026</v>
      </c>
      <c r="B2379" t="s">
        <v>9027</v>
      </c>
      <c r="C2379" t="s">
        <v>136</v>
      </c>
      <c r="D2379" t="s">
        <v>79</v>
      </c>
      <c r="E2379" t="s">
        <v>5111</v>
      </c>
      <c r="F2379" t="s">
        <v>149</v>
      </c>
      <c r="G2379" t="s">
        <v>9028</v>
      </c>
    </row>
    <row r="2380" spans="1:7" ht="44.25" customHeight="1">
      <c r="A2380" t="s">
        <v>9029</v>
      </c>
      <c r="B2380" t="s">
        <v>9030</v>
      </c>
      <c r="C2380" t="s">
        <v>136</v>
      </c>
      <c r="D2380" t="s">
        <v>79</v>
      </c>
      <c r="E2380" t="s">
        <v>9031</v>
      </c>
      <c r="F2380" t="s">
        <v>149</v>
      </c>
      <c r="G2380" t="s">
        <v>9032</v>
      </c>
    </row>
    <row r="2381" spans="1:7" ht="44.25" customHeight="1">
      <c r="A2381" t="s">
        <v>9033</v>
      </c>
      <c r="B2381" t="s">
        <v>9034</v>
      </c>
      <c r="C2381" t="s">
        <v>136</v>
      </c>
      <c r="D2381" t="s">
        <v>79</v>
      </c>
      <c r="E2381" t="s">
        <v>9035</v>
      </c>
      <c r="F2381" t="s">
        <v>149</v>
      </c>
      <c r="G2381" t="s">
        <v>9036</v>
      </c>
    </row>
    <row r="2382" spans="1:7" ht="44.25" customHeight="1">
      <c r="A2382" t="s">
        <v>9037</v>
      </c>
      <c r="B2382" t="s">
        <v>9038</v>
      </c>
      <c r="C2382" t="s">
        <v>136</v>
      </c>
      <c r="D2382" t="s">
        <v>2257</v>
      </c>
      <c r="E2382" t="s">
        <v>5691</v>
      </c>
      <c r="F2382" t="s">
        <v>149</v>
      </c>
      <c r="G2382" t="s">
        <v>9039</v>
      </c>
    </row>
    <row r="2383" spans="1:7" ht="44.25" customHeight="1">
      <c r="A2383" t="s">
        <v>136</v>
      </c>
      <c r="B2383" t="s">
        <v>9040</v>
      </c>
      <c r="C2383" t="s">
        <v>136</v>
      </c>
      <c r="D2383" t="s">
        <v>2257</v>
      </c>
      <c r="E2383" t="s">
        <v>1607</v>
      </c>
      <c r="F2383" t="s">
        <v>149</v>
      </c>
      <c r="G2383" t="s">
        <v>9041</v>
      </c>
    </row>
    <row r="2384" spans="1:7" ht="44.25" customHeight="1">
      <c r="A2384" t="s">
        <v>9042</v>
      </c>
      <c r="B2384" t="s">
        <v>9043</v>
      </c>
      <c r="C2384" t="s">
        <v>136</v>
      </c>
      <c r="D2384" t="s">
        <v>2257</v>
      </c>
      <c r="E2384" t="s">
        <v>1607</v>
      </c>
      <c r="F2384" t="s">
        <v>149</v>
      </c>
      <c r="G2384" t="s">
        <v>9044</v>
      </c>
    </row>
    <row r="2385" spans="1:7" ht="44.25" customHeight="1">
      <c r="A2385" t="s">
        <v>9045</v>
      </c>
      <c r="B2385" t="s">
        <v>9046</v>
      </c>
      <c r="C2385" t="s">
        <v>136</v>
      </c>
      <c r="D2385" t="s">
        <v>2257</v>
      </c>
      <c r="E2385" t="s">
        <v>2399</v>
      </c>
      <c r="F2385" t="s">
        <v>149</v>
      </c>
      <c r="G2385" t="s">
        <v>9047</v>
      </c>
    </row>
    <row r="2386" spans="1:7" ht="44.25" customHeight="1">
      <c r="A2386" t="s">
        <v>9048</v>
      </c>
      <c r="B2386" t="s">
        <v>9049</v>
      </c>
      <c r="C2386" t="s">
        <v>136</v>
      </c>
      <c r="D2386" t="s">
        <v>2257</v>
      </c>
      <c r="E2386" t="s">
        <v>2399</v>
      </c>
      <c r="F2386" t="s">
        <v>149</v>
      </c>
      <c r="G2386" t="s">
        <v>9050</v>
      </c>
    </row>
    <row r="2387" spans="1:7" ht="44.25" customHeight="1">
      <c r="A2387" t="s">
        <v>9051</v>
      </c>
      <c r="B2387" t="s">
        <v>9052</v>
      </c>
      <c r="C2387" t="s">
        <v>136</v>
      </c>
      <c r="D2387" t="s">
        <v>2257</v>
      </c>
      <c r="E2387" t="s">
        <v>1607</v>
      </c>
      <c r="F2387" t="s">
        <v>149</v>
      </c>
      <c r="G2387" t="s">
        <v>9053</v>
      </c>
    </row>
    <row r="2388" spans="1:7" ht="44.25" customHeight="1">
      <c r="A2388" t="s">
        <v>9054</v>
      </c>
      <c r="B2388" t="s">
        <v>9055</v>
      </c>
      <c r="C2388" t="s">
        <v>136</v>
      </c>
      <c r="D2388" t="s">
        <v>2257</v>
      </c>
      <c r="E2388" t="s">
        <v>1607</v>
      </c>
      <c r="F2388" t="s">
        <v>149</v>
      </c>
      <c r="G2388" t="s">
        <v>9056</v>
      </c>
    </row>
    <row r="2389" spans="1:7" ht="44.25" customHeight="1">
      <c r="A2389" t="s">
        <v>9057</v>
      </c>
      <c r="B2389" t="s">
        <v>9058</v>
      </c>
      <c r="C2389" t="s">
        <v>136</v>
      </c>
      <c r="D2389" t="s">
        <v>79</v>
      </c>
      <c r="E2389" t="s">
        <v>9059</v>
      </c>
      <c r="F2389" t="s">
        <v>149</v>
      </c>
      <c r="G2389" t="s">
        <v>9060</v>
      </c>
    </row>
    <row r="2390" spans="1:7" ht="44.25" customHeight="1">
      <c r="A2390" t="s">
        <v>9061</v>
      </c>
      <c r="B2390" t="s">
        <v>9062</v>
      </c>
      <c r="C2390" t="s">
        <v>136</v>
      </c>
      <c r="D2390" t="s">
        <v>79</v>
      </c>
      <c r="E2390" t="s">
        <v>3516</v>
      </c>
      <c r="F2390" t="s">
        <v>149</v>
      </c>
      <c r="G2390" t="s">
        <v>9063</v>
      </c>
    </row>
    <row r="2391" spans="1:7" ht="44.25" customHeight="1">
      <c r="A2391" t="s">
        <v>9064</v>
      </c>
      <c r="B2391" t="s">
        <v>9065</v>
      </c>
      <c r="C2391" t="s">
        <v>136</v>
      </c>
      <c r="D2391" t="s">
        <v>2257</v>
      </c>
      <c r="E2391" t="s">
        <v>7464</v>
      </c>
      <c r="F2391" t="s">
        <v>149</v>
      </c>
      <c r="G2391" t="s">
        <v>9066</v>
      </c>
    </row>
    <row r="2392" spans="1:7" ht="44.25" customHeight="1">
      <c r="A2392" t="s">
        <v>9067</v>
      </c>
      <c r="B2392" t="s">
        <v>9068</v>
      </c>
      <c r="C2392" t="s">
        <v>136</v>
      </c>
      <c r="D2392" t="s">
        <v>79</v>
      </c>
      <c r="E2392" t="s">
        <v>9069</v>
      </c>
      <c r="F2392" t="s">
        <v>149</v>
      </c>
      <c r="G2392" t="s">
        <v>9070</v>
      </c>
    </row>
    <row r="2393" spans="1:7" ht="44.25" customHeight="1">
      <c r="A2393" t="s">
        <v>9071</v>
      </c>
      <c r="B2393" t="s">
        <v>9072</v>
      </c>
      <c r="C2393" t="s">
        <v>136</v>
      </c>
      <c r="D2393" t="s">
        <v>79</v>
      </c>
      <c r="E2393" t="s">
        <v>9073</v>
      </c>
      <c r="F2393" t="s">
        <v>149</v>
      </c>
      <c r="G2393" t="s">
        <v>9074</v>
      </c>
    </row>
    <row r="2394" spans="1:7" ht="44.25" customHeight="1">
      <c r="A2394" t="s">
        <v>9075</v>
      </c>
      <c r="B2394" t="s">
        <v>9076</v>
      </c>
      <c r="C2394" t="s">
        <v>136</v>
      </c>
      <c r="D2394" t="s">
        <v>79</v>
      </c>
      <c r="E2394" t="s">
        <v>9077</v>
      </c>
      <c r="F2394" t="s">
        <v>149</v>
      </c>
      <c r="G2394" t="s">
        <v>9078</v>
      </c>
    </row>
    <row r="2395" spans="1:7" ht="44.25" customHeight="1">
      <c r="A2395" t="s">
        <v>9079</v>
      </c>
      <c r="B2395" t="s">
        <v>9080</v>
      </c>
      <c r="C2395" t="s">
        <v>136</v>
      </c>
      <c r="D2395" t="s">
        <v>79</v>
      </c>
      <c r="E2395" t="s">
        <v>9081</v>
      </c>
      <c r="F2395" t="s">
        <v>149</v>
      </c>
      <c r="G2395" t="s">
        <v>9082</v>
      </c>
    </row>
    <row r="2396" spans="1:7" ht="44.25" customHeight="1">
      <c r="A2396" t="s">
        <v>9083</v>
      </c>
      <c r="B2396" t="s">
        <v>9084</v>
      </c>
      <c r="C2396" t="s">
        <v>136</v>
      </c>
      <c r="D2396" t="s">
        <v>79</v>
      </c>
      <c r="E2396" t="s">
        <v>9085</v>
      </c>
      <c r="F2396" t="s">
        <v>149</v>
      </c>
      <c r="G2396" t="s">
        <v>9086</v>
      </c>
    </row>
    <row r="2397" spans="1:7" ht="44.25" customHeight="1">
      <c r="A2397" t="s">
        <v>9087</v>
      </c>
      <c r="B2397" t="s">
        <v>9088</v>
      </c>
      <c r="C2397" t="s">
        <v>136</v>
      </c>
      <c r="D2397" t="s">
        <v>79</v>
      </c>
      <c r="E2397" t="s">
        <v>9089</v>
      </c>
      <c r="F2397" t="s">
        <v>149</v>
      </c>
      <c r="G2397" t="s">
        <v>9090</v>
      </c>
    </row>
    <row r="2398" spans="1:7" ht="44.25" customHeight="1">
      <c r="A2398" t="s">
        <v>9091</v>
      </c>
      <c r="B2398" t="s">
        <v>9092</v>
      </c>
      <c r="C2398" t="s">
        <v>136</v>
      </c>
      <c r="D2398" t="s">
        <v>79</v>
      </c>
      <c r="E2398" t="s">
        <v>9093</v>
      </c>
      <c r="F2398" t="s">
        <v>149</v>
      </c>
      <c r="G2398" t="s">
        <v>9094</v>
      </c>
    </row>
    <row r="2399" spans="1:7" ht="44.25" customHeight="1">
      <c r="A2399" t="s">
        <v>547</v>
      </c>
      <c r="B2399" t="s">
        <v>9095</v>
      </c>
      <c r="C2399" t="s">
        <v>136</v>
      </c>
      <c r="D2399" t="s">
        <v>79</v>
      </c>
      <c r="E2399" t="s">
        <v>1547</v>
      </c>
      <c r="F2399" t="s">
        <v>149</v>
      </c>
      <c r="G2399" t="s">
        <v>9096</v>
      </c>
    </row>
    <row r="2400" spans="1:7" ht="44.25" customHeight="1">
      <c r="A2400" t="s">
        <v>136</v>
      </c>
      <c r="B2400" t="s">
        <v>9097</v>
      </c>
      <c r="C2400" t="s">
        <v>136</v>
      </c>
      <c r="D2400" t="s">
        <v>2257</v>
      </c>
      <c r="E2400" t="s">
        <v>5738</v>
      </c>
      <c r="F2400" t="s">
        <v>149</v>
      </c>
      <c r="G2400" t="s">
        <v>9098</v>
      </c>
    </row>
    <row r="2401" spans="1:7" ht="44.25" customHeight="1">
      <c r="A2401" t="s">
        <v>9099</v>
      </c>
      <c r="B2401" t="s">
        <v>9100</v>
      </c>
      <c r="C2401" t="s">
        <v>136</v>
      </c>
      <c r="D2401" t="s">
        <v>2257</v>
      </c>
      <c r="E2401" t="s">
        <v>2399</v>
      </c>
      <c r="F2401" t="s">
        <v>149</v>
      </c>
      <c r="G2401" t="s">
        <v>9101</v>
      </c>
    </row>
    <row r="2402" spans="1:7" ht="44.25" customHeight="1">
      <c r="A2402" t="s">
        <v>9102</v>
      </c>
      <c r="B2402" t="s">
        <v>9103</v>
      </c>
      <c r="C2402" t="s">
        <v>136</v>
      </c>
      <c r="D2402" t="s">
        <v>2257</v>
      </c>
      <c r="E2402" t="s">
        <v>1607</v>
      </c>
      <c r="F2402" t="s">
        <v>149</v>
      </c>
      <c r="G2402" t="s">
        <v>9104</v>
      </c>
    </row>
    <row r="2403" spans="1:7" ht="44.25" customHeight="1">
      <c r="A2403" t="s">
        <v>9105</v>
      </c>
      <c r="B2403" t="s">
        <v>9106</v>
      </c>
      <c r="C2403" t="s">
        <v>136</v>
      </c>
      <c r="D2403" t="s">
        <v>79</v>
      </c>
      <c r="E2403" t="s">
        <v>9107</v>
      </c>
      <c r="F2403" t="s">
        <v>149</v>
      </c>
      <c r="G2403" t="s">
        <v>9108</v>
      </c>
    </row>
    <row r="2404" spans="1:7" ht="44.25" customHeight="1">
      <c r="A2404" t="s">
        <v>9109</v>
      </c>
      <c r="B2404" t="s">
        <v>9110</v>
      </c>
      <c r="C2404" t="s">
        <v>136</v>
      </c>
      <c r="D2404" t="s">
        <v>2257</v>
      </c>
      <c r="E2404" t="s">
        <v>1592</v>
      </c>
      <c r="F2404" t="s">
        <v>149</v>
      </c>
      <c r="G2404" t="s">
        <v>9111</v>
      </c>
    </row>
    <row r="2405" spans="1:7" ht="44.25" customHeight="1">
      <c r="A2405" t="s">
        <v>490</v>
      </c>
      <c r="B2405" t="s">
        <v>9112</v>
      </c>
      <c r="C2405" t="s">
        <v>136</v>
      </c>
      <c r="D2405" t="s">
        <v>79</v>
      </c>
      <c r="E2405" t="s">
        <v>8486</v>
      </c>
      <c r="F2405" t="s">
        <v>149</v>
      </c>
      <c r="G2405" t="s">
        <v>9113</v>
      </c>
    </row>
    <row r="2406" spans="1:7" ht="44.25" customHeight="1">
      <c r="A2406" t="s">
        <v>9114</v>
      </c>
      <c r="B2406" t="s">
        <v>9115</v>
      </c>
      <c r="C2406" t="s">
        <v>136</v>
      </c>
      <c r="D2406" t="s">
        <v>2257</v>
      </c>
      <c r="E2406" t="s">
        <v>8983</v>
      </c>
      <c r="F2406" t="s">
        <v>149</v>
      </c>
      <c r="G2406" t="s">
        <v>9116</v>
      </c>
    </row>
    <row r="2407" spans="1:7" ht="44.25" customHeight="1">
      <c r="A2407" t="s">
        <v>420</v>
      </c>
      <c r="B2407" t="s">
        <v>9117</v>
      </c>
      <c r="C2407" t="s">
        <v>136</v>
      </c>
      <c r="D2407" t="s">
        <v>2257</v>
      </c>
      <c r="E2407" t="s">
        <v>9118</v>
      </c>
      <c r="F2407" t="s">
        <v>149</v>
      </c>
      <c r="G2407" t="s">
        <v>9119</v>
      </c>
    </row>
    <row r="2408" spans="1:7" ht="44.25" customHeight="1">
      <c r="A2408" t="s">
        <v>434</v>
      </c>
      <c r="B2408" t="s">
        <v>9120</v>
      </c>
      <c r="C2408" t="s">
        <v>136</v>
      </c>
      <c r="D2408" t="s">
        <v>79</v>
      </c>
      <c r="E2408" t="s">
        <v>9121</v>
      </c>
      <c r="F2408" t="s">
        <v>149</v>
      </c>
      <c r="G2408" t="s">
        <v>9122</v>
      </c>
    </row>
    <row r="2409" spans="1:7" ht="44.25" customHeight="1">
      <c r="A2409" t="s">
        <v>9123</v>
      </c>
      <c r="B2409" t="s">
        <v>9124</v>
      </c>
      <c r="C2409" t="s">
        <v>136</v>
      </c>
      <c r="D2409" t="s">
        <v>79</v>
      </c>
      <c r="E2409" t="s">
        <v>9125</v>
      </c>
      <c r="F2409" t="s">
        <v>149</v>
      </c>
      <c r="G2409" t="s">
        <v>9126</v>
      </c>
    </row>
    <row r="2410" spans="1:7" ht="44.25" customHeight="1">
      <c r="A2410" t="s">
        <v>414</v>
      </c>
      <c r="B2410" t="s">
        <v>9127</v>
      </c>
      <c r="C2410" t="s">
        <v>9128</v>
      </c>
      <c r="D2410" t="s">
        <v>2257</v>
      </c>
      <c r="E2410" t="s">
        <v>1522</v>
      </c>
      <c r="F2410" t="s">
        <v>149</v>
      </c>
      <c r="G2410" t="s">
        <v>9129</v>
      </c>
    </row>
    <row r="2411" spans="1:7" ht="44.25" customHeight="1">
      <c r="A2411" t="s">
        <v>9130</v>
      </c>
      <c r="B2411" t="s">
        <v>9131</v>
      </c>
      <c r="C2411" t="s">
        <v>136</v>
      </c>
      <c r="D2411" t="s">
        <v>79</v>
      </c>
      <c r="E2411" t="s">
        <v>9132</v>
      </c>
      <c r="F2411" t="s">
        <v>149</v>
      </c>
      <c r="G2411" t="s">
        <v>9133</v>
      </c>
    </row>
    <row r="2412" spans="1:7" ht="44.25" customHeight="1">
      <c r="A2412" t="s">
        <v>1326</v>
      </c>
      <c r="B2412" t="s">
        <v>9134</v>
      </c>
      <c r="C2412" t="s">
        <v>136</v>
      </c>
      <c r="D2412" t="s">
        <v>2253</v>
      </c>
      <c r="E2412" t="s">
        <v>1432</v>
      </c>
      <c r="F2412" t="s">
        <v>149</v>
      </c>
      <c r="G2412" t="s">
        <v>9135</v>
      </c>
    </row>
    <row r="2413" spans="1:7" ht="44.25" customHeight="1">
      <c r="A2413" t="s">
        <v>9136</v>
      </c>
      <c r="B2413" t="s">
        <v>9137</v>
      </c>
      <c r="C2413" t="s">
        <v>136</v>
      </c>
      <c r="D2413" t="s">
        <v>79</v>
      </c>
      <c r="E2413" t="s">
        <v>9138</v>
      </c>
      <c r="F2413" t="s">
        <v>149</v>
      </c>
      <c r="G2413" t="s">
        <v>9139</v>
      </c>
    </row>
    <row r="2414" spans="1:7" ht="44.25" customHeight="1">
      <c r="A2414" t="s">
        <v>1053</v>
      </c>
      <c r="B2414" t="s">
        <v>9140</v>
      </c>
      <c r="C2414" t="s">
        <v>136</v>
      </c>
      <c r="D2414" t="s">
        <v>79</v>
      </c>
      <c r="E2414" t="s">
        <v>8357</v>
      </c>
      <c r="F2414" t="s">
        <v>149</v>
      </c>
      <c r="G2414" t="s">
        <v>9141</v>
      </c>
    </row>
    <row r="2415" spans="1:7" ht="44.25" customHeight="1">
      <c r="A2415" t="s">
        <v>489</v>
      </c>
      <c r="B2415" t="s">
        <v>9142</v>
      </c>
      <c r="C2415" t="s">
        <v>136</v>
      </c>
      <c r="D2415" t="s">
        <v>2257</v>
      </c>
      <c r="E2415" t="s">
        <v>8486</v>
      </c>
      <c r="F2415" t="s">
        <v>149</v>
      </c>
      <c r="G2415" t="s">
        <v>9143</v>
      </c>
    </row>
    <row r="2416" spans="1:7" ht="44.25" customHeight="1">
      <c r="A2416" t="s">
        <v>9144</v>
      </c>
      <c r="B2416" t="s">
        <v>9145</v>
      </c>
      <c r="C2416" t="s">
        <v>136</v>
      </c>
      <c r="D2416" t="s">
        <v>79</v>
      </c>
      <c r="E2416" t="s">
        <v>9146</v>
      </c>
      <c r="F2416" t="s">
        <v>149</v>
      </c>
      <c r="G2416" t="s">
        <v>9147</v>
      </c>
    </row>
    <row r="2417" spans="1:7" ht="44.25" customHeight="1">
      <c r="A2417" t="s">
        <v>843</v>
      </c>
      <c r="B2417" t="s">
        <v>9148</v>
      </c>
      <c r="C2417" t="s">
        <v>136</v>
      </c>
      <c r="D2417" t="s">
        <v>79</v>
      </c>
      <c r="E2417" t="s">
        <v>1598</v>
      </c>
      <c r="F2417" t="s">
        <v>149</v>
      </c>
      <c r="G2417" t="s">
        <v>9149</v>
      </c>
    </row>
    <row r="2418" spans="1:7" ht="44.25" customHeight="1">
      <c r="A2418" t="s">
        <v>843</v>
      </c>
      <c r="B2418" t="s">
        <v>9148</v>
      </c>
      <c r="C2418" t="s">
        <v>136</v>
      </c>
      <c r="D2418" t="s">
        <v>79</v>
      </c>
      <c r="E2418" t="s">
        <v>1598</v>
      </c>
      <c r="F2418" t="s">
        <v>149</v>
      </c>
      <c r="G2418" t="s">
        <v>9149</v>
      </c>
    </row>
    <row r="2419" spans="1:7" ht="44.25" customHeight="1">
      <c r="A2419" t="s">
        <v>843</v>
      </c>
      <c r="B2419" t="s">
        <v>9148</v>
      </c>
      <c r="C2419" t="s">
        <v>136</v>
      </c>
      <c r="D2419" t="s">
        <v>79</v>
      </c>
      <c r="E2419" t="s">
        <v>1598</v>
      </c>
      <c r="F2419" t="s">
        <v>149</v>
      </c>
      <c r="G2419" t="s">
        <v>9149</v>
      </c>
    </row>
    <row r="2420" spans="1:7" ht="44.25" customHeight="1">
      <c r="A2420" t="s">
        <v>136</v>
      </c>
      <c r="B2420" t="s">
        <v>9150</v>
      </c>
      <c r="C2420" t="s">
        <v>136</v>
      </c>
      <c r="D2420" t="s">
        <v>2257</v>
      </c>
      <c r="E2420" t="s">
        <v>5691</v>
      </c>
      <c r="F2420" t="s">
        <v>149</v>
      </c>
      <c r="G2420" t="s">
        <v>9151</v>
      </c>
    </row>
    <row r="2421" spans="1:7" ht="44.25" customHeight="1">
      <c r="A2421" t="s">
        <v>1069</v>
      </c>
      <c r="B2421" t="s">
        <v>9152</v>
      </c>
      <c r="C2421" t="s">
        <v>136</v>
      </c>
      <c r="D2421" t="s">
        <v>79</v>
      </c>
      <c r="E2421" t="s">
        <v>9153</v>
      </c>
      <c r="F2421" t="s">
        <v>149</v>
      </c>
      <c r="G2421" t="s">
        <v>9154</v>
      </c>
    </row>
    <row r="2422" spans="1:7" ht="44.25" customHeight="1">
      <c r="A2422" t="s">
        <v>813</v>
      </c>
      <c r="B2422" t="s">
        <v>9155</v>
      </c>
      <c r="C2422" t="s">
        <v>136</v>
      </c>
      <c r="D2422" t="s">
        <v>79</v>
      </c>
      <c r="E2422" t="s">
        <v>9132</v>
      </c>
      <c r="F2422" t="s">
        <v>149</v>
      </c>
      <c r="G2422" t="s">
        <v>9156</v>
      </c>
    </row>
    <row r="2423" spans="1:7" ht="44.25" customHeight="1">
      <c r="A2423" t="s">
        <v>9157</v>
      </c>
      <c r="B2423" t="s">
        <v>9158</v>
      </c>
      <c r="C2423" t="s">
        <v>136</v>
      </c>
      <c r="D2423" t="s">
        <v>2257</v>
      </c>
      <c r="E2423" t="s">
        <v>2399</v>
      </c>
      <c r="F2423" t="s">
        <v>149</v>
      </c>
      <c r="G2423" t="s">
        <v>9159</v>
      </c>
    </row>
    <row r="2424" spans="1:7" ht="44.25" customHeight="1">
      <c r="A2424" t="s">
        <v>9160</v>
      </c>
      <c r="B2424" t="s">
        <v>9161</v>
      </c>
      <c r="C2424" t="s">
        <v>136</v>
      </c>
      <c r="D2424" t="s">
        <v>2257</v>
      </c>
      <c r="E2424" t="s">
        <v>1607</v>
      </c>
      <c r="F2424" t="s">
        <v>149</v>
      </c>
      <c r="G2424" t="s">
        <v>9162</v>
      </c>
    </row>
    <row r="2425" spans="1:7" ht="44.25" customHeight="1">
      <c r="A2425" t="s">
        <v>251</v>
      </c>
      <c r="B2425" t="s">
        <v>9163</v>
      </c>
      <c r="C2425" t="s">
        <v>1497</v>
      </c>
      <c r="D2425" t="s">
        <v>2257</v>
      </c>
      <c r="E2425" t="s">
        <v>1496</v>
      </c>
      <c r="F2425" t="s">
        <v>149</v>
      </c>
      <c r="G2425" t="s">
        <v>9164</v>
      </c>
    </row>
    <row r="2426" spans="1:7" ht="44.25" customHeight="1">
      <c r="A2426" t="s">
        <v>136</v>
      </c>
      <c r="B2426" t="s">
        <v>9165</v>
      </c>
      <c r="C2426" t="s">
        <v>136</v>
      </c>
      <c r="D2426" t="s">
        <v>2257</v>
      </c>
      <c r="E2426" t="s">
        <v>1607</v>
      </c>
      <c r="F2426" t="s">
        <v>149</v>
      </c>
      <c r="G2426" t="s">
        <v>9166</v>
      </c>
    </row>
    <row r="2427" spans="1:7" ht="44.25" customHeight="1">
      <c r="A2427" t="s">
        <v>1064</v>
      </c>
      <c r="B2427" t="s">
        <v>9167</v>
      </c>
      <c r="C2427" t="s">
        <v>136</v>
      </c>
      <c r="D2427" t="s">
        <v>79</v>
      </c>
      <c r="E2427" t="s">
        <v>9168</v>
      </c>
      <c r="F2427" t="s">
        <v>149</v>
      </c>
      <c r="G2427" t="s">
        <v>9169</v>
      </c>
    </row>
    <row r="2428" spans="1:7" ht="44.25" customHeight="1">
      <c r="A2428" t="s">
        <v>9170</v>
      </c>
      <c r="B2428" t="s">
        <v>9171</v>
      </c>
      <c r="C2428" t="s">
        <v>136</v>
      </c>
      <c r="D2428" t="s">
        <v>2257</v>
      </c>
      <c r="E2428" t="s">
        <v>2276</v>
      </c>
      <c r="F2428" t="s">
        <v>149</v>
      </c>
      <c r="G2428" t="s">
        <v>9172</v>
      </c>
    </row>
    <row r="2429" spans="1:7" ht="44.25" customHeight="1">
      <c r="A2429" t="s">
        <v>9173</v>
      </c>
      <c r="B2429" t="s">
        <v>9174</v>
      </c>
      <c r="C2429" t="s">
        <v>136</v>
      </c>
      <c r="D2429" t="s">
        <v>79</v>
      </c>
      <c r="E2429" t="s">
        <v>6242</v>
      </c>
      <c r="F2429" t="s">
        <v>149</v>
      </c>
      <c r="G2429" t="s">
        <v>9175</v>
      </c>
    </row>
    <row r="2430" spans="1:7" ht="44.25" customHeight="1">
      <c r="A2430" t="s">
        <v>520</v>
      </c>
      <c r="B2430" t="s">
        <v>9176</v>
      </c>
      <c r="C2430" t="s">
        <v>136</v>
      </c>
      <c r="D2430" t="s">
        <v>79</v>
      </c>
      <c r="E2430" t="s">
        <v>7912</v>
      </c>
      <c r="F2430" t="s">
        <v>149</v>
      </c>
      <c r="G2430" t="s">
        <v>9177</v>
      </c>
    </row>
    <row r="2431" spans="1:7" ht="44.25" customHeight="1">
      <c r="A2431" t="s">
        <v>835</v>
      </c>
      <c r="B2431" t="s">
        <v>9178</v>
      </c>
      <c r="C2431" t="s">
        <v>136</v>
      </c>
      <c r="D2431" t="s">
        <v>2257</v>
      </c>
      <c r="E2431" t="s">
        <v>9179</v>
      </c>
      <c r="F2431" t="s">
        <v>149</v>
      </c>
      <c r="G2431" t="s">
        <v>9180</v>
      </c>
    </row>
    <row r="2432" spans="1:7" ht="44.25" customHeight="1">
      <c r="A2432" t="s">
        <v>9181</v>
      </c>
      <c r="B2432" t="s">
        <v>9182</v>
      </c>
      <c r="C2432" t="s">
        <v>136</v>
      </c>
      <c r="D2432" t="s">
        <v>79</v>
      </c>
      <c r="E2432" t="s">
        <v>9183</v>
      </c>
      <c r="F2432" t="s">
        <v>149</v>
      </c>
      <c r="G2432" t="s">
        <v>9184</v>
      </c>
    </row>
    <row r="2433" spans="1:7" ht="44.25" customHeight="1">
      <c r="A2433" t="s">
        <v>9185</v>
      </c>
      <c r="B2433" t="s">
        <v>9186</v>
      </c>
      <c r="C2433" t="s">
        <v>136</v>
      </c>
      <c r="D2433" t="s">
        <v>79</v>
      </c>
      <c r="E2433" t="s">
        <v>9187</v>
      </c>
      <c r="F2433" t="s">
        <v>149</v>
      </c>
      <c r="G2433" t="s">
        <v>9188</v>
      </c>
    </row>
    <row r="2434" spans="1:7" ht="44.25" customHeight="1">
      <c r="A2434" t="s">
        <v>9185</v>
      </c>
      <c r="B2434" t="s">
        <v>9186</v>
      </c>
      <c r="C2434" t="s">
        <v>136</v>
      </c>
      <c r="D2434" t="s">
        <v>79</v>
      </c>
      <c r="E2434" t="s">
        <v>9187</v>
      </c>
      <c r="F2434" t="s">
        <v>149</v>
      </c>
      <c r="G2434" t="s">
        <v>9188</v>
      </c>
    </row>
    <row r="2435" spans="1:7" ht="44.25" customHeight="1">
      <c r="A2435" t="s">
        <v>9189</v>
      </c>
      <c r="B2435" t="s">
        <v>9190</v>
      </c>
      <c r="C2435" t="s">
        <v>136</v>
      </c>
      <c r="D2435" t="s">
        <v>79</v>
      </c>
      <c r="E2435" t="s">
        <v>9191</v>
      </c>
      <c r="F2435" t="s">
        <v>149</v>
      </c>
      <c r="G2435" t="s">
        <v>9192</v>
      </c>
    </row>
    <row r="2436" spans="1:7" ht="44.25" customHeight="1">
      <c r="A2436" t="s">
        <v>136</v>
      </c>
      <c r="B2436" t="s">
        <v>9193</v>
      </c>
      <c r="C2436" t="s">
        <v>136</v>
      </c>
      <c r="D2436" t="s">
        <v>2257</v>
      </c>
      <c r="E2436" t="s">
        <v>5813</v>
      </c>
      <c r="F2436" t="s">
        <v>149</v>
      </c>
      <c r="G2436" t="s">
        <v>9194</v>
      </c>
    </row>
    <row r="2437" spans="1:7" ht="44.25" customHeight="1">
      <c r="A2437" t="s">
        <v>136</v>
      </c>
      <c r="B2437" t="s">
        <v>9195</v>
      </c>
      <c r="C2437" t="s">
        <v>136</v>
      </c>
      <c r="D2437" t="s">
        <v>2257</v>
      </c>
      <c r="E2437" t="s">
        <v>5691</v>
      </c>
      <c r="F2437" t="s">
        <v>149</v>
      </c>
      <c r="G2437" t="s">
        <v>9196</v>
      </c>
    </row>
    <row r="2438" spans="1:7" ht="44.25" customHeight="1">
      <c r="A2438" t="s">
        <v>9197</v>
      </c>
      <c r="B2438" t="s">
        <v>9198</v>
      </c>
      <c r="C2438" t="s">
        <v>136</v>
      </c>
      <c r="D2438" t="s">
        <v>2257</v>
      </c>
      <c r="E2438" t="s">
        <v>1607</v>
      </c>
      <c r="F2438" t="s">
        <v>149</v>
      </c>
      <c r="G2438" t="s">
        <v>9199</v>
      </c>
    </row>
    <row r="2439" spans="1:7" ht="44.25" customHeight="1">
      <c r="A2439" t="s">
        <v>9200</v>
      </c>
      <c r="B2439" t="s">
        <v>9201</v>
      </c>
      <c r="C2439" t="s">
        <v>136</v>
      </c>
      <c r="D2439" t="s">
        <v>2257</v>
      </c>
      <c r="E2439" t="s">
        <v>1607</v>
      </c>
      <c r="F2439" t="s">
        <v>149</v>
      </c>
      <c r="G2439" t="s">
        <v>9202</v>
      </c>
    </row>
    <row r="2440" spans="1:7" ht="44.25" customHeight="1">
      <c r="A2440" t="s">
        <v>9203</v>
      </c>
      <c r="B2440" t="s">
        <v>9204</v>
      </c>
      <c r="C2440" t="s">
        <v>136</v>
      </c>
      <c r="D2440" t="s">
        <v>2257</v>
      </c>
      <c r="E2440" t="s">
        <v>1607</v>
      </c>
      <c r="F2440" t="s">
        <v>149</v>
      </c>
      <c r="G2440" t="s">
        <v>9205</v>
      </c>
    </row>
    <row r="2441" spans="1:7" ht="44.25" customHeight="1">
      <c r="A2441" t="s">
        <v>9206</v>
      </c>
      <c r="B2441" t="s">
        <v>9207</v>
      </c>
      <c r="C2441" t="s">
        <v>136</v>
      </c>
      <c r="D2441" t="s">
        <v>2257</v>
      </c>
      <c r="E2441" t="s">
        <v>1607</v>
      </c>
      <c r="F2441" t="s">
        <v>149</v>
      </c>
      <c r="G2441" t="s">
        <v>9208</v>
      </c>
    </row>
    <row r="2442" spans="1:7" ht="44.25" customHeight="1">
      <c r="A2442" t="s">
        <v>318</v>
      </c>
      <c r="B2442" t="s">
        <v>9209</v>
      </c>
      <c r="C2442" t="s">
        <v>136</v>
      </c>
      <c r="D2442" t="s">
        <v>2257</v>
      </c>
      <c r="E2442" t="s">
        <v>3162</v>
      </c>
      <c r="F2442" t="s">
        <v>149</v>
      </c>
      <c r="G2442" t="s">
        <v>9210</v>
      </c>
    </row>
    <row r="2443" spans="1:7" ht="44.25" customHeight="1">
      <c r="A2443" t="s">
        <v>9211</v>
      </c>
      <c r="B2443" t="s">
        <v>9212</v>
      </c>
      <c r="C2443" t="s">
        <v>136</v>
      </c>
      <c r="D2443" t="s">
        <v>2257</v>
      </c>
      <c r="E2443" t="s">
        <v>2399</v>
      </c>
      <c r="F2443" t="s">
        <v>149</v>
      </c>
      <c r="G2443" t="s">
        <v>9213</v>
      </c>
    </row>
    <row r="2444" spans="1:7" ht="44.25" customHeight="1">
      <c r="A2444" t="s">
        <v>9214</v>
      </c>
      <c r="B2444" t="s">
        <v>9215</v>
      </c>
      <c r="C2444" t="s">
        <v>136</v>
      </c>
      <c r="D2444" t="s">
        <v>2257</v>
      </c>
      <c r="E2444" t="s">
        <v>2695</v>
      </c>
      <c r="F2444" t="s">
        <v>149</v>
      </c>
      <c r="G2444" t="s">
        <v>9216</v>
      </c>
    </row>
    <row r="2445" spans="1:7" ht="44.25" customHeight="1">
      <c r="A2445" t="s">
        <v>9217</v>
      </c>
      <c r="B2445" t="s">
        <v>9218</v>
      </c>
      <c r="C2445" t="s">
        <v>136</v>
      </c>
      <c r="D2445" t="s">
        <v>2253</v>
      </c>
      <c r="E2445" t="s">
        <v>1432</v>
      </c>
      <c r="F2445" t="s">
        <v>149</v>
      </c>
      <c r="G2445" t="s">
        <v>9219</v>
      </c>
    </row>
    <row r="2446" spans="1:7" ht="44.25" customHeight="1">
      <c r="A2446" t="s">
        <v>9220</v>
      </c>
      <c r="B2446" t="s">
        <v>9221</v>
      </c>
      <c r="C2446" t="s">
        <v>136</v>
      </c>
      <c r="D2446" t="s">
        <v>2253</v>
      </c>
      <c r="E2446" t="s">
        <v>1432</v>
      </c>
      <c r="F2446" t="s">
        <v>149</v>
      </c>
      <c r="G2446" t="s">
        <v>9222</v>
      </c>
    </row>
    <row r="2447" spans="1:7" ht="44.25" customHeight="1">
      <c r="A2447" t="s">
        <v>9223</v>
      </c>
      <c r="B2447" t="s">
        <v>9224</v>
      </c>
      <c r="C2447" t="s">
        <v>136</v>
      </c>
      <c r="D2447" t="s">
        <v>2253</v>
      </c>
      <c r="E2447" t="s">
        <v>1432</v>
      </c>
      <c r="F2447" t="s">
        <v>149</v>
      </c>
      <c r="G2447" t="s">
        <v>9225</v>
      </c>
    </row>
    <row r="2448" spans="1:7" ht="44.25" customHeight="1">
      <c r="A2448" t="s">
        <v>1330</v>
      </c>
      <c r="B2448" t="s">
        <v>9226</v>
      </c>
      <c r="C2448" t="s">
        <v>136</v>
      </c>
      <c r="D2448" t="s">
        <v>2253</v>
      </c>
      <c r="E2448" t="s">
        <v>1432</v>
      </c>
      <c r="F2448" t="s">
        <v>149</v>
      </c>
      <c r="G2448" t="s">
        <v>9227</v>
      </c>
    </row>
    <row r="2449" spans="1:7" ht="44.25" customHeight="1">
      <c r="A2449" t="s">
        <v>1373</v>
      </c>
      <c r="B2449" t="s">
        <v>9228</v>
      </c>
      <c r="C2449" t="s">
        <v>136</v>
      </c>
      <c r="D2449" t="s">
        <v>2253</v>
      </c>
      <c r="E2449" t="s">
        <v>1432</v>
      </c>
      <c r="F2449" t="s">
        <v>149</v>
      </c>
      <c r="G2449" t="s">
        <v>9229</v>
      </c>
    </row>
    <row r="2450" spans="1:7" ht="44.25" customHeight="1">
      <c r="A2450" t="s">
        <v>424</v>
      </c>
      <c r="B2450" t="s">
        <v>9230</v>
      </c>
      <c r="C2450" t="s">
        <v>136</v>
      </c>
      <c r="D2450" t="s">
        <v>79</v>
      </c>
      <c r="E2450" t="s">
        <v>6577</v>
      </c>
      <c r="F2450" t="s">
        <v>149</v>
      </c>
      <c r="G2450" t="s">
        <v>9231</v>
      </c>
    </row>
    <row r="2451" spans="1:7" ht="44.25" customHeight="1">
      <c r="A2451" t="s">
        <v>974</v>
      </c>
      <c r="B2451" t="s">
        <v>9232</v>
      </c>
      <c r="C2451" t="s">
        <v>136</v>
      </c>
      <c r="D2451" t="s">
        <v>2257</v>
      </c>
      <c r="E2451" t="s">
        <v>2276</v>
      </c>
      <c r="F2451" t="s">
        <v>149</v>
      </c>
      <c r="G2451" t="s">
        <v>9233</v>
      </c>
    </row>
    <row r="2452" spans="1:7" ht="44.25" customHeight="1">
      <c r="A2452" t="s">
        <v>966</v>
      </c>
      <c r="B2452" t="s">
        <v>9234</v>
      </c>
      <c r="C2452" t="s">
        <v>136</v>
      </c>
      <c r="D2452" t="s">
        <v>2257</v>
      </c>
      <c r="E2452" t="s">
        <v>2276</v>
      </c>
      <c r="F2452" t="s">
        <v>149</v>
      </c>
      <c r="G2452" t="s">
        <v>9235</v>
      </c>
    </row>
    <row r="2453" spans="1:7" ht="44.25" customHeight="1">
      <c r="A2453" t="s">
        <v>136</v>
      </c>
      <c r="B2453" t="s">
        <v>9236</v>
      </c>
      <c r="C2453" t="s">
        <v>136</v>
      </c>
      <c r="D2453" t="s">
        <v>2257</v>
      </c>
      <c r="E2453" t="s">
        <v>2695</v>
      </c>
      <c r="F2453" t="s">
        <v>149</v>
      </c>
      <c r="G2453" t="s">
        <v>9237</v>
      </c>
    </row>
    <row r="2454" spans="1:7" ht="44.25" customHeight="1">
      <c r="A2454" t="s">
        <v>9238</v>
      </c>
      <c r="B2454" t="s">
        <v>9239</v>
      </c>
      <c r="C2454" t="s">
        <v>136</v>
      </c>
      <c r="D2454" t="s">
        <v>79</v>
      </c>
      <c r="E2454" t="s">
        <v>9240</v>
      </c>
      <c r="F2454" t="s">
        <v>149</v>
      </c>
      <c r="G2454" t="s">
        <v>9241</v>
      </c>
    </row>
    <row r="2455" spans="1:7" ht="44.25" customHeight="1">
      <c r="A2455" t="s">
        <v>9242</v>
      </c>
      <c r="B2455" t="s">
        <v>9243</v>
      </c>
      <c r="C2455" t="s">
        <v>136</v>
      </c>
      <c r="D2455" t="s">
        <v>2257</v>
      </c>
      <c r="E2455" t="s">
        <v>1607</v>
      </c>
      <c r="F2455" t="s">
        <v>149</v>
      </c>
      <c r="G2455" t="s">
        <v>9244</v>
      </c>
    </row>
    <row r="2456" spans="1:7" ht="44.25" customHeight="1">
      <c r="A2456" t="s">
        <v>9245</v>
      </c>
      <c r="B2456" t="s">
        <v>9246</v>
      </c>
      <c r="C2456" t="s">
        <v>136</v>
      </c>
      <c r="D2456" t="s">
        <v>2257</v>
      </c>
      <c r="E2456" t="s">
        <v>1607</v>
      </c>
      <c r="F2456" t="s">
        <v>149</v>
      </c>
      <c r="G2456" t="s">
        <v>9247</v>
      </c>
    </row>
    <row r="2457" spans="1:7" ht="44.25" customHeight="1">
      <c r="A2457" t="s">
        <v>9248</v>
      </c>
      <c r="B2457" t="s">
        <v>9249</v>
      </c>
      <c r="C2457" t="s">
        <v>136</v>
      </c>
      <c r="D2457" t="s">
        <v>2257</v>
      </c>
      <c r="E2457" t="s">
        <v>1607</v>
      </c>
      <c r="F2457" t="s">
        <v>149</v>
      </c>
      <c r="G2457" t="s">
        <v>9250</v>
      </c>
    </row>
    <row r="2458" spans="1:7" ht="44.25" customHeight="1">
      <c r="A2458" t="s">
        <v>9251</v>
      </c>
      <c r="B2458" t="s">
        <v>9252</v>
      </c>
      <c r="C2458" t="s">
        <v>136</v>
      </c>
      <c r="D2458" t="s">
        <v>79</v>
      </c>
      <c r="E2458" t="s">
        <v>7354</v>
      </c>
      <c r="F2458" t="s">
        <v>149</v>
      </c>
      <c r="G2458" t="s">
        <v>9253</v>
      </c>
    </row>
    <row r="2459" spans="1:7" ht="44.25" customHeight="1">
      <c r="A2459" t="s">
        <v>9254</v>
      </c>
      <c r="B2459" t="s">
        <v>9255</v>
      </c>
      <c r="C2459" t="s">
        <v>136</v>
      </c>
      <c r="D2459" t="s">
        <v>2253</v>
      </c>
      <c r="E2459" t="s">
        <v>1432</v>
      </c>
      <c r="F2459" t="s">
        <v>149</v>
      </c>
      <c r="G2459" t="s">
        <v>9256</v>
      </c>
    </row>
    <row r="2460" spans="1:7" ht="44.25" customHeight="1">
      <c r="A2460" t="s">
        <v>9257</v>
      </c>
      <c r="B2460" t="s">
        <v>9258</v>
      </c>
      <c r="C2460" t="s">
        <v>136</v>
      </c>
      <c r="D2460" t="s">
        <v>2253</v>
      </c>
      <c r="E2460" t="s">
        <v>1432</v>
      </c>
      <c r="F2460" t="s">
        <v>149</v>
      </c>
      <c r="G2460" t="s">
        <v>9259</v>
      </c>
    </row>
    <row r="2461" spans="1:7" ht="44.25" customHeight="1">
      <c r="A2461" t="s">
        <v>9260</v>
      </c>
      <c r="B2461" t="s">
        <v>9261</v>
      </c>
      <c r="C2461" t="s">
        <v>136</v>
      </c>
      <c r="D2461" t="s">
        <v>79</v>
      </c>
      <c r="E2461" t="s">
        <v>9262</v>
      </c>
      <c r="F2461" t="s">
        <v>149</v>
      </c>
      <c r="G2461" t="s">
        <v>9263</v>
      </c>
    </row>
    <row r="2462" spans="1:7" ht="44.25" customHeight="1">
      <c r="A2462" t="s">
        <v>442</v>
      </c>
      <c r="B2462" t="s">
        <v>7169</v>
      </c>
      <c r="C2462" t="s">
        <v>136</v>
      </c>
      <c r="D2462" t="s">
        <v>79</v>
      </c>
      <c r="E2462" t="s">
        <v>7170</v>
      </c>
      <c r="F2462" t="s">
        <v>149</v>
      </c>
      <c r="G2462" t="s">
        <v>9264</v>
      </c>
    </row>
    <row r="2463" spans="1:7" ht="44.25" customHeight="1">
      <c r="A2463" t="s">
        <v>136</v>
      </c>
      <c r="B2463" t="s">
        <v>9265</v>
      </c>
      <c r="C2463" t="s">
        <v>136</v>
      </c>
      <c r="D2463" t="s">
        <v>79</v>
      </c>
      <c r="E2463" t="s">
        <v>1544</v>
      </c>
      <c r="F2463" t="s">
        <v>149</v>
      </c>
      <c r="G2463" t="s">
        <v>9266</v>
      </c>
    </row>
    <row r="2464" spans="1:7" ht="44.25" customHeight="1">
      <c r="A2464" t="s">
        <v>9267</v>
      </c>
      <c r="B2464" t="s">
        <v>9268</v>
      </c>
      <c r="C2464" t="s">
        <v>136</v>
      </c>
      <c r="D2464" t="s">
        <v>79</v>
      </c>
      <c r="E2464" t="s">
        <v>9269</v>
      </c>
      <c r="F2464" t="s">
        <v>149</v>
      </c>
      <c r="G2464" t="s">
        <v>9270</v>
      </c>
    </row>
    <row r="2465" spans="1:7" ht="44.25" customHeight="1">
      <c r="A2465" t="s">
        <v>9271</v>
      </c>
      <c r="B2465" t="s">
        <v>9272</v>
      </c>
      <c r="C2465" t="s">
        <v>136</v>
      </c>
      <c r="D2465" t="s">
        <v>79</v>
      </c>
      <c r="E2465" t="s">
        <v>9273</v>
      </c>
      <c r="F2465" t="s">
        <v>149</v>
      </c>
      <c r="G2465" t="s">
        <v>9274</v>
      </c>
    </row>
    <row r="2466" spans="1:7" ht="44.25" customHeight="1">
      <c r="A2466" t="s">
        <v>9275</v>
      </c>
      <c r="B2466" t="s">
        <v>9276</v>
      </c>
      <c r="C2466" t="s">
        <v>136</v>
      </c>
      <c r="D2466" t="s">
        <v>79</v>
      </c>
      <c r="E2466" t="s">
        <v>9277</v>
      </c>
      <c r="F2466" t="s">
        <v>149</v>
      </c>
      <c r="G2466" t="s">
        <v>9278</v>
      </c>
    </row>
    <row r="2467" spans="1:7" ht="44.25" customHeight="1">
      <c r="A2467" t="s">
        <v>9279</v>
      </c>
      <c r="B2467" t="s">
        <v>9280</v>
      </c>
      <c r="C2467" t="s">
        <v>136</v>
      </c>
      <c r="D2467" t="s">
        <v>79</v>
      </c>
      <c r="E2467" t="s">
        <v>9281</v>
      </c>
      <c r="F2467" t="s">
        <v>149</v>
      </c>
      <c r="G2467" t="s">
        <v>9282</v>
      </c>
    </row>
    <row r="2468" spans="1:7" ht="44.25" customHeight="1">
      <c r="A2468" t="s">
        <v>9283</v>
      </c>
      <c r="B2468" t="s">
        <v>9284</v>
      </c>
      <c r="C2468" t="s">
        <v>136</v>
      </c>
      <c r="D2468" t="s">
        <v>2257</v>
      </c>
      <c r="E2468" t="s">
        <v>5813</v>
      </c>
      <c r="F2468" t="s">
        <v>149</v>
      </c>
      <c r="G2468" t="s">
        <v>9285</v>
      </c>
    </row>
    <row r="2469" spans="1:7" ht="44.25" customHeight="1">
      <c r="A2469" t="s">
        <v>9286</v>
      </c>
      <c r="B2469" t="s">
        <v>9287</v>
      </c>
      <c r="C2469" t="s">
        <v>136</v>
      </c>
      <c r="D2469" t="s">
        <v>2257</v>
      </c>
      <c r="E2469" t="s">
        <v>1607</v>
      </c>
      <c r="F2469" t="s">
        <v>149</v>
      </c>
      <c r="G2469" t="s">
        <v>9288</v>
      </c>
    </row>
    <row r="2470" spans="1:7" ht="44.25" customHeight="1">
      <c r="A2470" t="s">
        <v>9289</v>
      </c>
      <c r="B2470" t="s">
        <v>9290</v>
      </c>
      <c r="C2470" t="s">
        <v>136</v>
      </c>
      <c r="D2470" t="s">
        <v>2257</v>
      </c>
      <c r="E2470" t="s">
        <v>1607</v>
      </c>
      <c r="F2470" t="s">
        <v>149</v>
      </c>
      <c r="G2470" t="s">
        <v>9291</v>
      </c>
    </row>
    <row r="2471" spans="1:7" ht="44.25" customHeight="1">
      <c r="A2471" t="s">
        <v>136</v>
      </c>
      <c r="B2471" t="s">
        <v>9292</v>
      </c>
      <c r="C2471" t="s">
        <v>136</v>
      </c>
      <c r="D2471" t="s">
        <v>2257</v>
      </c>
      <c r="E2471" t="s">
        <v>1503</v>
      </c>
      <c r="F2471" t="s">
        <v>149</v>
      </c>
      <c r="G2471" t="s">
        <v>9293</v>
      </c>
    </row>
    <row r="2472" spans="1:7" ht="44.25" customHeight="1">
      <c r="A2472" t="s">
        <v>9294</v>
      </c>
      <c r="B2472" t="s">
        <v>9295</v>
      </c>
      <c r="C2472" t="s">
        <v>136</v>
      </c>
      <c r="D2472" t="s">
        <v>2257</v>
      </c>
      <c r="E2472" t="s">
        <v>1607</v>
      </c>
      <c r="F2472" t="s">
        <v>149</v>
      </c>
      <c r="G2472" t="s">
        <v>9296</v>
      </c>
    </row>
    <row r="2473" spans="1:7" ht="44.25" customHeight="1">
      <c r="A2473" t="s">
        <v>9297</v>
      </c>
      <c r="B2473" t="s">
        <v>9298</v>
      </c>
      <c r="C2473" t="s">
        <v>136</v>
      </c>
      <c r="D2473" t="s">
        <v>2257</v>
      </c>
      <c r="E2473" t="s">
        <v>2276</v>
      </c>
      <c r="F2473" t="s">
        <v>149</v>
      </c>
      <c r="G2473" t="s">
        <v>9299</v>
      </c>
    </row>
    <row r="2474" spans="1:7" ht="44.25" customHeight="1">
      <c r="A2474" t="s">
        <v>9300</v>
      </c>
      <c r="B2474" t="s">
        <v>9301</v>
      </c>
      <c r="C2474" t="s">
        <v>136</v>
      </c>
      <c r="D2474" t="s">
        <v>2253</v>
      </c>
      <c r="E2474" t="s">
        <v>1432</v>
      </c>
      <c r="F2474" t="s">
        <v>149</v>
      </c>
      <c r="G2474" t="s">
        <v>9302</v>
      </c>
    </row>
    <row r="2475" spans="1:7" ht="44.25" customHeight="1">
      <c r="A2475" t="s">
        <v>9303</v>
      </c>
      <c r="B2475" t="s">
        <v>9304</v>
      </c>
      <c r="C2475" t="s">
        <v>136</v>
      </c>
      <c r="D2475" t="s">
        <v>2257</v>
      </c>
      <c r="E2475" t="s">
        <v>2276</v>
      </c>
      <c r="F2475" t="s">
        <v>149</v>
      </c>
      <c r="G2475" t="s">
        <v>9305</v>
      </c>
    </row>
    <row r="2476" spans="1:7" ht="44.25" customHeight="1">
      <c r="A2476" t="s">
        <v>9306</v>
      </c>
      <c r="B2476" t="s">
        <v>9307</v>
      </c>
      <c r="C2476" t="s">
        <v>136</v>
      </c>
      <c r="D2476" t="s">
        <v>2257</v>
      </c>
      <c r="E2476" t="s">
        <v>2276</v>
      </c>
      <c r="F2476" t="s">
        <v>149</v>
      </c>
      <c r="G2476" t="s">
        <v>9308</v>
      </c>
    </row>
    <row r="2477" spans="1:7" ht="44.25" customHeight="1">
      <c r="A2477" t="s">
        <v>9309</v>
      </c>
      <c r="B2477" t="s">
        <v>9310</v>
      </c>
      <c r="C2477" t="s">
        <v>136</v>
      </c>
      <c r="D2477" t="s">
        <v>79</v>
      </c>
      <c r="E2477" t="s">
        <v>9311</v>
      </c>
      <c r="F2477" t="s">
        <v>149</v>
      </c>
      <c r="G2477" t="s">
        <v>9312</v>
      </c>
    </row>
    <row r="2478" spans="1:7" ht="44.25" customHeight="1">
      <c r="A2478" t="s">
        <v>136</v>
      </c>
      <c r="B2478" t="s">
        <v>9313</v>
      </c>
      <c r="C2478" t="s">
        <v>136</v>
      </c>
      <c r="D2478" t="s">
        <v>2257</v>
      </c>
      <c r="E2478" t="s">
        <v>5691</v>
      </c>
      <c r="F2478" t="s">
        <v>149</v>
      </c>
      <c r="G2478" t="s">
        <v>9314</v>
      </c>
    </row>
    <row r="2479" spans="1:7" ht="44.25" customHeight="1">
      <c r="A2479" t="s">
        <v>136</v>
      </c>
      <c r="B2479" t="s">
        <v>9315</v>
      </c>
      <c r="C2479" t="s">
        <v>136</v>
      </c>
      <c r="D2479" t="s">
        <v>2257</v>
      </c>
      <c r="E2479" t="s">
        <v>5691</v>
      </c>
      <c r="F2479" t="s">
        <v>149</v>
      </c>
      <c r="G2479" t="s">
        <v>9316</v>
      </c>
    </row>
    <row r="2480" spans="1:7" ht="44.25" customHeight="1">
      <c r="A2480" t="s">
        <v>9317</v>
      </c>
      <c r="B2480" t="s">
        <v>9318</v>
      </c>
      <c r="C2480" t="s">
        <v>136</v>
      </c>
      <c r="D2480" t="s">
        <v>2257</v>
      </c>
      <c r="E2480" t="s">
        <v>1607</v>
      </c>
      <c r="F2480" t="s">
        <v>149</v>
      </c>
      <c r="G2480" t="s">
        <v>9319</v>
      </c>
    </row>
    <row r="2481" spans="1:7" ht="44.25" customHeight="1">
      <c r="A2481" t="s">
        <v>9320</v>
      </c>
      <c r="B2481" t="s">
        <v>9321</v>
      </c>
      <c r="C2481" t="s">
        <v>136</v>
      </c>
      <c r="D2481" t="s">
        <v>2257</v>
      </c>
      <c r="E2481" t="s">
        <v>3162</v>
      </c>
      <c r="F2481" t="s">
        <v>149</v>
      </c>
      <c r="G2481" t="s">
        <v>9322</v>
      </c>
    </row>
    <row r="2482" spans="1:7" ht="44.25" customHeight="1">
      <c r="A2482" t="s">
        <v>9323</v>
      </c>
      <c r="B2482" t="s">
        <v>9324</v>
      </c>
      <c r="C2482" t="s">
        <v>136</v>
      </c>
      <c r="D2482" t="s">
        <v>2253</v>
      </c>
      <c r="E2482" t="s">
        <v>1432</v>
      </c>
      <c r="F2482" t="s">
        <v>149</v>
      </c>
      <c r="G2482" t="s">
        <v>9325</v>
      </c>
    </row>
    <row r="2483" spans="1:7" ht="44.25" customHeight="1">
      <c r="A2483" t="s">
        <v>9326</v>
      </c>
      <c r="B2483" t="s">
        <v>9327</v>
      </c>
      <c r="C2483" t="s">
        <v>136</v>
      </c>
      <c r="D2483" t="s">
        <v>2253</v>
      </c>
      <c r="E2483" t="s">
        <v>1432</v>
      </c>
      <c r="F2483" t="s">
        <v>149</v>
      </c>
      <c r="G2483" t="s">
        <v>9328</v>
      </c>
    </row>
    <row r="2484" spans="1:7" ht="44.25" customHeight="1">
      <c r="A2484" t="s">
        <v>9329</v>
      </c>
      <c r="B2484" t="s">
        <v>9330</v>
      </c>
      <c r="C2484" t="s">
        <v>136</v>
      </c>
      <c r="D2484" t="s">
        <v>2253</v>
      </c>
      <c r="E2484" t="s">
        <v>1432</v>
      </c>
      <c r="F2484" t="s">
        <v>149</v>
      </c>
      <c r="G2484" t="s">
        <v>9331</v>
      </c>
    </row>
    <row r="2485" spans="1:7" ht="44.25" customHeight="1">
      <c r="A2485" t="s">
        <v>9332</v>
      </c>
      <c r="B2485" t="s">
        <v>9333</v>
      </c>
      <c r="C2485" t="s">
        <v>136</v>
      </c>
      <c r="D2485" t="s">
        <v>79</v>
      </c>
      <c r="E2485" t="s">
        <v>9334</v>
      </c>
      <c r="F2485" t="s">
        <v>149</v>
      </c>
      <c r="G2485" t="s">
        <v>9335</v>
      </c>
    </row>
    <row r="2486" spans="1:7" ht="44.25" customHeight="1">
      <c r="A2486" t="s">
        <v>9336</v>
      </c>
      <c r="B2486" t="s">
        <v>9337</v>
      </c>
      <c r="C2486" t="s">
        <v>136</v>
      </c>
      <c r="D2486" t="s">
        <v>79</v>
      </c>
      <c r="E2486" t="s">
        <v>9338</v>
      </c>
      <c r="F2486" t="s">
        <v>149</v>
      </c>
      <c r="G2486" t="s">
        <v>9339</v>
      </c>
    </row>
    <row r="2487" spans="1:7" ht="44.25" customHeight="1">
      <c r="A2487" t="s">
        <v>9340</v>
      </c>
      <c r="B2487" t="s">
        <v>9341</v>
      </c>
      <c r="C2487" t="s">
        <v>136</v>
      </c>
      <c r="D2487" t="s">
        <v>79</v>
      </c>
      <c r="E2487" t="s">
        <v>9342</v>
      </c>
      <c r="F2487" t="s">
        <v>149</v>
      </c>
      <c r="G2487" t="s">
        <v>9343</v>
      </c>
    </row>
    <row r="2488" spans="1:7" ht="44.25" customHeight="1">
      <c r="A2488" t="s">
        <v>136</v>
      </c>
      <c r="B2488" t="s">
        <v>9344</v>
      </c>
      <c r="C2488" t="s">
        <v>136</v>
      </c>
      <c r="D2488" t="s">
        <v>2257</v>
      </c>
      <c r="E2488" t="s">
        <v>5691</v>
      </c>
      <c r="F2488" t="s">
        <v>149</v>
      </c>
      <c r="G2488" t="s">
        <v>9345</v>
      </c>
    </row>
    <row r="2489" spans="1:7" ht="44.25" customHeight="1">
      <c r="A2489" t="s">
        <v>9346</v>
      </c>
      <c r="B2489" t="s">
        <v>9347</v>
      </c>
      <c r="C2489" t="s">
        <v>9348</v>
      </c>
      <c r="D2489" t="s">
        <v>79</v>
      </c>
      <c r="E2489" t="s">
        <v>5921</v>
      </c>
      <c r="F2489" t="s">
        <v>149</v>
      </c>
      <c r="G2489" t="s">
        <v>9349</v>
      </c>
    </row>
    <row r="2490" spans="1:7" ht="44.25" customHeight="1">
      <c r="A2490" t="s">
        <v>582</v>
      </c>
      <c r="B2490" t="s">
        <v>9350</v>
      </c>
      <c r="C2490" t="s">
        <v>136</v>
      </c>
      <c r="D2490" t="s">
        <v>79</v>
      </c>
      <c r="E2490" t="s">
        <v>7750</v>
      </c>
      <c r="F2490" t="s">
        <v>149</v>
      </c>
      <c r="G2490" t="s">
        <v>9351</v>
      </c>
    </row>
    <row r="2491" spans="1:7" ht="44.25" customHeight="1">
      <c r="A2491" t="s">
        <v>9352</v>
      </c>
      <c r="B2491" t="s">
        <v>9353</v>
      </c>
      <c r="C2491" t="s">
        <v>136</v>
      </c>
      <c r="D2491" t="s">
        <v>2257</v>
      </c>
      <c r="E2491" t="s">
        <v>1607</v>
      </c>
      <c r="F2491" t="s">
        <v>149</v>
      </c>
      <c r="G2491" t="s">
        <v>9354</v>
      </c>
    </row>
    <row r="2492" spans="1:7" ht="44.25" customHeight="1">
      <c r="A2492" t="s">
        <v>9355</v>
      </c>
      <c r="B2492" t="s">
        <v>9356</v>
      </c>
      <c r="C2492" t="s">
        <v>136</v>
      </c>
      <c r="D2492" t="s">
        <v>2257</v>
      </c>
      <c r="E2492" t="s">
        <v>1607</v>
      </c>
      <c r="F2492" t="s">
        <v>149</v>
      </c>
      <c r="G2492" t="s">
        <v>9357</v>
      </c>
    </row>
    <row r="2493" spans="1:7" ht="44.25" customHeight="1">
      <c r="A2493" t="s">
        <v>1416</v>
      </c>
      <c r="B2493" t="s">
        <v>9358</v>
      </c>
      <c r="C2493" t="s">
        <v>136</v>
      </c>
      <c r="D2493" t="s">
        <v>2257</v>
      </c>
      <c r="E2493" t="s">
        <v>1607</v>
      </c>
      <c r="F2493" t="s">
        <v>149</v>
      </c>
      <c r="G2493" t="s">
        <v>9359</v>
      </c>
    </row>
    <row r="2494" spans="1:7" ht="44.25" customHeight="1">
      <c r="A2494" t="s">
        <v>9360</v>
      </c>
      <c r="B2494" t="s">
        <v>9361</v>
      </c>
      <c r="C2494" t="s">
        <v>136</v>
      </c>
      <c r="D2494" t="s">
        <v>79</v>
      </c>
      <c r="E2494" t="s">
        <v>3497</v>
      </c>
      <c r="F2494" t="s">
        <v>149</v>
      </c>
      <c r="G2494" t="s">
        <v>9362</v>
      </c>
    </row>
    <row r="2495" spans="1:7" ht="44.25" customHeight="1">
      <c r="A2495" t="s">
        <v>9363</v>
      </c>
      <c r="B2495" t="s">
        <v>9364</v>
      </c>
      <c r="C2495" t="s">
        <v>136</v>
      </c>
      <c r="D2495" t="s">
        <v>2257</v>
      </c>
      <c r="E2495" t="s">
        <v>2276</v>
      </c>
      <c r="F2495" t="s">
        <v>149</v>
      </c>
      <c r="G2495" t="s">
        <v>9365</v>
      </c>
    </row>
    <row r="2496" spans="1:7" ht="44.25" customHeight="1">
      <c r="A2496" t="s">
        <v>751</v>
      </c>
      <c r="B2496" t="s">
        <v>9366</v>
      </c>
      <c r="C2496" t="s">
        <v>136</v>
      </c>
      <c r="D2496" t="s">
        <v>79</v>
      </c>
      <c r="E2496" t="s">
        <v>4511</v>
      </c>
      <c r="F2496" t="s">
        <v>149</v>
      </c>
      <c r="G2496" t="s">
        <v>9367</v>
      </c>
    </row>
    <row r="2497" spans="1:7" ht="44.25" customHeight="1">
      <c r="A2497" t="s">
        <v>9368</v>
      </c>
      <c r="B2497" t="s">
        <v>9369</v>
      </c>
      <c r="C2497" t="s">
        <v>136</v>
      </c>
      <c r="D2497" t="s">
        <v>79</v>
      </c>
      <c r="E2497" t="s">
        <v>9370</v>
      </c>
      <c r="F2497" t="s">
        <v>149</v>
      </c>
      <c r="G2497" t="s">
        <v>9371</v>
      </c>
    </row>
    <row r="2498" spans="1:7" ht="44.25" customHeight="1">
      <c r="A2498" t="s">
        <v>9372</v>
      </c>
      <c r="B2498" t="s">
        <v>9373</v>
      </c>
      <c r="C2498" t="s">
        <v>136</v>
      </c>
      <c r="D2498" t="s">
        <v>79</v>
      </c>
      <c r="E2498" t="s">
        <v>9374</v>
      </c>
      <c r="F2498" t="s">
        <v>149</v>
      </c>
      <c r="G2498" t="s">
        <v>9375</v>
      </c>
    </row>
    <row r="2499" spans="1:7" ht="44.25" customHeight="1">
      <c r="A2499" t="s">
        <v>9376</v>
      </c>
      <c r="B2499" t="s">
        <v>9377</v>
      </c>
      <c r="C2499" t="s">
        <v>136</v>
      </c>
      <c r="D2499" t="s">
        <v>79</v>
      </c>
      <c r="E2499" t="s">
        <v>9378</v>
      </c>
      <c r="F2499" t="s">
        <v>149</v>
      </c>
      <c r="G2499" t="s">
        <v>9379</v>
      </c>
    </row>
    <row r="2500" spans="1:7" ht="44.25" customHeight="1">
      <c r="A2500" t="s">
        <v>9380</v>
      </c>
      <c r="B2500" t="s">
        <v>9381</v>
      </c>
      <c r="C2500" t="s">
        <v>136</v>
      </c>
      <c r="D2500" t="s">
        <v>79</v>
      </c>
      <c r="E2500" t="s">
        <v>9382</v>
      </c>
      <c r="F2500" t="s">
        <v>149</v>
      </c>
      <c r="G2500" t="s">
        <v>9383</v>
      </c>
    </row>
    <row r="2501" spans="1:7" ht="44.25" customHeight="1">
      <c r="A2501" t="s">
        <v>9384</v>
      </c>
      <c r="B2501" t="s">
        <v>9385</v>
      </c>
      <c r="C2501" t="s">
        <v>136</v>
      </c>
      <c r="D2501" t="s">
        <v>79</v>
      </c>
      <c r="E2501" t="s">
        <v>9386</v>
      </c>
      <c r="F2501" t="s">
        <v>149</v>
      </c>
      <c r="G2501" t="s">
        <v>9387</v>
      </c>
    </row>
    <row r="2502" spans="1:7" ht="44.25" customHeight="1">
      <c r="A2502" t="s">
        <v>9388</v>
      </c>
      <c r="B2502" t="s">
        <v>9389</v>
      </c>
      <c r="C2502" t="s">
        <v>136</v>
      </c>
      <c r="D2502" t="s">
        <v>2257</v>
      </c>
      <c r="E2502" t="s">
        <v>1607</v>
      </c>
      <c r="F2502" t="s">
        <v>149</v>
      </c>
      <c r="G2502" t="s">
        <v>9390</v>
      </c>
    </row>
    <row r="2503" spans="1:7" ht="44.25" customHeight="1">
      <c r="A2503" t="s">
        <v>9391</v>
      </c>
      <c r="B2503" t="s">
        <v>9392</v>
      </c>
      <c r="C2503" t="s">
        <v>136</v>
      </c>
      <c r="D2503" t="s">
        <v>2257</v>
      </c>
      <c r="E2503" t="s">
        <v>2399</v>
      </c>
      <c r="F2503" t="s">
        <v>149</v>
      </c>
      <c r="G2503" t="s">
        <v>9393</v>
      </c>
    </row>
    <row r="2504" spans="1:7" ht="44.25" customHeight="1">
      <c r="A2504" t="s">
        <v>9394</v>
      </c>
      <c r="B2504" t="s">
        <v>9395</v>
      </c>
      <c r="C2504" t="s">
        <v>136</v>
      </c>
      <c r="D2504" t="s">
        <v>2257</v>
      </c>
      <c r="E2504" t="s">
        <v>1607</v>
      </c>
      <c r="F2504" t="s">
        <v>149</v>
      </c>
      <c r="G2504" t="s">
        <v>9396</v>
      </c>
    </row>
    <row r="2505" spans="1:7" ht="44.25" customHeight="1">
      <c r="A2505" t="s">
        <v>9397</v>
      </c>
      <c r="B2505" t="s">
        <v>9398</v>
      </c>
      <c r="C2505" t="s">
        <v>136</v>
      </c>
      <c r="D2505" t="s">
        <v>2257</v>
      </c>
      <c r="E2505" t="s">
        <v>1607</v>
      </c>
      <c r="F2505" t="s">
        <v>149</v>
      </c>
      <c r="G2505" t="s">
        <v>9399</v>
      </c>
    </row>
    <row r="2506" spans="1:7" ht="44.25" customHeight="1">
      <c r="A2506" t="s">
        <v>1394</v>
      </c>
      <c r="B2506" t="s">
        <v>9400</v>
      </c>
      <c r="C2506" t="s">
        <v>136</v>
      </c>
      <c r="D2506" t="s">
        <v>2257</v>
      </c>
      <c r="E2506" t="s">
        <v>1607</v>
      </c>
      <c r="F2506" t="s">
        <v>149</v>
      </c>
      <c r="G2506" t="s">
        <v>9401</v>
      </c>
    </row>
    <row r="2507" spans="1:7" ht="44.25" customHeight="1">
      <c r="A2507" t="s">
        <v>1415</v>
      </c>
      <c r="B2507" t="s">
        <v>9402</v>
      </c>
      <c r="C2507" t="s">
        <v>136</v>
      </c>
      <c r="D2507" t="s">
        <v>2257</v>
      </c>
      <c r="E2507" t="s">
        <v>1607</v>
      </c>
      <c r="F2507" t="s">
        <v>149</v>
      </c>
      <c r="G2507" t="s">
        <v>9403</v>
      </c>
    </row>
    <row r="2508" spans="1:7" ht="44.25" customHeight="1">
      <c r="A2508" t="s">
        <v>270</v>
      </c>
      <c r="B2508" t="s">
        <v>9404</v>
      </c>
      <c r="C2508" t="s">
        <v>136</v>
      </c>
      <c r="D2508" t="s">
        <v>2257</v>
      </c>
      <c r="E2508" t="s">
        <v>1607</v>
      </c>
      <c r="F2508" t="s">
        <v>149</v>
      </c>
      <c r="G2508" t="s">
        <v>9405</v>
      </c>
    </row>
    <row r="2509" spans="1:7" ht="44.25" customHeight="1">
      <c r="A2509" t="s">
        <v>296</v>
      </c>
      <c r="B2509" t="s">
        <v>9406</v>
      </c>
      <c r="C2509" t="s">
        <v>1508</v>
      </c>
      <c r="D2509" t="s">
        <v>2257</v>
      </c>
      <c r="E2509" t="s">
        <v>3162</v>
      </c>
      <c r="F2509" t="s">
        <v>149</v>
      </c>
      <c r="G2509" t="s">
        <v>9407</v>
      </c>
    </row>
    <row r="2510" spans="1:7" ht="44.25" customHeight="1">
      <c r="A2510" t="s">
        <v>9408</v>
      </c>
      <c r="B2510" t="s">
        <v>9409</v>
      </c>
      <c r="C2510" t="s">
        <v>136</v>
      </c>
      <c r="D2510" t="s">
        <v>2257</v>
      </c>
      <c r="E2510" t="s">
        <v>1607</v>
      </c>
      <c r="F2510" t="s">
        <v>149</v>
      </c>
      <c r="G2510" t="s">
        <v>9410</v>
      </c>
    </row>
    <row r="2511" spans="1:7" ht="44.25" customHeight="1">
      <c r="A2511" t="s">
        <v>9411</v>
      </c>
      <c r="B2511" t="s">
        <v>9412</v>
      </c>
      <c r="C2511" t="s">
        <v>136</v>
      </c>
      <c r="D2511" t="s">
        <v>2257</v>
      </c>
      <c r="E2511" t="s">
        <v>2269</v>
      </c>
      <c r="F2511" t="s">
        <v>149</v>
      </c>
      <c r="G2511" t="s">
        <v>9413</v>
      </c>
    </row>
    <row r="2512" spans="1:7" ht="44.25" customHeight="1">
      <c r="A2512" t="s">
        <v>9414</v>
      </c>
      <c r="B2512" t="s">
        <v>9415</v>
      </c>
      <c r="C2512" t="s">
        <v>136</v>
      </c>
      <c r="D2512" t="s">
        <v>2253</v>
      </c>
      <c r="E2512" t="s">
        <v>1432</v>
      </c>
      <c r="F2512" t="s">
        <v>149</v>
      </c>
      <c r="G2512" t="s">
        <v>9416</v>
      </c>
    </row>
    <row r="2513" spans="1:7" ht="44.25" customHeight="1">
      <c r="A2513" t="s">
        <v>514</v>
      </c>
      <c r="B2513" t="s">
        <v>9417</v>
      </c>
      <c r="C2513" t="s">
        <v>136</v>
      </c>
      <c r="D2513" t="s">
        <v>2257</v>
      </c>
      <c r="E2513" t="s">
        <v>2258</v>
      </c>
      <c r="F2513" t="s">
        <v>149</v>
      </c>
      <c r="G2513" t="s">
        <v>9418</v>
      </c>
    </row>
    <row r="2514" spans="1:7" ht="44.25" customHeight="1">
      <c r="A2514" t="s">
        <v>770</v>
      </c>
      <c r="B2514" t="s">
        <v>9419</v>
      </c>
      <c r="C2514" t="s">
        <v>136</v>
      </c>
      <c r="D2514" t="s">
        <v>2257</v>
      </c>
      <c r="E2514" t="s">
        <v>1432</v>
      </c>
      <c r="F2514" t="s">
        <v>149</v>
      </c>
      <c r="G2514" t="s">
        <v>9420</v>
      </c>
    </row>
    <row r="2515" spans="1:7" ht="44.25" customHeight="1">
      <c r="A2515" t="s">
        <v>622</v>
      </c>
      <c r="B2515" t="s">
        <v>9421</v>
      </c>
      <c r="C2515" t="s">
        <v>136</v>
      </c>
      <c r="D2515" t="s">
        <v>2257</v>
      </c>
      <c r="E2515" t="s">
        <v>4855</v>
      </c>
      <c r="F2515" t="s">
        <v>149</v>
      </c>
      <c r="G2515" t="s">
        <v>9422</v>
      </c>
    </row>
    <row r="2516" spans="1:7" ht="44.25" customHeight="1">
      <c r="A2516" t="s">
        <v>9423</v>
      </c>
      <c r="B2516" t="s">
        <v>9424</v>
      </c>
      <c r="C2516" t="s">
        <v>136</v>
      </c>
      <c r="D2516" t="s">
        <v>79</v>
      </c>
      <c r="E2516" t="s">
        <v>9425</v>
      </c>
      <c r="F2516" t="s">
        <v>149</v>
      </c>
      <c r="G2516" t="s">
        <v>9426</v>
      </c>
    </row>
    <row r="2517" spans="1:7" ht="44.25" customHeight="1">
      <c r="A2517" t="s">
        <v>9427</v>
      </c>
      <c r="B2517" t="s">
        <v>9428</v>
      </c>
      <c r="C2517" t="s">
        <v>136</v>
      </c>
      <c r="D2517" t="s">
        <v>79</v>
      </c>
      <c r="E2517" t="s">
        <v>9429</v>
      </c>
      <c r="F2517" t="s">
        <v>149</v>
      </c>
      <c r="G2517" t="s">
        <v>9430</v>
      </c>
    </row>
    <row r="2518" spans="1:7" ht="44.25" customHeight="1">
      <c r="A2518" t="s">
        <v>9431</v>
      </c>
      <c r="B2518" t="s">
        <v>9432</v>
      </c>
      <c r="C2518" t="s">
        <v>136</v>
      </c>
      <c r="D2518" t="s">
        <v>79</v>
      </c>
      <c r="E2518" t="s">
        <v>9433</v>
      </c>
      <c r="F2518" t="s">
        <v>149</v>
      </c>
      <c r="G2518" t="s">
        <v>9434</v>
      </c>
    </row>
    <row r="2519" spans="1:7" ht="44.25" customHeight="1">
      <c r="A2519" t="s">
        <v>9435</v>
      </c>
      <c r="B2519" t="s">
        <v>9436</v>
      </c>
      <c r="C2519" t="s">
        <v>136</v>
      </c>
      <c r="D2519" t="s">
        <v>2257</v>
      </c>
      <c r="E2519" t="s">
        <v>9437</v>
      </c>
      <c r="F2519" t="s">
        <v>149</v>
      </c>
      <c r="G2519" t="s">
        <v>9438</v>
      </c>
    </row>
    <row r="2520" spans="1:7" ht="44.25" customHeight="1">
      <c r="A2520" t="s">
        <v>9435</v>
      </c>
      <c r="B2520" t="s">
        <v>9436</v>
      </c>
      <c r="C2520" t="s">
        <v>136</v>
      </c>
      <c r="D2520" t="s">
        <v>2257</v>
      </c>
      <c r="E2520" t="s">
        <v>9437</v>
      </c>
      <c r="F2520" t="s">
        <v>149</v>
      </c>
      <c r="G2520" t="s">
        <v>9438</v>
      </c>
    </row>
    <row r="2521" spans="1:7" ht="44.25" customHeight="1">
      <c r="A2521" t="s">
        <v>9439</v>
      </c>
      <c r="B2521" t="s">
        <v>9440</v>
      </c>
      <c r="C2521" t="s">
        <v>136</v>
      </c>
      <c r="D2521" t="s">
        <v>2257</v>
      </c>
      <c r="E2521" t="s">
        <v>5973</v>
      </c>
      <c r="F2521" t="s">
        <v>149</v>
      </c>
      <c r="G2521" t="s">
        <v>9441</v>
      </c>
    </row>
    <row r="2522" spans="1:7" ht="44.25" customHeight="1">
      <c r="A2522" t="s">
        <v>9442</v>
      </c>
      <c r="B2522" t="s">
        <v>9443</v>
      </c>
      <c r="C2522" t="s">
        <v>136</v>
      </c>
      <c r="D2522" t="s">
        <v>2257</v>
      </c>
      <c r="E2522" t="s">
        <v>1607</v>
      </c>
      <c r="F2522" t="s">
        <v>149</v>
      </c>
      <c r="G2522" t="s">
        <v>9444</v>
      </c>
    </row>
    <row r="2523" spans="1:7" ht="44.25" customHeight="1">
      <c r="A2523" t="s">
        <v>9445</v>
      </c>
      <c r="B2523" t="s">
        <v>9446</v>
      </c>
      <c r="C2523" t="s">
        <v>136</v>
      </c>
      <c r="D2523" t="s">
        <v>2257</v>
      </c>
      <c r="E2523" t="s">
        <v>1607</v>
      </c>
      <c r="F2523" t="s">
        <v>149</v>
      </c>
      <c r="G2523" t="s">
        <v>9447</v>
      </c>
    </row>
    <row r="2524" spans="1:7" ht="44.25" customHeight="1">
      <c r="A2524" t="s">
        <v>9448</v>
      </c>
      <c r="B2524" t="s">
        <v>9449</v>
      </c>
      <c r="C2524" t="s">
        <v>136</v>
      </c>
      <c r="D2524" t="s">
        <v>2257</v>
      </c>
      <c r="E2524" t="s">
        <v>3405</v>
      </c>
      <c r="F2524" t="s">
        <v>149</v>
      </c>
      <c r="G2524" t="s">
        <v>9450</v>
      </c>
    </row>
    <row r="2525" spans="1:7" ht="44.25" customHeight="1">
      <c r="A2525" t="s">
        <v>9451</v>
      </c>
      <c r="B2525" t="s">
        <v>9452</v>
      </c>
      <c r="C2525" t="s">
        <v>136</v>
      </c>
      <c r="D2525" t="s">
        <v>79</v>
      </c>
      <c r="E2525" t="s">
        <v>9453</v>
      </c>
      <c r="F2525" t="s">
        <v>149</v>
      </c>
      <c r="G2525" t="s">
        <v>9454</v>
      </c>
    </row>
    <row r="2526" spans="1:7" ht="44.25" customHeight="1">
      <c r="A2526" t="s">
        <v>9455</v>
      </c>
      <c r="B2526" t="s">
        <v>9456</v>
      </c>
      <c r="C2526" t="s">
        <v>136</v>
      </c>
      <c r="D2526" t="s">
        <v>2253</v>
      </c>
      <c r="E2526" t="s">
        <v>1432</v>
      </c>
      <c r="F2526" t="s">
        <v>149</v>
      </c>
      <c r="G2526" t="s">
        <v>9457</v>
      </c>
    </row>
    <row r="2527" spans="1:7" ht="44.25" customHeight="1">
      <c r="A2527" t="s">
        <v>9458</v>
      </c>
      <c r="B2527" t="s">
        <v>9459</v>
      </c>
      <c r="C2527" t="s">
        <v>136</v>
      </c>
      <c r="D2527" t="s">
        <v>2257</v>
      </c>
      <c r="E2527" t="s">
        <v>2276</v>
      </c>
      <c r="F2527" t="s">
        <v>149</v>
      </c>
      <c r="G2527" t="s">
        <v>9460</v>
      </c>
    </row>
    <row r="2528" spans="1:7" ht="44.25" customHeight="1">
      <c r="A2528" t="s">
        <v>9461</v>
      </c>
      <c r="B2528" t="s">
        <v>9462</v>
      </c>
      <c r="C2528" t="s">
        <v>136</v>
      </c>
      <c r="D2528" t="s">
        <v>2253</v>
      </c>
      <c r="E2528" t="s">
        <v>1430</v>
      </c>
      <c r="F2528" t="s">
        <v>149</v>
      </c>
      <c r="G2528" t="s">
        <v>9463</v>
      </c>
    </row>
    <row r="2529" spans="1:7" ht="44.25" customHeight="1">
      <c r="A2529" t="s">
        <v>9464</v>
      </c>
      <c r="B2529" t="s">
        <v>9465</v>
      </c>
      <c r="C2529" t="s">
        <v>136</v>
      </c>
      <c r="D2529" t="s">
        <v>2253</v>
      </c>
      <c r="E2529" t="s">
        <v>1432</v>
      </c>
      <c r="F2529" t="s">
        <v>149</v>
      </c>
      <c r="G2529" t="s">
        <v>9466</v>
      </c>
    </row>
    <row r="2530" spans="1:7" ht="44.25" customHeight="1">
      <c r="A2530" t="s">
        <v>9467</v>
      </c>
      <c r="B2530" t="s">
        <v>9468</v>
      </c>
      <c r="C2530" t="s">
        <v>136</v>
      </c>
      <c r="D2530" t="s">
        <v>2257</v>
      </c>
      <c r="E2530" t="s">
        <v>6860</v>
      </c>
      <c r="F2530" t="s">
        <v>149</v>
      </c>
      <c r="G2530" t="s">
        <v>9469</v>
      </c>
    </row>
    <row r="2531" spans="1:7" ht="44.25" customHeight="1">
      <c r="A2531" t="s">
        <v>789</v>
      </c>
      <c r="B2531" t="s">
        <v>9470</v>
      </c>
      <c r="C2531" t="s">
        <v>136</v>
      </c>
      <c r="D2531" t="s">
        <v>2253</v>
      </c>
      <c r="E2531" t="s">
        <v>1432</v>
      </c>
      <c r="F2531" t="s">
        <v>149</v>
      </c>
      <c r="G2531" t="s">
        <v>9471</v>
      </c>
    </row>
    <row r="2532" spans="1:7" ht="44.25" customHeight="1">
      <c r="A2532" t="s">
        <v>9472</v>
      </c>
      <c r="B2532" t="s">
        <v>9473</v>
      </c>
      <c r="C2532" t="s">
        <v>136</v>
      </c>
      <c r="D2532" t="s">
        <v>2257</v>
      </c>
      <c r="E2532" t="s">
        <v>2276</v>
      </c>
      <c r="F2532" t="s">
        <v>149</v>
      </c>
      <c r="G2532" t="s">
        <v>9474</v>
      </c>
    </row>
    <row r="2533" spans="1:7" ht="44.25" customHeight="1">
      <c r="A2533" t="s">
        <v>9475</v>
      </c>
      <c r="B2533" t="s">
        <v>9476</v>
      </c>
      <c r="C2533" t="s">
        <v>136</v>
      </c>
      <c r="D2533" t="s">
        <v>2253</v>
      </c>
      <c r="E2533" t="s">
        <v>1432</v>
      </c>
      <c r="F2533" t="s">
        <v>149</v>
      </c>
      <c r="G2533" t="s">
        <v>9477</v>
      </c>
    </row>
    <row r="2534" spans="1:7" ht="44.25" customHeight="1">
      <c r="A2534" t="s">
        <v>9478</v>
      </c>
      <c r="B2534" t="s">
        <v>9479</v>
      </c>
      <c r="C2534" t="s">
        <v>136</v>
      </c>
      <c r="D2534" t="s">
        <v>2253</v>
      </c>
      <c r="E2534" t="s">
        <v>1432</v>
      </c>
      <c r="F2534" t="s">
        <v>149</v>
      </c>
      <c r="G2534" t="s">
        <v>9480</v>
      </c>
    </row>
    <row r="2535" spans="1:7" ht="44.25" customHeight="1">
      <c r="A2535" t="s">
        <v>9481</v>
      </c>
      <c r="B2535" t="s">
        <v>9482</v>
      </c>
      <c r="C2535" t="s">
        <v>136</v>
      </c>
      <c r="D2535" t="s">
        <v>2257</v>
      </c>
      <c r="E2535" t="s">
        <v>2276</v>
      </c>
      <c r="F2535" t="s">
        <v>149</v>
      </c>
      <c r="G2535" t="s">
        <v>9483</v>
      </c>
    </row>
    <row r="2536" spans="1:7" ht="44.25" customHeight="1">
      <c r="A2536" t="s">
        <v>9484</v>
      </c>
      <c r="B2536" t="s">
        <v>9485</v>
      </c>
      <c r="C2536" t="s">
        <v>136</v>
      </c>
      <c r="D2536" t="s">
        <v>2253</v>
      </c>
      <c r="E2536" t="s">
        <v>1432</v>
      </c>
      <c r="F2536" t="s">
        <v>149</v>
      </c>
      <c r="G2536" t="s">
        <v>9486</v>
      </c>
    </row>
    <row r="2537" spans="1:7" ht="44.25" customHeight="1">
      <c r="A2537" t="s">
        <v>785</v>
      </c>
      <c r="B2537" t="s">
        <v>9487</v>
      </c>
      <c r="C2537" t="s">
        <v>136</v>
      </c>
      <c r="D2537" t="s">
        <v>2257</v>
      </c>
      <c r="E2537" t="s">
        <v>1432</v>
      </c>
      <c r="F2537" t="s">
        <v>149</v>
      </c>
      <c r="G2537" t="s">
        <v>9488</v>
      </c>
    </row>
    <row r="2538" spans="1:7" ht="44.25" customHeight="1">
      <c r="A2538" t="s">
        <v>9489</v>
      </c>
      <c r="B2538" t="s">
        <v>9490</v>
      </c>
      <c r="C2538" t="s">
        <v>136</v>
      </c>
      <c r="D2538" t="s">
        <v>79</v>
      </c>
      <c r="E2538" t="s">
        <v>9491</v>
      </c>
      <c r="F2538" t="s">
        <v>149</v>
      </c>
      <c r="G2538" t="s">
        <v>9492</v>
      </c>
    </row>
    <row r="2539" spans="1:7" ht="44.25" customHeight="1">
      <c r="A2539" t="s">
        <v>9493</v>
      </c>
      <c r="B2539" t="s">
        <v>9494</v>
      </c>
      <c r="C2539" t="s">
        <v>136</v>
      </c>
      <c r="D2539" t="s">
        <v>79</v>
      </c>
      <c r="E2539" t="s">
        <v>9495</v>
      </c>
      <c r="F2539" t="s">
        <v>149</v>
      </c>
      <c r="G2539" t="s">
        <v>9496</v>
      </c>
    </row>
    <row r="2540" spans="1:7" ht="44.25" customHeight="1">
      <c r="A2540" t="s">
        <v>9497</v>
      </c>
      <c r="B2540" t="s">
        <v>9498</v>
      </c>
      <c r="C2540" t="s">
        <v>136</v>
      </c>
      <c r="D2540" t="s">
        <v>2257</v>
      </c>
      <c r="E2540" t="s">
        <v>5891</v>
      </c>
      <c r="F2540" t="s">
        <v>149</v>
      </c>
      <c r="G2540" t="s">
        <v>9499</v>
      </c>
    </row>
    <row r="2541" spans="1:7" ht="44.25" customHeight="1">
      <c r="A2541" t="s">
        <v>9500</v>
      </c>
      <c r="B2541" t="s">
        <v>9501</v>
      </c>
      <c r="C2541" t="s">
        <v>136</v>
      </c>
      <c r="D2541" t="s">
        <v>2398</v>
      </c>
      <c r="E2541" t="s">
        <v>5891</v>
      </c>
      <c r="F2541" t="s">
        <v>149</v>
      </c>
      <c r="G2541" t="s">
        <v>9502</v>
      </c>
    </row>
    <row r="2542" spans="1:7" ht="44.25" customHeight="1">
      <c r="A2542" t="s">
        <v>9503</v>
      </c>
      <c r="B2542" t="s">
        <v>9504</v>
      </c>
      <c r="C2542" t="s">
        <v>136</v>
      </c>
      <c r="D2542" t="s">
        <v>2257</v>
      </c>
      <c r="E2542" t="s">
        <v>2399</v>
      </c>
      <c r="F2542" t="s">
        <v>149</v>
      </c>
      <c r="G2542" t="s">
        <v>9505</v>
      </c>
    </row>
    <row r="2543" spans="1:7" ht="44.25" customHeight="1">
      <c r="A2543" t="s">
        <v>1389</v>
      </c>
      <c r="B2543" t="s">
        <v>9506</v>
      </c>
      <c r="C2543" t="s">
        <v>136</v>
      </c>
      <c r="D2543" t="s">
        <v>2257</v>
      </c>
      <c r="E2543" t="s">
        <v>1607</v>
      </c>
      <c r="F2543" t="s">
        <v>149</v>
      </c>
      <c r="G2543" t="s">
        <v>9507</v>
      </c>
    </row>
    <row r="2544" spans="1:7" ht="44.25" customHeight="1">
      <c r="A2544" t="s">
        <v>9508</v>
      </c>
      <c r="B2544" t="s">
        <v>9509</v>
      </c>
      <c r="C2544" t="s">
        <v>136</v>
      </c>
      <c r="D2544" t="s">
        <v>79</v>
      </c>
      <c r="E2544" t="s">
        <v>9510</v>
      </c>
      <c r="F2544" t="s">
        <v>149</v>
      </c>
      <c r="G2544" t="s">
        <v>9511</v>
      </c>
    </row>
    <row r="2545" spans="1:7" ht="44.25" customHeight="1">
      <c r="A2545" t="s">
        <v>9512</v>
      </c>
      <c r="B2545" t="s">
        <v>9513</v>
      </c>
      <c r="C2545" t="s">
        <v>136</v>
      </c>
      <c r="D2545" t="s">
        <v>2253</v>
      </c>
      <c r="E2545" t="s">
        <v>1432</v>
      </c>
      <c r="F2545" t="s">
        <v>149</v>
      </c>
      <c r="G2545" t="s">
        <v>9514</v>
      </c>
    </row>
    <row r="2546" spans="1:7" ht="44.25" customHeight="1">
      <c r="A2546" t="s">
        <v>9515</v>
      </c>
      <c r="B2546" t="s">
        <v>9516</v>
      </c>
      <c r="C2546" t="s">
        <v>136</v>
      </c>
      <c r="D2546" t="s">
        <v>2253</v>
      </c>
      <c r="E2546" t="s">
        <v>1432</v>
      </c>
      <c r="F2546" t="s">
        <v>149</v>
      </c>
      <c r="G2546" t="s">
        <v>9517</v>
      </c>
    </row>
    <row r="2547" spans="1:7" ht="44.25" customHeight="1">
      <c r="A2547" t="s">
        <v>1438</v>
      </c>
      <c r="B2547" t="s">
        <v>9518</v>
      </c>
      <c r="C2547" t="s">
        <v>136</v>
      </c>
      <c r="D2547" t="s">
        <v>2257</v>
      </c>
      <c r="E2547" t="s">
        <v>1584</v>
      </c>
      <c r="F2547" t="s">
        <v>149</v>
      </c>
      <c r="G2547" t="s">
        <v>9519</v>
      </c>
    </row>
    <row r="2548" spans="1:7" ht="44.25" customHeight="1">
      <c r="A2548" t="s">
        <v>962</v>
      </c>
      <c r="B2548" t="s">
        <v>9520</v>
      </c>
      <c r="C2548" t="s">
        <v>136</v>
      </c>
      <c r="D2548" t="s">
        <v>2257</v>
      </c>
      <c r="E2548" t="s">
        <v>2276</v>
      </c>
      <c r="F2548" t="s">
        <v>149</v>
      </c>
      <c r="G2548" t="s">
        <v>9521</v>
      </c>
    </row>
    <row r="2549" spans="1:7" ht="44.25" customHeight="1">
      <c r="A2549" t="s">
        <v>935</v>
      </c>
      <c r="B2549" t="s">
        <v>9522</v>
      </c>
      <c r="C2549" t="s">
        <v>136</v>
      </c>
      <c r="D2549" t="s">
        <v>2257</v>
      </c>
      <c r="E2549" t="s">
        <v>2276</v>
      </c>
      <c r="F2549" t="s">
        <v>149</v>
      </c>
      <c r="G2549" t="s">
        <v>9523</v>
      </c>
    </row>
    <row r="2550" spans="1:7" ht="44.25" customHeight="1">
      <c r="A2550" t="s">
        <v>9524</v>
      </c>
      <c r="B2550" t="s">
        <v>9525</v>
      </c>
      <c r="C2550" t="s">
        <v>136</v>
      </c>
      <c r="D2550" t="s">
        <v>2257</v>
      </c>
      <c r="E2550" t="s">
        <v>4299</v>
      </c>
      <c r="F2550" t="s">
        <v>149</v>
      </c>
      <c r="G2550" t="s">
        <v>9526</v>
      </c>
    </row>
    <row r="2551" spans="1:7" ht="44.25" customHeight="1">
      <c r="A2551" t="s">
        <v>9527</v>
      </c>
      <c r="B2551" t="s">
        <v>9528</v>
      </c>
      <c r="C2551" t="s">
        <v>136</v>
      </c>
      <c r="D2551" t="s">
        <v>79</v>
      </c>
      <c r="E2551" t="s">
        <v>9529</v>
      </c>
      <c r="F2551" t="s">
        <v>149</v>
      </c>
      <c r="G2551" t="s">
        <v>9530</v>
      </c>
    </row>
    <row r="2552" spans="1:7" ht="44.25" customHeight="1">
      <c r="A2552" t="s">
        <v>9531</v>
      </c>
      <c r="B2552" t="s">
        <v>9532</v>
      </c>
      <c r="C2552" t="s">
        <v>136</v>
      </c>
      <c r="D2552" t="s">
        <v>2257</v>
      </c>
      <c r="E2552" t="s">
        <v>6128</v>
      </c>
      <c r="F2552" t="s">
        <v>149</v>
      </c>
      <c r="G2552" t="s">
        <v>9533</v>
      </c>
    </row>
    <row r="2553" spans="1:7" ht="44.25" customHeight="1">
      <c r="A2553" t="s">
        <v>659</v>
      </c>
      <c r="B2553" t="s">
        <v>9534</v>
      </c>
      <c r="C2553" t="s">
        <v>136</v>
      </c>
      <c r="D2553" t="s">
        <v>79</v>
      </c>
      <c r="E2553" t="s">
        <v>9535</v>
      </c>
      <c r="F2553" t="s">
        <v>149</v>
      </c>
      <c r="G2553" t="s">
        <v>9536</v>
      </c>
    </row>
    <row r="2554" spans="1:7" ht="44.25" customHeight="1">
      <c r="A2554" t="s">
        <v>9537</v>
      </c>
      <c r="B2554" t="s">
        <v>9538</v>
      </c>
      <c r="C2554" t="s">
        <v>136</v>
      </c>
      <c r="D2554" t="s">
        <v>2257</v>
      </c>
      <c r="E2554" t="s">
        <v>1607</v>
      </c>
      <c r="F2554" t="s">
        <v>149</v>
      </c>
      <c r="G2554" t="s">
        <v>9539</v>
      </c>
    </row>
    <row r="2555" spans="1:7" ht="44.25" customHeight="1">
      <c r="A2555" t="s">
        <v>9540</v>
      </c>
      <c r="B2555" t="s">
        <v>9541</v>
      </c>
      <c r="C2555" t="s">
        <v>136</v>
      </c>
      <c r="D2555" t="s">
        <v>2257</v>
      </c>
      <c r="E2555" t="s">
        <v>1607</v>
      </c>
      <c r="F2555" t="s">
        <v>149</v>
      </c>
      <c r="G2555" t="s">
        <v>9542</v>
      </c>
    </row>
    <row r="2556" spans="1:7" ht="44.25" customHeight="1">
      <c r="A2556" t="s">
        <v>9543</v>
      </c>
      <c r="B2556" t="s">
        <v>9544</v>
      </c>
      <c r="C2556" t="s">
        <v>136</v>
      </c>
      <c r="D2556" t="s">
        <v>2257</v>
      </c>
      <c r="E2556" t="s">
        <v>2399</v>
      </c>
      <c r="F2556" t="s">
        <v>149</v>
      </c>
      <c r="G2556" t="s">
        <v>9545</v>
      </c>
    </row>
    <row r="2557" spans="1:7" ht="44.25" customHeight="1">
      <c r="A2557" t="s">
        <v>9546</v>
      </c>
      <c r="B2557" t="s">
        <v>9547</v>
      </c>
      <c r="C2557" t="s">
        <v>136</v>
      </c>
      <c r="D2557" t="s">
        <v>2257</v>
      </c>
      <c r="E2557" t="s">
        <v>2399</v>
      </c>
      <c r="F2557" t="s">
        <v>149</v>
      </c>
      <c r="G2557" t="s">
        <v>9548</v>
      </c>
    </row>
    <row r="2558" spans="1:7" ht="44.25" customHeight="1">
      <c r="A2558" t="s">
        <v>9549</v>
      </c>
      <c r="B2558" t="s">
        <v>9550</v>
      </c>
      <c r="C2558" t="s">
        <v>9551</v>
      </c>
      <c r="D2558" t="s">
        <v>2257</v>
      </c>
      <c r="E2558" t="s">
        <v>1607</v>
      </c>
      <c r="F2558" t="s">
        <v>149</v>
      </c>
      <c r="G2558" t="s">
        <v>9552</v>
      </c>
    </row>
    <row r="2559" spans="1:7" ht="44.25" customHeight="1">
      <c r="A2559" t="s">
        <v>9553</v>
      </c>
      <c r="B2559" t="s">
        <v>9554</v>
      </c>
      <c r="C2559" t="s">
        <v>136</v>
      </c>
      <c r="D2559" t="s">
        <v>79</v>
      </c>
      <c r="E2559" t="s">
        <v>9555</v>
      </c>
      <c r="F2559" t="s">
        <v>149</v>
      </c>
      <c r="G2559" t="s">
        <v>9556</v>
      </c>
    </row>
    <row r="2560" spans="1:7" ht="44.25" customHeight="1">
      <c r="A2560" t="s">
        <v>9557</v>
      </c>
      <c r="B2560" t="s">
        <v>9558</v>
      </c>
      <c r="C2560" t="s">
        <v>136</v>
      </c>
      <c r="D2560" t="s">
        <v>79</v>
      </c>
      <c r="E2560" t="s">
        <v>4800</v>
      </c>
      <c r="F2560" t="s">
        <v>149</v>
      </c>
      <c r="G2560" t="s">
        <v>9559</v>
      </c>
    </row>
    <row r="2561" spans="1:7" ht="44.25" customHeight="1">
      <c r="A2561" t="s">
        <v>9560</v>
      </c>
      <c r="B2561" t="s">
        <v>9561</v>
      </c>
      <c r="C2561" t="s">
        <v>136</v>
      </c>
      <c r="D2561" t="s">
        <v>79</v>
      </c>
      <c r="E2561" t="s">
        <v>3703</v>
      </c>
      <c r="F2561" t="s">
        <v>149</v>
      </c>
      <c r="G2561" t="s">
        <v>9562</v>
      </c>
    </row>
    <row r="2562" spans="1:7" ht="44.25" customHeight="1">
      <c r="A2562" t="s">
        <v>1012</v>
      </c>
      <c r="B2562" t="s">
        <v>9563</v>
      </c>
      <c r="C2562" t="s">
        <v>136</v>
      </c>
      <c r="D2562" t="s">
        <v>2257</v>
      </c>
      <c r="E2562" t="s">
        <v>2276</v>
      </c>
      <c r="F2562" t="s">
        <v>149</v>
      </c>
      <c r="G2562" t="s">
        <v>9564</v>
      </c>
    </row>
    <row r="2563" spans="1:7" ht="44.25" customHeight="1">
      <c r="A2563" t="s">
        <v>984</v>
      </c>
      <c r="B2563" t="s">
        <v>9565</v>
      </c>
      <c r="C2563" t="s">
        <v>136</v>
      </c>
      <c r="D2563" t="s">
        <v>2257</v>
      </c>
      <c r="E2563" t="s">
        <v>2276</v>
      </c>
      <c r="F2563" t="s">
        <v>149</v>
      </c>
      <c r="G2563" t="s">
        <v>9566</v>
      </c>
    </row>
    <row r="2564" spans="1:7" ht="44.25" customHeight="1">
      <c r="A2564" t="s">
        <v>876</v>
      </c>
      <c r="B2564" t="s">
        <v>9567</v>
      </c>
      <c r="C2564" t="s">
        <v>136</v>
      </c>
      <c r="D2564" t="s">
        <v>79</v>
      </c>
      <c r="E2564" t="s">
        <v>4852</v>
      </c>
      <c r="F2564" t="s">
        <v>149</v>
      </c>
      <c r="G2564" t="s">
        <v>9568</v>
      </c>
    </row>
    <row r="2565" spans="1:7" ht="44.25" customHeight="1">
      <c r="A2565" t="s">
        <v>840</v>
      </c>
      <c r="B2565" t="s">
        <v>9569</v>
      </c>
      <c r="C2565" t="s">
        <v>136</v>
      </c>
      <c r="D2565" t="s">
        <v>79</v>
      </c>
      <c r="E2565" t="s">
        <v>9570</v>
      </c>
      <c r="F2565" t="s">
        <v>149</v>
      </c>
      <c r="G2565" t="s">
        <v>9571</v>
      </c>
    </row>
    <row r="2566" spans="1:7" ht="44.25" customHeight="1">
      <c r="A2566" t="s">
        <v>9572</v>
      </c>
      <c r="B2566" t="s">
        <v>9573</v>
      </c>
      <c r="C2566" t="s">
        <v>136</v>
      </c>
      <c r="D2566" t="s">
        <v>79</v>
      </c>
      <c r="E2566" t="s">
        <v>9574</v>
      </c>
      <c r="F2566" t="s">
        <v>149</v>
      </c>
      <c r="G2566" t="s">
        <v>9575</v>
      </c>
    </row>
    <row r="2567" spans="1:7" ht="44.25" customHeight="1">
      <c r="A2567" t="s">
        <v>9576</v>
      </c>
      <c r="B2567" t="s">
        <v>9577</v>
      </c>
      <c r="C2567" t="s">
        <v>136</v>
      </c>
      <c r="D2567" t="s">
        <v>79</v>
      </c>
      <c r="E2567" t="s">
        <v>9578</v>
      </c>
      <c r="F2567" t="s">
        <v>149</v>
      </c>
      <c r="G2567" t="s">
        <v>9579</v>
      </c>
    </row>
    <row r="2568" spans="1:7" ht="44.25" customHeight="1">
      <c r="A2568" t="s">
        <v>9576</v>
      </c>
      <c r="B2568" t="s">
        <v>9577</v>
      </c>
      <c r="C2568" t="s">
        <v>136</v>
      </c>
      <c r="D2568" t="s">
        <v>79</v>
      </c>
      <c r="E2568" t="s">
        <v>9578</v>
      </c>
      <c r="F2568" t="s">
        <v>149</v>
      </c>
      <c r="G2568" t="s">
        <v>9579</v>
      </c>
    </row>
    <row r="2569" spans="1:7" ht="44.25" customHeight="1">
      <c r="A2569" t="s">
        <v>9580</v>
      </c>
      <c r="B2569" t="s">
        <v>9581</v>
      </c>
      <c r="C2569" t="s">
        <v>136</v>
      </c>
      <c r="D2569" t="s">
        <v>79</v>
      </c>
      <c r="E2569" t="s">
        <v>9582</v>
      </c>
      <c r="F2569" t="s">
        <v>149</v>
      </c>
      <c r="G2569" t="s">
        <v>9583</v>
      </c>
    </row>
    <row r="2570" spans="1:7" ht="44.25" customHeight="1">
      <c r="A2570" t="s">
        <v>9584</v>
      </c>
      <c r="B2570" t="s">
        <v>9585</v>
      </c>
      <c r="C2570" t="s">
        <v>136</v>
      </c>
      <c r="D2570" t="s">
        <v>79</v>
      </c>
      <c r="E2570" t="s">
        <v>9586</v>
      </c>
      <c r="F2570" t="s">
        <v>149</v>
      </c>
      <c r="G2570" t="s">
        <v>9587</v>
      </c>
    </row>
    <row r="2571" spans="1:7" ht="44.25" customHeight="1">
      <c r="A2571" t="s">
        <v>9588</v>
      </c>
      <c r="B2571" t="s">
        <v>9589</v>
      </c>
      <c r="C2571" t="s">
        <v>136</v>
      </c>
      <c r="D2571" t="s">
        <v>79</v>
      </c>
      <c r="E2571" t="s">
        <v>9590</v>
      </c>
      <c r="F2571" t="s">
        <v>149</v>
      </c>
      <c r="G2571" t="s">
        <v>9591</v>
      </c>
    </row>
    <row r="2572" spans="1:7" ht="44.25" customHeight="1">
      <c r="A2572" t="s">
        <v>136</v>
      </c>
      <c r="B2572" t="s">
        <v>9592</v>
      </c>
      <c r="C2572" t="s">
        <v>136</v>
      </c>
      <c r="D2572" t="s">
        <v>2257</v>
      </c>
      <c r="E2572" t="s">
        <v>5738</v>
      </c>
      <c r="F2572" t="s">
        <v>149</v>
      </c>
      <c r="G2572" t="s">
        <v>9593</v>
      </c>
    </row>
    <row r="2573" spans="1:7" ht="44.25" customHeight="1">
      <c r="A2573" t="s">
        <v>9594</v>
      </c>
      <c r="B2573" t="s">
        <v>9595</v>
      </c>
      <c r="C2573" t="s">
        <v>136</v>
      </c>
      <c r="D2573" t="s">
        <v>2398</v>
      </c>
      <c r="E2573" t="s">
        <v>5891</v>
      </c>
      <c r="F2573" t="s">
        <v>149</v>
      </c>
      <c r="G2573" t="s">
        <v>9596</v>
      </c>
    </row>
    <row r="2574" spans="1:7" ht="44.25" customHeight="1">
      <c r="A2574" t="s">
        <v>9597</v>
      </c>
      <c r="B2574" t="s">
        <v>9598</v>
      </c>
      <c r="C2574" t="s">
        <v>136</v>
      </c>
      <c r="D2574" t="s">
        <v>2257</v>
      </c>
      <c r="E2574" t="s">
        <v>1607</v>
      </c>
      <c r="F2574" t="s">
        <v>149</v>
      </c>
      <c r="G2574" t="s">
        <v>9599</v>
      </c>
    </row>
    <row r="2575" spans="1:7" ht="44.25" customHeight="1">
      <c r="A2575" t="s">
        <v>9600</v>
      </c>
      <c r="B2575" t="s">
        <v>9601</v>
      </c>
      <c r="C2575" t="s">
        <v>136</v>
      </c>
      <c r="D2575" t="s">
        <v>2257</v>
      </c>
      <c r="E2575" t="s">
        <v>1607</v>
      </c>
      <c r="F2575" t="s">
        <v>149</v>
      </c>
      <c r="G2575" t="s">
        <v>9602</v>
      </c>
    </row>
    <row r="2576" spans="1:7" ht="44.25" customHeight="1">
      <c r="A2576" t="s">
        <v>9603</v>
      </c>
      <c r="B2576" t="s">
        <v>9604</v>
      </c>
      <c r="C2576" t="s">
        <v>136</v>
      </c>
      <c r="D2576" t="s">
        <v>2257</v>
      </c>
      <c r="E2576" t="s">
        <v>2399</v>
      </c>
      <c r="F2576" t="s">
        <v>149</v>
      </c>
      <c r="G2576" t="s">
        <v>9605</v>
      </c>
    </row>
    <row r="2577" spans="1:7" ht="44.25" customHeight="1">
      <c r="A2577" t="s">
        <v>9606</v>
      </c>
      <c r="B2577" t="s">
        <v>9607</v>
      </c>
      <c r="C2577" t="s">
        <v>136</v>
      </c>
      <c r="D2577" t="s">
        <v>2257</v>
      </c>
      <c r="E2577" t="s">
        <v>1607</v>
      </c>
      <c r="F2577" t="s">
        <v>149</v>
      </c>
      <c r="G2577" t="s">
        <v>9608</v>
      </c>
    </row>
    <row r="2578" spans="1:7" ht="44.25" customHeight="1">
      <c r="A2578" t="s">
        <v>9609</v>
      </c>
      <c r="B2578" t="s">
        <v>9610</v>
      </c>
      <c r="C2578" t="s">
        <v>136</v>
      </c>
      <c r="D2578" t="s">
        <v>2257</v>
      </c>
      <c r="E2578" t="s">
        <v>2695</v>
      </c>
      <c r="F2578" t="s">
        <v>149</v>
      </c>
      <c r="G2578" t="s">
        <v>9611</v>
      </c>
    </row>
    <row r="2579" spans="1:7" ht="44.25" customHeight="1">
      <c r="A2579" t="s">
        <v>9612</v>
      </c>
      <c r="B2579" t="s">
        <v>9613</v>
      </c>
      <c r="C2579" t="s">
        <v>136</v>
      </c>
      <c r="D2579" t="s">
        <v>2257</v>
      </c>
      <c r="E2579" t="s">
        <v>1607</v>
      </c>
      <c r="F2579" t="s">
        <v>149</v>
      </c>
      <c r="G2579" t="s">
        <v>9614</v>
      </c>
    </row>
    <row r="2580" spans="1:7" ht="44.25" customHeight="1">
      <c r="A2580" t="s">
        <v>9615</v>
      </c>
      <c r="B2580" t="s">
        <v>9616</v>
      </c>
      <c r="C2580" t="s">
        <v>136</v>
      </c>
      <c r="D2580" t="s">
        <v>2253</v>
      </c>
      <c r="E2580" t="s">
        <v>1432</v>
      </c>
      <c r="F2580" t="s">
        <v>149</v>
      </c>
      <c r="G2580" t="s">
        <v>9617</v>
      </c>
    </row>
    <row r="2581" spans="1:7" ht="44.25" customHeight="1">
      <c r="A2581" t="s">
        <v>9618</v>
      </c>
      <c r="B2581" t="s">
        <v>9619</v>
      </c>
      <c r="C2581" t="s">
        <v>136</v>
      </c>
      <c r="D2581" t="s">
        <v>2257</v>
      </c>
      <c r="E2581" t="s">
        <v>1584</v>
      </c>
      <c r="F2581" t="s">
        <v>149</v>
      </c>
      <c r="G2581" t="s">
        <v>9620</v>
      </c>
    </row>
    <row r="2582" spans="1:7" ht="44.25" customHeight="1">
      <c r="A2582" t="s">
        <v>9621</v>
      </c>
      <c r="B2582" t="s">
        <v>9622</v>
      </c>
      <c r="C2582" t="s">
        <v>136</v>
      </c>
      <c r="D2582" t="s">
        <v>2257</v>
      </c>
      <c r="E2582" t="s">
        <v>6817</v>
      </c>
      <c r="F2582" t="s">
        <v>149</v>
      </c>
      <c r="G2582" t="s">
        <v>9623</v>
      </c>
    </row>
    <row r="2583" spans="1:7" ht="44.25" customHeight="1">
      <c r="A2583" t="s">
        <v>9624</v>
      </c>
      <c r="B2583" t="s">
        <v>9625</v>
      </c>
      <c r="C2583" t="s">
        <v>136</v>
      </c>
      <c r="D2583" t="s">
        <v>79</v>
      </c>
      <c r="E2583" t="s">
        <v>9626</v>
      </c>
      <c r="F2583" t="s">
        <v>149</v>
      </c>
      <c r="G2583" t="s">
        <v>9627</v>
      </c>
    </row>
    <row r="2584" spans="1:7" ht="44.25" customHeight="1">
      <c r="A2584" t="s">
        <v>136</v>
      </c>
      <c r="B2584" t="s">
        <v>9628</v>
      </c>
      <c r="C2584" t="s">
        <v>136</v>
      </c>
      <c r="D2584" t="s">
        <v>79</v>
      </c>
      <c r="E2584" t="s">
        <v>9629</v>
      </c>
      <c r="F2584" t="s">
        <v>149</v>
      </c>
      <c r="G2584" t="s">
        <v>9630</v>
      </c>
    </row>
    <row r="2585" spans="1:7" ht="44.25" customHeight="1">
      <c r="A2585" t="s">
        <v>9631</v>
      </c>
      <c r="B2585" t="s">
        <v>9632</v>
      </c>
      <c r="C2585" t="s">
        <v>136</v>
      </c>
      <c r="D2585" t="s">
        <v>79</v>
      </c>
      <c r="E2585" t="s">
        <v>9633</v>
      </c>
      <c r="F2585" t="s">
        <v>149</v>
      </c>
      <c r="G2585" t="s">
        <v>9634</v>
      </c>
    </row>
    <row r="2586" spans="1:7" ht="44.25" customHeight="1">
      <c r="A2586" t="s">
        <v>9635</v>
      </c>
      <c r="B2586" t="s">
        <v>9636</v>
      </c>
      <c r="C2586" t="s">
        <v>136</v>
      </c>
      <c r="D2586" t="s">
        <v>2257</v>
      </c>
      <c r="E2586" t="s">
        <v>5691</v>
      </c>
      <c r="F2586" t="s">
        <v>149</v>
      </c>
      <c r="G2586" t="s">
        <v>9637</v>
      </c>
    </row>
    <row r="2587" spans="1:7" ht="44.25" customHeight="1">
      <c r="A2587" t="s">
        <v>1395</v>
      </c>
      <c r="B2587" t="s">
        <v>9638</v>
      </c>
      <c r="C2587" t="s">
        <v>136</v>
      </c>
      <c r="D2587" t="s">
        <v>2257</v>
      </c>
      <c r="E2587" t="s">
        <v>1607</v>
      </c>
      <c r="F2587" t="s">
        <v>149</v>
      </c>
      <c r="G2587" t="s">
        <v>9639</v>
      </c>
    </row>
    <row r="2588" spans="1:7" ht="44.25" customHeight="1">
      <c r="A2588" t="s">
        <v>1400</v>
      </c>
      <c r="B2588" t="s">
        <v>9640</v>
      </c>
      <c r="C2588" t="s">
        <v>136</v>
      </c>
      <c r="D2588" t="s">
        <v>2257</v>
      </c>
      <c r="E2588" t="s">
        <v>1607</v>
      </c>
      <c r="F2588" t="s">
        <v>149</v>
      </c>
      <c r="G2588" t="s">
        <v>9641</v>
      </c>
    </row>
    <row r="2589" spans="1:7" ht="44.25" customHeight="1">
      <c r="A2589" t="s">
        <v>9642</v>
      </c>
      <c r="B2589" t="s">
        <v>9643</v>
      </c>
      <c r="C2589" t="s">
        <v>136</v>
      </c>
      <c r="D2589" t="s">
        <v>2253</v>
      </c>
      <c r="E2589" t="s">
        <v>1432</v>
      </c>
      <c r="F2589" t="s">
        <v>149</v>
      </c>
      <c r="G2589" t="s">
        <v>9644</v>
      </c>
    </row>
    <row r="2590" spans="1:7" ht="44.25" customHeight="1">
      <c r="A2590" t="s">
        <v>9645</v>
      </c>
      <c r="B2590" t="s">
        <v>9646</v>
      </c>
      <c r="C2590" t="s">
        <v>136</v>
      </c>
      <c r="D2590" t="s">
        <v>2253</v>
      </c>
      <c r="E2590" t="s">
        <v>1432</v>
      </c>
      <c r="F2590" t="s">
        <v>149</v>
      </c>
      <c r="G2590" t="s">
        <v>9647</v>
      </c>
    </row>
    <row r="2591" spans="1:7" ht="44.25" customHeight="1">
      <c r="A2591" t="s">
        <v>692</v>
      </c>
      <c r="B2591" t="s">
        <v>9648</v>
      </c>
      <c r="C2591" t="s">
        <v>136</v>
      </c>
      <c r="D2591" t="s">
        <v>2257</v>
      </c>
      <c r="E2591" t="s">
        <v>1584</v>
      </c>
      <c r="F2591" t="s">
        <v>149</v>
      </c>
      <c r="G2591" t="s">
        <v>9649</v>
      </c>
    </row>
    <row r="2592" spans="1:7" ht="44.25" customHeight="1">
      <c r="A2592" t="s">
        <v>953</v>
      </c>
      <c r="B2592" t="s">
        <v>9650</v>
      </c>
      <c r="C2592" t="s">
        <v>136</v>
      </c>
      <c r="D2592" t="s">
        <v>2257</v>
      </c>
      <c r="E2592" t="s">
        <v>2276</v>
      </c>
      <c r="F2592" t="s">
        <v>149</v>
      </c>
      <c r="G2592" t="s">
        <v>9651</v>
      </c>
    </row>
    <row r="2593" spans="1:7" ht="44.25" customHeight="1">
      <c r="A2593" t="s">
        <v>952</v>
      </c>
      <c r="B2593" t="s">
        <v>9652</v>
      </c>
      <c r="C2593" t="s">
        <v>136</v>
      </c>
      <c r="D2593" t="s">
        <v>2257</v>
      </c>
      <c r="E2593" t="s">
        <v>2276</v>
      </c>
      <c r="F2593" t="s">
        <v>149</v>
      </c>
      <c r="G2593" t="s">
        <v>9653</v>
      </c>
    </row>
    <row r="2594" spans="1:7" ht="44.25" customHeight="1">
      <c r="A2594" t="s">
        <v>951</v>
      </c>
      <c r="B2594" t="s">
        <v>9654</v>
      </c>
      <c r="C2594" t="s">
        <v>136</v>
      </c>
      <c r="D2594" t="s">
        <v>2257</v>
      </c>
      <c r="E2594" t="s">
        <v>2276</v>
      </c>
      <c r="F2594" t="s">
        <v>149</v>
      </c>
      <c r="G2594" t="s">
        <v>9655</v>
      </c>
    </row>
    <row r="2595" spans="1:7" ht="44.25" customHeight="1">
      <c r="A2595" t="s">
        <v>9656</v>
      </c>
      <c r="B2595" t="s">
        <v>9657</v>
      </c>
      <c r="C2595" t="s">
        <v>136</v>
      </c>
      <c r="D2595" t="s">
        <v>79</v>
      </c>
      <c r="E2595" t="s">
        <v>9658</v>
      </c>
      <c r="F2595" t="s">
        <v>149</v>
      </c>
      <c r="G2595" t="s">
        <v>9659</v>
      </c>
    </row>
    <row r="2596" spans="1:7" ht="44.25" customHeight="1">
      <c r="A2596" t="s">
        <v>9660</v>
      </c>
      <c r="B2596" t="s">
        <v>9661</v>
      </c>
      <c r="C2596" t="s">
        <v>136</v>
      </c>
      <c r="D2596" t="s">
        <v>79</v>
      </c>
      <c r="E2596" t="s">
        <v>9662</v>
      </c>
      <c r="F2596" t="s">
        <v>149</v>
      </c>
      <c r="G2596" t="s">
        <v>9663</v>
      </c>
    </row>
    <row r="2597" spans="1:7" ht="44.25" customHeight="1">
      <c r="A2597" t="s">
        <v>9664</v>
      </c>
      <c r="B2597" t="s">
        <v>9665</v>
      </c>
      <c r="C2597" t="s">
        <v>136</v>
      </c>
      <c r="D2597" t="s">
        <v>79</v>
      </c>
      <c r="E2597" t="s">
        <v>9666</v>
      </c>
      <c r="F2597" t="s">
        <v>149</v>
      </c>
      <c r="G2597" t="s">
        <v>9667</v>
      </c>
    </row>
    <row r="2598" spans="1:7" ht="44.25" customHeight="1">
      <c r="A2598" t="s">
        <v>9668</v>
      </c>
      <c r="B2598" t="s">
        <v>9669</v>
      </c>
      <c r="C2598" t="s">
        <v>136</v>
      </c>
      <c r="D2598" t="s">
        <v>2257</v>
      </c>
      <c r="E2598" t="s">
        <v>5691</v>
      </c>
      <c r="F2598" t="s">
        <v>149</v>
      </c>
      <c r="G2598" t="s">
        <v>9670</v>
      </c>
    </row>
    <row r="2599" spans="1:7" ht="44.25" customHeight="1">
      <c r="A2599" t="s">
        <v>136</v>
      </c>
      <c r="B2599" t="s">
        <v>9671</v>
      </c>
      <c r="C2599" t="s">
        <v>136</v>
      </c>
      <c r="D2599" t="s">
        <v>2257</v>
      </c>
      <c r="E2599" t="s">
        <v>5813</v>
      </c>
      <c r="F2599" t="s">
        <v>149</v>
      </c>
      <c r="G2599" t="s">
        <v>9672</v>
      </c>
    </row>
    <row r="2600" spans="1:7" ht="44.25" customHeight="1">
      <c r="A2600" t="s">
        <v>136</v>
      </c>
      <c r="B2600" t="s">
        <v>9673</v>
      </c>
      <c r="C2600" t="s">
        <v>136</v>
      </c>
      <c r="D2600" t="s">
        <v>2257</v>
      </c>
      <c r="E2600" t="s">
        <v>7046</v>
      </c>
      <c r="F2600" t="s">
        <v>149</v>
      </c>
      <c r="G2600" t="s">
        <v>9674</v>
      </c>
    </row>
    <row r="2601" spans="1:7" ht="44.25" customHeight="1">
      <c r="A2601" t="s">
        <v>136</v>
      </c>
      <c r="B2601" t="s">
        <v>9675</v>
      </c>
      <c r="C2601" t="s">
        <v>136</v>
      </c>
      <c r="D2601" t="s">
        <v>79</v>
      </c>
      <c r="E2601" t="s">
        <v>3005</v>
      </c>
      <c r="F2601" t="s">
        <v>149</v>
      </c>
      <c r="G2601" t="s">
        <v>9676</v>
      </c>
    </row>
    <row r="2602" spans="1:7" ht="44.25" customHeight="1">
      <c r="A2602" t="s">
        <v>1407</v>
      </c>
      <c r="B2602" t="s">
        <v>9677</v>
      </c>
      <c r="C2602" t="s">
        <v>136</v>
      </c>
      <c r="D2602" t="s">
        <v>2257</v>
      </c>
      <c r="E2602" t="s">
        <v>1607</v>
      </c>
      <c r="F2602" t="s">
        <v>149</v>
      </c>
      <c r="G2602" t="s">
        <v>9678</v>
      </c>
    </row>
    <row r="2603" spans="1:7" ht="44.25" customHeight="1">
      <c r="A2603" t="s">
        <v>136</v>
      </c>
      <c r="B2603" t="s">
        <v>9679</v>
      </c>
      <c r="C2603" t="s">
        <v>136</v>
      </c>
      <c r="D2603" t="s">
        <v>2257</v>
      </c>
      <c r="E2603" t="s">
        <v>2399</v>
      </c>
      <c r="F2603" t="s">
        <v>149</v>
      </c>
      <c r="G2603" t="s">
        <v>9680</v>
      </c>
    </row>
    <row r="2604" spans="1:7" ht="44.25" customHeight="1">
      <c r="A2604" t="s">
        <v>9681</v>
      </c>
      <c r="B2604" t="s">
        <v>9682</v>
      </c>
      <c r="C2604" t="s">
        <v>136</v>
      </c>
      <c r="D2604" t="s">
        <v>79</v>
      </c>
      <c r="E2604" t="s">
        <v>9683</v>
      </c>
      <c r="F2604" t="s">
        <v>149</v>
      </c>
      <c r="G2604" t="s">
        <v>9684</v>
      </c>
    </row>
    <row r="2605" spans="1:7" ht="44.25" customHeight="1">
      <c r="A2605" t="s">
        <v>574</v>
      </c>
      <c r="B2605" t="s">
        <v>9685</v>
      </c>
      <c r="C2605" t="s">
        <v>136</v>
      </c>
      <c r="D2605" t="s">
        <v>79</v>
      </c>
      <c r="E2605" t="s">
        <v>7287</v>
      </c>
      <c r="F2605" t="s">
        <v>149</v>
      </c>
      <c r="G2605" t="s">
        <v>9686</v>
      </c>
    </row>
    <row r="2606" spans="1:7" ht="44.25" customHeight="1">
      <c r="A2606" t="s">
        <v>9687</v>
      </c>
      <c r="B2606" t="s">
        <v>9688</v>
      </c>
      <c r="C2606" t="s">
        <v>136</v>
      </c>
      <c r="D2606" t="s">
        <v>2253</v>
      </c>
      <c r="E2606" t="s">
        <v>3737</v>
      </c>
      <c r="F2606" t="s">
        <v>149</v>
      </c>
      <c r="G2606" t="s">
        <v>9689</v>
      </c>
    </row>
    <row r="2607" spans="1:7" ht="44.25" customHeight="1">
      <c r="A2607" t="s">
        <v>9690</v>
      </c>
      <c r="B2607" t="s">
        <v>9691</v>
      </c>
      <c r="C2607" t="s">
        <v>136</v>
      </c>
      <c r="D2607" t="s">
        <v>2253</v>
      </c>
      <c r="E2607" t="s">
        <v>1432</v>
      </c>
      <c r="F2607" t="s">
        <v>149</v>
      </c>
      <c r="G2607" t="s">
        <v>9692</v>
      </c>
    </row>
    <row r="2608" spans="1:7" ht="44.25" customHeight="1">
      <c r="A2608" t="s">
        <v>779</v>
      </c>
      <c r="B2608" t="s">
        <v>9693</v>
      </c>
      <c r="C2608" t="s">
        <v>136</v>
      </c>
      <c r="D2608" t="s">
        <v>2253</v>
      </c>
      <c r="E2608" t="s">
        <v>1432</v>
      </c>
      <c r="F2608" t="s">
        <v>149</v>
      </c>
      <c r="G2608" t="s">
        <v>9694</v>
      </c>
    </row>
    <row r="2609" spans="1:7" ht="44.25" customHeight="1">
      <c r="A2609" t="s">
        <v>674</v>
      </c>
      <c r="B2609" t="s">
        <v>9695</v>
      </c>
      <c r="C2609" t="s">
        <v>136</v>
      </c>
      <c r="D2609" t="s">
        <v>79</v>
      </c>
      <c r="E2609" t="s">
        <v>6242</v>
      </c>
      <c r="F2609" t="s">
        <v>149</v>
      </c>
      <c r="G2609" t="s">
        <v>9696</v>
      </c>
    </row>
    <row r="2610" spans="1:7" ht="44.25" customHeight="1">
      <c r="A2610" t="s">
        <v>9251</v>
      </c>
      <c r="B2610" t="s">
        <v>9252</v>
      </c>
      <c r="C2610" t="s">
        <v>136</v>
      </c>
      <c r="D2610" t="s">
        <v>79</v>
      </c>
      <c r="E2610" t="s">
        <v>7354</v>
      </c>
      <c r="F2610" t="s">
        <v>149</v>
      </c>
      <c r="G2610" t="s">
        <v>9697</v>
      </c>
    </row>
    <row r="2611" spans="1:7" ht="44.25" customHeight="1">
      <c r="A2611" t="s">
        <v>550</v>
      </c>
      <c r="B2611" t="s">
        <v>9698</v>
      </c>
      <c r="C2611" t="s">
        <v>136</v>
      </c>
      <c r="D2611" t="s">
        <v>79</v>
      </c>
      <c r="E2611" t="s">
        <v>3703</v>
      </c>
      <c r="F2611" t="s">
        <v>149</v>
      </c>
      <c r="G2611" t="s">
        <v>9699</v>
      </c>
    </row>
    <row r="2612" spans="1:7" ht="44.25" customHeight="1">
      <c r="A2612" t="s">
        <v>708</v>
      </c>
      <c r="B2612" t="s">
        <v>9700</v>
      </c>
      <c r="C2612" t="s">
        <v>136</v>
      </c>
      <c r="D2612" t="s">
        <v>2257</v>
      </c>
      <c r="E2612" t="s">
        <v>1584</v>
      </c>
      <c r="F2612" t="s">
        <v>149</v>
      </c>
      <c r="G2612" t="s">
        <v>9701</v>
      </c>
    </row>
    <row r="2613" spans="1:7" ht="44.25" customHeight="1">
      <c r="A2613" t="s">
        <v>448</v>
      </c>
      <c r="B2613" t="s">
        <v>9702</v>
      </c>
      <c r="C2613" t="s">
        <v>136</v>
      </c>
      <c r="D2613" t="s">
        <v>79</v>
      </c>
      <c r="E2613" t="s">
        <v>4827</v>
      </c>
      <c r="F2613" t="s">
        <v>149</v>
      </c>
      <c r="G2613" t="s">
        <v>9703</v>
      </c>
    </row>
    <row r="2614" spans="1:7" ht="44.25" customHeight="1">
      <c r="A2614" t="s">
        <v>9704</v>
      </c>
      <c r="B2614" t="s">
        <v>9705</v>
      </c>
      <c r="C2614" t="s">
        <v>136</v>
      </c>
      <c r="D2614" t="s">
        <v>79</v>
      </c>
      <c r="E2614" t="s">
        <v>9706</v>
      </c>
      <c r="F2614" t="s">
        <v>149</v>
      </c>
      <c r="G2614" t="s">
        <v>9707</v>
      </c>
    </row>
    <row r="2615" spans="1:7" ht="44.25" customHeight="1">
      <c r="A2615" t="s">
        <v>9704</v>
      </c>
      <c r="B2615" t="s">
        <v>9705</v>
      </c>
      <c r="C2615" t="s">
        <v>136</v>
      </c>
      <c r="D2615" t="s">
        <v>79</v>
      </c>
      <c r="E2615" t="s">
        <v>9706</v>
      </c>
      <c r="F2615" t="s">
        <v>149</v>
      </c>
      <c r="G2615" t="s">
        <v>9707</v>
      </c>
    </row>
    <row r="2616" spans="1:7" ht="44.25" customHeight="1">
      <c r="A2616" t="s">
        <v>9708</v>
      </c>
      <c r="B2616" t="s">
        <v>9709</v>
      </c>
      <c r="C2616" t="s">
        <v>136</v>
      </c>
      <c r="D2616" t="s">
        <v>79</v>
      </c>
      <c r="E2616" t="s">
        <v>9710</v>
      </c>
      <c r="F2616" t="s">
        <v>149</v>
      </c>
      <c r="G2616" t="s">
        <v>9711</v>
      </c>
    </row>
    <row r="2617" spans="1:7" ht="44.25" customHeight="1">
      <c r="A2617" t="s">
        <v>9712</v>
      </c>
      <c r="B2617" t="s">
        <v>9713</v>
      </c>
      <c r="C2617" t="s">
        <v>136</v>
      </c>
      <c r="D2617" t="s">
        <v>79</v>
      </c>
      <c r="E2617" t="s">
        <v>9714</v>
      </c>
      <c r="F2617" t="s">
        <v>149</v>
      </c>
      <c r="G2617" t="s">
        <v>9715</v>
      </c>
    </row>
    <row r="2618" spans="1:7" ht="44.25" customHeight="1">
      <c r="A2618" t="s">
        <v>9716</v>
      </c>
      <c r="B2618" t="s">
        <v>9717</v>
      </c>
      <c r="C2618" t="s">
        <v>136</v>
      </c>
      <c r="D2618" t="s">
        <v>2257</v>
      </c>
      <c r="E2618" t="s">
        <v>9718</v>
      </c>
      <c r="F2618" t="s">
        <v>149</v>
      </c>
      <c r="G2618" t="s">
        <v>9719</v>
      </c>
    </row>
    <row r="2619" spans="1:7" ht="44.25" customHeight="1">
      <c r="A2619" t="s">
        <v>9720</v>
      </c>
      <c r="B2619" t="s">
        <v>9721</v>
      </c>
      <c r="C2619" t="s">
        <v>136</v>
      </c>
      <c r="D2619" t="s">
        <v>79</v>
      </c>
      <c r="E2619" t="s">
        <v>9722</v>
      </c>
      <c r="F2619" t="s">
        <v>149</v>
      </c>
      <c r="G2619" t="s">
        <v>9723</v>
      </c>
    </row>
    <row r="2620" spans="1:7" ht="44.25" customHeight="1">
      <c r="A2620" t="s">
        <v>136</v>
      </c>
      <c r="B2620" t="s">
        <v>9724</v>
      </c>
      <c r="C2620" t="s">
        <v>136</v>
      </c>
      <c r="D2620" t="s">
        <v>2257</v>
      </c>
      <c r="E2620" t="s">
        <v>1607</v>
      </c>
      <c r="F2620" t="s">
        <v>149</v>
      </c>
      <c r="G2620" t="s">
        <v>9725</v>
      </c>
    </row>
    <row r="2621" spans="1:7" ht="44.25" customHeight="1">
      <c r="A2621" t="s">
        <v>9726</v>
      </c>
      <c r="B2621" t="s">
        <v>9727</v>
      </c>
      <c r="C2621" t="s">
        <v>136</v>
      </c>
      <c r="D2621" t="s">
        <v>2257</v>
      </c>
      <c r="E2621" t="s">
        <v>1607</v>
      </c>
      <c r="F2621" t="s">
        <v>149</v>
      </c>
      <c r="G2621" t="s">
        <v>9728</v>
      </c>
    </row>
    <row r="2622" spans="1:7" ht="44.25" customHeight="1">
      <c r="A2622" t="s">
        <v>9729</v>
      </c>
      <c r="B2622" t="s">
        <v>9730</v>
      </c>
      <c r="C2622" t="s">
        <v>136</v>
      </c>
      <c r="D2622" t="s">
        <v>2257</v>
      </c>
      <c r="E2622" t="s">
        <v>1607</v>
      </c>
      <c r="F2622" t="s">
        <v>149</v>
      </c>
      <c r="G2622" t="s">
        <v>9731</v>
      </c>
    </row>
    <row r="2623" spans="1:7" ht="44.25" customHeight="1">
      <c r="A2623" t="s">
        <v>253</v>
      </c>
      <c r="B2623" t="s">
        <v>9732</v>
      </c>
      <c r="C2623" t="s">
        <v>136</v>
      </c>
      <c r="D2623" t="s">
        <v>2257</v>
      </c>
      <c r="E2623" t="s">
        <v>1607</v>
      </c>
      <c r="F2623" t="s">
        <v>149</v>
      </c>
      <c r="G2623" t="s">
        <v>9733</v>
      </c>
    </row>
    <row r="2624" spans="1:7" ht="44.25" customHeight="1">
      <c r="A2624" t="s">
        <v>1086</v>
      </c>
      <c r="B2624" t="s">
        <v>9734</v>
      </c>
      <c r="C2624" t="s">
        <v>136</v>
      </c>
      <c r="D2624" t="s">
        <v>79</v>
      </c>
      <c r="E2624" t="s">
        <v>8477</v>
      </c>
      <c r="F2624" t="s">
        <v>149</v>
      </c>
      <c r="G2624" t="s">
        <v>9735</v>
      </c>
    </row>
    <row r="2625" spans="1:7" ht="44.25" customHeight="1">
      <c r="A2625" t="s">
        <v>9736</v>
      </c>
      <c r="B2625" t="s">
        <v>9737</v>
      </c>
      <c r="C2625" t="s">
        <v>136</v>
      </c>
      <c r="D2625" t="s">
        <v>2253</v>
      </c>
      <c r="E2625" t="s">
        <v>1432</v>
      </c>
      <c r="F2625" t="s">
        <v>149</v>
      </c>
      <c r="G2625" t="s">
        <v>9738</v>
      </c>
    </row>
    <row r="2626" spans="1:7" ht="44.25" customHeight="1">
      <c r="A2626" t="s">
        <v>9739</v>
      </c>
      <c r="B2626" t="s">
        <v>9740</v>
      </c>
      <c r="C2626" t="s">
        <v>136</v>
      </c>
      <c r="D2626" t="s">
        <v>2257</v>
      </c>
      <c r="E2626" t="s">
        <v>2276</v>
      </c>
      <c r="F2626" t="s">
        <v>149</v>
      </c>
      <c r="G2626" t="s">
        <v>9741</v>
      </c>
    </row>
    <row r="2627" spans="1:7" ht="44.25" customHeight="1">
      <c r="A2627" t="s">
        <v>9742</v>
      </c>
      <c r="B2627" t="s">
        <v>9743</v>
      </c>
      <c r="C2627" t="s">
        <v>136</v>
      </c>
      <c r="D2627" t="s">
        <v>2253</v>
      </c>
      <c r="E2627" t="s">
        <v>2258</v>
      </c>
      <c r="F2627" t="s">
        <v>149</v>
      </c>
      <c r="G2627" t="s">
        <v>9744</v>
      </c>
    </row>
    <row r="2628" spans="1:7" ht="44.25" customHeight="1">
      <c r="A2628" t="s">
        <v>9745</v>
      </c>
      <c r="B2628" t="s">
        <v>9746</v>
      </c>
      <c r="C2628" t="s">
        <v>136</v>
      </c>
      <c r="D2628" t="s">
        <v>2257</v>
      </c>
      <c r="E2628" t="s">
        <v>1432</v>
      </c>
      <c r="F2628" t="s">
        <v>149</v>
      </c>
      <c r="G2628" t="s">
        <v>9747</v>
      </c>
    </row>
    <row r="2629" spans="1:7" ht="44.25" customHeight="1">
      <c r="A2629" t="s">
        <v>859</v>
      </c>
      <c r="B2629" t="s">
        <v>9748</v>
      </c>
      <c r="C2629" t="s">
        <v>136</v>
      </c>
      <c r="D2629" t="s">
        <v>2257</v>
      </c>
      <c r="E2629" t="s">
        <v>4124</v>
      </c>
      <c r="F2629" t="s">
        <v>149</v>
      </c>
      <c r="G2629" t="s">
        <v>9749</v>
      </c>
    </row>
    <row r="2630" spans="1:7" ht="44.25" customHeight="1">
      <c r="A2630" t="s">
        <v>451</v>
      </c>
      <c r="B2630" t="s">
        <v>9750</v>
      </c>
      <c r="C2630" t="s">
        <v>136</v>
      </c>
      <c r="D2630" t="s">
        <v>2257</v>
      </c>
      <c r="E2630" t="s">
        <v>1430</v>
      </c>
      <c r="F2630" t="s">
        <v>149</v>
      </c>
      <c r="G2630" t="s">
        <v>9751</v>
      </c>
    </row>
    <row r="2631" spans="1:7" ht="44.25" customHeight="1">
      <c r="A2631" t="s">
        <v>9752</v>
      </c>
      <c r="B2631" t="s">
        <v>9753</v>
      </c>
      <c r="C2631" t="s">
        <v>136</v>
      </c>
      <c r="D2631" t="s">
        <v>79</v>
      </c>
      <c r="E2631" t="s">
        <v>9754</v>
      </c>
      <c r="F2631" t="s">
        <v>149</v>
      </c>
      <c r="G2631" t="s">
        <v>9755</v>
      </c>
    </row>
    <row r="2632" spans="1:7" ht="44.25" customHeight="1">
      <c r="A2632" t="s">
        <v>9756</v>
      </c>
      <c r="B2632" t="s">
        <v>9757</v>
      </c>
      <c r="C2632" t="s">
        <v>136</v>
      </c>
      <c r="D2632" t="s">
        <v>79</v>
      </c>
      <c r="E2632" t="s">
        <v>9758</v>
      </c>
      <c r="F2632" t="s">
        <v>149</v>
      </c>
      <c r="G2632" t="s">
        <v>9759</v>
      </c>
    </row>
    <row r="2633" spans="1:7" ht="44.25" customHeight="1">
      <c r="A2633" t="s">
        <v>9760</v>
      </c>
      <c r="B2633" t="s">
        <v>9761</v>
      </c>
      <c r="C2633" t="s">
        <v>136</v>
      </c>
      <c r="D2633" t="s">
        <v>79</v>
      </c>
      <c r="E2633" t="s">
        <v>9762</v>
      </c>
      <c r="F2633" t="s">
        <v>149</v>
      </c>
      <c r="G2633" t="s">
        <v>9763</v>
      </c>
    </row>
    <row r="2634" spans="1:7" ht="44.25" customHeight="1">
      <c r="A2634" t="s">
        <v>9764</v>
      </c>
      <c r="B2634" t="s">
        <v>9765</v>
      </c>
      <c r="C2634" t="s">
        <v>136</v>
      </c>
      <c r="D2634" t="s">
        <v>79</v>
      </c>
      <c r="E2634" t="s">
        <v>9766</v>
      </c>
      <c r="F2634" t="s">
        <v>149</v>
      </c>
      <c r="G2634" t="s">
        <v>9767</v>
      </c>
    </row>
    <row r="2635" spans="1:7" ht="44.25" customHeight="1">
      <c r="A2635" t="s">
        <v>9768</v>
      </c>
      <c r="B2635" t="s">
        <v>9769</v>
      </c>
      <c r="C2635" t="s">
        <v>136</v>
      </c>
      <c r="D2635" t="s">
        <v>79</v>
      </c>
      <c r="E2635" t="s">
        <v>9770</v>
      </c>
      <c r="F2635" t="s">
        <v>149</v>
      </c>
      <c r="G2635" t="s">
        <v>9771</v>
      </c>
    </row>
    <row r="2636" spans="1:7" ht="44.25" customHeight="1">
      <c r="A2636" t="s">
        <v>9772</v>
      </c>
      <c r="B2636" t="s">
        <v>9773</v>
      </c>
      <c r="C2636" t="s">
        <v>136</v>
      </c>
      <c r="D2636" t="s">
        <v>2257</v>
      </c>
      <c r="E2636" t="s">
        <v>5691</v>
      </c>
      <c r="F2636" t="s">
        <v>149</v>
      </c>
      <c r="G2636" t="s">
        <v>9774</v>
      </c>
    </row>
    <row r="2637" spans="1:7" ht="44.25" customHeight="1">
      <c r="A2637" t="s">
        <v>9775</v>
      </c>
      <c r="B2637" t="s">
        <v>9776</v>
      </c>
      <c r="C2637" t="s">
        <v>136</v>
      </c>
      <c r="D2637" t="s">
        <v>2257</v>
      </c>
      <c r="E2637" t="s">
        <v>6603</v>
      </c>
      <c r="F2637" t="s">
        <v>149</v>
      </c>
      <c r="G2637" t="s">
        <v>9777</v>
      </c>
    </row>
    <row r="2638" spans="1:7" ht="44.25" customHeight="1">
      <c r="A2638" t="s">
        <v>483</v>
      </c>
      <c r="B2638" t="s">
        <v>9778</v>
      </c>
      <c r="C2638" t="s">
        <v>136</v>
      </c>
      <c r="D2638" t="s">
        <v>79</v>
      </c>
      <c r="E2638" t="s">
        <v>5878</v>
      </c>
      <c r="F2638" t="s">
        <v>149</v>
      </c>
      <c r="G2638" t="s">
        <v>9779</v>
      </c>
    </row>
    <row r="2639" spans="1:7" ht="44.25" customHeight="1">
      <c r="A2639" t="s">
        <v>9780</v>
      </c>
      <c r="B2639" t="s">
        <v>9781</v>
      </c>
      <c r="C2639" t="s">
        <v>136</v>
      </c>
      <c r="D2639" t="s">
        <v>2257</v>
      </c>
      <c r="E2639" t="s">
        <v>1607</v>
      </c>
      <c r="F2639" t="s">
        <v>149</v>
      </c>
      <c r="G2639" t="s">
        <v>9782</v>
      </c>
    </row>
    <row r="2640" spans="1:7" ht="44.25" customHeight="1">
      <c r="A2640" t="s">
        <v>9783</v>
      </c>
      <c r="B2640" t="s">
        <v>9784</v>
      </c>
      <c r="C2640" t="s">
        <v>136</v>
      </c>
      <c r="D2640" t="s">
        <v>79</v>
      </c>
      <c r="E2640" t="s">
        <v>9785</v>
      </c>
      <c r="F2640" t="s">
        <v>149</v>
      </c>
      <c r="G2640" t="s">
        <v>9786</v>
      </c>
    </row>
    <row r="2641" spans="1:7" ht="44.25" customHeight="1">
      <c r="A2641" t="s">
        <v>9787</v>
      </c>
      <c r="B2641" t="s">
        <v>9788</v>
      </c>
      <c r="C2641" t="s">
        <v>136</v>
      </c>
      <c r="D2641" t="s">
        <v>2253</v>
      </c>
      <c r="E2641" t="s">
        <v>1432</v>
      </c>
      <c r="F2641" t="s">
        <v>149</v>
      </c>
      <c r="G2641" t="s">
        <v>9789</v>
      </c>
    </row>
    <row r="2642" spans="1:7" ht="44.25" customHeight="1">
      <c r="A2642" t="s">
        <v>9790</v>
      </c>
      <c r="B2642" t="s">
        <v>9791</v>
      </c>
      <c r="C2642" t="s">
        <v>136</v>
      </c>
      <c r="D2642" t="s">
        <v>79</v>
      </c>
      <c r="E2642" t="s">
        <v>2695</v>
      </c>
      <c r="F2642" t="s">
        <v>149</v>
      </c>
      <c r="G2642" t="s">
        <v>9792</v>
      </c>
    </row>
    <row r="2643" spans="1:7" ht="44.25" customHeight="1">
      <c r="A2643" t="s">
        <v>9793</v>
      </c>
      <c r="B2643" t="s">
        <v>9794</v>
      </c>
      <c r="C2643" t="s">
        <v>136</v>
      </c>
      <c r="D2643" t="s">
        <v>2257</v>
      </c>
      <c r="E2643" t="s">
        <v>2399</v>
      </c>
      <c r="F2643" t="s">
        <v>149</v>
      </c>
      <c r="G2643" t="s">
        <v>9795</v>
      </c>
    </row>
    <row r="2644" spans="1:7" ht="44.25" customHeight="1">
      <c r="A2644" t="s">
        <v>9796</v>
      </c>
      <c r="B2644" t="s">
        <v>9797</v>
      </c>
      <c r="C2644" t="s">
        <v>136</v>
      </c>
      <c r="D2644" t="s">
        <v>2257</v>
      </c>
      <c r="E2644" t="s">
        <v>1607</v>
      </c>
      <c r="F2644" t="s">
        <v>149</v>
      </c>
      <c r="G2644" t="s">
        <v>9798</v>
      </c>
    </row>
    <row r="2645" spans="1:7" ht="44.25" customHeight="1">
      <c r="A2645" t="s">
        <v>136</v>
      </c>
      <c r="B2645" t="s">
        <v>9799</v>
      </c>
      <c r="C2645" t="s">
        <v>136</v>
      </c>
      <c r="D2645" t="s">
        <v>2624</v>
      </c>
      <c r="E2645" t="s">
        <v>7485</v>
      </c>
      <c r="F2645" t="s">
        <v>149</v>
      </c>
      <c r="G2645" t="s">
        <v>9800</v>
      </c>
    </row>
    <row r="2646" spans="1:7" ht="44.25" customHeight="1">
      <c r="A2646" t="s">
        <v>9801</v>
      </c>
      <c r="B2646" t="s">
        <v>9802</v>
      </c>
      <c r="C2646" t="s">
        <v>136</v>
      </c>
      <c r="D2646" t="s">
        <v>2257</v>
      </c>
      <c r="E2646" t="s">
        <v>2695</v>
      </c>
      <c r="F2646" t="s">
        <v>149</v>
      </c>
      <c r="G2646" t="s">
        <v>9803</v>
      </c>
    </row>
    <row r="2647" spans="1:7" ht="44.25" customHeight="1">
      <c r="A2647" t="s">
        <v>9804</v>
      </c>
      <c r="B2647" t="s">
        <v>9805</v>
      </c>
      <c r="C2647" t="s">
        <v>136</v>
      </c>
      <c r="D2647" t="s">
        <v>2257</v>
      </c>
      <c r="E2647" t="s">
        <v>1607</v>
      </c>
      <c r="F2647" t="s">
        <v>149</v>
      </c>
      <c r="G2647" t="s">
        <v>9806</v>
      </c>
    </row>
    <row r="2648" spans="1:7" ht="44.25" customHeight="1">
      <c r="A2648" t="s">
        <v>280</v>
      </c>
      <c r="B2648" t="s">
        <v>9807</v>
      </c>
      <c r="C2648" t="s">
        <v>136</v>
      </c>
      <c r="D2648" t="s">
        <v>2257</v>
      </c>
      <c r="E2648" t="s">
        <v>1607</v>
      </c>
      <c r="F2648" t="s">
        <v>149</v>
      </c>
      <c r="G2648" t="s">
        <v>9808</v>
      </c>
    </row>
    <row r="2649" spans="1:7" ht="44.25" customHeight="1">
      <c r="A2649" t="s">
        <v>9809</v>
      </c>
      <c r="B2649" t="s">
        <v>9810</v>
      </c>
      <c r="C2649" t="s">
        <v>136</v>
      </c>
      <c r="D2649" t="s">
        <v>2257</v>
      </c>
      <c r="E2649" t="s">
        <v>1607</v>
      </c>
      <c r="F2649" t="s">
        <v>149</v>
      </c>
      <c r="G2649" t="s">
        <v>9811</v>
      </c>
    </row>
    <row r="2650" spans="1:7" ht="44.25" customHeight="1">
      <c r="A2650" t="s">
        <v>309</v>
      </c>
      <c r="B2650" t="s">
        <v>9812</v>
      </c>
      <c r="C2650" t="s">
        <v>1507</v>
      </c>
      <c r="D2650" t="s">
        <v>2257</v>
      </c>
      <c r="E2650" t="s">
        <v>3162</v>
      </c>
      <c r="F2650" t="s">
        <v>149</v>
      </c>
      <c r="G2650" t="s">
        <v>9813</v>
      </c>
    </row>
    <row r="2651" spans="1:7" ht="44.25" customHeight="1">
      <c r="A2651" t="s">
        <v>9814</v>
      </c>
      <c r="B2651" t="s">
        <v>9815</v>
      </c>
      <c r="C2651" t="s">
        <v>136</v>
      </c>
      <c r="D2651" t="s">
        <v>79</v>
      </c>
      <c r="E2651" t="s">
        <v>6154</v>
      </c>
      <c r="F2651" t="s">
        <v>149</v>
      </c>
      <c r="G2651" t="s">
        <v>9816</v>
      </c>
    </row>
    <row r="2652" spans="1:7" ht="44.25" customHeight="1">
      <c r="A2652" t="s">
        <v>9817</v>
      </c>
      <c r="B2652" t="s">
        <v>9818</v>
      </c>
      <c r="C2652" t="s">
        <v>136</v>
      </c>
      <c r="D2652" t="s">
        <v>79</v>
      </c>
      <c r="E2652" t="s">
        <v>6733</v>
      </c>
      <c r="F2652" t="s">
        <v>149</v>
      </c>
      <c r="G2652" t="s">
        <v>9819</v>
      </c>
    </row>
    <row r="2653" spans="1:7" ht="44.25" customHeight="1">
      <c r="A2653" t="s">
        <v>1383</v>
      </c>
      <c r="B2653" t="s">
        <v>9820</v>
      </c>
      <c r="C2653" t="s">
        <v>136</v>
      </c>
      <c r="D2653" t="s">
        <v>2253</v>
      </c>
      <c r="E2653" t="s">
        <v>1432</v>
      </c>
      <c r="F2653" t="s">
        <v>149</v>
      </c>
      <c r="G2653" t="s">
        <v>9821</v>
      </c>
    </row>
    <row r="2654" spans="1:7" ht="44.25" customHeight="1">
      <c r="A2654" t="s">
        <v>950</v>
      </c>
      <c r="B2654" t="s">
        <v>9822</v>
      </c>
      <c r="C2654" t="s">
        <v>136</v>
      </c>
      <c r="D2654" t="s">
        <v>2257</v>
      </c>
      <c r="E2654" t="s">
        <v>2276</v>
      </c>
      <c r="F2654" t="s">
        <v>149</v>
      </c>
      <c r="G2654" t="s">
        <v>9823</v>
      </c>
    </row>
    <row r="2655" spans="1:7" ht="44.25" customHeight="1">
      <c r="A2655" t="s">
        <v>524</v>
      </c>
      <c r="B2655" t="s">
        <v>9824</v>
      </c>
      <c r="C2655" t="s">
        <v>136</v>
      </c>
      <c r="D2655" t="s">
        <v>2257</v>
      </c>
      <c r="E2655" t="s">
        <v>2265</v>
      </c>
      <c r="F2655" t="s">
        <v>149</v>
      </c>
      <c r="G2655" t="s">
        <v>9825</v>
      </c>
    </row>
    <row r="2656" spans="1:7" ht="44.25" customHeight="1">
      <c r="A2656" t="s">
        <v>9826</v>
      </c>
      <c r="B2656" t="s">
        <v>9827</v>
      </c>
      <c r="C2656" t="s">
        <v>136</v>
      </c>
      <c r="D2656" t="s">
        <v>79</v>
      </c>
      <c r="E2656" t="s">
        <v>9828</v>
      </c>
      <c r="F2656" t="s">
        <v>149</v>
      </c>
      <c r="G2656" t="s">
        <v>9829</v>
      </c>
    </row>
    <row r="2657" spans="1:7" ht="44.25" customHeight="1">
      <c r="A2657" t="s">
        <v>9826</v>
      </c>
      <c r="B2657" t="s">
        <v>9827</v>
      </c>
      <c r="C2657" t="s">
        <v>136</v>
      </c>
      <c r="D2657" t="s">
        <v>79</v>
      </c>
      <c r="E2657" t="s">
        <v>9828</v>
      </c>
      <c r="F2657" t="s">
        <v>149</v>
      </c>
      <c r="G2657" t="s">
        <v>9829</v>
      </c>
    </row>
    <row r="2658" spans="1:7" ht="44.25" customHeight="1">
      <c r="A2658" t="s">
        <v>9826</v>
      </c>
      <c r="B2658" t="s">
        <v>9827</v>
      </c>
      <c r="C2658" t="s">
        <v>136</v>
      </c>
      <c r="D2658" t="s">
        <v>79</v>
      </c>
      <c r="E2658" t="s">
        <v>9828</v>
      </c>
      <c r="F2658" t="s">
        <v>149</v>
      </c>
      <c r="G2658" t="s">
        <v>9829</v>
      </c>
    </row>
    <row r="2659" spans="1:7" ht="44.25" customHeight="1">
      <c r="A2659" t="s">
        <v>9830</v>
      </c>
      <c r="B2659" t="s">
        <v>9831</v>
      </c>
      <c r="C2659" t="s">
        <v>136</v>
      </c>
      <c r="D2659" t="s">
        <v>79</v>
      </c>
      <c r="E2659" t="s">
        <v>9832</v>
      </c>
      <c r="F2659" t="s">
        <v>149</v>
      </c>
      <c r="G2659" t="s">
        <v>9833</v>
      </c>
    </row>
    <row r="2660" spans="1:7" ht="44.25" customHeight="1">
      <c r="A2660" t="s">
        <v>9834</v>
      </c>
      <c r="B2660" t="s">
        <v>9835</v>
      </c>
      <c r="C2660" t="s">
        <v>136</v>
      </c>
      <c r="D2660" t="s">
        <v>79</v>
      </c>
      <c r="E2660" t="s">
        <v>9836</v>
      </c>
      <c r="F2660" t="s">
        <v>149</v>
      </c>
      <c r="G2660" t="s">
        <v>9837</v>
      </c>
    </row>
    <row r="2661" spans="1:7" ht="44.25" customHeight="1">
      <c r="A2661" t="s">
        <v>136</v>
      </c>
      <c r="B2661" t="s">
        <v>9838</v>
      </c>
      <c r="C2661" t="s">
        <v>136</v>
      </c>
      <c r="D2661" t="s">
        <v>2257</v>
      </c>
      <c r="E2661" t="s">
        <v>9839</v>
      </c>
      <c r="F2661" t="s">
        <v>149</v>
      </c>
      <c r="G2661" t="s">
        <v>9840</v>
      </c>
    </row>
    <row r="2662" spans="1:7" ht="44.25" customHeight="1">
      <c r="A2662" t="s">
        <v>9841</v>
      </c>
      <c r="B2662" t="s">
        <v>9842</v>
      </c>
      <c r="C2662" t="s">
        <v>136</v>
      </c>
      <c r="D2662" t="s">
        <v>2257</v>
      </c>
      <c r="E2662" t="s">
        <v>1607</v>
      </c>
      <c r="F2662" t="s">
        <v>149</v>
      </c>
      <c r="G2662" t="s">
        <v>9843</v>
      </c>
    </row>
    <row r="2663" spans="1:7" ht="44.25" customHeight="1">
      <c r="A2663" t="s">
        <v>9844</v>
      </c>
      <c r="B2663" t="s">
        <v>9845</v>
      </c>
      <c r="C2663" t="s">
        <v>9846</v>
      </c>
      <c r="D2663" t="s">
        <v>2257</v>
      </c>
      <c r="E2663" t="s">
        <v>2685</v>
      </c>
      <c r="F2663" t="s">
        <v>149</v>
      </c>
      <c r="G2663" t="s">
        <v>9847</v>
      </c>
    </row>
    <row r="2664" spans="1:7" ht="44.25" customHeight="1">
      <c r="A2664" t="s">
        <v>9848</v>
      </c>
      <c r="B2664" t="s">
        <v>9849</v>
      </c>
      <c r="C2664" t="s">
        <v>136</v>
      </c>
      <c r="D2664" t="s">
        <v>2257</v>
      </c>
      <c r="E2664" t="s">
        <v>1607</v>
      </c>
      <c r="F2664" t="s">
        <v>149</v>
      </c>
      <c r="G2664" t="s">
        <v>9850</v>
      </c>
    </row>
    <row r="2665" spans="1:7" ht="44.25" customHeight="1">
      <c r="A2665" t="s">
        <v>9851</v>
      </c>
      <c r="B2665" t="s">
        <v>9852</v>
      </c>
      <c r="C2665" t="s">
        <v>136</v>
      </c>
      <c r="D2665" t="s">
        <v>79</v>
      </c>
      <c r="E2665" t="s">
        <v>3565</v>
      </c>
      <c r="F2665" t="s">
        <v>149</v>
      </c>
      <c r="G2665" t="s">
        <v>9853</v>
      </c>
    </row>
    <row r="2666" spans="1:7" ht="44.25" customHeight="1">
      <c r="A2666" t="s">
        <v>9854</v>
      </c>
      <c r="B2666" t="s">
        <v>9855</v>
      </c>
      <c r="C2666" t="s">
        <v>136</v>
      </c>
      <c r="D2666" t="s">
        <v>2253</v>
      </c>
      <c r="E2666" t="s">
        <v>1430</v>
      </c>
      <c r="F2666" t="s">
        <v>149</v>
      </c>
      <c r="G2666" t="s">
        <v>9856</v>
      </c>
    </row>
    <row r="2667" spans="1:7" ht="44.25" customHeight="1">
      <c r="A2667" t="s">
        <v>9857</v>
      </c>
      <c r="B2667" t="s">
        <v>9858</v>
      </c>
      <c r="C2667" t="s">
        <v>136</v>
      </c>
      <c r="D2667" t="s">
        <v>2253</v>
      </c>
      <c r="E2667" t="s">
        <v>1432</v>
      </c>
      <c r="F2667" t="s">
        <v>149</v>
      </c>
      <c r="G2667" t="s">
        <v>9859</v>
      </c>
    </row>
    <row r="2668" spans="1:7" ht="44.25" customHeight="1">
      <c r="A2668" t="s">
        <v>9860</v>
      </c>
      <c r="B2668" t="s">
        <v>9861</v>
      </c>
      <c r="C2668" t="s">
        <v>136</v>
      </c>
      <c r="D2668" t="s">
        <v>2253</v>
      </c>
      <c r="E2668" t="s">
        <v>1432</v>
      </c>
      <c r="F2668" t="s">
        <v>149</v>
      </c>
      <c r="G2668" t="s">
        <v>9862</v>
      </c>
    </row>
    <row r="2669" spans="1:7" ht="44.25" customHeight="1">
      <c r="A2669" t="s">
        <v>1034</v>
      </c>
      <c r="B2669" t="s">
        <v>9863</v>
      </c>
      <c r="C2669" t="s">
        <v>136</v>
      </c>
      <c r="D2669" t="s">
        <v>2257</v>
      </c>
      <c r="E2669" t="s">
        <v>1430</v>
      </c>
      <c r="F2669" t="s">
        <v>149</v>
      </c>
      <c r="G2669" t="s">
        <v>9864</v>
      </c>
    </row>
    <row r="2670" spans="1:7" ht="44.25" customHeight="1">
      <c r="A2670" t="s">
        <v>634</v>
      </c>
      <c r="B2670" t="s">
        <v>9865</v>
      </c>
      <c r="C2670" t="s">
        <v>136</v>
      </c>
      <c r="D2670" t="s">
        <v>79</v>
      </c>
      <c r="E2670" t="s">
        <v>9866</v>
      </c>
      <c r="F2670" t="s">
        <v>149</v>
      </c>
      <c r="G2670" t="s">
        <v>9867</v>
      </c>
    </row>
    <row r="2671" spans="1:7" ht="44.25" customHeight="1">
      <c r="A2671" t="s">
        <v>9868</v>
      </c>
      <c r="B2671" t="s">
        <v>9869</v>
      </c>
      <c r="C2671" t="s">
        <v>136</v>
      </c>
      <c r="D2671" t="s">
        <v>79</v>
      </c>
      <c r="E2671" t="s">
        <v>9870</v>
      </c>
      <c r="F2671" t="s">
        <v>149</v>
      </c>
      <c r="G2671" t="s">
        <v>9871</v>
      </c>
    </row>
    <row r="2672" spans="1:7" ht="44.25" customHeight="1">
      <c r="A2672" t="s">
        <v>9872</v>
      </c>
      <c r="B2672" t="s">
        <v>9873</v>
      </c>
      <c r="C2672" t="s">
        <v>136</v>
      </c>
      <c r="D2672" t="s">
        <v>79</v>
      </c>
      <c r="E2672" t="s">
        <v>9874</v>
      </c>
      <c r="F2672" t="s">
        <v>149</v>
      </c>
      <c r="G2672" t="s">
        <v>9875</v>
      </c>
    </row>
    <row r="2673" spans="1:7" ht="44.25" customHeight="1">
      <c r="A2673" t="s">
        <v>9876</v>
      </c>
      <c r="B2673" t="s">
        <v>9877</v>
      </c>
      <c r="C2673" t="s">
        <v>136</v>
      </c>
      <c r="D2673" t="s">
        <v>2257</v>
      </c>
      <c r="E2673" t="s">
        <v>1607</v>
      </c>
      <c r="F2673" t="s">
        <v>149</v>
      </c>
      <c r="G2673" t="s">
        <v>9878</v>
      </c>
    </row>
    <row r="2674" spans="1:7" ht="44.25" customHeight="1">
      <c r="A2674" t="s">
        <v>9879</v>
      </c>
      <c r="B2674" t="s">
        <v>9880</v>
      </c>
      <c r="C2674" t="s">
        <v>136</v>
      </c>
      <c r="D2674" t="s">
        <v>79</v>
      </c>
      <c r="E2674" t="s">
        <v>4910</v>
      </c>
      <c r="F2674" t="s">
        <v>149</v>
      </c>
      <c r="G2674" t="s">
        <v>9881</v>
      </c>
    </row>
    <row r="2675" spans="1:7" ht="44.25" customHeight="1">
      <c r="A2675" t="s">
        <v>9882</v>
      </c>
      <c r="B2675" t="s">
        <v>9883</v>
      </c>
      <c r="C2675" t="s">
        <v>136</v>
      </c>
      <c r="D2675" t="s">
        <v>79</v>
      </c>
      <c r="E2675" t="s">
        <v>9884</v>
      </c>
      <c r="F2675" t="s">
        <v>149</v>
      </c>
      <c r="G2675" t="s">
        <v>9885</v>
      </c>
    </row>
    <row r="2676" spans="1:7" ht="44.25" customHeight="1">
      <c r="A2676" t="s">
        <v>9886</v>
      </c>
      <c r="B2676" t="s">
        <v>9887</v>
      </c>
      <c r="C2676" t="s">
        <v>136</v>
      </c>
      <c r="D2676" t="s">
        <v>79</v>
      </c>
      <c r="E2676" t="s">
        <v>9888</v>
      </c>
      <c r="F2676" t="s">
        <v>149</v>
      </c>
      <c r="G2676" t="s">
        <v>9889</v>
      </c>
    </row>
    <row r="2677" spans="1:7" ht="44.25" customHeight="1">
      <c r="A2677" t="s">
        <v>9890</v>
      </c>
      <c r="B2677" t="s">
        <v>9891</v>
      </c>
      <c r="C2677" t="s">
        <v>136</v>
      </c>
      <c r="D2677" t="s">
        <v>79</v>
      </c>
      <c r="E2677" t="s">
        <v>9892</v>
      </c>
      <c r="F2677" t="s">
        <v>149</v>
      </c>
      <c r="G2677" t="s">
        <v>9893</v>
      </c>
    </row>
    <row r="2678" spans="1:7" ht="44.25" customHeight="1">
      <c r="A2678" t="s">
        <v>9894</v>
      </c>
      <c r="B2678" t="s">
        <v>9895</v>
      </c>
      <c r="C2678" t="s">
        <v>136</v>
      </c>
      <c r="D2678" t="s">
        <v>79</v>
      </c>
      <c r="E2678" t="s">
        <v>9896</v>
      </c>
      <c r="F2678" t="s">
        <v>149</v>
      </c>
      <c r="G2678" t="s">
        <v>9897</v>
      </c>
    </row>
    <row r="2679" spans="1:7" ht="44.25" customHeight="1">
      <c r="A2679" t="s">
        <v>9898</v>
      </c>
      <c r="B2679" t="s">
        <v>9899</v>
      </c>
      <c r="C2679" t="s">
        <v>136</v>
      </c>
      <c r="D2679" t="s">
        <v>79</v>
      </c>
      <c r="E2679" t="s">
        <v>9900</v>
      </c>
      <c r="F2679" t="s">
        <v>149</v>
      </c>
      <c r="G2679" t="s">
        <v>9901</v>
      </c>
    </row>
    <row r="2680" spans="1:7" ht="44.25" customHeight="1">
      <c r="A2680" t="s">
        <v>9902</v>
      </c>
      <c r="B2680" t="s">
        <v>9903</v>
      </c>
      <c r="C2680" t="s">
        <v>136</v>
      </c>
      <c r="D2680" t="s">
        <v>2257</v>
      </c>
      <c r="E2680" t="s">
        <v>5691</v>
      </c>
      <c r="F2680" t="s">
        <v>149</v>
      </c>
      <c r="G2680" t="s">
        <v>9904</v>
      </c>
    </row>
    <row r="2681" spans="1:7" ht="44.25" customHeight="1">
      <c r="A2681" t="s">
        <v>9905</v>
      </c>
      <c r="B2681" t="s">
        <v>9906</v>
      </c>
      <c r="C2681" t="s">
        <v>136</v>
      </c>
      <c r="D2681" t="s">
        <v>79</v>
      </c>
      <c r="E2681" t="s">
        <v>6603</v>
      </c>
      <c r="F2681" t="s">
        <v>149</v>
      </c>
      <c r="G2681" t="s">
        <v>9907</v>
      </c>
    </row>
    <row r="2682" spans="1:7" ht="44.25" customHeight="1">
      <c r="A2682" t="s">
        <v>417</v>
      </c>
      <c r="B2682" t="s">
        <v>9908</v>
      </c>
      <c r="C2682" t="s">
        <v>136</v>
      </c>
      <c r="D2682" t="s">
        <v>79</v>
      </c>
      <c r="E2682" t="s">
        <v>1523</v>
      </c>
      <c r="F2682" t="s">
        <v>149</v>
      </c>
      <c r="G2682" t="s">
        <v>9909</v>
      </c>
    </row>
    <row r="2683" spans="1:7" ht="44.25" customHeight="1">
      <c r="A2683" t="s">
        <v>9910</v>
      </c>
      <c r="B2683" t="s">
        <v>9911</v>
      </c>
      <c r="C2683" t="s">
        <v>136</v>
      </c>
      <c r="D2683" t="s">
        <v>2257</v>
      </c>
      <c r="E2683" t="s">
        <v>2695</v>
      </c>
      <c r="F2683" t="s">
        <v>149</v>
      </c>
      <c r="G2683" t="s">
        <v>9912</v>
      </c>
    </row>
    <row r="2684" spans="1:7" ht="44.25" customHeight="1">
      <c r="A2684" t="s">
        <v>136</v>
      </c>
      <c r="B2684" t="s">
        <v>9913</v>
      </c>
      <c r="C2684" t="s">
        <v>136</v>
      </c>
      <c r="D2684" t="s">
        <v>2257</v>
      </c>
      <c r="E2684" t="s">
        <v>5691</v>
      </c>
      <c r="F2684" t="s">
        <v>149</v>
      </c>
      <c r="G2684" t="s">
        <v>9914</v>
      </c>
    </row>
    <row r="2685" spans="1:7" ht="44.25" customHeight="1">
      <c r="A2685" t="s">
        <v>481</v>
      </c>
      <c r="B2685" t="s">
        <v>9915</v>
      </c>
      <c r="C2685" t="s">
        <v>136</v>
      </c>
      <c r="D2685" t="s">
        <v>79</v>
      </c>
      <c r="E2685" t="s">
        <v>9916</v>
      </c>
      <c r="F2685" t="s">
        <v>149</v>
      </c>
      <c r="G2685" t="s">
        <v>9917</v>
      </c>
    </row>
    <row r="2686" spans="1:7" ht="44.25" customHeight="1">
      <c r="A2686" t="s">
        <v>9918</v>
      </c>
      <c r="B2686" t="s">
        <v>9919</v>
      </c>
      <c r="C2686" t="s">
        <v>9920</v>
      </c>
      <c r="D2686" t="s">
        <v>2257</v>
      </c>
      <c r="E2686" t="s">
        <v>2685</v>
      </c>
      <c r="F2686" t="s">
        <v>149</v>
      </c>
      <c r="G2686" t="s">
        <v>9921</v>
      </c>
    </row>
    <row r="2687" spans="1:7" ht="44.25" customHeight="1">
      <c r="A2687" t="s">
        <v>9922</v>
      </c>
      <c r="B2687" t="s">
        <v>9923</v>
      </c>
      <c r="C2687" t="s">
        <v>136</v>
      </c>
      <c r="D2687" t="s">
        <v>2253</v>
      </c>
      <c r="E2687" t="s">
        <v>1432</v>
      </c>
      <c r="F2687" t="s">
        <v>149</v>
      </c>
      <c r="G2687" t="s">
        <v>9924</v>
      </c>
    </row>
    <row r="2688" spans="1:7" ht="44.25" customHeight="1">
      <c r="A2688" t="s">
        <v>9925</v>
      </c>
      <c r="B2688" t="s">
        <v>9926</v>
      </c>
      <c r="C2688" t="s">
        <v>136</v>
      </c>
      <c r="D2688" t="s">
        <v>2253</v>
      </c>
      <c r="E2688" t="s">
        <v>1432</v>
      </c>
      <c r="F2688" t="s">
        <v>149</v>
      </c>
      <c r="G2688" t="s">
        <v>9927</v>
      </c>
    </row>
    <row r="2689" spans="1:7" ht="44.25" customHeight="1">
      <c r="A2689" t="s">
        <v>9928</v>
      </c>
      <c r="B2689" t="s">
        <v>9929</v>
      </c>
      <c r="C2689" t="s">
        <v>136</v>
      </c>
      <c r="D2689" t="s">
        <v>79</v>
      </c>
      <c r="E2689" t="s">
        <v>9930</v>
      </c>
      <c r="F2689" t="s">
        <v>149</v>
      </c>
      <c r="G2689" t="s">
        <v>9931</v>
      </c>
    </row>
    <row r="2690" spans="1:7" ht="44.25" customHeight="1">
      <c r="A2690" t="s">
        <v>9932</v>
      </c>
      <c r="B2690" t="s">
        <v>9933</v>
      </c>
      <c r="C2690" t="s">
        <v>136</v>
      </c>
      <c r="D2690" t="s">
        <v>79</v>
      </c>
      <c r="E2690" t="s">
        <v>9934</v>
      </c>
      <c r="F2690" t="s">
        <v>149</v>
      </c>
      <c r="G2690" t="s">
        <v>9935</v>
      </c>
    </row>
    <row r="2691" spans="1:7" ht="44.25" customHeight="1">
      <c r="A2691" t="s">
        <v>9936</v>
      </c>
      <c r="B2691" t="s">
        <v>9937</v>
      </c>
      <c r="C2691" t="s">
        <v>136</v>
      </c>
      <c r="D2691" t="s">
        <v>2257</v>
      </c>
      <c r="E2691" t="s">
        <v>2276</v>
      </c>
      <c r="F2691" t="s">
        <v>149</v>
      </c>
      <c r="G2691" t="s">
        <v>9938</v>
      </c>
    </row>
    <row r="2692" spans="1:7" ht="44.25" customHeight="1">
      <c r="A2692" t="s">
        <v>9939</v>
      </c>
      <c r="B2692" t="s">
        <v>9940</v>
      </c>
      <c r="C2692" t="s">
        <v>136</v>
      </c>
      <c r="D2692" t="s">
        <v>2257</v>
      </c>
      <c r="E2692" t="s">
        <v>2276</v>
      </c>
      <c r="F2692" t="s">
        <v>149</v>
      </c>
      <c r="G2692" t="s">
        <v>9941</v>
      </c>
    </row>
    <row r="2693" spans="1:7" ht="44.25" customHeight="1">
      <c r="A2693" t="s">
        <v>9942</v>
      </c>
      <c r="B2693" t="s">
        <v>9943</v>
      </c>
      <c r="C2693" t="s">
        <v>136</v>
      </c>
      <c r="D2693" t="s">
        <v>2253</v>
      </c>
      <c r="E2693" t="s">
        <v>1432</v>
      </c>
      <c r="F2693" t="s">
        <v>149</v>
      </c>
      <c r="G2693" t="s">
        <v>9944</v>
      </c>
    </row>
    <row r="2694" spans="1:7" ht="44.25" customHeight="1">
      <c r="A2694" t="s">
        <v>1359</v>
      </c>
      <c r="B2694" t="s">
        <v>9945</v>
      </c>
      <c r="C2694" t="s">
        <v>136</v>
      </c>
      <c r="D2694" t="s">
        <v>2253</v>
      </c>
      <c r="E2694" t="s">
        <v>1432</v>
      </c>
      <c r="F2694" t="s">
        <v>149</v>
      </c>
      <c r="G2694" t="s">
        <v>9946</v>
      </c>
    </row>
    <row r="2695" spans="1:7" ht="44.25" customHeight="1">
      <c r="A2695" t="s">
        <v>321</v>
      </c>
      <c r="B2695" t="s">
        <v>9947</v>
      </c>
      <c r="C2695" t="s">
        <v>136</v>
      </c>
      <c r="D2695" t="s">
        <v>2253</v>
      </c>
      <c r="E2695" t="s">
        <v>2258</v>
      </c>
      <c r="F2695" t="s">
        <v>149</v>
      </c>
      <c r="G2695" t="s">
        <v>9948</v>
      </c>
    </row>
    <row r="2696" spans="1:7" ht="44.25" customHeight="1">
      <c r="A2696" t="s">
        <v>364</v>
      </c>
      <c r="B2696" t="s">
        <v>9949</v>
      </c>
      <c r="C2696" t="s">
        <v>136</v>
      </c>
      <c r="D2696" t="s">
        <v>79</v>
      </c>
      <c r="E2696" t="s">
        <v>4337</v>
      </c>
      <c r="F2696" t="s">
        <v>149</v>
      </c>
      <c r="G2696" t="s">
        <v>9950</v>
      </c>
    </row>
    <row r="2697" spans="1:7" ht="44.25" customHeight="1">
      <c r="A2697" t="s">
        <v>564</v>
      </c>
      <c r="B2697" t="s">
        <v>9951</v>
      </c>
      <c r="C2697" t="s">
        <v>136</v>
      </c>
      <c r="D2697" t="s">
        <v>79</v>
      </c>
      <c r="E2697" t="s">
        <v>4661</v>
      </c>
      <c r="F2697" t="s">
        <v>149</v>
      </c>
      <c r="G2697" t="s">
        <v>9952</v>
      </c>
    </row>
    <row r="2698" spans="1:7" ht="44.25" customHeight="1">
      <c r="A2698" t="s">
        <v>715</v>
      </c>
      <c r="B2698" t="s">
        <v>9953</v>
      </c>
      <c r="C2698" t="s">
        <v>136</v>
      </c>
      <c r="D2698" t="s">
        <v>2257</v>
      </c>
      <c r="E2698" t="s">
        <v>1584</v>
      </c>
      <c r="F2698" t="s">
        <v>149</v>
      </c>
      <c r="G2698" t="s">
        <v>9954</v>
      </c>
    </row>
    <row r="2699" spans="1:7" ht="44.25" customHeight="1">
      <c r="A2699" t="s">
        <v>615</v>
      </c>
      <c r="B2699" t="s">
        <v>9955</v>
      </c>
      <c r="C2699" t="s">
        <v>136</v>
      </c>
      <c r="D2699" t="s">
        <v>79</v>
      </c>
      <c r="E2699" t="s">
        <v>9956</v>
      </c>
      <c r="F2699" t="s">
        <v>149</v>
      </c>
      <c r="G2699" t="s">
        <v>9957</v>
      </c>
    </row>
    <row r="2700" spans="1:7" ht="44.25" customHeight="1">
      <c r="A2700" t="s">
        <v>9958</v>
      </c>
      <c r="B2700" t="s">
        <v>9959</v>
      </c>
      <c r="C2700" t="s">
        <v>136</v>
      </c>
      <c r="D2700" t="s">
        <v>2257</v>
      </c>
      <c r="E2700" t="s">
        <v>1607</v>
      </c>
      <c r="F2700" t="s">
        <v>149</v>
      </c>
      <c r="G2700" t="s">
        <v>9960</v>
      </c>
    </row>
    <row r="2701" spans="1:7" ht="44.25" customHeight="1">
      <c r="A2701" t="s">
        <v>9961</v>
      </c>
      <c r="B2701" t="s">
        <v>9962</v>
      </c>
      <c r="C2701" t="s">
        <v>136</v>
      </c>
      <c r="D2701" t="s">
        <v>2257</v>
      </c>
      <c r="E2701" t="s">
        <v>1607</v>
      </c>
      <c r="F2701" t="s">
        <v>149</v>
      </c>
      <c r="G2701" t="s">
        <v>9963</v>
      </c>
    </row>
    <row r="2702" spans="1:7" ht="44.25" customHeight="1">
      <c r="A2702" t="s">
        <v>9964</v>
      </c>
      <c r="B2702" t="s">
        <v>9965</v>
      </c>
      <c r="C2702" t="s">
        <v>136</v>
      </c>
      <c r="D2702" t="s">
        <v>2257</v>
      </c>
      <c r="E2702" t="s">
        <v>1607</v>
      </c>
      <c r="F2702" t="s">
        <v>149</v>
      </c>
      <c r="G2702" t="s">
        <v>9966</v>
      </c>
    </row>
    <row r="2703" spans="1:7" ht="44.25" customHeight="1">
      <c r="A2703" t="s">
        <v>9967</v>
      </c>
      <c r="B2703" t="s">
        <v>9968</v>
      </c>
      <c r="C2703" t="s">
        <v>136</v>
      </c>
      <c r="D2703" t="s">
        <v>2257</v>
      </c>
      <c r="E2703" t="s">
        <v>2685</v>
      </c>
      <c r="F2703" t="s">
        <v>149</v>
      </c>
      <c r="G2703" t="s">
        <v>9969</v>
      </c>
    </row>
    <row r="2704" spans="1:7" ht="44.25" customHeight="1">
      <c r="A2704" t="s">
        <v>384</v>
      </c>
      <c r="B2704" t="s">
        <v>9970</v>
      </c>
      <c r="C2704" t="s">
        <v>136</v>
      </c>
      <c r="D2704" t="s">
        <v>79</v>
      </c>
      <c r="E2704" t="s">
        <v>3516</v>
      </c>
      <c r="F2704" t="s">
        <v>149</v>
      </c>
      <c r="G2704" t="s">
        <v>9971</v>
      </c>
    </row>
    <row r="2705" spans="1:7" ht="44.25" customHeight="1">
      <c r="A2705" t="s">
        <v>683</v>
      </c>
      <c r="B2705" t="s">
        <v>9972</v>
      </c>
      <c r="C2705" t="s">
        <v>136</v>
      </c>
      <c r="D2705" t="s">
        <v>79</v>
      </c>
      <c r="E2705" t="s">
        <v>9973</v>
      </c>
      <c r="F2705" t="s">
        <v>149</v>
      </c>
      <c r="G2705" t="s">
        <v>9974</v>
      </c>
    </row>
    <row r="2706" spans="1:7" ht="44.25" customHeight="1">
      <c r="A2706" t="s">
        <v>9975</v>
      </c>
      <c r="B2706" t="s">
        <v>9976</v>
      </c>
      <c r="C2706" t="s">
        <v>136</v>
      </c>
      <c r="D2706" t="s">
        <v>2257</v>
      </c>
      <c r="E2706" t="s">
        <v>2276</v>
      </c>
      <c r="F2706" t="s">
        <v>149</v>
      </c>
      <c r="G2706" t="s">
        <v>9977</v>
      </c>
    </row>
    <row r="2707" spans="1:7" ht="44.25" customHeight="1">
      <c r="A2707" t="s">
        <v>9978</v>
      </c>
      <c r="B2707" t="s">
        <v>9979</v>
      </c>
      <c r="C2707" t="s">
        <v>136</v>
      </c>
      <c r="D2707" t="s">
        <v>2253</v>
      </c>
      <c r="E2707" t="s">
        <v>1432</v>
      </c>
      <c r="F2707" t="s">
        <v>149</v>
      </c>
      <c r="G2707" t="s">
        <v>9980</v>
      </c>
    </row>
    <row r="2708" spans="1:7" ht="44.25" customHeight="1">
      <c r="A2708" t="s">
        <v>1349</v>
      </c>
      <c r="B2708" t="s">
        <v>9981</v>
      </c>
      <c r="C2708" t="s">
        <v>136</v>
      </c>
      <c r="D2708" t="s">
        <v>2257</v>
      </c>
      <c r="E2708" t="s">
        <v>2276</v>
      </c>
      <c r="F2708" t="s">
        <v>149</v>
      </c>
      <c r="G2708" t="s">
        <v>9982</v>
      </c>
    </row>
    <row r="2709" spans="1:7" ht="44.25" customHeight="1">
      <c r="A2709" t="s">
        <v>1378</v>
      </c>
      <c r="B2709" t="s">
        <v>9983</v>
      </c>
      <c r="C2709" t="s">
        <v>136</v>
      </c>
      <c r="D2709" t="s">
        <v>2257</v>
      </c>
      <c r="E2709" t="s">
        <v>2258</v>
      </c>
      <c r="F2709" t="s">
        <v>149</v>
      </c>
      <c r="G2709" t="s">
        <v>9984</v>
      </c>
    </row>
    <row r="2710" spans="1:7" ht="44.25" customHeight="1">
      <c r="A2710" t="s">
        <v>330</v>
      </c>
      <c r="B2710" t="s">
        <v>9985</v>
      </c>
      <c r="C2710" t="s">
        <v>136</v>
      </c>
      <c r="D2710" t="s">
        <v>2257</v>
      </c>
      <c r="E2710" t="s">
        <v>2258</v>
      </c>
      <c r="F2710" t="s">
        <v>149</v>
      </c>
      <c r="G2710" t="s">
        <v>9986</v>
      </c>
    </row>
    <row r="2711" spans="1:7" ht="44.25" customHeight="1">
      <c r="A2711" t="s">
        <v>9987</v>
      </c>
      <c r="B2711" t="s">
        <v>9988</v>
      </c>
      <c r="C2711" t="s">
        <v>136</v>
      </c>
      <c r="D2711" t="s">
        <v>79</v>
      </c>
      <c r="E2711" t="s">
        <v>4615</v>
      </c>
      <c r="F2711" t="s">
        <v>149</v>
      </c>
      <c r="G2711" t="s">
        <v>9989</v>
      </c>
    </row>
    <row r="2712" spans="1:7" ht="44.25" customHeight="1">
      <c r="A2712" t="s">
        <v>462</v>
      </c>
      <c r="B2712" t="s">
        <v>9990</v>
      </c>
      <c r="C2712" t="s">
        <v>136</v>
      </c>
      <c r="D2712" t="s">
        <v>79</v>
      </c>
      <c r="E2712" t="s">
        <v>9991</v>
      </c>
      <c r="F2712" t="s">
        <v>149</v>
      </c>
      <c r="G2712" t="s">
        <v>9992</v>
      </c>
    </row>
    <row r="2713" spans="1:7" ht="44.25" customHeight="1">
      <c r="A2713" t="s">
        <v>771</v>
      </c>
      <c r="B2713" t="s">
        <v>9993</v>
      </c>
      <c r="C2713" t="s">
        <v>136</v>
      </c>
      <c r="D2713" t="s">
        <v>2257</v>
      </c>
      <c r="E2713" t="s">
        <v>1432</v>
      </c>
      <c r="F2713" t="s">
        <v>149</v>
      </c>
      <c r="G2713" t="s">
        <v>9994</v>
      </c>
    </row>
    <row r="2714" spans="1:7" ht="44.25" customHeight="1">
      <c r="A2714" t="s">
        <v>1045</v>
      </c>
      <c r="B2714" t="s">
        <v>9995</v>
      </c>
      <c r="C2714" t="s">
        <v>136</v>
      </c>
      <c r="D2714" t="s">
        <v>2257</v>
      </c>
      <c r="E2714" t="s">
        <v>1624</v>
      </c>
      <c r="F2714" t="s">
        <v>149</v>
      </c>
      <c r="G2714" t="s">
        <v>9996</v>
      </c>
    </row>
    <row r="2715" spans="1:7" ht="44.25" customHeight="1">
      <c r="A2715" t="s">
        <v>9997</v>
      </c>
      <c r="B2715" t="s">
        <v>9998</v>
      </c>
      <c r="C2715" t="s">
        <v>136</v>
      </c>
      <c r="D2715" t="s">
        <v>79</v>
      </c>
      <c r="E2715" t="s">
        <v>9999</v>
      </c>
      <c r="F2715" t="s">
        <v>149</v>
      </c>
      <c r="G2715" t="s">
        <v>10000</v>
      </c>
    </row>
    <row r="2716" spans="1:7" ht="44.25" customHeight="1">
      <c r="A2716" t="s">
        <v>10001</v>
      </c>
      <c r="B2716" t="s">
        <v>10002</v>
      </c>
      <c r="C2716" t="s">
        <v>136</v>
      </c>
      <c r="D2716" t="s">
        <v>79</v>
      </c>
      <c r="E2716" t="s">
        <v>10003</v>
      </c>
      <c r="F2716" t="s">
        <v>149</v>
      </c>
      <c r="G2716" t="s">
        <v>10004</v>
      </c>
    </row>
    <row r="2717" spans="1:7" ht="44.25" customHeight="1">
      <c r="A2717" t="s">
        <v>10005</v>
      </c>
      <c r="B2717" t="s">
        <v>10006</v>
      </c>
      <c r="C2717" t="s">
        <v>136</v>
      </c>
      <c r="D2717" t="s">
        <v>2257</v>
      </c>
      <c r="E2717" t="s">
        <v>1607</v>
      </c>
      <c r="F2717" t="s">
        <v>149</v>
      </c>
      <c r="G2717" t="s">
        <v>10007</v>
      </c>
    </row>
    <row r="2718" spans="1:7" ht="44.25" customHeight="1">
      <c r="A2718" t="s">
        <v>10008</v>
      </c>
      <c r="B2718" t="s">
        <v>10009</v>
      </c>
      <c r="C2718" t="s">
        <v>136</v>
      </c>
      <c r="D2718" t="s">
        <v>2257</v>
      </c>
      <c r="E2718" t="s">
        <v>1607</v>
      </c>
      <c r="F2718" t="s">
        <v>149</v>
      </c>
      <c r="G2718" t="s">
        <v>10010</v>
      </c>
    </row>
    <row r="2719" spans="1:7" ht="44.25" customHeight="1">
      <c r="A2719" t="s">
        <v>404</v>
      </c>
      <c r="B2719" t="s">
        <v>10011</v>
      </c>
      <c r="C2719" t="s">
        <v>136</v>
      </c>
      <c r="D2719" t="s">
        <v>79</v>
      </c>
      <c r="E2719" t="s">
        <v>3168</v>
      </c>
      <c r="F2719" t="s">
        <v>149</v>
      </c>
      <c r="G2719" t="s">
        <v>10012</v>
      </c>
    </row>
    <row r="2720" spans="1:7" ht="44.25" customHeight="1">
      <c r="A2720" t="s">
        <v>10013</v>
      </c>
      <c r="B2720" t="s">
        <v>10014</v>
      </c>
      <c r="C2720" t="s">
        <v>136</v>
      </c>
      <c r="D2720" t="s">
        <v>79</v>
      </c>
      <c r="E2720" t="s">
        <v>10015</v>
      </c>
      <c r="F2720" t="s">
        <v>149</v>
      </c>
      <c r="G2720" t="s">
        <v>10016</v>
      </c>
    </row>
    <row r="2721" spans="1:7" ht="44.25" customHeight="1">
      <c r="A2721" t="s">
        <v>10017</v>
      </c>
      <c r="B2721" t="s">
        <v>10018</v>
      </c>
      <c r="C2721" t="s">
        <v>136</v>
      </c>
      <c r="D2721" t="s">
        <v>79</v>
      </c>
      <c r="E2721" t="s">
        <v>10019</v>
      </c>
      <c r="F2721" t="s">
        <v>149</v>
      </c>
      <c r="G2721" t="s">
        <v>10020</v>
      </c>
    </row>
    <row r="2722" spans="1:7" ht="44.25" customHeight="1">
      <c r="A2722" t="s">
        <v>10021</v>
      </c>
      <c r="B2722" t="s">
        <v>10022</v>
      </c>
      <c r="C2722" t="s">
        <v>136</v>
      </c>
      <c r="D2722" t="s">
        <v>2257</v>
      </c>
      <c r="E2722" t="s">
        <v>2276</v>
      </c>
      <c r="F2722" t="s">
        <v>149</v>
      </c>
      <c r="G2722" t="s">
        <v>10023</v>
      </c>
    </row>
    <row r="2723" spans="1:7" ht="44.25" customHeight="1">
      <c r="A2723" t="s">
        <v>10024</v>
      </c>
      <c r="B2723" t="s">
        <v>10025</v>
      </c>
      <c r="C2723" t="s">
        <v>136</v>
      </c>
      <c r="D2723" t="s">
        <v>2257</v>
      </c>
      <c r="E2723" t="s">
        <v>2258</v>
      </c>
      <c r="F2723" t="s">
        <v>149</v>
      </c>
      <c r="G2723" t="s">
        <v>10026</v>
      </c>
    </row>
    <row r="2724" spans="1:7" ht="44.25" customHeight="1">
      <c r="A2724" t="s">
        <v>1379</v>
      </c>
      <c r="B2724" t="s">
        <v>10027</v>
      </c>
      <c r="C2724" t="s">
        <v>136</v>
      </c>
      <c r="D2724" t="s">
        <v>2257</v>
      </c>
      <c r="E2724" t="s">
        <v>1430</v>
      </c>
      <c r="F2724" t="s">
        <v>149</v>
      </c>
      <c r="G2724" t="s">
        <v>10028</v>
      </c>
    </row>
    <row r="2725" spans="1:7" ht="44.25" customHeight="1">
      <c r="A2725" t="s">
        <v>669</v>
      </c>
      <c r="B2725" t="s">
        <v>10029</v>
      </c>
      <c r="C2725" t="s">
        <v>136</v>
      </c>
      <c r="D2725" t="s">
        <v>79</v>
      </c>
      <c r="E2725" t="s">
        <v>10030</v>
      </c>
      <c r="F2725" t="s">
        <v>149</v>
      </c>
      <c r="G2725" t="s">
        <v>10031</v>
      </c>
    </row>
    <row r="2726" spans="1:7" ht="44.25" customHeight="1">
      <c r="A2726" t="s">
        <v>10032</v>
      </c>
      <c r="B2726" t="s">
        <v>10033</v>
      </c>
      <c r="C2726" t="s">
        <v>136</v>
      </c>
      <c r="D2726" t="s">
        <v>2257</v>
      </c>
      <c r="E2726" t="s">
        <v>9437</v>
      </c>
      <c r="F2726" t="s">
        <v>149</v>
      </c>
      <c r="G2726" t="s">
        <v>10034</v>
      </c>
    </row>
    <row r="2727" spans="1:7" ht="44.25" customHeight="1">
      <c r="A2727" t="s">
        <v>10032</v>
      </c>
      <c r="B2727" t="s">
        <v>10033</v>
      </c>
      <c r="C2727" t="s">
        <v>136</v>
      </c>
      <c r="D2727" t="s">
        <v>2257</v>
      </c>
      <c r="E2727" t="s">
        <v>9437</v>
      </c>
      <c r="F2727" t="s">
        <v>149</v>
      </c>
      <c r="G2727" t="s">
        <v>10034</v>
      </c>
    </row>
    <row r="2728" spans="1:7" ht="44.25" customHeight="1">
      <c r="A2728" t="s">
        <v>10035</v>
      </c>
      <c r="B2728" t="s">
        <v>10036</v>
      </c>
      <c r="C2728" t="s">
        <v>136</v>
      </c>
      <c r="D2728" t="s">
        <v>79</v>
      </c>
      <c r="E2728" t="s">
        <v>10037</v>
      </c>
      <c r="F2728" t="s">
        <v>149</v>
      </c>
      <c r="G2728" t="s">
        <v>10038</v>
      </c>
    </row>
    <row r="2729" spans="1:7" ht="44.25" customHeight="1">
      <c r="A2729" t="s">
        <v>10039</v>
      </c>
      <c r="B2729" t="s">
        <v>10040</v>
      </c>
      <c r="C2729" t="s">
        <v>136</v>
      </c>
      <c r="D2729" t="s">
        <v>79</v>
      </c>
      <c r="E2729" t="s">
        <v>10041</v>
      </c>
      <c r="F2729" t="s">
        <v>149</v>
      </c>
      <c r="G2729" t="s">
        <v>10042</v>
      </c>
    </row>
    <row r="2730" spans="1:7" ht="44.25" customHeight="1">
      <c r="A2730" t="s">
        <v>10043</v>
      </c>
      <c r="B2730" t="s">
        <v>10044</v>
      </c>
      <c r="C2730" t="s">
        <v>136</v>
      </c>
      <c r="D2730" t="s">
        <v>79</v>
      </c>
      <c r="E2730" t="s">
        <v>10045</v>
      </c>
      <c r="F2730" t="s">
        <v>149</v>
      </c>
      <c r="G2730" t="s">
        <v>10046</v>
      </c>
    </row>
    <row r="2731" spans="1:7" ht="44.25" customHeight="1">
      <c r="A2731" t="s">
        <v>10047</v>
      </c>
      <c r="B2731" t="s">
        <v>10048</v>
      </c>
      <c r="C2731" t="s">
        <v>136</v>
      </c>
      <c r="D2731" t="s">
        <v>79</v>
      </c>
      <c r="E2731" t="s">
        <v>10049</v>
      </c>
      <c r="F2731" t="s">
        <v>149</v>
      </c>
      <c r="G2731" t="s">
        <v>10050</v>
      </c>
    </row>
    <row r="2732" spans="1:7" ht="44.25" customHeight="1">
      <c r="A2732" t="s">
        <v>10051</v>
      </c>
      <c r="B2732" t="s">
        <v>10052</v>
      </c>
      <c r="C2732" t="s">
        <v>136</v>
      </c>
      <c r="D2732" t="s">
        <v>79</v>
      </c>
      <c r="E2732" t="s">
        <v>10053</v>
      </c>
      <c r="F2732" t="s">
        <v>149</v>
      </c>
      <c r="G2732" t="s">
        <v>10054</v>
      </c>
    </row>
    <row r="2733" spans="1:7" ht="44.25" customHeight="1">
      <c r="A2733" t="s">
        <v>10055</v>
      </c>
      <c r="B2733" t="s">
        <v>10056</v>
      </c>
      <c r="C2733" t="s">
        <v>136</v>
      </c>
      <c r="D2733" t="s">
        <v>2257</v>
      </c>
      <c r="E2733" t="s">
        <v>5684</v>
      </c>
      <c r="F2733" t="s">
        <v>149</v>
      </c>
      <c r="G2733" t="s">
        <v>10057</v>
      </c>
    </row>
    <row r="2734" spans="1:7" ht="44.25" customHeight="1">
      <c r="A2734" t="s">
        <v>294</v>
      </c>
      <c r="B2734" t="s">
        <v>10058</v>
      </c>
      <c r="C2734" t="s">
        <v>136</v>
      </c>
      <c r="D2734" t="s">
        <v>2257</v>
      </c>
      <c r="E2734" t="s">
        <v>1607</v>
      </c>
      <c r="F2734" t="s">
        <v>149</v>
      </c>
      <c r="G2734" t="s">
        <v>10059</v>
      </c>
    </row>
    <row r="2735" spans="1:7" ht="44.25" customHeight="1">
      <c r="A2735" t="s">
        <v>10060</v>
      </c>
      <c r="B2735" t="s">
        <v>10061</v>
      </c>
      <c r="C2735" t="s">
        <v>10062</v>
      </c>
      <c r="D2735" t="s">
        <v>2257</v>
      </c>
      <c r="E2735" t="s">
        <v>3162</v>
      </c>
      <c r="F2735" t="s">
        <v>149</v>
      </c>
      <c r="G2735" t="s">
        <v>10063</v>
      </c>
    </row>
    <row r="2736" spans="1:7" ht="44.25" customHeight="1">
      <c r="A2736" t="s">
        <v>822</v>
      </c>
      <c r="B2736" t="s">
        <v>10064</v>
      </c>
      <c r="C2736" t="s">
        <v>136</v>
      </c>
      <c r="D2736" t="s">
        <v>79</v>
      </c>
      <c r="E2736" t="s">
        <v>10065</v>
      </c>
      <c r="F2736" t="s">
        <v>149</v>
      </c>
      <c r="G2736" t="s">
        <v>10066</v>
      </c>
    </row>
    <row r="2737" spans="1:7" ht="44.25" customHeight="1">
      <c r="A2737" t="s">
        <v>821</v>
      </c>
      <c r="B2737" t="s">
        <v>10067</v>
      </c>
      <c r="C2737" t="s">
        <v>136</v>
      </c>
      <c r="D2737" t="s">
        <v>2257</v>
      </c>
      <c r="E2737" t="s">
        <v>3423</v>
      </c>
      <c r="F2737" t="s">
        <v>149</v>
      </c>
      <c r="G2737" t="s">
        <v>10068</v>
      </c>
    </row>
    <row r="2738" spans="1:7" ht="44.25" customHeight="1">
      <c r="A2738" t="s">
        <v>10069</v>
      </c>
      <c r="B2738" t="s">
        <v>10070</v>
      </c>
      <c r="C2738" t="s">
        <v>136</v>
      </c>
      <c r="D2738" t="s">
        <v>79</v>
      </c>
      <c r="E2738" t="s">
        <v>10071</v>
      </c>
      <c r="F2738" t="s">
        <v>149</v>
      </c>
      <c r="G2738" t="s">
        <v>10072</v>
      </c>
    </row>
    <row r="2739" spans="1:7" ht="44.25" customHeight="1">
      <c r="A2739" t="s">
        <v>10073</v>
      </c>
      <c r="B2739" t="s">
        <v>10074</v>
      </c>
      <c r="C2739" t="s">
        <v>136</v>
      </c>
      <c r="D2739" t="s">
        <v>79</v>
      </c>
      <c r="E2739" t="s">
        <v>10075</v>
      </c>
      <c r="F2739" t="s">
        <v>149</v>
      </c>
      <c r="G2739" t="s">
        <v>10076</v>
      </c>
    </row>
    <row r="2740" spans="1:7" ht="44.25" customHeight="1">
      <c r="A2740" t="s">
        <v>10077</v>
      </c>
      <c r="B2740" t="s">
        <v>10078</v>
      </c>
      <c r="C2740" t="s">
        <v>136</v>
      </c>
      <c r="D2740" t="s">
        <v>2253</v>
      </c>
      <c r="E2740" t="s">
        <v>1430</v>
      </c>
      <c r="F2740" t="s">
        <v>149</v>
      </c>
      <c r="G2740" t="s">
        <v>10079</v>
      </c>
    </row>
    <row r="2741" spans="1:7" ht="44.25" customHeight="1">
      <c r="A2741" t="s">
        <v>1073</v>
      </c>
      <c r="B2741" t="s">
        <v>10080</v>
      </c>
      <c r="C2741" t="s">
        <v>136</v>
      </c>
      <c r="D2741" t="s">
        <v>2257</v>
      </c>
      <c r="E2741" t="s">
        <v>3759</v>
      </c>
      <c r="F2741" t="s">
        <v>149</v>
      </c>
      <c r="G2741" t="s">
        <v>10081</v>
      </c>
    </row>
    <row r="2742" spans="1:7" ht="44.25" customHeight="1">
      <c r="A2742" t="s">
        <v>10082</v>
      </c>
      <c r="B2742" t="s">
        <v>10083</v>
      </c>
      <c r="C2742" t="s">
        <v>136</v>
      </c>
      <c r="D2742" t="s">
        <v>79</v>
      </c>
      <c r="E2742" t="s">
        <v>5564</v>
      </c>
      <c r="F2742" t="s">
        <v>149</v>
      </c>
      <c r="G2742" t="s">
        <v>10084</v>
      </c>
    </row>
    <row r="2743" spans="1:7" ht="44.25" customHeight="1">
      <c r="A2743" t="s">
        <v>10085</v>
      </c>
      <c r="B2743" t="s">
        <v>10086</v>
      </c>
      <c r="C2743" t="s">
        <v>136</v>
      </c>
      <c r="D2743" t="s">
        <v>79</v>
      </c>
      <c r="E2743" t="s">
        <v>10087</v>
      </c>
      <c r="F2743" t="s">
        <v>149</v>
      </c>
      <c r="G2743" t="s">
        <v>10088</v>
      </c>
    </row>
    <row r="2744" spans="1:7" ht="44.25" customHeight="1">
      <c r="A2744" t="s">
        <v>10089</v>
      </c>
      <c r="B2744" t="s">
        <v>10090</v>
      </c>
      <c r="C2744" t="s">
        <v>136</v>
      </c>
      <c r="D2744" t="s">
        <v>79</v>
      </c>
      <c r="E2744" t="s">
        <v>10091</v>
      </c>
      <c r="F2744" t="s">
        <v>149</v>
      </c>
      <c r="G2744" t="s">
        <v>10092</v>
      </c>
    </row>
    <row r="2745" spans="1:7" ht="44.25" customHeight="1">
      <c r="A2745" t="s">
        <v>10093</v>
      </c>
      <c r="B2745" t="s">
        <v>10094</v>
      </c>
      <c r="C2745" t="s">
        <v>136</v>
      </c>
      <c r="D2745" t="s">
        <v>79</v>
      </c>
      <c r="E2745" t="s">
        <v>10095</v>
      </c>
      <c r="F2745" t="s">
        <v>149</v>
      </c>
      <c r="G2745" t="s">
        <v>10096</v>
      </c>
    </row>
    <row r="2746" spans="1:7" ht="44.25" customHeight="1">
      <c r="A2746" t="s">
        <v>10097</v>
      </c>
      <c r="B2746" t="s">
        <v>10098</v>
      </c>
      <c r="C2746" t="s">
        <v>136</v>
      </c>
      <c r="D2746" t="s">
        <v>79</v>
      </c>
      <c r="E2746" t="s">
        <v>10099</v>
      </c>
      <c r="F2746" t="s">
        <v>149</v>
      </c>
      <c r="G2746" t="s">
        <v>10100</v>
      </c>
    </row>
    <row r="2747" spans="1:7" ht="44.25" customHeight="1">
      <c r="A2747" t="s">
        <v>10101</v>
      </c>
      <c r="B2747" t="s">
        <v>10102</v>
      </c>
      <c r="C2747" t="s">
        <v>136</v>
      </c>
      <c r="D2747" t="s">
        <v>79</v>
      </c>
      <c r="E2747" t="s">
        <v>10103</v>
      </c>
      <c r="F2747" t="s">
        <v>149</v>
      </c>
      <c r="G2747" t="s">
        <v>10104</v>
      </c>
    </row>
    <row r="2748" spans="1:7" ht="44.25" customHeight="1">
      <c r="A2748" t="s">
        <v>10105</v>
      </c>
      <c r="B2748" t="s">
        <v>10106</v>
      </c>
      <c r="C2748" t="s">
        <v>136</v>
      </c>
      <c r="D2748" t="s">
        <v>79</v>
      </c>
      <c r="E2748" t="s">
        <v>10107</v>
      </c>
      <c r="F2748" t="s">
        <v>149</v>
      </c>
      <c r="G2748" t="s">
        <v>10108</v>
      </c>
    </row>
    <row r="2749" spans="1:7" ht="44.25" customHeight="1">
      <c r="A2749" t="s">
        <v>10109</v>
      </c>
      <c r="B2749" t="s">
        <v>10110</v>
      </c>
      <c r="C2749" t="s">
        <v>136</v>
      </c>
      <c r="D2749" t="s">
        <v>79</v>
      </c>
      <c r="E2749" t="s">
        <v>10111</v>
      </c>
      <c r="F2749" t="s">
        <v>149</v>
      </c>
      <c r="G2749" t="s">
        <v>10112</v>
      </c>
    </row>
    <row r="2750" spans="1:7" ht="44.25" customHeight="1">
      <c r="A2750" t="s">
        <v>10113</v>
      </c>
      <c r="B2750" t="s">
        <v>10114</v>
      </c>
      <c r="C2750" t="s">
        <v>136</v>
      </c>
      <c r="D2750" t="s">
        <v>79</v>
      </c>
      <c r="E2750" t="s">
        <v>10115</v>
      </c>
      <c r="F2750" t="s">
        <v>149</v>
      </c>
      <c r="G2750" t="s">
        <v>10116</v>
      </c>
    </row>
    <row r="2751" spans="1:7" ht="44.25" customHeight="1">
      <c r="A2751" t="s">
        <v>10117</v>
      </c>
      <c r="B2751" t="s">
        <v>10118</v>
      </c>
      <c r="C2751" t="s">
        <v>136</v>
      </c>
      <c r="D2751" t="s">
        <v>2257</v>
      </c>
      <c r="E2751" t="s">
        <v>5691</v>
      </c>
      <c r="F2751" t="s">
        <v>149</v>
      </c>
      <c r="G2751" t="s">
        <v>10119</v>
      </c>
    </row>
    <row r="2752" spans="1:7" ht="44.25" customHeight="1">
      <c r="A2752" t="s">
        <v>10120</v>
      </c>
      <c r="B2752" t="s">
        <v>10121</v>
      </c>
      <c r="C2752" t="s">
        <v>136</v>
      </c>
      <c r="D2752" t="s">
        <v>79</v>
      </c>
      <c r="E2752" t="s">
        <v>10122</v>
      </c>
      <c r="F2752" t="s">
        <v>149</v>
      </c>
      <c r="G2752" t="s">
        <v>10123</v>
      </c>
    </row>
    <row r="2753" spans="1:7" ht="44.25" customHeight="1">
      <c r="A2753" t="s">
        <v>10124</v>
      </c>
      <c r="B2753" t="s">
        <v>10125</v>
      </c>
      <c r="C2753" t="s">
        <v>136</v>
      </c>
      <c r="D2753" t="s">
        <v>2257</v>
      </c>
      <c r="E2753" t="s">
        <v>1607</v>
      </c>
      <c r="F2753" t="s">
        <v>149</v>
      </c>
      <c r="G2753" t="s">
        <v>10126</v>
      </c>
    </row>
    <row r="2754" spans="1:7" ht="44.25" customHeight="1">
      <c r="A2754" t="s">
        <v>10127</v>
      </c>
      <c r="B2754" t="s">
        <v>10128</v>
      </c>
      <c r="C2754" t="s">
        <v>136</v>
      </c>
      <c r="D2754" t="s">
        <v>2257</v>
      </c>
      <c r="E2754" t="s">
        <v>1607</v>
      </c>
      <c r="F2754" t="s">
        <v>149</v>
      </c>
      <c r="G2754" t="s">
        <v>10129</v>
      </c>
    </row>
    <row r="2755" spans="1:7" ht="44.25" customHeight="1">
      <c r="A2755" t="s">
        <v>136</v>
      </c>
      <c r="B2755" t="s">
        <v>10130</v>
      </c>
      <c r="C2755" t="s">
        <v>136</v>
      </c>
      <c r="D2755" t="s">
        <v>2257</v>
      </c>
      <c r="E2755" t="s">
        <v>1607</v>
      </c>
      <c r="F2755" t="s">
        <v>149</v>
      </c>
      <c r="G2755" t="s">
        <v>10131</v>
      </c>
    </row>
    <row r="2756" spans="1:7" ht="44.25" customHeight="1">
      <c r="A2756" t="s">
        <v>10132</v>
      </c>
      <c r="B2756" t="s">
        <v>10133</v>
      </c>
      <c r="C2756" t="s">
        <v>136</v>
      </c>
      <c r="D2756" t="s">
        <v>2257</v>
      </c>
      <c r="E2756" t="s">
        <v>1607</v>
      </c>
      <c r="F2756" t="s">
        <v>149</v>
      </c>
      <c r="G2756" t="s">
        <v>10134</v>
      </c>
    </row>
    <row r="2757" spans="1:7" ht="44.25" customHeight="1">
      <c r="A2757" t="s">
        <v>1406</v>
      </c>
      <c r="B2757" t="s">
        <v>10135</v>
      </c>
      <c r="C2757" t="s">
        <v>136</v>
      </c>
      <c r="D2757" t="s">
        <v>2257</v>
      </c>
      <c r="E2757" t="s">
        <v>1607</v>
      </c>
      <c r="F2757" t="s">
        <v>149</v>
      </c>
      <c r="G2757" t="s">
        <v>10136</v>
      </c>
    </row>
    <row r="2758" spans="1:7" ht="44.25" customHeight="1">
      <c r="A2758" t="s">
        <v>761</v>
      </c>
      <c r="B2758" t="s">
        <v>10137</v>
      </c>
      <c r="C2758" t="s">
        <v>136</v>
      </c>
      <c r="D2758" t="s">
        <v>79</v>
      </c>
      <c r="E2758" t="s">
        <v>3534</v>
      </c>
      <c r="F2758" t="s">
        <v>149</v>
      </c>
      <c r="G2758" t="s">
        <v>10138</v>
      </c>
    </row>
    <row r="2759" spans="1:7" ht="44.25" customHeight="1">
      <c r="A2759" t="s">
        <v>890</v>
      </c>
      <c r="B2759" t="s">
        <v>10139</v>
      </c>
      <c r="C2759" t="s">
        <v>136</v>
      </c>
      <c r="D2759" t="s">
        <v>2257</v>
      </c>
      <c r="E2759" t="s">
        <v>3580</v>
      </c>
      <c r="F2759" t="s">
        <v>149</v>
      </c>
      <c r="G2759" t="s">
        <v>10140</v>
      </c>
    </row>
    <row r="2760" spans="1:7" ht="44.25" customHeight="1">
      <c r="A2760" t="s">
        <v>10141</v>
      </c>
      <c r="B2760" t="s">
        <v>10142</v>
      </c>
      <c r="C2760" t="s">
        <v>136</v>
      </c>
      <c r="D2760" t="s">
        <v>79</v>
      </c>
      <c r="E2760" t="s">
        <v>3482</v>
      </c>
      <c r="F2760" t="s">
        <v>149</v>
      </c>
      <c r="G2760" t="s">
        <v>10143</v>
      </c>
    </row>
    <row r="2761" spans="1:7" ht="44.25" customHeight="1">
      <c r="A2761" t="s">
        <v>10144</v>
      </c>
      <c r="B2761" t="s">
        <v>10145</v>
      </c>
      <c r="C2761" t="s">
        <v>136</v>
      </c>
      <c r="D2761" t="s">
        <v>2253</v>
      </c>
      <c r="E2761" t="s">
        <v>1432</v>
      </c>
      <c r="F2761" t="s">
        <v>149</v>
      </c>
      <c r="G2761" t="s">
        <v>10146</v>
      </c>
    </row>
    <row r="2762" spans="1:7" ht="44.25" customHeight="1">
      <c r="A2762" t="s">
        <v>10147</v>
      </c>
      <c r="B2762" t="s">
        <v>10148</v>
      </c>
      <c r="C2762" t="s">
        <v>136</v>
      </c>
      <c r="D2762" t="s">
        <v>2257</v>
      </c>
      <c r="E2762" t="s">
        <v>2276</v>
      </c>
      <c r="F2762" t="s">
        <v>149</v>
      </c>
      <c r="G2762" t="s">
        <v>10149</v>
      </c>
    </row>
    <row r="2763" spans="1:7" ht="44.25" customHeight="1">
      <c r="A2763" t="s">
        <v>10150</v>
      </c>
      <c r="B2763" t="s">
        <v>10151</v>
      </c>
      <c r="C2763" t="s">
        <v>136</v>
      </c>
      <c r="D2763" t="s">
        <v>2257</v>
      </c>
      <c r="E2763" t="s">
        <v>2276</v>
      </c>
      <c r="F2763" t="s">
        <v>149</v>
      </c>
      <c r="G2763" t="s">
        <v>10152</v>
      </c>
    </row>
    <row r="2764" spans="1:7" ht="44.25" customHeight="1">
      <c r="A2764" t="s">
        <v>1467</v>
      </c>
      <c r="B2764" t="s">
        <v>10153</v>
      </c>
      <c r="C2764" t="s">
        <v>136</v>
      </c>
      <c r="D2764" t="s">
        <v>2253</v>
      </c>
      <c r="E2764" t="s">
        <v>1432</v>
      </c>
      <c r="F2764" t="s">
        <v>149</v>
      </c>
      <c r="G2764" t="s">
        <v>10154</v>
      </c>
    </row>
    <row r="2765" spans="1:7" ht="44.25" customHeight="1">
      <c r="A2765" t="s">
        <v>983</v>
      </c>
      <c r="B2765" t="s">
        <v>10155</v>
      </c>
      <c r="C2765" t="s">
        <v>136</v>
      </c>
      <c r="D2765" t="s">
        <v>2257</v>
      </c>
      <c r="E2765" t="s">
        <v>2276</v>
      </c>
      <c r="F2765" t="s">
        <v>149</v>
      </c>
      <c r="G2765" t="s">
        <v>10156</v>
      </c>
    </row>
    <row r="2766" spans="1:7" ht="44.25" customHeight="1">
      <c r="A2766" t="s">
        <v>461</v>
      </c>
      <c r="B2766" t="s">
        <v>10157</v>
      </c>
      <c r="C2766" t="s">
        <v>136</v>
      </c>
      <c r="D2766" t="s">
        <v>2257</v>
      </c>
      <c r="E2766" t="s">
        <v>4595</v>
      </c>
      <c r="F2766" t="s">
        <v>149</v>
      </c>
      <c r="G2766" t="s">
        <v>10158</v>
      </c>
    </row>
    <row r="2767" spans="1:7" ht="44.25" customHeight="1">
      <c r="A2767" t="s">
        <v>541</v>
      </c>
      <c r="B2767" t="s">
        <v>10159</v>
      </c>
      <c r="C2767" t="s">
        <v>136</v>
      </c>
      <c r="D2767" t="s">
        <v>2257</v>
      </c>
      <c r="E2767" t="s">
        <v>4337</v>
      </c>
      <c r="F2767" t="s">
        <v>149</v>
      </c>
      <c r="G2767" t="s">
        <v>10160</v>
      </c>
    </row>
    <row r="2768" spans="1:7" ht="44.25" customHeight="1">
      <c r="A2768" t="s">
        <v>893</v>
      </c>
      <c r="B2768" t="s">
        <v>10161</v>
      </c>
      <c r="C2768" t="s">
        <v>136</v>
      </c>
      <c r="D2768" t="s">
        <v>79</v>
      </c>
      <c r="E2768" t="s">
        <v>4699</v>
      </c>
      <c r="F2768" t="s">
        <v>149</v>
      </c>
      <c r="G2768" t="s">
        <v>10162</v>
      </c>
    </row>
    <row r="2769" spans="1:7" ht="44.25" customHeight="1">
      <c r="A2769" t="s">
        <v>10163</v>
      </c>
      <c r="B2769" t="s">
        <v>10164</v>
      </c>
      <c r="C2769" t="s">
        <v>136</v>
      </c>
      <c r="D2769" t="s">
        <v>79</v>
      </c>
      <c r="E2769" t="s">
        <v>10165</v>
      </c>
      <c r="F2769" t="s">
        <v>149</v>
      </c>
      <c r="G2769" t="s">
        <v>10166</v>
      </c>
    </row>
    <row r="2770" spans="1:7" ht="44.25" customHeight="1">
      <c r="A2770" t="s">
        <v>10167</v>
      </c>
      <c r="B2770" t="s">
        <v>10168</v>
      </c>
      <c r="C2770" t="s">
        <v>136</v>
      </c>
      <c r="D2770" t="s">
        <v>79</v>
      </c>
      <c r="E2770" t="s">
        <v>10169</v>
      </c>
      <c r="F2770" t="s">
        <v>149</v>
      </c>
      <c r="G2770" t="s">
        <v>10170</v>
      </c>
    </row>
    <row r="2771" spans="1:7" ht="44.25" customHeight="1">
      <c r="A2771" t="s">
        <v>136</v>
      </c>
      <c r="B2771" t="s">
        <v>10171</v>
      </c>
      <c r="C2771" t="s">
        <v>136</v>
      </c>
      <c r="D2771" t="s">
        <v>2257</v>
      </c>
      <c r="E2771" t="s">
        <v>5691</v>
      </c>
      <c r="F2771" t="s">
        <v>149</v>
      </c>
      <c r="G2771" t="s">
        <v>10172</v>
      </c>
    </row>
    <row r="2772" spans="1:7" ht="44.25" customHeight="1">
      <c r="A2772" t="s">
        <v>136</v>
      </c>
      <c r="B2772" t="s">
        <v>10173</v>
      </c>
      <c r="C2772" t="s">
        <v>136</v>
      </c>
      <c r="D2772" t="s">
        <v>2257</v>
      </c>
      <c r="E2772" t="s">
        <v>5691</v>
      </c>
      <c r="F2772" t="s">
        <v>149</v>
      </c>
      <c r="G2772" t="s">
        <v>10174</v>
      </c>
    </row>
    <row r="2773" spans="1:7" ht="44.25" customHeight="1">
      <c r="A2773" t="s">
        <v>432</v>
      </c>
      <c r="B2773" t="s">
        <v>10175</v>
      </c>
      <c r="C2773" t="s">
        <v>136</v>
      </c>
      <c r="D2773" t="s">
        <v>79</v>
      </c>
      <c r="E2773" t="s">
        <v>1527</v>
      </c>
      <c r="F2773" t="s">
        <v>149</v>
      </c>
      <c r="G2773" t="s">
        <v>10176</v>
      </c>
    </row>
    <row r="2774" spans="1:7" ht="44.25" customHeight="1">
      <c r="A2774" t="s">
        <v>136</v>
      </c>
      <c r="B2774" t="s">
        <v>10177</v>
      </c>
      <c r="C2774" t="s">
        <v>136</v>
      </c>
      <c r="D2774" t="s">
        <v>79</v>
      </c>
      <c r="E2774" t="s">
        <v>10178</v>
      </c>
      <c r="F2774" t="s">
        <v>149</v>
      </c>
      <c r="G2774" t="s">
        <v>10179</v>
      </c>
    </row>
    <row r="2775" spans="1:7" ht="44.25" customHeight="1">
      <c r="A2775" t="s">
        <v>10180</v>
      </c>
      <c r="B2775" t="s">
        <v>10181</v>
      </c>
      <c r="C2775" t="s">
        <v>136</v>
      </c>
      <c r="D2775" t="s">
        <v>2257</v>
      </c>
      <c r="E2775" t="s">
        <v>2685</v>
      </c>
      <c r="F2775" t="s">
        <v>149</v>
      </c>
      <c r="G2775" t="s">
        <v>10182</v>
      </c>
    </row>
    <row r="2776" spans="1:7" ht="44.25" customHeight="1">
      <c r="A2776" t="s">
        <v>10183</v>
      </c>
      <c r="B2776" t="s">
        <v>10184</v>
      </c>
      <c r="C2776" t="s">
        <v>136</v>
      </c>
      <c r="D2776" t="s">
        <v>2257</v>
      </c>
      <c r="E2776" t="s">
        <v>1607</v>
      </c>
      <c r="F2776" t="s">
        <v>149</v>
      </c>
      <c r="G2776" t="s">
        <v>10185</v>
      </c>
    </row>
    <row r="2777" spans="1:7" ht="44.25" customHeight="1">
      <c r="A2777" t="s">
        <v>315</v>
      </c>
      <c r="B2777" t="s">
        <v>10186</v>
      </c>
      <c r="C2777" t="s">
        <v>136</v>
      </c>
      <c r="D2777" t="s">
        <v>2257</v>
      </c>
      <c r="E2777" t="s">
        <v>3162</v>
      </c>
      <c r="F2777" t="s">
        <v>149</v>
      </c>
      <c r="G2777" t="s">
        <v>10187</v>
      </c>
    </row>
    <row r="2778" spans="1:7" ht="44.25" customHeight="1">
      <c r="A2778" t="s">
        <v>10188</v>
      </c>
      <c r="B2778" t="s">
        <v>10189</v>
      </c>
      <c r="C2778" t="s">
        <v>136</v>
      </c>
      <c r="D2778" t="s">
        <v>2253</v>
      </c>
      <c r="E2778" t="s">
        <v>3162</v>
      </c>
      <c r="F2778" t="s">
        <v>149</v>
      </c>
      <c r="G2778" t="s">
        <v>10190</v>
      </c>
    </row>
    <row r="2779" spans="1:7" ht="44.25" customHeight="1">
      <c r="A2779" t="s">
        <v>310</v>
      </c>
      <c r="B2779" t="s">
        <v>10191</v>
      </c>
      <c r="C2779" t="s">
        <v>136</v>
      </c>
      <c r="D2779" t="s">
        <v>2257</v>
      </c>
      <c r="E2779" t="s">
        <v>3162</v>
      </c>
      <c r="F2779" t="s">
        <v>149</v>
      </c>
      <c r="G2779" t="s">
        <v>10192</v>
      </c>
    </row>
    <row r="2780" spans="1:7" ht="44.25" customHeight="1">
      <c r="A2780" t="s">
        <v>10193</v>
      </c>
      <c r="B2780" t="s">
        <v>10194</v>
      </c>
      <c r="C2780" t="s">
        <v>10195</v>
      </c>
      <c r="D2780" t="s">
        <v>2257</v>
      </c>
      <c r="E2780" t="s">
        <v>2685</v>
      </c>
      <c r="F2780" t="s">
        <v>149</v>
      </c>
      <c r="G2780" t="s">
        <v>10196</v>
      </c>
    </row>
    <row r="2781" spans="1:7" ht="44.25" customHeight="1">
      <c r="A2781" t="s">
        <v>10197</v>
      </c>
      <c r="B2781" t="s">
        <v>10198</v>
      </c>
      <c r="C2781" t="s">
        <v>136</v>
      </c>
      <c r="D2781" t="s">
        <v>79</v>
      </c>
      <c r="E2781" t="s">
        <v>10199</v>
      </c>
      <c r="F2781" t="s">
        <v>149</v>
      </c>
      <c r="G2781" t="s">
        <v>10200</v>
      </c>
    </row>
    <row r="2782" spans="1:7" ht="44.25" customHeight="1">
      <c r="A2782" t="s">
        <v>10201</v>
      </c>
      <c r="B2782" t="s">
        <v>10202</v>
      </c>
      <c r="C2782" t="s">
        <v>136</v>
      </c>
      <c r="D2782" t="s">
        <v>79</v>
      </c>
      <c r="E2782" t="s">
        <v>10203</v>
      </c>
      <c r="F2782" t="s">
        <v>149</v>
      </c>
      <c r="G2782" t="s">
        <v>10204</v>
      </c>
    </row>
    <row r="2783" spans="1:7" ht="44.25" customHeight="1">
      <c r="A2783" t="s">
        <v>10205</v>
      </c>
      <c r="B2783" t="s">
        <v>10206</v>
      </c>
      <c r="C2783" t="s">
        <v>136</v>
      </c>
      <c r="D2783" t="s">
        <v>79</v>
      </c>
      <c r="E2783" t="s">
        <v>10207</v>
      </c>
      <c r="F2783" t="s">
        <v>149</v>
      </c>
      <c r="G2783" t="s">
        <v>10208</v>
      </c>
    </row>
    <row r="2784" spans="1:7" ht="44.25" customHeight="1">
      <c r="A2784" t="s">
        <v>10209</v>
      </c>
      <c r="B2784" t="s">
        <v>10210</v>
      </c>
      <c r="C2784" t="s">
        <v>136</v>
      </c>
      <c r="D2784" t="s">
        <v>79</v>
      </c>
      <c r="E2784" t="s">
        <v>10211</v>
      </c>
      <c r="F2784" t="s">
        <v>149</v>
      </c>
      <c r="G2784" t="s">
        <v>10212</v>
      </c>
    </row>
    <row r="2785" spans="1:7" ht="44.25" customHeight="1">
      <c r="A2785" t="s">
        <v>10213</v>
      </c>
      <c r="B2785" t="s">
        <v>10214</v>
      </c>
      <c r="C2785" t="s">
        <v>136</v>
      </c>
      <c r="D2785" t="s">
        <v>2257</v>
      </c>
      <c r="E2785" t="s">
        <v>5691</v>
      </c>
      <c r="F2785" t="s">
        <v>149</v>
      </c>
      <c r="G2785" t="s">
        <v>10215</v>
      </c>
    </row>
    <row r="2786" spans="1:7" ht="44.25" customHeight="1">
      <c r="A2786" t="s">
        <v>136</v>
      </c>
      <c r="B2786" t="s">
        <v>10216</v>
      </c>
      <c r="C2786" t="s">
        <v>136</v>
      </c>
      <c r="D2786" t="s">
        <v>2257</v>
      </c>
      <c r="E2786" t="s">
        <v>10217</v>
      </c>
      <c r="F2786" t="s">
        <v>149</v>
      </c>
      <c r="G2786" t="s">
        <v>10218</v>
      </c>
    </row>
    <row r="2787" spans="1:7" ht="44.25" customHeight="1">
      <c r="A2787" t="s">
        <v>579</v>
      </c>
      <c r="B2787" t="s">
        <v>10219</v>
      </c>
      <c r="C2787" t="s">
        <v>136</v>
      </c>
      <c r="D2787" t="s">
        <v>79</v>
      </c>
      <c r="E2787" t="s">
        <v>10220</v>
      </c>
      <c r="F2787" t="s">
        <v>149</v>
      </c>
      <c r="G2787" t="s">
        <v>10221</v>
      </c>
    </row>
    <row r="2788" spans="1:7" ht="44.25" customHeight="1">
      <c r="A2788" t="s">
        <v>650</v>
      </c>
      <c r="B2788" t="s">
        <v>10222</v>
      </c>
      <c r="C2788" t="s">
        <v>136</v>
      </c>
      <c r="D2788" t="s">
        <v>79</v>
      </c>
      <c r="E2788" t="s">
        <v>10223</v>
      </c>
      <c r="F2788" t="s">
        <v>149</v>
      </c>
      <c r="G2788" t="s">
        <v>10224</v>
      </c>
    </row>
    <row r="2789" spans="1:7" ht="44.25" customHeight="1">
      <c r="A2789" t="s">
        <v>10225</v>
      </c>
      <c r="B2789" t="s">
        <v>10226</v>
      </c>
      <c r="C2789" t="s">
        <v>136</v>
      </c>
      <c r="D2789" t="s">
        <v>2257</v>
      </c>
      <c r="E2789" t="s">
        <v>1607</v>
      </c>
      <c r="F2789" t="s">
        <v>149</v>
      </c>
      <c r="G2789" t="s">
        <v>10227</v>
      </c>
    </row>
    <row r="2790" spans="1:7" ht="44.25" customHeight="1">
      <c r="A2790" t="s">
        <v>10228</v>
      </c>
      <c r="B2790" t="s">
        <v>10229</v>
      </c>
      <c r="C2790" t="s">
        <v>136</v>
      </c>
      <c r="D2790" t="s">
        <v>2257</v>
      </c>
      <c r="E2790" t="s">
        <v>1607</v>
      </c>
      <c r="F2790" t="s">
        <v>149</v>
      </c>
      <c r="G2790" t="s">
        <v>10230</v>
      </c>
    </row>
    <row r="2791" spans="1:7" ht="44.25" customHeight="1">
      <c r="A2791" t="s">
        <v>10231</v>
      </c>
      <c r="B2791" t="s">
        <v>10232</v>
      </c>
      <c r="C2791" t="s">
        <v>136</v>
      </c>
      <c r="D2791" t="s">
        <v>2257</v>
      </c>
      <c r="E2791" t="s">
        <v>2695</v>
      </c>
      <c r="F2791" t="s">
        <v>149</v>
      </c>
      <c r="G2791" t="s">
        <v>10233</v>
      </c>
    </row>
    <row r="2792" spans="1:7" ht="44.25" customHeight="1">
      <c r="A2792" t="s">
        <v>10234</v>
      </c>
      <c r="B2792" t="s">
        <v>10235</v>
      </c>
      <c r="C2792" t="s">
        <v>136</v>
      </c>
      <c r="D2792" t="s">
        <v>2257</v>
      </c>
      <c r="E2792" t="s">
        <v>1607</v>
      </c>
      <c r="F2792" t="s">
        <v>149</v>
      </c>
      <c r="G2792" t="s">
        <v>10236</v>
      </c>
    </row>
    <row r="2793" spans="1:7" ht="44.25" customHeight="1">
      <c r="A2793" t="s">
        <v>10237</v>
      </c>
      <c r="B2793" t="s">
        <v>10238</v>
      </c>
      <c r="C2793" t="s">
        <v>136</v>
      </c>
      <c r="D2793" t="s">
        <v>2257</v>
      </c>
      <c r="E2793" t="s">
        <v>1607</v>
      </c>
      <c r="F2793" t="s">
        <v>149</v>
      </c>
      <c r="G2793" t="s">
        <v>10239</v>
      </c>
    </row>
    <row r="2794" spans="1:7" ht="44.25" customHeight="1">
      <c r="A2794" t="s">
        <v>10240</v>
      </c>
      <c r="B2794" t="s">
        <v>10241</v>
      </c>
      <c r="C2794" t="s">
        <v>136</v>
      </c>
      <c r="D2794" t="s">
        <v>79</v>
      </c>
      <c r="E2794" t="s">
        <v>7009</v>
      </c>
      <c r="F2794" t="s">
        <v>149</v>
      </c>
      <c r="G2794" t="s">
        <v>10242</v>
      </c>
    </row>
    <row r="2795" spans="1:7" ht="44.25" customHeight="1">
      <c r="A2795" t="s">
        <v>10243</v>
      </c>
      <c r="B2795" t="s">
        <v>10244</v>
      </c>
      <c r="C2795" t="s">
        <v>136</v>
      </c>
      <c r="D2795" t="s">
        <v>2253</v>
      </c>
      <c r="E2795" t="s">
        <v>1432</v>
      </c>
      <c r="F2795" t="s">
        <v>149</v>
      </c>
      <c r="G2795" t="s">
        <v>10245</v>
      </c>
    </row>
    <row r="2796" spans="1:7" ht="44.25" customHeight="1">
      <c r="A2796" t="s">
        <v>1365</v>
      </c>
      <c r="B2796" t="s">
        <v>10246</v>
      </c>
      <c r="C2796" t="s">
        <v>136</v>
      </c>
      <c r="D2796" t="s">
        <v>2257</v>
      </c>
      <c r="E2796" t="s">
        <v>2276</v>
      </c>
      <c r="F2796" t="s">
        <v>149</v>
      </c>
      <c r="G2796" t="s">
        <v>10247</v>
      </c>
    </row>
    <row r="2797" spans="1:7" ht="44.25" customHeight="1">
      <c r="A2797" t="s">
        <v>1462</v>
      </c>
      <c r="B2797" t="s">
        <v>10248</v>
      </c>
      <c r="C2797" t="s">
        <v>136</v>
      </c>
      <c r="D2797" t="s">
        <v>2253</v>
      </c>
      <c r="E2797" t="s">
        <v>1432</v>
      </c>
      <c r="F2797" t="s">
        <v>149</v>
      </c>
      <c r="G2797" t="s">
        <v>10249</v>
      </c>
    </row>
    <row r="2798" spans="1:7" ht="44.25" customHeight="1">
      <c r="A2798" t="s">
        <v>531</v>
      </c>
      <c r="B2798" t="s">
        <v>10250</v>
      </c>
      <c r="C2798" t="s">
        <v>136</v>
      </c>
      <c r="D2798" t="s">
        <v>2257</v>
      </c>
      <c r="E2798" t="s">
        <v>2265</v>
      </c>
      <c r="F2798" t="s">
        <v>149</v>
      </c>
      <c r="G2798" t="s">
        <v>10251</v>
      </c>
    </row>
    <row r="2799" spans="1:7" ht="44.25" customHeight="1">
      <c r="A2799" t="s">
        <v>10252</v>
      </c>
      <c r="B2799" t="s">
        <v>10253</v>
      </c>
      <c r="C2799" t="s">
        <v>136</v>
      </c>
      <c r="D2799" t="s">
        <v>2257</v>
      </c>
      <c r="E2799" t="s">
        <v>4595</v>
      </c>
      <c r="F2799" t="s">
        <v>149</v>
      </c>
      <c r="G2799" t="s">
        <v>10254</v>
      </c>
    </row>
    <row r="2800" spans="1:7" ht="44.25" customHeight="1">
      <c r="A2800" t="s">
        <v>10255</v>
      </c>
      <c r="B2800" t="s">
        <v>10256</v>
      </c>
      <c r="C2800" t="s">
        <v>136</v>
      </c>
      <c r="D2800" t="s">
        <v>79</v>
      </c>
      <c r="E2800" t="s">
        <v>10257</v>
      </c>
      <c r="F2800" t="s">
        <v>149</v>
      </c>
      <c r="G2800" t="s">
        <v>10258</v>
      </c>
    </row>
    <row r="2801" spans="1:7" ht="44.25" customHeight="1">
      <c r="A2801" t="s">
        <v>10255</v>
      </c>
      <c r="B2801" t="s">
        <v>10256</v>
      </c>
      <c r="C2801" t="s">
        <v>136</v>
      </c>
      <c r="D2801" t="s">
        <v>79</v>
      </c>
      <c r="E2801" t="s">
        <v>10257</v>
      </c>
      <c r="F2801" t="s">
        <v>149</v>
      </c>
      <c r="G2801" t="s">
        <v>10258</v>
      </c>
    </row>
    <row r="2802" spans="1:7" ht="44.25" customHeight="1">
      <c r="A2802" t="s">
        <v>492</v>
      </c>
      <c r="B2802" t="s">
        <v>10259</v>
      </c>
      <c r="C2802" t="s">
        <v>136</v>
      </c>
      <c r="D2802" t="s">
        <v>79</v>
      </c>
      <c r="E2802" t="s">
        <v>10260</v>
      </c>
      <c r="F2802" t="s">
        <v>149</v>
      </c>
      <c r="G2802" t="s">
        <v>10261</v>
      </c>
    </row>
    <row r="2803" spans="1:7" ht="44.25" customHeight="1">
      <c r="A2803" t="s">
        <v>10262</v>
      </c>
      <c r="B2803" t="s">
        <v>10263</v>
      </c>
      <c r="C2803" t="s">
        <v>136</v>
      </c>
      <c r="D2803" t="s">
        <v>79</v>
      </c>
      <c r="E2803" t="s">
        <v>10264</v>
      </c>
      <c r="F2803" t="s">
        <v>149</v>
      </c>
      <c r="G2803" t="s">
        <v>10265</v>
      </c>
    </row>
    <row r="2804" spans="1:7" ht="44.25" customHeight="1">
      <c r="A2804" t="s">
        <v>136</v>
      </c>
      <c r="B2804" t="s">
        <v>10266</v>
      </c>
      <c r="C2804" t="s">
        <v>136</v>
      </c>
      <c r="D2804" t="s">
        <v>2257</v>
      </c>
      <c r="E2804" t="s">
        <v>5691</v>
      </c>
      <c r="F2804" t="s">
        <v>149</v>
      </c>
      <c r="G2804" t="s">
        <v>10267</v>
      </c>
    </row>
    <row r="2805" spans="1:7" ht="44.25" customHeight="1">
      <c r="A2805" t="s">
        <v>10268</v>
      </c>
      <c r="B2805" t="s">
        <v>10269</v>
      </c>
      <c r="C2805" t="s">
        <v>136</v>
      </c>
      <c r="D2805" t="s">
        <v>79</v>
      </c>
      <c r="E2805" t="s">
        <v>10270</v>
      </c>
      <c r="F2805" t="s">
        <v>149</v>
      </c>
      <c r="G2805" t="s">
        <v>10271</v>
      </c>
    </row>
    <row r="2806" spans="1:7" ht="44.25" customHeight="1">
      <c r="A2806" t="s">
        <v>645</v>
      </c>
      <c r="B2806" t="s">
        <v>10272</v>
      </c>
      <c r="C2806" t="s">
        <v>136</v>
      </c>
      <c r="D2806" t="s">
        <v>79</v>
      </c>
      <c r="E2806" t="s">
        <v>10273</v>
      </c>
      <c r="F2806" t="s">
        <v>149</v>
      </c>
      <c r="G2806" t="s">
        <v>10274</v>
      </c>
    </row>
    <row r="2807" spans="1:7" ht="44.25" customHeight="1">
      <c r="A2807" t="s">
        <v>10275</v>
      </c>
      <c r="B2807" t="s">
        <v>10276</v>
      </c>
      <c r="C2807" t="s">
        <v>136</v>
      </c>
      <c r="D2807" t="s">
        <v>2257</v>
      </c>
      <c r="E2807" t="s">
        <v>1607</v>
      </c>
      <c r="F2807" t="s">
        <v>149</v>
      </c>
      <c r="G2807" t="s">
        <v>10277</v>
      </c>
    </row>
    <row r="2808" spans="1:7" ht="44.25" customHeight="1">
      <c r="A2808" t="s">
        <v>1401</v>
      </c>
      <c r="B2808" t="s">
        <v>10278</v>
      </c>
      <c r="C2808" t="s">
        <v>136</v>
      </c>
      <c r="D2808" t="s">
        <v>2257</v>
      </c>
      <c r="E2808" t="s">
        <v>1607</v>
      </c>
      <c r="F2808" t="s">
        <v>149</v>
      </c>
      <c r="G2808" t="s">
        <v>10279</v>
      </c>
    </row>
    <row r="2809" spans="1:7" ht="44.25" customHeight="1">
      <c r="A2809" t="s">
        <v>468</v>
      </c>
      <c r="B2809" t="s">
        <v>10280</v>
      </c>
      <c r="C2809" t="s">
        <v>136</v>
      </c>
      <c r="D2809" t="s">
        <v>79</v>
      </c>
      <c r="E2809" t="s">
        <v>3689</v>
      </c>
      <c r="F2809" t="s">
        <v>149</v>
      </c>
      <c r="G2809" t="s">
        <v>10281</v>
      </c>
    </row>
    <row r="2810" spans="1:7" ht="44.25" customHeight="1">
      <c r="A2810" t="s">
        <v>10282</v>
      </c>
      <c r="B2810" t="s">
        <v>10283</v>
      </c>
      <c r="C2810" t="s">
        <v>136</v>
      </c>
      <c r="D2810" t="s">
        <v>2253</v>
      </c>
      <c r="E2810" t="s">
        <v>1432</v>
      </c>
      <c r="F2810" t="s">
        <v>149</v>
      </c>
      <c r="G2810" t="s">
        <v>10284</v>
      </c>
    </row>
    <row r="2811" spans="1:7" ht="44.25" customHeight="1">
      <c r="A2811" t="s">
        <v>10285</v>
      </c>
      <c r="B2811" t="s">
        <v>10286</v>
      </c>
      <c r="C2811" t="s">
        <v>136</v>
      </c>
      <c r="D2811" t="s">
        <v>2257</v>
      </c>
      <c r="E2811" t="s">
        <v>2276</v>
      </c>
      <c r="F2811" t="s">
        <v>149</v>
      </c>
      <c r="G2811" t="s">
        <v>10287</v>
      </c>
    </row>
    <row r="2812" spans="1:7" ht="44.25" customHeight="1">
      <c r="A2812" t="s">
        <v>10288</v>
      </c>
      <c r="B2812" t="s">
        <v>10289</v>
      </c>
      <c r="C2812" t="s">
        <v>136</v>
      </c>
      <c r="D2812" t="s">
        <v>2257</v>
      </c>
      <c r="E2812" t="s">
        <v>2276</v>
      </c>
      <c r="F2812" t="s">
        <v>149</v>
      </c>
      <c r="G2812" t="s">
        <v>10290</v>
      </c>
    </row>
    <row r="2813" spans="1:7" ht="44.25" customHeight="1">
      <c r="A2813" t="s">
        <v>849</v>
      </c>
      <c r="B2813" t="s">
        <v>10291</v>
      </c>
      <c r="C2813" t="s">
        <v>136</v>
      </c>
      <c r="D2813" t="s">
        <v>2257</v>
      </c>
      <c r="E2813" t="s">
        <v>4124</v>
      </c>
      <c r="F2813" t="s">
        <v>149</v>
      </c>
      <c r="G2813" t="s">
        <v>10292</v>
      </c>
    </row>
    <row r="2814" spans="1:7" ht="44.25" customHeight="1">
      <c r="A2814" t="s">
        <v>10293</v>
      </c>
      <c r="B2814" t="s">
        <v>10294</v>
      </c>
      <c r="C2814" t="s">
        <v>136</v>
      </c>
      <c r="D2814" t="s">
        <v>2257</v>
      </c>
      <c r="E2814" t="s">
        <v>3593</v>
      </c>
      <c r="F2814" t="s">
        <v>149</v>
      </c>
      <c r="G2814" t="s">
        <v>10295</v>
      </c>
    </row>
    <row r="2815" spans="1:7" ht="44.25" customHeight="1">
      <c r="A2815" t="s">
        <v>10293</v>
      </c>
      <c r="B2815" t="s">
        <v>10294</v>
      </c>
      <c r="C2815" t="s">
        <v>136</v>
      </c>
      <c r="D2815" t="s">
        <v>2257</v>
      </c>
      <c r="E2815" t="s">
        <v>3593</v>
      </c>
      <c r="F2815" t="s">
        <v>149</v>
      </c>
      <c r="G2815" t="s">
        <v>10295</v>
      </c>
    </row>
    <row r="2816" spans="1:7" ht="44.25" customHeight="1">
      <c r="A2816" t="s">
        <v>10296</v>
      </c>
      <c r="B2816" t="s">
        <v>10297</v>
      </c>
      <c r="C2816" t="s">
        <v>136</v>
      </c>
      <c r="D2816" t="s">
        <v>79</v>
      </c>
      <c r="E2816" t="s">
        <v>10298</v>
      </c>
      <c r="F2816" t="s">
        <v>149</v>
      </c>
      <c r="G2816" t="s">
        <v>10299</v>
      </c>
    </row>
    <row r="2817" spans="1:7" ht="44.25" customHeight="1">
      <c r="A2817" t="s">
        <v>136</v>
      </c>
      <c r="B2817" t="s">
        <v>10300</v>
      </c>
      <c r="C2817" t="s">
        <v>136</v>
      </c>
      <c r="D2817" t="s">
        <v>2257</v>
      </c>
      <c r="E2817" t="s">
        <v>5855</v>
      </c>
      <c r="F2817" t="s">
        <v>149</v>
      </c>
      <c r="G2817" t="s">
        <v>10301</v>
      </c>
    </row>
    <row r="2818" spans="1:7" ht="44.25" customHeight="1">
      <c r="A2818" t="s">
        <v>806</v>
      </c>
      <c r="B2818" t="s">
        <v>10302</v>
      </c>
      <c r="C2818" t="s">
        <v>136</v>
      </c>
      <c r="D2818" t="s">
        <v>79</v>
      </c>
      <c r="E2818" t="s">
        <v>5903</v>
      </c>
      <c r="F2818" t="s">
        <v>149</v>
      </c>
      <c r="G2818" t="s">
        <v>10303</v>
      </c>
    </row>
    <row r="2819" spans="1:7" ht="44.25" customHeight="1">
      <c r="A2819" t="s">
        <v>136</v>
      </c>
      <c r="B2819" t="s">
        <v>10304</v>
      </c>
      <c r="C2819" t="s">
        <v>136</v>
      </c>
      <c r="D2819" t="s">
        <v>2257</v>
      </c>
      <c r="E2819" t="s">
        <v>1607</v>
      </c>
      <c r="F2819" t="s">
        <v>149</v>
      </c>
      <c r="G2819" t="s">
        <v>10305</v>
      </c>
    </row>
    <row r="2820" spans="1:7" ht="44.25" customHeight="1">
      <c r="A2820" t="s">
        <v>10306</v>
      </c>
      <c r="B2820" t="s">
        <v>10307</v>
      </c>
      <c r="C2820" t="s">
        <v>136</v>
      </c>
      <c r="D2820" t="s">
        <v>2257</v>
      </c>
      <c r="E2820" t="s">
        <v>1607</v>
      </c>
      <c r="F2820" t="s">
        <v>149</v>
      </c>
      <c r="G2820" t="s">
        <v>10308</v>
      </c>
    </row>
    <row r="2821" spans="1:7" ht="44.25" customHeight="1">
      <c r="A2821" t="s">
        <v>136</v>
      </c>
      <c r="B2821" t="s">
        <v>10309</v>
      </c>
      <c r="C2821" t="s">
        <v>136</v>
      </c>
      <c r="D2821" t="s">
        <v>2257</v>
      </c>
      <c r="E2821" t="s">
        <v>2399</v>
      </c>
      <c r="F2821" t="s">
        <v>149</v>
      </c>
      <c r="G2821" t="s">
        <v>10310</v>
      </c>
    </row>
    <row r="2822" spans="1:7" ht="44.25" customHeight="1">
      <c r="A2822" t="s">
        <v>10311</v>
      </c>
      <c r="B2822" t="s">
        <v>10312</v>
      </c>
      <c r="C2822" t="s">
        <v>136</v>
      </c>
      <c r="D2822" t="s">
        <v>2257</v>
      </c>
      <c r="E2822" t="s">
        <v>1607</v>
      </c>
      <c r="F2822" t="s">
        <v>149</v>
      </c>
      <c r="G2822" t="s">
        <v>10313</v>
      </c>
    </row>
    <row r="2823" spans="1:7" ht="44.25" customHeight="1">
      <c r="A2823" t="s">
        <v>10314</v>
      </c>
      <c r="B2823" t="s">
        <v>10315</v>
      </c>
      <c r="C2823" t="s">
        <v>136</v>
      </c>
      <c r="D2823" t="s">
        <v>2257</v>
      </c>
      <c r="E2823" t="s">
        <v>3405</v>
      </c>
      <c r="F2823" t="s">
        <v>149</v>
      </c>
      <c r="G2823" t="s">
        <v>10316</v>
      </c>
    </row>
    <row r="2824" spans="1:7" ht="44.25" customHeight="1">
      <c r="A2824" t="s">
        <v>10317</v>
      </c>
      <c r="B2824" t="s">
        <v>10318</v>
      </c>
      <c r="C2824" t="s">
        <v>136</v>
      </c>
      <c r="D2824" t="s">
        <v>2253</v>
      </c>
      <c r="E2824" t="s">
        <v>1432</v>
      </c>
      <c r="F2824" t="s">
        <v>149</v>
      </c>
      <c r="G2824" t="s">
        <v>10319</v>
      </c>
    </row>
    <row r="2825" spans="1:7" ht="44.25" customHeight="1">
      <c r="A2825" t="s">
        <v>10320</v>
      </c>
      <c r="B2825" t="s">
        <v>10321</v>
      </c>
      <c r="C2825" t="s">
        <v>136</v>
      </c>
      <c r="D2825" t="s">
        <v>2257</v>
      </c>
      <c r="E2825" t="s">
        <v>2276</v>
      </c>
      <c r="F2825" t="s">
        <v>149</v>
      </c>
      <c r="G2825" t="s">
        <v>10322</v>
      </c>
    </row>
    <row r="2826" spans="1:7" ht="44.25" customHeight="1">
      <c r="A2826" t="s">
        <v>10323</v>
      </c>
      <c r="B2826" t="s">
        <v>10324</v>
      </c>
      <c r="C2826" t="s">
        <v>136</v>
      </c>
      <c r="D2826" t="s">
        <v>2253</v>
      </c>
      <c r="E2826" t="s">
        <v>1430</v>
      </c>
      <c r="F2826" t="s">
        <v>149</v>
      </c>
      <c r="G2826" t="s">
        <v>10325</v>
      </c>
    </row>
    <row r="2827" spans="1:7" ht="44.25" customHeight="1">
      <c r="A2827" t="s">
        <v>360</v>
      </c>
      <c r="B2827" t="s">
        <v>10326</v>
      </c>
      <c r="C2827" t="s">
        <v>136</v>
      </c>
      <c r="D2827" t="s">
        <v>2257</v>
      </c>
      <c r="E2827" t="s">
        <v>2276</v>
      </c>
      <c r="F2827" t="s">
        <v>149</v>
      </c>
      <c r="G2827" t="s">
        <v>10327</v>
      </c>
    </row>
    <row r="2828" spans="1:7" ht="44.25" customHeight="1">
      <c r="A2828" t="s">
        <v>1006</v>
      </c>
      <c r="B2828" t="s">
        <v>10328</v>
      </c>
      <c r="C2828" t="s">
        <v>136</v>
      </c>
      <c r="D2828" t="s">
        <v>2257</v>
      </c>
      <c r="E2828" t="s">
        <v>2276</v>
      </c>
      <c r="F2828" t="s">
        <v>149</v>
      </c>
      <c r="G2828" t="s">
        <v>10329</v>
      </c>
    </row>
    <row r="2829" spans="1:7" ht="44.25" customHeight="1">
      <c r="A2829" t="s">
        <v>532</v>
      </c>
      <c r="B2829" t="s">
        <v>10330</v>
      </c>
      <c r="C2829" t="s">
        <v>136</v>
      </c>
      <c r="D2829" t="s">
        <v>79</v>
      </c>
      <c r="E2829" t="s">
        <v>4835</v>
      </c>
      <c r="F2829" t="s">
        <v>149</v>
      </c>
      <c r="G2829" t="s">
        <v>10331</v>
      </c>
    </row>
    <row r="2830" spans="1:7" ht="44.25" customHeight="1">
      <c r="A2830" t="s">
        <v>422</v>
      </c>
      <c r="B2830" t="s">
        <v>10332</v>
      </c>
      <c r="C2830" t="s">
        <v>136</v>
      </c>
      <c r="D2830" t="s">
        <v>79</v>
      </c>
      <c r="E2830" t="s">
        <v>10333</v>
      </c>
      <c r="F2830" t="s">
        <v>149</v>
      </c>
      <c r="G2830" t="s">
        <v>10334</v>
      </c>
    </row>
    <row r="2831" spans="1:7" ht="44.25" customHeight="1">
      <c r="A2831" t="s">
        <v>10335</v>
      </c>
      <c r="B2831" t="s">
        <v>10336</v>
      </c>
      <c r="C2831" t="s">
        <v>136</v>
      </c>
      <c r="D2831" t="s">
        <v>2257</v>
      </c>
      <c r="E2831" t="s">
        <v>4595</v>
      </c>
      <c r="F2831" t="s">
        <v>149</v>
      </c>
      <c r="G2831" t="s">
        <v>10337</v>
      </c>
    </row>
    <row r="2832" spans="1:7" ht="44.25" customHeight="1">
      <c r="A2832" t="s">
        <v>10338</v>
      </c>
      <c r="B2832" t="s">
        <v>10339</v>
      </c>
      <c r="C2832" t="s">
        <v>136</v>
      </c>
      <c r="D2832" t="s">
        <v>79</v>
      </c>
      <c r="E2832" t="s">
        <v>10340</v>
      </c>
      <c r="F2832" t="s">
        <v>149</v>
      </c>
      <c r="G2832" t="s">
        <v>10341</v>
      </c>
    </row>
    <row r="2833" spans="1:7" ht="44.25" customHeight="1">
      <c r="A2833" t="s">
        <v>10338</v>
      </c>
      <c r="B2833" t="s">
        <v>10339</v>
      </c>
      <c r="C2833" t="s">
        <v>136</v>
      </c>
      <c r="D2833" t="s">
        <v>79</v>
      </c>
      <c r="E2833" t="s">
        <v>10340</v>
      </c>
      <c r="F2833" t="s">
        <v>149</v>
      </c>
      <c r="G2833" t="s">
        <v>10341</v>
      </c>
    </row>
    <row r="2834" spans="1:7" ht="44.25" customHeight="1">
      <c r="A2834" t="s">
        <v>10342</v>
      </c>
      <c r="B2834" t="s">
        <v>10343</v>
      </c>
      <c r="C2834" t="s">
        <v>136</v>
      </c>
      <c r="D2834" t="s">
        <v>79</v>
      </c>
      <c r="E2834" t="s">
        <v>10344</v>
      </c>
      <c r="F2834" t="s">
        <v>149</v>
      </c>
      <c r="G2834" t="s">
        <v>10345</v>
      </c>
    </row>
    <row r="2835" spans="1:7" ht="44.25" customHeight="1">
      <c r="A2835" t="s">
        <v>10346</v>
      </c>
      <c r="B2835" t="s">
        <v>10347</v>
      </c>
      <c r="C2835" t="s">
        <v>136</v>
      </c>
      <c r="D2835" t="s">
        <v>2257</v>
      </c>
      <c r="E2835" t="s">
        <v>6128</v>
      </c>
      <c r="F2835" t="s">
        <v>149</v>
      </c>
      <c r="G2835" t="s">
        <v>10348</v>
      </c>
    </row>
    <row r="2836" spans="1:7" ht="44.25" customHeight="1">
      <c r="A2836" t="s">
        <v>10349</v>
      </c>
      <c r="B2836" t="s">
        <v>10350</v>
      </c>
      <c r="C2836" t="s">
        <v>136</v>
      </c>
      <c r="D2836" t="s">
        <v>2257</v>
      </c>
      <c r="E2836" t="s">
        <v>2685</v>
      </c>
      <c r="F2836" t="s">
        <v>149</v>
      </c>
      <c r="G2836" t="s">
        <v>10351</v>
      </c>
    </row>
    <row r="2837" spans="1:7" ht="44.25" customHeight="1">
      <c r="A2837" t="s">
        <v>1426</v>
      </c>
      <c r="B2837" t="s">
        <v>10352</v>
      </c>
      <c r="C2837" t="s">
        <v>136</v>
      </c>
      <c r="D2837" t="s">
        <v>2257</v>
      </c>
      <c r="E2837" t="s">
        <v>1607</v>
      </c>
      <c r="F2837" t="s">
        <v>149</v>
      </c>
      <c r="G2837" t="s">
        <v>10353</v>
      </c>
    </row>
    <row r="2838" spans="1:7" ht="44.25" customHeight="1">
      <c r="A2838" t="s">
        <v>424</v>
      </c>
      <c r="B2838" t="s">
        <v>9230</v>
      </c>
      <c r="C2838" t="s">
        <v>136</v>
      </c>
      <c r="D2838" t="s">
        <v>79</v>
      </c>
      <c r="E2838" t="s">
        <v>6577</v>
      </c>
      <c r="F2838" t="s">
        <v>149</v>
      </c>
      <c r="G2838" t="s">
        <v>10354</v>
      </c>
    </row>
    <row r="2839" spans="1:7" ht="44.25" customHeight="1">
      <c r="A2839" t="s">
        <v>425</v>
      </c>
      <c r="B2839" t="s">
        <v>6576</v>
      </c>
      <c r="C2839" t="s">
        <v>136</v>
      </c>
      <c r="D2839" t="s">
        <v>79</v>
      </c>
      <c r="E2839" t="s">
        <v>6577</v>
      </c>
      <c r="F2839" t="s">
        <v>149</v>
      </c>
      <c r="G2839" t="s">
        <v>10355</v>
      </c>
    </row>
    <row r="2840" spans="1:7" ht="44.25" customHeight="1">
      <c r="A2840" t="s">
        <v>10356</v>
      </c>
      <c r="B2840" t="s">
        <v>10357</v>
      </c>
      <c r="C2840" t="s">
        <v>136</v>
      </c>
      <c r="D2840" t="s">
        <v>2253</v>
      </c>
      <c r="E2840" t="s">
        <v>1432</v>
      </c>
      <c r="F2840" t="s">
        <v>149</v>
      </c>
      <c r="G2840" t="s">
        <v>10358</v>
      </c>
    </row>
    <row r="2841" spans="1:7" ht="44.25" customHeight="1">
      <c r="A2841" t="s">
        <v>10359</v>
      </c>
      <c r="B2841" t="s">
        <v>10360</v>
      </c>
      <c r="C2841" t="s">
        <v>136</v>
      </c>
      <c r="D2841" t="s">
        <v>2257</v>
      </c>
      <c r="E2841" t="s">
        <v>2276</v>
      </c>
      <c r="F2841" t="s">
        <v>149</v>
      </c>
      <c r="G2841" t="s">
        <v>10361</v>
      </c>
    </row>
    <row r="2842" spans="1:7" ht="44.25" customHeight="1">
      <c r="A2842" t="s">
        <v>10362</v>
      </c>
      <c r="B2842" t="s">
        <v>10363</v>
      </c>
      <c r="C2842" t="s">
        <v>136</v>
      </c>
      <c r="D2842" t="s">
        <v>79</v>
      </c>
      <c r="E2842" t="s">
        <v>10364</v>
      </c>
      <c r="F2842" t="s">
        <v>149</v>
      </c>
      <c r="G2842" t="s">
        <v>10365</v>
      </c>
    </row>
    <row r="2843" spans="1:7" ht="44.25" customHeight="1">
      <c r="A2843" t="s">
        <v>10366</v>
      </c>
      <c r="B2843" t="s">
        <v>10367</v>
      </c>
      <c r="C2843" t="s">
        <v>136</v>
      </c>
      <c r="D2843" t="s">
        <v>79</v>
      </c>
      <c r="E2843" t="s">
        <v>10368</v>
      </c>
      <c r="F2843" t="s">
        <v>149</v>
      </c>
      <c r="G2843" t="s">
        <v>10369</v>
      </c>
    </row>
    <row r="2844" spans="1:7" ht="44.25" customHeight="1">
      <c r="A2844" t="s">
        <v>10370</v>
      </c>
      <c r="B2844" t="s">
        <v>10371</v>
      </c>
      <c r="C2844" t="s">
        <v>136</v>
      </c>
      <c r="D2844" t="s">
        <v>79</v>
      </c>
      <c r="E2844" t="s">
        <v>10372</v>
      </c>
      <c r="F2844" t="s">
        <v>149</v>
      </c>
      <c r="G2844" t="s">
        <v>10373</v>
      </c>
    </row>
    <row r="2845" spans="1:7" ht="44.25" customHeight="1">
      <c r="A2845" t="s">
        <v>10374</v>
      </c>
      <c r="B2845" t="s">
        <v>10375</v>
      </c>
      <c r="C2845" t="s">
        <v>136</v>
      </c>
      <c r="D2845" t="s">
        <v>79</v>
      </c>
      <c r="E2845" t="s">
        <v>10376</v>
      </c>
      <c r="F2845" t="s">
        <v>149</v>
      </c>
      <c r="G2845" t="s">
        <v>10377</v>
      </c>
    </row>
    <row r="2846" spans="1:7" ht="44.25" customHeight="1">
      <c r="A2846" t="s">
        <v>10378</v>
      </c>
      <c r="B2846" t="s">
        <v>10379</v>
      </c>
      <c r="C2846" t="s">
        <v>136</v>
      </c>
      <c r="D2846" t="s">
        <v>2257</v>
      </c>
      <c r="E2846" t="s">
        <v>7918</v>
      </c>
      <c r="F2846" t="s">
        <v>149</v>
      </c>
      <c r="G2846" t="s">
        <v>10380</v>
      </c>
    </row>
    <row r="2847" spans="1:7" ht="44.25" customHeight="1">
      <c r="A2847" t="s">
        <v>10381</v>
      </c>
      <c r="B2847" t="s">
        <v>10382</v>
      </c>
      <c r="C2847" t="s">
        <v>10383</v>
      </c>
      <c r="D2847" t="s">
        <v>2257</v>
      </c>
      <c r="E2847" t="s">
        <v>2685</v>
      </c>
      <c r="F2847" t="s">
        <v>149</v>
      </c>
      <c r="G2847" t="s">
        <v>10384</v>
      </c>
    </row>
    <row r="2848" spans="1:7" ht="44.25" customHeight="1">
      <c r="A2848" t="s">
        <v>10385</v>
      </c>
      <c r="B2848" t="s">
        <v>10386</v>
      </c>
      <c r="C2848" t="s">
        <v>10387</v>
      </c>
      <c r="D2848" t="s">
        <v>2257</v>
      </c>
      <c r="E2848" t="s">
        <v>2685</v>
      </c>
      <c r="F2848" t="s">
        <v>149</v>
      </c>
      <c r="G2848" t="s">
        <v>10388</v>
      </c>
    </row>
    <row r="2849" spans="1:7" ht="44.25" customHeight="1">
      <c r="A2849" t="s">
        <v>10389</v>
      </c>
      <c r="B2849" t="s">
        <v>10390</v>
      </c>
      <c r="C2849" t="s">
        <v>10391</v>
      </c>
      <c r="D2849" t="s">
        <v>2257</v>
      </c>
      <c r="E2849" t="s">
        <v>1607</v>
      </c>
      <c r="F2849" t="s">
        <v>149</v>
      </c>
      <c r="G2849" t="s">
        <v>10392</v>
      </c>
    </row>
    <row r="2850" spans="1:7" ht="44.25" customHeight="1">
      <c r="A2850" t="s">
        <v>9817</v>
      </c>
      <c r="B2850" t="s">
        <v>9818</v>
      </c>
      <c r="C2850" t="s">
        <v>136</v>
      </c>
      <c r="D2850" t="s">
        <v>79</v>
      </c>
      <c r="E2850" t="s">
        <v>6733</v>
      </c>
      <c r="F2850" t="s">
        <v>149</v>
      </c>
      <c r="G2850" t="s">
        <v>10393</v>
      </c>
    </row>
    <row r="2851" spans="1:7" ht="44.25" customHeight="1">
      <c r="A2851" t="s">
        <v>10394</v>
      </c>
      <c r="B2851" t="s">
        <v>10395</v>
      </c>
      <c r="C2851" t="s">
        <v>136</v>
      </c>
      <c r="D2851" t="s">
        <v>2253</v>
      </c>
      <c r="E2851" t="s">
        <v>1432</v>
      </c>
      <c r="F2851" t="s">
        <v>149</v>
      </c>
      <c r="G2851" t="s">
        <v>10396</v>
      </c>
    </row>
    <row r="2852" spans="1:7" ht="44.25" customHeight="1">
      <c r="A2852" t="s">
        <v>10397</v>
      </c>
      <c r="B2852" t="s">
        <v>10398</v>
      </c>
      <c r="C2852" t="s">
        <v>136</v>
      </c>
      <c r="D2852" t="s">
        <v>2253</v>
      </c>
      <c r="E2852" t="s">
        <v>1432</v>
      </c>
      <c r="F2852" t="s">
        <v>149</v>
      </c>
      <c r="G2852" t="s">
        <v>10399</v>
      </c>
    </row>
    <row r="2853" spans="1:7" ht="44.25" customHeight="1">
      <c r="A2853" t="s">
        <v>10400</v>
      </c>
      <c r="B2853" t="s">
        <v>10401</v>
      </c>
      <c r="C2853" t="s">
        <v>136</v>
      </c>
      <c r="D2853" t="s">
        <v>2257</v>
      </c>
      <c r="E2853" t="s">
        <v>2276</v>
      </c>
      <c r="F2853" t="s">
        <v>149</v>
      </c>
      <c r="G2853" t="s">
        <v>10402</v>
      </c>
    </row>
    <row r="2854" spans="1:7" ht="44.25" customHeight="1">
      <c r="A2854" t="s">
        <v>354</v>
      </c>
      <c r="B2854" t="s">
        <v>10403</v>
      </c>
      <c r="C2854" t="s">
        <v>136</v>
      </c>
      <c r="D2854" t="s">
        <v>2257</v>
      </c>
      <c r="E2854" t="s">
        <v>2276</v>
      </c>
      <c r="F2854" t="s">
        <v>149</v>
      </c>
      <c r="G2854" t="s">
        <v>10404</v>
      </c>
    </row>
    <row r="2855" spans="1:7" ht="44.25" customHeight="1">
      <c r="A2855" t="s">
        <v>1001</v>
      </c>
      <c r="B2855" t="s">
        <v>10405</v>
      </c>
      <c r="C2855" t="s">
        <v>136</v>
      </c>
      <c r="D2855" t="s">
        <v>2257</v>
      </c>
      <c r="E2855" t="s">
        <v>2276</v>
      </c>
      <c r="F2855" t="s">
        <v>149</v>
      </c>
      <c r="G2855" t="s">
        <v>10406</v>
      </c>
    </row>
    <row r="2856" spans="1:7" ht="44.25" customHeight="1">
      <c r="A2856" t="s">
        <v>676</v>
      </c>
      <c r="B2856" t="s">
        <v>10407</v>
      </c>
      <c r="C2856" t="s">
        <v>136</v>
      </c>
      <c r="D2856" t="s">
        <v>2257</v>
      </c>
      <c r="E2856" t="s">
        <v>2314</v>
      </c>
      <c r="F2856" t="s">
        <v>149</v>
      </c>
      <c r="G2856" t="s">
        <v>10408</v>
      </c>
    </row>
    <row r="2857" spans="1:7" ht="44.25" customHeight="1">
      <c r="A2857" t="s">
        <v>528</v>
      </c>
      <c r="B2857" t="s">
        <v>10409</v>
      </c>
      <c r="C2857" t="s">
        <v>136</v>
      </c>
      <c r="D2857" t="s">
        <v>2257</v>
      </c>
      <c r="E2857" t="s">
        <v>2265</v>
      </c>
      <c r="F2857" t="s">
        <v>149</v>
      </c>
      <c r="G2857" t="s">
        <v>10410</v>
      </c>
    </row>
    <row r="2858" spans="1:7" ht="44.25" customHeight="1">
      <c r="A2858" t="s">
        <v>509</v>
      </c>
      <c r="B2858" t="s">
        <v>10411</v>
      </c>
      <c r="C2858" t="s">
        <v>136</v>
      </c>
      <c r="D2858" t="s">
        <v>79</v>
      </c>
      <c r="E2858" t="s">
        <v>2258</v>
      </c>
      <c r="F2858" t="s">
        <v>149</v>
      </c>
      <c r="G2858" t="s">
        <v>10412</v>
      </c>
    </row>
    <row r="2859" spans="1:7" ht="44.25" customHeight="1">
      <c r="A2859" t="s">
        <v>400</v>
      </c>
      <c r="B2859" t="s">
        <v>10413</v>
      </c>
      <c r="C2859" t="s">
        <v>136</v>
      </c>
      <c r="D2859" t="s">
        <v>2253</v>
      </c>
      <c r="E2859" t="s">
        <v>2258</v>
      </c>
      <c r="F2859" t="s">
        <v>149</v>
      </c>
      <c r="G2859" t="s">
        <v>10414</v>
      </c>
    </row>
    <row r="2860" spans="1:7" ht="44.25" customHeight="1">
      <c r="A2860" t="s">
        <v>758</v>
      </c>
      <c r="B2860" t="s">
        <v>10415</v>
      </c>
      <c r="C2860" t="s">
        <v>136</v>
      </c>
      <c r="D2860" t="s">
        <v>2257</v>
      </c>
      <c r="E2860" t="s">
        <v>2269</v>
      </c>
      <c r="F2860" t="s">
        <v>149</v>
      </c>
      <c r="G2860" t="s">
        <v>10416</v>
      </c>
    </row>
    <row r="2861" spans="1:7" ht="44.25" customHeight="1">
      <c r="A2861" t="s">
        <v>447</v>
      </c>
      <c r="B2861" t="s">
        <v>10417</v>
      </c>
      <c r="C2861" t="s">
        <v>136</v>
      </c>
      <c r="D2861" t="s">
        <v>2257</v>
      </c>
      <c r="E2861" t="s">
        <v>4827</v>
      </c>
      <c r="F2861" t="s">
        <v>149</v>
      </c>
      <c r="G2861" t="s">
        <v>10418</v>
      </c>
    </row>
    <row r="2862" spans="1:7" ht="44.25" customHeight="1">
      <c r="A2862" t="s">
        <v>10419</v>
      </c>
      <c r="B2862" t="s">
        <v>10420</v>
      </c>
      <c r="C2862" t="s">
        <v>136</v>
      </c>
      <c r="D2862" t="s">
        <v>79</v>
      </c>
      <c r="E2862" t="s">
        <v>10421</v>
      </c>
      <c r="F2862" t="s">
        <v>149</v>
      </c>
      <c r="G2862" t="s">
        <v>10422</v>
      </c>
    </row>
    <row r="2863" spans="1:7" ht="44.25" customHeight="1">
      <c r="A2863" t="s">
        <v>10423</v>
      </c>
      <c r="B2863" t="s">
        <v>10424</v>
      </c>
      <c r="C2863" t="s">
        <v>136</v>
      </c>
      <c r="D2863" t="s">
        <v>79</v>
      </c>
      <c r="E2863" t="s">
        <v>10425</v>
      </c>
      <c r="F2863" t="s">
        <v>149</v>
      </c>
      <c r="G2863" t="s">
        <v>10426</v>
      </c>
    </row>
    <row r="2864" spans="1:7" ht="44.25" customHeight="1">
      <c r="A2864" t="s">
        <v>10427</v>
      </c>
      <c r="B2864" t="s">
        <v>10428</v>
      </c>
      <c r="C2864" t="s">
        <v>136</v>
      </c>
      <c r="D2864" t="s">
        <v>79</v>
      </c>
      <c r="E2864" t="s">
        <v>10429</v>
      </c>
      <c r="F2864" t="s">
        <v>149</v>
      </c>
      <c r="G2864" t="s">
        <v>10430</v>
      </c>
    </row>
    <row r="2865" spans="1:7" ht="44.25" customHeight="1">
      <c r="A2865" t="s">
        <v>10431</v>
      </c>
      <c r="B2865" t="s">
        <v>10432</v>
      </c>
      <c r="C2865" t="s">
        <v>136</v>
      </c>
      <c r="D2865" t="s">
        <v>79</v>
      </c>
      <c r="E2865" t="s">
        <v>10433</v>
      </c>
      <c r="F2865" t="s">
        <v>149</v>
      </c>
      <c r="G2865" t="s">
        <v>10434</v>
      </c>
    </row>
    <row r="2866" spans="1:7" ht="44.25" customHeight="1">
      <c r="A2866" t="s">
        <v>10435</v>
      </c>
      <c r="B2866" t="s">
        <v>10436</v>
      </c>
      <c r="C2866" t="s">
        <v>136</v>
      </c>
      <c r="D2866" t="s">
        <v>79</v>
      </c>
      <c r="E2866" t="s">
        <v>10437</v>
      </c>
      <c r="F2866" t="s">
        <v>149</v>
      </c>
      <c r="G2866" t="s">
        <v>10438</v>
      </c>
    </row>
    <row r="2867" spans="1:7" ht="44.25" customHeight="1">
      <c r="A2867" t="s">
        <v>10439</v>
      </c>
      <c r="B2867" t="s">
        <v>10440</v>
      </c>
      <c r="C2867" t="s">
        <v>136</v>
      </c>
      <c r="D2867" t="s">
        <v>2257</v>
      </c>
      <c r="E2867" t="s">
        <v>2276</v>
      </c>
      <c r="F2867" t="s">
        <v>149</v>
      </c>
      <c r="G2867" t="s">
        <v>10441</v>
      </c>
    </row>
    <row r="2868" spans="1:7" ht="44.25" customHeight="1">
      <c r="A2868" t="s">
        <v>575</v>
      </c>
      <c r="B2868" t="s">
        <v>10442</v>
      </c>
      <c r="C2868" t="s">
        <v>136</v>
      </c>
      <c r="D2868" t="s">
        <v>79</v>
      </c>
      <c r="E2868" t="s">
        <v>8643</v>
      </c>
      <c r="F2868" t="s">
        <v>149</v>
      </c>
      <c r="G2868" t="s">
        <v>10443</v>
      </c>
    </row>
    <row r="2869" spans="1:7" ht="44.25" customHeight="1">
      <c r="A2869" t="s">
        <v>10444</v>
      </c>
      <c r="B2869" t="s">
        <v>10445</v>
      </c>
      <c r="C2869" t="s">
        <v>136</v>
      </c>
      <c r="D2869" t="s">
        <v>79</v>
      </c>
      <c r="E2869" t="s">
        <v>10446</v>
      </c>
      <c r="F2869" t="s">
        <v>149</v>
      </c>
      <c r="G2869" t="s">
        <v>10447</v>
      </c>
    </row>
    <row r="2870" spans="1:7" ht="44.25" customHeight="1">
      <c r="A2870" t="s">
        <v>10448</v>
      </c>
      <c r="B2870" t="s">
        <v>10449</v>
      </c>
      <c r="C2870" t="s">
        <v>136</v>
      </c>
      <c r="D2870" t="s">
        <v>79</v>
      </c>
      <c r="E2870" t="s">
        <v>10450</v>
      </c>
      <c r="F2870" t="s">
        <v>149</v>
      </c>
      <c r="G2870" t="s">
        <v>10451</v>
      </c>
    </row>
    <row r="2871" spans="1:7" ht="44.25" customHeight="1">
      <c r="A2871" t="s">
        <v>10452</v>
      </c>
      <c r="B2871" t="s">
        <v>10453</v>
      </c>
      <c r="C2871" t="s">
        <v>136</v>
      </c>
      <c r="D2871" t="s">
        <v>79</v>
      </c>
      <c r="E2871" t="s">
        <v>10454</v>
      </c>
      <c r="F2871" t="s">
        <v>149</v>
      </c>
      <c r="G2871" t="s">
        <v>10455</v>
      </c>
    </row>
    <row r="2872" spans="1:7" ht="44.25" customHeight="1">
      <c r="A2872" t="s">
        <v>10456</v>
      </c>
      <c r="B2872" t="s">
        <v>10457</v>
      </c>
      <c r="C2872" t="s">
        <v>136</v>
      </c>
      <c r="D2872" t="s">
        <v>79</v>
      </c>
      <c r="E2872" t="s">
        <v>8806</v>
      </c>
      <c r="F2872" t="s">
        <v>149</v>
      </c>
      <c r="G2872" t="s">
        <v>10458</v>
      </c>
    </row>
    <row r="2873" spans="1:7" ht="44.25" customHeight="1">
      <c r="A2873" t="s">
        <v>10459</v>
      </c>
      <c r="B2873" t="s">
        <v>10460</v>
      </c>
      <c r="C2873" t="s">
        <v>136</v>
      </c>
      <c r="D2873" t="s">
        <v>79</v>
      </c>
      <c r="E2873" t="s">
        <v>10461</v>
      </c>
      <c r="F2873" t="s">
        <v>149</v>
      </c>
      <c r="G2873" t="s">
        <v>10462</v>
      </c>
    </row>
    <row r="2874" spans="1:7" ht="44.25" customHeight="1">
      <c r="A2874" t="s">
        <v>10463</v>
      </c>
      <c r="B2874" t="s">
        <v>10464</v>
      </c>
      <c r="C2874" t="s">
        <v>136</v>
      </c>
      <c r="D2874" t="s">
        <v>79</v>
      </c>
      <c r="E2874" t="s">
        <v>10465</v>
      </c>
      <c r="F2874" t="s">
        <v>149</v>
      </c>
      <c r="G2874" t="s">
        <v>10466</v>
      </c>
    </row>
    <row r="2875" spans="1:7" ht="44.25" customHeight="1">
      <c r="A2875" t="s">
        <v>10467</v>
      </c>
      <c r="B2875" t="s">
        <v>10468</v>
      </c>
      <c r="C2875" t="s">
        <v>136</v>
      </c>
      <c r="D2875" t="s">
        <v>79</v>
      </c>
      <c r="E2875" t="s">
        <v>10469</v>
      </c>
      <c r="F2875" t="s">
        <v>149</v>
      </c>
      <c r="G2875" t="s">
        <v>10470</v>
      </c>
    </row>
    <row r="2876" spans="1:7" ht="44.25" customHeight="1">
      <c r="A2876" t="s">
        <v>10471</v>
      </c>
      <c r="B2876" t="s">
        <v>10472</v>
      </c>
      <c r="C2876" t="s">
        <v>136</v>
      </c>
      <c r="D2876" t="s">
        <v>79</v>
      </c>
      <c r="E2876" t="s">
        <v>10473</v>
      </c>
      <c r="F2876" t="s">
        <v>149</v>
      </c>
      <c r="G2876" t="s">
        <v>10474</v>
      </c>
    </row>
    <row r="2877" spans="1:7" ht="44.25" customHeight="1">
      <c r="A2877" t="s">
        <v>10475</v>
      </c>
      <c r="B2877" t="s">
        <v>10476</v>
      </c>
      <c r="C2877" t="s">
        <v>136</v>
      </c>
      <c r="D2877" t="s">
        <v>79</v>
      </c>
      <c r="E2877" t="s">
        <v>10477</v>
      </c>
      <c r="F2877" t="s">
        <v>149</v>
      </c>
      <c r="G2877" t="s">
        <v>10478</v>
      </c>
    </row>
    <row r="2878" spans="1:7" ht="44.25" customHeight="1">
      <c r="A2878" t="s">
        <v>10479</v>
      </c>
      <c r="B2878" t="s">
        <v>10480</v>
      </c>
      <c r="C2878" t="s">
        <v>136</v>
      </c>
      <c r="D2878" t="s">
        <v>79</v>
      </c>
      <c r="E2878" t="s">
        <v>10481</v>
      </c>
      <c r="F2878" t="s">
        <v>149</v>
      </c>
      <c r="G2878" t="s">
        <v>10482</v>
      </c>
    </row>
    <row r="2879" spans="1:7" ht="44.25" customHeight="1">
      <c r="A2879" t="s">
        <v>10483</v>
      </c>
      <c r="B2879" t="s">
        <v>10484</v>
      </c>
      <c r="C2879" t="s">
        <v>136</v>
      </c>
      <c r="D2879" t="s">
        <v>79</v>
      </c>
      <c r="E2879" t="s">
        <v>10485</v>
      </c>
      <c r="F2879" t="s">
        <v>149</v>
      </c>
      <c r="G2879" t="s">
        <v>10486</v>
      </c>
    </row>
    <row r="2880" spans="1:7" ht="44.25" customHeight="1">
      <c r="A2880" t="s">
        <v>10487</v>
      </c>
      <c r="B2880" t="s">
        <v>10488</v>
      </c>
      <c r="C2880" t="s">
        <v>136</v>
      </c>
      <c r="D2880" t="s">
        <v>79</v>
      </c>
      <c r="E2880" t="s">
        <v>10489</v>
      </c>
      <c r="F2880" t="s">
        <v>149</v>
      </c>
      <c r="G2880" t="s">
        <v>10490</v>
      </c>
    </row>
    <row r="2881" spans="1:7" ht="44.25" customHeight="1">
      <c r="A2881" t="s">
        <v>10491</v>
      </c>
      <c r="B2881" t="s">
        <v>10492</v>
      </c>
      <c r="C2881" t="s">
        <v>136</v>
      </c>
      <c r="D2881" t="s">
        <v>79</v>
      </c>
      <c r="E2881" t="s">
        <v>10493</v>
      </c>
      <c r="F2881" t="s">
        <v>149</v>
      </c>
      <c r="G2881" t="s">
        <v>10494</v>
      </c>
    </row>
    <row r="2882" spans="1:7" ht="44.25" customHeight="1">
      <c r="A2882" t="s">
        <v>10495</v>
      </c>
      <c r="B2882" t="s">
        <v>10496</v>
      </c>
      <c r="C2882" t="s">
        <v>136</v>
      </c>
      <c r="D2882" t="s">
        <v>2257</v>
      </c>
      <c r="E2882" t="s">
        <v>5691</v>
      </c>
      <c r="F2882" t="s">
        <v>149</v>
      </c>
      <c r="G2882" t="s">
        <v>10497</v>
      </c>
    </row>
    <row r="2883" spans="1:7" ht="44.25" customHeight="1">
      <c r="A2883" t="s">
        <v>136</v>
      </c>
      <c r="B2883" t="s">
        <v>10498</v>
      </c>
      <c r="C2883" t="s">
        <v>136</v>
      </c>
      <c r="D2883" t="s">
        <v>2257</v>
      </c>
      <c r="E2883" t="s">
        <v>10217</v>
      </c>
      <c r="F2883" t="s">
        <v>149</v>
      </c>
      <c r="G2883" t="s">
        <v>10499</v>
      </c>
    </row>
    <row r="2884" spans="1:7" ht="44.25" customHeight="1">
      <c r="A2884" t="s">
        <v>10500</v>
      </c>
      <c r="B2884" t="s">
        <v>10501</v>
      </c>
      <c r="C2884" t="s">
        <v>136</v>
      </c>
      <c r="D2884" t="s">
        <v>79</v>
      </c>
      <c r="E2884" t="s">
        <v>7160</v>
      </c>
      <c r="F2884" t="s">
        <v>149</v>
      </c>
      <c r="G2884" t="s">
        <v>10502</v>
      </c>
    </row>
    <row r="2885" spans="1:7" ht="44.25" customHeight="1">
      <c r="A2885" t="s">
        <v>10503</v>
      </c>
      <c r="B2885" t="s">
        <v>10504</v>
      </c>
      <c r="C2885" t="s">
        <v>136</v>
      </c>
      <c r="D2885" t="s">
        <v>2257</v>
      </c>
      <c r="E2885" t="s">
        <v>1607</v>
      </c>
      <c r="F2885" t="s">
        <v>149</v>
      </c>
      <c r="G2885" t="s">
        <v>10505</v>
      </c>
    </row>
    <row r="2886" spans="1:7" ht="44.25" customHeight="1">
      <c r="A2886" t="s">
        <v>10506</v>
      </c>
      <c r="B2886" t="s">
        <v>10507</v>
      </c>
      <c r="C2886" t="s">
        <v>136</v>
      </c>
      <c r="D2886" t="s">
        <v>2257</v>
      </c>
      <c r="E2886" t="s">
        <v>1607</v>
      </c>
      <c r="F2886" t="s">
        <v>149</v>
      </c>
      <c r="G2886" t="s">
        <v>10508</v>
      </c>
    </row>
    <row r="2887" spans="1:7" ht="44.25" customHeight="1">
      <c r="A2887" t="s">
        <v>10509</v>
      </c>
      <c r="B2887" t="s">
        <v>10510</v>
      </c>
      <c r="C2887" t="s">
        <v>10511</v>
      </c>
      <c r="D2887" t="s">
        <v>2257</v>
      </c>
      <c r="E2887" t="s">
        <v>2685</v>
      </c>
      <c r="F2887" t="s">
        <v>149</v>
      </c>
      <c r="G2887" t="s">
        <v>10512</v>
      </c>
    </row>
    <row r="2888" spans="1:7" ht="44.25" customHeight="1">
      <c r="A2888" t="s">
        <v>10513</v>
      </c>
      <c r="B2888" t="s">
        <v>10514</v>
      </c>
      <c r="C2888" t="s">
        <v>136</v>
      </c>
      <c r="D2888" t="s">
        <v>2253</v>
      </c>
      <c r="E2888" t="s">
        <v>1432</v>
      </c>
      <c r="F2888" t="s">
        <v>149</v>
      </c>
      <c r="G2888" t="s">
        <v>10515</v>
      </c>
    </row>
    <row r="2889" spans="1:7" ht="44.25" customHeight="1">
      <c r="A2889" t="s">
        <v>10516</v>
      </c>
      <c r="B2889" t="s">
        <v>10517</v>
      </c>
      <c r="C2889" t="s">
        <v>136</v>
      </c>
      <c r="D2889" t="s">
        <v>2257</v>
      </c>
      <c r="E2889" t="s">
        <v>1430</v>
      </c>
      <c r="F2889" t="s">
        <v>149</v>
      </c>
      <c r="G2889" t="s">
        <v>10518</v>
      </c>
    </row>
    <row r="2890" spans="1:7" ht="44.25" customHeight="1">
      <c r="A2890" t="s">
        <v>303</v>
      </c>
      <c r="B2890" t="s">
        <v>10519</v>
      </c>
      <c r="C2890" t="s">
        <v>136</v>
      </c>
      <c r="D2890" t="s">
        <v>2257</v>
      </c>
      <c r="E2890" t="s">
        <v>2276</v>
      </c>
      <c r="F2890" t="s">
        <v>149</v>
      </c>
      <c r="G2890" t="s">
        <v>10520</v>
      </c>
    </row>
    <row r="2891" spans="1:7" ht="44.25" customHeight="1">
      <c r="A2891" t="s">
        <v>1621</v>
      </c>
      <c r="B2891" t="s">
        <v>10521</v>
      </c>
      <c r="C2891" t="s">
        <v>136</v>
      </c>
      <c r="D2891" t="s">
        <v>2257</v>
      </c>
      <c r="E2891" t="s">
        <v>2276</v>
      </c>
      <c r="F2891" t="s">
        <v>149</v>
      </c>
      <c r="G2891" t="s">
        <v>10522</v>
      </c>
    </row>
    <row r="2892" spans="1:7" ht="44.25" customHeight="1">
      <c r="A2892" t="s">
        <v>745</v>
      </c>
      <c r="B2892" t="s">
        <v>10523</v>
      </c>
      <c r="C2892" t="s">
        <v>136</v>
      </c>
      <c r="D2892" t="s">
        <v>79</v>
      </c>
      <c r="E2892" t="s">
        <v>2269</v>
      </c>
      <c r="F2892" t="s">
        <v>149</v>
      </c>
      <c r="G2892" t="s">
        <v>10524</v>
      </c>
    </row>
    <row r="2893" spans="1:7" ht="44.25" customHeight="1">
      <c r="A2893" t="s">
        <v>1041</v>
      </c>
      <c r="B2893" t="s">
        <v>10525</v>
      </c>
      <c r="C2893" t="s">
        <v>136</v>
      </c>
      <c r="D2893" t="s">
        <v>2257</v>
      </c>
      <c r="E2893" t="s">
        <v>4699</v>
      </c>
      <c r="F2893" t="s">
        <v>149</v>
      </c>
      <c r="G2893" t="s">
        <v>10526</v>
      </c>
    </row>
    <row r="2894" spans="1:7" ht="44.25" customHeight="1">
      <c r="A2894" t="s">
        <v>888</v>
      </c>
      <c r="B2894" t="s">
        <v>10527</v>
      </c>
      <c r="C2894" t="s">
        <v>136</v>
      </c>
      <c r="D2894" t="s">
        <v>2257</v>
      </c>
      <c r="E2894" t="s">
        <v>3580</v>
      </c>
      <c r="F2894" t="s">
        <v>149</v>
      </c>
      <c r="G2894" t="s">
        <v>10528</v>
      </c>
    </row>
    <row r="2895" spans="1:7" ht="44.25" customHeight="1">
      <c r="A2895" t="s">
        <v>10529</v>
      </c>
      <c r="B2895" t="s">
        <v>10530</v>
      </c>
      <c r="C2895" t="s">
        <v>136</v>
      </c>
      <c r="D2895" t="s">
        <v>79</v>
      </c>
      <c r="E2895" t="s">
        <v>10531</v>
      </c>
      <c r="F2895" t="s">
        <v>149</v>
      </c>
      <c r="G2895" t="s">
        <v>10532</v>
      </c>
    </row>
    <row r="2896" spans="1:7" ht="44.25" customHeight="1">
      <c r="A2896" t="s">
        <v>10533</v>
      </c>
      <c r="B2896" t="s">
        <v>10534</v>
      </c>
      <c r="C2896" t="s">
        <v>136</v>
      </c>
      <c r="D2896" t="s">
        <v>79</v>
      </c>
      <c r="E2896" t="s">
        <v>10535</v>
      </c>
      <c r="F2896" t="s">
        <v>149</v>
      </c>
      <c r="G2896" t="s">
        <v>10536</v>
      </c>
    </row>
    <row r="2897" spans="1:7" ht="44.25" customHeight="1">
      <c r="A2897" t="s">
        <v>10537</v>
      </c>
      <c r="B2897" t="s">
        <v>10538</v>
      </c>
      <c r="C2897" t="s">
        <v>136</v>
      </c>
      <c r="D2897" t="s">
        <v>79</v>
      </c>
      <c r="E2897" t="s">
        <v>10539</v>
      </c>
      <c r="F2897" t="s">
        <v>149</v>
      </c>
      <c r="G2897" t="s">
        <v>10540</v>
      </c>
    </row>
    <row r="2898" spans="1:7" ht="44.25" customHeight="1">
      <c r="A2898" t="s">
        <v>10541</v>
      </c>
      <c r="B2898" t="s">
        <v>10542</v>
      </c>
      <c r="C2898" t="s">
        <v>136</v>
      </c>
      <c r="D2898" t="s">
        <v>79</v>
      </c>
      <c r="E2898" t="s">
        <v>10543</v>
      </c>
      <c r="F2898" t="s">
        <v>149</v>
      </c>
      <c r="G2898" t="s">
        <v>10544</v>
      </c>
    </row>
    <row r="2899" spans="1:7" ht="44.25" customHeight="1">
      <c r="A2899" t="s">
        <v>10545</v>
      </c>
      <c r="B2899" t="s">
        <v>10546</v>
      </c>
      <c r="C2899" t="s">
        <v>136</v>
      </c>
      <c r="D2899" t="s">
        <v>79</v>
      </c>
      <c r="E2899" t="s">
        <v>10547</v>
      </c>
      <c r="F2899" t="s">
        <v>149</v>
      </c>
      <c r="G2899" t="s">
        <v>10548</v>
      </c>
    </row>
    <row r="2900" spans="1:7" ht="44.25" customHeight="1">
      <c r="A2900" t="s">
        <v>10549</v>
      </c>
      <c r="B2900" t="s">
        <v>10550</v>
      </c>
      <c r="C2900" t="s">
        <v>136</v>
      </c>
      <c r="D2900" t="s">
        <v>79</v>
      </c>
      <c r="E2900" t="s">
        <v>10551</v>
      </c>
      <c r="F2900" t="s">
        <v>149</v>
      </c>
      <c r="G2900" t="s">
        <v>10552</v>
      </c>
    </row>
    <row r="2901" spans="1:7" ht="44.25" customHeight="1">
      <c r="A2901" t="s">
        <v>10553</v>
      </c>
      <c r="B2901" t="s">
        <v>10554</v>
      </c>
      <c r="C2901" t="s">
        <v>136</v>
      </c>
      <c r="D2901" t="s">
        <v>2257</v>
      </c>
      <c r="E2901" t="s">
        <v>5684</v>
      </c>
      <c r="F2901" t="s">
        <v>149</v>
      </c>
      <c r="G2901" t="s">
        <v>10555</v>
      </c>
    </row>
    <row r="2902" spans="1:7" ht="44.25" customHeight="1">
      <c r="A2902" t="s">
        <v>10556</v>
      </c>
      <c r="B2902" t="s">
        <v>10557</v>
      </c>
      <c r="C2902" t="s">
        <v>136</v>
      </c>
      <c r="D2902" t="s">
        <v>2257</v>
      </c>
      <c r="E2902" t="s">
        <v>1607</v>
      </c>
      <c r="F2902" t="s">
        <v>149</v>
      </c>
      <c r="G2902" t="s">
        <v>10558</v>
      </c>
    </row>
    <row r="2903" spans="1:7" ht="44.25" customHeight="1">
      <c r="A2903" t="s">
        <v>10559</v>
      </c>
      <c r="B2903" t="s">
        <v>10560</v>
      </c>
      <c r="C2903" t="s">
        <v>10561</v>
      </c>
      <c r="D2903" t="s">
        <v>2257</v>
      </c>
      <c r="E2903" t="s">
        <v>1503</v>
      </c>
      <c r="F2903" t="s">
        <v>149</v>
      </c>
      <c r="G2903" t="s">
        <v>10562</v>
      </c>
    </row>
    <row r="2904" spans="1:7" ht="44.25" customHeight="1">
      <c r="A2904" t="s">
        <v>1420</v>
      </c>
      <c r="B2904" t="s">
        <v>10563</v>
      </c>
      <c r="C2904" t="s">
        <v>136</v>
      </c>
      <c r="D2904" t="s">
        <v>2257</v>
      </c>
      <c r="E2904" t="s">
        <v>1607</v>
      </c>
      <c r="F2904" t="s">
        <v>149</v>
      </c>
      <c r="G2904" t="s">
        <v>10564</v>
      </c>
    </row>
    <row r="2905" spans="1:7" ht="44.25" customHeight="1">
      <c r="A2905" t="s">
        <v>10565</v>
      </c>
      <c r="B2905" t="s">
        <v>10566</v>
      </c>
      <c r="C2905" t="s">
        <v>136</v>
      </c>
      <c r="D2905" t="s">
        <v>79</v>
      </c>
      <c r="E2905" t="s">
        <v>4177</v>
      </c>
      <c r="F2905" t="s">
        <v>149</v>
      </c>
      <c r="G2905" t="s">
        <v>10567</v>
      </c>
    </row>
    <row r="2906" spans="1:7" ht="44.25" customHeight="1">
      <c r="A2906" t="s">
        <v>10568</v>
      </c>
      <c r="B2906" t="s">
        <v>10569</v>
      </c>
      <c r="C2906" t="s">
        <v>136</v>
      </c>
      <c r="D2906" t="s">
        <v>2253</v>
      </c>
      <c r="E2906" t="s">
        <v>1430</v>
      </c>
      <c r="F2906" t="s">
        <v>149</v>
      </c>
      <c r="G2906" t="s">
        <v>10570</v>
      </c>
    </row>
    <row r="2907" spans="1:7" ht="44.25" customHeight="1">
      <c r="A2907" t="s">
        <v>10571</v>
      </c>
      <c r="B2907" t="s">
        <v>10572</v>
      </c>
      <c r="C2907" t="s">
        <v>136</v>
      </c>
      <c r="D2907" t="s">
        <v>2253</v>
      </c>
      <c r="E2907" t="s">
        <v>1432</v>
      </c>
      <c r="F2907" t="s">
        <v>149</v>
      </c>
      <c r="G2907" t="s">
        <v>10573</v>
      </c>
    </row>
    <row r="2908" spans="1:7" ht="44.25" customHeight="1">
      <c r="A2908" t="s">
        <v>921</v>
      </c>
      <c r="B2908" t="s">
        <v>10574</v>
      </c>
      <c r="C2908" t="s">
        <v>136</v>
      </c>
      <c r="D2908" t="s">
        <v>79</v>
      </c>
      <c r="E2908" t="s">
        <v>10575</v>
      </c>
      <c r="F2908" t="s">
        <v>149</v>
      </c>
      <c r="G2908" t="s">
        <v>10576</v>
      </c>
    </row>
    <row r="2909" spans="1:7" ht="44.25" customHeight="1">
      <c r="A2909" t="s">
        <v>10577</v>
      </c>
      <c r="B2909" t="s">
        <v>10578</v>
      </c>
      <c r="C2909" t="s">
        <v>136</v>
      </c>
      <c r="D2909" t="s">
        <v>79</v>
      </c>
      <c r="E2909" t="s">
        <v>10579</v>
      </c>
      <c r="F2909" t="s">
        <v>149</v>
      </c>
      <c r="G2909" t="s">
        <v>10580</v>
      </c>
    </row>
    <row r="2910" spans="1:7" ht="44.25" customHeight="1">
      <c r="A2910" t="s">
        <v>601</v>
      </c>
      <c r="B2910" t="s">
        <v>10581</v>
      </c>
      <c r="C2910" t="s">
        <v>136</v>
      </c>
      <c r="D2910" t="s">
        <v>79</v>
      </c>
      <c r="E2910" t="s">
        <v>10582</v>
      </c>
      <c r="F2910" t="s">
        <v>149</v>
      </c>
      <c r="G2910" t="s">
        <v>10583</v>
      </c>
    </row>
    <row r="2911" spans="1:7" ht="44.25" customHeight="1">
      <c r="A2911" t="s">
        <v>10584</v>
      </c>
      <c r="B2911" t="s">
        <v>10585</v>
      </c>
      <c r="C2911" t="s">
        <v>136</v>
      </c>
      <c r="D2911" t="s">
        <v>79</v>
      </c>
      <c r="E2911" t="s">
        <v>10586</v>
      </c>
      <c r="F2911" t="s">
        <v>149</v>
      </c>
      <c r="G2911" t="s">
        <v>10587</v>
      </c>
    </row>
    <row r="2912" spans="1:7" ht="44.25" customHeight="1">
      <c r="A2912" t="s">
        <v>10588</v>
      </c>
      <c r="B2912" t="s">
        <v>10589</v>
      </c>
      <c r="C2912" t="s">
        <v>136</v>
      </c>
      <c r="D2912" t="s">
        <v>79</v>
      </c>
      <c r="E2912" t="s">
        <v>10590</v>
      </c>
      <c r="F2912" t="s">
        <v>149</v>
      </c>
      <c r="G2912" t="s">
        <v>10591</v>
      </c>
    </row>
    <row r="2913" spans="1:7" ht="44.25" customHeight="1">
      <c r="A2913" t="s">
        <v>10592</v>
      </c>
      <c r="B2913" t="s">
        <v>10593</v>
      </c>
      <c r="C2913" t="s">
        <v>136</v>
      </c>
      <c r="D2913" t="s">
        <v>2257</v>
      </c>
      <c r="E2913" t="s">
        <v>1607</v>
      </c>
      <c r="F2913" t="s">
        <v>149</v>
      </c>
      <c r="G2913" t="s">
        <v>10594</v>
      </c>
    </row>
    <row r="2914" spans="1:7" ht="44.25" customHeight="1">
      <c r="A2914" t="s">
        <v>10595</v>
      </c>
      <c r="B2914" t="s">
        <v>10596</v>
      </c>
      <c r="C2914" t="s">
        <v>136</v>
      </c>
      <c r="D2914" t="s">
        <v>2257</v>
      </c>
      <c r="E2914" t="s">
        <v>1607</v>
      </c>
      <c r="F2914" t="s">
        <v>149</v>
      </c>
      <c r="G2914" t="s">
        <v>10597</v>
      </c>
    </row>
    <row r="2915" spans="1:7" ht="44.25" customHeight="1">
      <c r="A2915" t="s">
        <v>680</v>
      </c>
      <c r="B2915" t="s">
        <v>10598</v>
      </c>
      <c r="C2915" t="s">
        <v>136</v>
      </c>
      <c r="D2915" t="s">
        <v>79</v>
      </c>
      <c r="E2915" t="s">
        <v>3427</v>
      </c>
      <c r="F2915" t="s">
        <v>149</v>
      </c>
      <c r="G2915" t="s">
        <v>10599</v>
      </c>
    </row>
    <row r="2916" spans="1:7" ht="44.25" customHeight="1">
      <c r="A2916" t="s">
        <v>10600</v>
      </c>
      <c r="B2916" t="s">
        <v>10601</v>
      </c>
      <c r="C2916" t="s">
        <v>136</v>
      </c>
      <c r="D2916" t="s">
        <v>79</v>
      </c>
      <c r="E2916" t="s">
        <v>3478</v>
      </c>
      <c r="F2916" t="s">
        <v>149</v>
      </c>
      <c r="G2916" t="s">
        <v>10602</v>
      </c>
    </row>
    <row r="2917" spans="1:7" ht="44.25" customHeight="1">
      <c r="A2917" t="s">
        <v>10603</v>
      </c>
      <c r="B2917" t="s">
        <v>10604</v>
      </c>
      <c r="C2917" t="s">
        <v>136</v>
      </c>
      <c r="D2917" t="s">
        <v>79</v>
      </c>
      <c r="E2917" t="s">
        <v>1592</v>
      </c>
      <c r="F2917" t="s">
        <v>149</v>
      </c>
      <c r="G2917" t="s">
        <v>10605</v>
      </c>
    </row>
    <row r="2918" spans="1:7" ht="44.25" customHeight="1">
      <c r="A2918" t="s">
        <v>10606</v>
      </c>
      <c r="B2918" t="s">
        <v>10607</v>
      </c>
      <c r="C2918" t="s">
        <v>136</v>
      </c>
      <c r="D2918" t="s">
        <v>79</v>
      </c>
      <c r="E2918" t="s">
        <v>4753</v>
      </c>
      <c r="F2918" t="s">
        <v>149</v>
      </c>
      <c r="G2918" t="s">
        <v>10608</v>
      </c>
    </row>
    <row r="2919" spans="1:7" ht="44.25" customHeight="1">
      <c r="A2919" t="s">
        <v>10609</v>
      </c>
      <c r="B2919" t="s">
        <v>10610</v>
      </c>
      <c r="C2919" t="s">
        <v>136</v>
      </c>
      <c r="D2919" t="s">
        <v>2253</v>
      </c>
      <c r="E2919" t="s">
        <v>1432</v>
      </c>
      <c r="F2919" t="s">
        <v>149</v>
      </c>
      <c r="G2919" t="s">
        <v>10611</v>
      </c>
    </row>
    <row r="2920" spans="1:7" ht="44.25" customHeight="1">
      <c r="A2920" t="s">
        <v>10612</v>
      </c>
      <c r="B2920" t="s">
        <v>10613</v>
      </c>
      <c r="C2920" t="s">
        <v>10614</v>
      </c>
      <c r="D2920" t="s">
        <v>79</v>
      </c>
      <c r="E2920" t="s">
        <v>4511</v>
      </c>
      <c r="F2920" t="s">
        <v>149</v>
      </c>
      <c r="G2920" t="s">
        <v>10615</v>
      </c>
    </row>
    <row r="2921" spans="1:7" ht="44.25" customHeight="1">
      <c r="A2921" t="s">
        <v>10616</v>
      </c>
      <c r="B2921" t="s">
        <v>10617</v>
      </c>
      <c r="C2921" t="s">
        <v>136</v>
      </c>
      <c r="D2921" t="s">
        <v>79</v>
      </c>
      <c r="E2921" t="s">
        <v>10618</v>
      </c>
      <c r="F2921" t="s">
        <v>149</v>
      </c>
      <c r="G2921" t="s">
        <v>10619</v>
      </c>
    </row>
    <row r="2922" spans="1:7" ht="44.25" customHeight="1">
      <c r="A2922" t="s">
        <v>10620</v>
      </c>
      <c r="B2922" t="s">
        <v>10621</v>
      </c>
      <c r="C2922" t="s">
        <v>136</v>
      </c>
      <c r="D2922" t="s">
        <v>79</v>
      </c>
      <c r="E2922" t="s">
        <v>10622</v>
      </c>
      <c r="F2922" t="s">
        <v>149</v>
      </c>
      <c r="G2922" t="s">
        <v>10623</v>
      </c>
    </row>
    <row r="2923" spans="1:7" ht="44.25" customHeight="1">
      <c r="A2923" t="s">
        <v>10624</v>
      </c>
      <c r="B2923" t="s">
        <v>10625</v>
      </c>
      <c r="C2923" t="s">
        <v>136</v>
      </c>
      <c r="D2923" t="s">
        <v>79</v>
      </c>
      <c r="E2923" t="s">
        <v>10626</v>
      </c>
      <c r="F2923" t="s">
        <v>149</v>
      </c>
      <c r="G2923" t="s">
        <v>10627</v>
      </c>
    </row>
    <row r="2924" spans="1:7" ht="44.25" customHeight="1">
      <c r="A2924" t="s">
        <v>10624</v>
      </c>
      <c r="B2924" t="s">
        <v>10625</v>
      </c>
      <c r="C2924" t="s">
        <v>136</v>
      </c>
      <c r="D2924" t="s">
        <v>79</v>
      </c>
      <c r="E2924" t="s">
        <v>10626</v>
      </c>
      <c r="F2924" t="s">
        <v>149</v>
      </c>
      <c r="G2924" t="s">
        <v>10627</v>
      </c>
    </row>
    <row r="2925" spans="1:7" ht="44.25" customHeight="1">
      <c r="A2925" t="s">
        <v>10628</v>
      </c>
      <c r="B2925" t="s">
        <v>10629</v>
      </c>
      <c r="C2925" t="s">
        <v>136</v>
      </c>
      <c r="D2925" t="s">
        <v>79</v>
      </c>
      <c r="E2925" t="s">
        <v>10630</v>
      </c>
      <c r="F2925" t="s">
        <v>149</v>
      </c>
      <c r="G2925" t="s">
        <v>10631</v>
      </c>
    </row>
    <row r="2926" spans="1:7" ht="44.25" customHeight="1">
      <c r="A2926" t="s">
        <v>10632</v>
      </c>
      <c r="B2926" t="s">
        <v>10633</v>
      </c>
      <c r="C2926" t="s">
        <v>136</v>
      </c>
      <c r="D2926" t="s">
        <v>2257</v>
      </c>
      <c r="E2926" t="s">
        <v>5684</v>
      </c>
      <c r="F2926" t="s">
        <v>149</v>
      </c>
      <c r="G2926" t="s">
        <v>10634</v>
      </c>
    </row>
    <row r="2927" spans="1:7" ht="44.25" customHeight="1">
      <c r="A2927" t="s">
        <v>10635</v>
      </c>
      <c r="B2927" t="s">
        <v>10636</v>
      </c>
      <c r="C2927" t="s">
        <v>136</v>
      </c>
      <c r="D2927" t="s">
        <v>2257</v>
      </c>
      <c r="E2927" t="s">
        <v>6128</v>
      </c>
      <c r="F2927" t="s">
        <v>149</v>
      </c>
      <c r="G2927" t="s">
        <v>10637</v>
      </c>
    </row>
    <row r="2928" spans="1:7" ht="44.25" customHeight="1">
      <c r="A2928" t="s">
        <v>136</v>
      </c>
      <c r="B2928" t="s">
        <v>10638</v>
      </c>
      <c r="C2928" t="s">
        <v>136</v>
      </c>
      <c r="D2928" t="s">
        <v>2257</v>
      </c>
      <c r="E2928" t="s">
        <v>1607</v>
      </c>
      <c r="F2928" t="s">
        <v>149</v>
      </c>
      <c r="G2928" t="s">
        <v>10639</v>
      </c>
    </row>
    <row r="2929" spans="1:7" ht="44.25" customHeight="1">
      <c r="A2929" t="s">
        <v>10640</v>
      </c>
      <c r="B2929" t="s">
        <v>10641</v>
      </c>
      <c r="C2929" t="s">
        <v>136</v>
      </c>
      <c r="D2929" t="s">
        <v>2257</v>
      </c>
      <c r="E2929" t="s">
        <v>2399</v>
      </c>
      <c r="F2929" t="s">
        <v>149</v>
      </c>
      <c r="G2929" t="s">
        <v>10642</v>
      </c>
    </row>
    <row r="2930" spans="1:7" ht="44.25" customHeight="1">
      <c r="A2930" t="s">
        <v>10643</v>
      </c>
      <c r="B2930" t="s">
        <v>10644</v>
      </c>
      <c r="C2930" t="s">
        <v>136</v>
      </c>
      <c r="D2930" t="s">
        <v>2257</v>
      </c>
      <c r="E2930" t="s">
        <v>1607</v>
      </c>
      <c r="F2930" t="s">
        <v>149</v>
      </c>
      <c r="G2930" t="s">
        <v>10645</v>
      </c>
    </row>
    <row r="2931" spans="1:7" ht="44.25" customHeight="1">
      <c r="A2931" t="s">
        <v>1411</v>
      </c>
      <c r="B2931" t="s">
        <v>10646</v>
      </c>
      <c r="C2931" t="s">
        <v>136</v>
      </c>
      <c r="D2931" t="s">
        <v>2257</v>
      </c>
      <c r="E2931" t="s">
        <v>1607</v>
      </c>
      <c r="F2931" t="s">
        <v>149</v>
      </c>
      <c r="G2931" t="s">
        <v>10647</v>
      </c>
    </row>
    <row r="2932" spans="1:7" ht="44.25" customHeight="1">
      <c r="A2932" t="s">
        <v>307</v>
      </c>
      <c r="B2932" t="s">
        <v>10648</v>
      </c>
      <c r="C2932" t="s">
        <v>136</v>
      </c>
      <c r="D2932" t="s">
        <v>2257</v>
      </c>
      <c r="E2932" t="s">
        <v>3162</v>
      </c>
      <c r="F2932" t="s">
        <v>149</v>
      </c>
      <c r="G2932" t="s">
        <v>10649</v>
      </c>
    </row>
    <row r="2933" spans="1:7" ht="44.25" customHeight="1">
      <c r="A2933" t="s">
        <v>10650</v>
      </c>
      <c r="B2933" t="s">
        <v>10651</v>
      </c>
      <c r="C2933" t="s">
        <v>136</v>
      </c>
      <c r="D2933" t="s">
        <v>2253</v>
      </c>
      <c r="E2933" t="s">
        <v>1430</v>
      </c>
      <c r="F2933" t="s">
        <v>149</v>
      </c>
      <c r="G2933" t="s">
        <v>10652</v>
      </c>
    </row>
    <row r="2934" spans="1:7" ht="44.25" customHeight="1">
      <c r="A2934" t="s">
        <v>10653</v>
      </c>
      <c r="B2934" t="s">
        <v>10654</v>
      </c>
      <c r="C2934" t="s">
        <v>136</v>
      </c>
      <c r="D2934" t="s">
        <v>2257</v>
      </c>
      <c r="E2934" t="s">
        <v>2276</v>
      </c>
      <c r="F2934" t="s">
        <v>149</v>
      </c>
      <c r="G2934" t="s">
        <v>10655</v>
      </c>
    </row>
    <row r="2935" spans="1:7" ht="44.25" customHeight="1">
      <c r="A2935" t="s">
        <v>810</v>
      </c>
      <c r="B2935" t="s">
        <v>10656</v>
      </c>
      <c r="C2935" t="s">
        <v>136</v>
      </c>
      <c r="D2935" t="s">
        <v>2257</v>
      </c>
      <c r="E2935" t="s">
        <v>2276</v>
      </c>
      <c r="F2935" t="s">
        <v>149</v>
      </c>
      <c r="G2935" t="s">
        <v>10657</v>
      </c>
    </row>
    <row r="2936" spans="1:7" ht="44.25" customHeight="1">
      <c r="A2936" t="s">
        <v>10658</v>
      </c>
      <c r="B2936" t="s">
        <v>10659</v>
      </c>
      <c r="C2936" t="s">
        <v>136</v>
      </c>
      <c r="D2936" t="s">
        <v>79</v>
      </c>
      <c r="E2936" t="s">
        <v>4536</v>
      </c>
      <c r="F2936" t="s">
        <v>149</v>
      </c>
      <c r="G2936" t="s">
        <v>10660</v>
      </c>
    </row>
    <row r="2937" spans="1:7" ht="44.25" customHeight="1">
      <c r="A2937" t="s">
        <v>684</v>
      </c>
      <c r="B2937" t="s">
        <v>10661</v>
      </c>
      <c r="C2937" t="s">
        <v>136</v>
      </c>
      <c r="D2937" t="s">
        <v>79</v>
      </c>
      <c r="E2937" t="s">
        <v>10662</v>
      </c>
      <c r="F2937" t="s">
        <v>149</v>
      </c>
      <c r="G2937" t="s">
        <v>10663</v>
      </c>
    </row>
    <row r="2938" spans="1:7" ht="44.25" customHeight="1">
      <c r="A2938" t="s">
        <v>502</v>
      </c>
      <c r="B2938" t="s">
        <v>10664</v>
      </c>
      <c r="C2938" t="s">
        <v>136</v>
      </c>
      <c r="D2938" t="s">
        <v>79</v>
      </c>
      <c r="E2938" t="s">
        <v>10665</v>
      </c>
      <c r="F2938" t="s">
        <v>149</v>
      </c>
      <c r="G2938" t="s">
        <v>10666</v>
      </c>
    </row>
    <row r="2939" spans="1:7" ht="44.25" customHeight="1">
      <c r="A2939" t="s">
        <v>10667</v>
      </c>
      <c r="B2939" t="s">
        <v>10668</v>
      </c>
      <c r="C2939" t="s">
        <v>136</v>
      </c>
      <c r="D2939" t="s">
        <v>2257</v>
      </c>
      <c r="E2939" t="s">
        <v>4595</v>
      </c>
      <c r="F2939" t="s">
        <v>149</v>
      </c>
      <c r="G2939" t="s">
        <v>10669</v>
      </c>
    </row>
    <row r="2940" spans="1:7" ht="44.25" customHeight="1">
      <c r="A2940" t="s">
        <v>10670</v>
      </c>
      <c r="B2940" t="s">
        <v>10671</v>
      </c>
      <c r="C2940" t="s">
        <v>136</v>
      </c>
      <c r="D2940" t="s">
        <v>79</v>
      </c>
      <c r="E2940" t="s">
        <v>10672</v>
      </c>
      <c r="F2940" t="s">
        <v>149</v>
      </c>
      <c r="G2940" t="s">
        <v>10673</v>
      </c>
    </row>
    <row r="2941" spans="1:7" ht="44.25" customHeight="1">
      <c r="A2941" t="s">
        <v>10674</v>
      </c>
      <c r="B2941" t="s">
        <v>10675</v>
      </c>
      <c r="C2941" t="s">
        <v>136</v>
      </c>
      <c r="D2941" t="s">
        <v>79</v>
      </c>
      <c r="E2941" t="s">
        <v>10676</v>
      </c>
      <c r="F2941" t="s">
        <v>149</v>
      </c>
      <c r="G2941" t="s">
        <v>10677</v>
      </c>
    </row>
    <row r="2942" spans="1:7" ht="44.25" customHeight="1">
      <c r="A2942" t="s">
        <v>10678</v>
      </c>
      <c r="B2942" t="s">
        <v>10679</v>
      </c>
      <c r="C2942" t="s">
        <v>136</v>
      </c>
      <c r="D2942" t="s">
        <v>2257</v>
      </c>
      <c r="E2942" t="s">
        <v>5684</v>
      </c>
      <c r="F2942" t="s">
        <v>149</v>
      </c>
      <c r="G2942" t="s">
        <v>10680</v>
      </c>
    </row>
    <row r="2943" spans="1:7" ht="44.25" customHeight="1">
      <c r="A2943" t="s">
        <v>136</v>
      </c>
      <c r="B2943" t="s">
        <v>10681</v>
      </c>
      <c r="C2943" t="s">
        <v>136</v>
      </c>
      <c r="D2943" t="s">
        <v>2257</v>
      </c>
      <c r="E2943" t="s">
        <v>6805</v>
      </c>
      <c r="F2943" t="s">
        <v>149</v>
      </c>
      <c r="G2943" t="s">
        <v>10682</v>
      </c>
    </row>
    <row r="2944" spans="1:7" ht="44.25" customHeight="1">
      <c r="A2944" t="s">
        <v>656</v>
      </c>
      <c r="B2944" t="s">
        <v>10683</v>
      </c>
      <c r="C2944" t="s">
        <v>136</v>
      </c>
      <c r="D2944" t="s">
        <v>79</v>
      </c>
      <c r="E2944" t="s">
        <v>5950</v>
      </c>
      <c r="F2944" t="s">
        <v>149</v>
      </c>
      <c r="G2944" t="s">
        <v>10684</v>
      </c>
    </row>
    <row r="2945" spans="1:7" ht="44.25" customHeight="1">
      <c r="A2945" t="s">
        <v>10685</v>
      </c>
      <c r="B2945" t="s">
        <v>10686</v>
      </c>
      <c r="C2945" t="s">
        <v>136</v>
      </c>
      <c r="D2945" t="s">
        <v>2257</v>
      </c>
      <c r="E2945" t="s">
        <v>1607</v>
      </c>
      <c r="F2945" t="s">
        <v>149</v>
      </c>
      <c r="G2945" t="s">
        <v>10687</v>
      </c>
    </row>
    <row r="2946" spans="1:7" ht="44.25" customHeight="1">
      <c r="A2946" t="s">
        <v>10688</v>
      </c>
      <c r="B2946" t="s">
        <v>10689</v>
      </c>
      <c r="C2946" t="s">
        <v>136</v>
      </c>
      <c r="D2946" t="s">
        <v>2257</v>
      </c>
      <c r="E2946" t="s">
        <v>1607</v>
      </c>
      <c r="F2946" t="s">
        <v>149</v>
      </c>
      <c r="G2946" t="s">
        <v>10690</v>
      </c>
    </row>
    <row r="2947" spans="1:7" ht="44.25" customHeight="1">
      <c r="A2947" t="s">
        <v>10691</v>
      </c>
      <c r="B2947" t="s">
        <v>10692</v>
      </c>
      <c r="C2947" t="s">
        <v>10693</v>
      </c>
      <c r="D2947" t="s">
        <v>79</v>
      </c>
      <c r="E2947" t="s">
        <v>8147</v>
      </c>
      <c r="F2947" t="s">
        <v>149</v>
      </c>
      <c r="G2947" t="s">
        <v>10694</v>
      </c>
    </row>
    <row r="2948" spans="1:7" ht="44.25" customHeight="1">
      <c r="A2948" t="s">
        <v>10695</v>
      </c>
      <c r="B2948" t="s">
        <v>10696</v>
      </c>
      <c r="C2948" t="s">
        <v>136</v>
      </c>
      <c r="D2948" t="s">
        <v>2257</v>
      </c>
      <c r="E2948" t="s">
        <v>1607</v>
      </c>
      <c r="F2948" t="s">
        <v>149</v>
      </c>
      <c r="G2948" t="s">
        <v>10697</v>
      </c>
    </row>
    <row r="2949" spans="1:7" ht="44.25" customHeight="1">
      <c r="A2949" t="s">
        <v>759</v>
      </c>
      <c r="B2949" t="s">
        <v>10698</v>
      </c>
      <c r="C2949" t="s">
        <v>136</v>
      </c>
      <c r="D2949" t="s">
        <v>79</v>
      </c>
      <c r="E2949" t="s">
        <v>3402</v>
      </c>
      <c r="F2949" t="s">
        <v>149</v>
      </c>
      <c r="G2949" t="s">
        <v>10699</v>
      </c>
    </row>
    <row r="2950" spans="1:7" ht="44.25" customHeight="1">
      <c r="A2950" t="s">
        <v>759</v>
      </c>
      <c r="B2950" t="s">
        <v>10698</v>
      </c>
      <c r="C2950" t="s">
        <v>136</v>
      </c>
      <c r="D2950" t="s">
        <v>79</v>
      </c>
      <c r="E2950" t="s">
        <v>3402</v>
      </c>
      <c r="F2950" t="s">
        <v>149</v>
      </c>
      <c r="G2950" t="s">
        <v>10699</v>
      </c>
    </row>
    <row r="2951" spans="1:7" ht="44.25" customHeight="1">
      <c r="A2951" t="s">
        <v>10700</v>
      </c>
      <c r="B2951" t="s">
        <v>10701</v>
      </c>
      <c r="C2951" t="s">
        <v>136</v>
      </c>
      <c r="D2951" t="s">
        <v>2257</v>
      </c>
      <c r="E2951" t="s">
        <v>2269</v>
      </c>
      <c r="F2951" t="s">
        <v>149</v>
      </c>
      <c r="G2951" t="s">
        <v>10702</v>
      </c>
    </row>
    <row r="2952" spans="1:7" ht="44.25" customHeight="1">
      <c r="A2952" t="s">
        <v>10703</v>
      </c>
      <c r="B2952" t="s">
        <v>10704</v>
      </c>
      <c r="C2952" t="s">
        <v>136</v>
      </c>
      <c r="D2952" t="s">
        <v>2257</v>
      </c>
      <c r="E2952" t="s">
        <v>2276</v>
      </c>
      <c r="F2952" t="s">
        <v>149</v>
      </c>
      <c r="G2952" t="s">
        <v>10705</v>
      </c>
    </row>
    <row r="2953" spans="1:7" ht="44.25" customHeight="1">
      <c r="A2953" t="s">
        <v>10706</v>
      </c>
      <c r="B2953" t="s">
        <v>10707</v>
      </c>
      <c r="C2953" t="s">
        <v>136</v>
      </c>
      <c r="D2953" t="s">
        <v>2253</v>
      </c>
      <c r="E2953" t="s">
        <v>1432</v>
      </c>
      <c r="F2953" t="s">
        <v>149</v>
      </c>
      <c r="G2953" t="s">
        <v>10708</v>
      </c>
    </row>
    <row r="2954" spans="1:7" ht="44.25" customHeight="1">
      <c r="A2954" t="s">
        <v>1346</v>
      </c>
      <c r="B2954" t="s">
        <v>10709</v>
      </c>
      <c r="C2954" t="s">
        <v>136</v>
      </c>
      <c r="D2954" t="s">
        <v>2257</v>
      </c>
      <c r="E2954" t="s">
        <v>2276</v>
      </c>
      <c r="F2954" t="s">
        <v>149</v>
      </c>
      <c r="G2954" t="s">
        <v>10710</v>
      </c>
    </row>
    <row r="2955" spans="1:7" ht="44.25" customHeight="1">
      <c r="A2955" t="s">
        <v>1384</v>
      </c>
      <c r="B2955" t="s">
        <v>10711</v>
      </c>
      <c r="C2955" t="s">
        <v>136</v>
      </c>
      <c r="D2955" t="s">
        <v>2253</v>
      </c>
      <c r="E2955" t="s">
        <v>1432</v>
      </c>
      <c r="F2955" t="s">
        <v>149</v>
      </c>
      <c r="G2955" t="s">
        <v>10712</v>
      </c>
    </row>
    <row r="2956" spans="1:7" ht="44.25" customHeight="1">
      <c r="A2956" t="s">
        <v>960</v>
      </c>
      <c r="B2956" t="s">
        <v>10713</v>
      </c>
      <c r="C2956" t="s">
        <v>136</v>
      </c>
      <c r="D2956" t="s">
        <v>2257</v>
      </c>
      <c r="E2956" t="s">
        <v>2276</v>
      </c>
      <c r="F2956" t="s">
        <v>149</v>
      </c>
      <c r="G2956" t="s">
        <v>10714</v>
      </c>
    </row>
    <row r="2957" spans="1:7" ht="44.25" customHeight="1">
      <c r="A2957" t="s">
        <v>602</v>
      </c>
      <c r="B2957" t="s">
        <v>10715</v>
      </c>
      <c r="C2957" t="s">
        <v>136</v>
      </c>
      <c r="D2957" t="s">
        <v>79</v>
      </c>
      <c r="E2957" t="s">
        <v>7413</v>
      </c>
      <c r="F2957" t="s">
        <v>149</v>
      </c>
      <c r="G2957" t="s">
        <v>10716</v>
      </c>
    </row>
    <row r="2958" spans="1:7" ht="44.25" customHeight="1">
      <c r="A2958" t="s">
        <v>10717</v>
      </c>
      <c r="B2958" t="s">
        <v>10718</v>
      </c>
      <c r="C2958" t="s">
        <v>10719</v>
      </c>
      <c r="D2958" t="s">
        <v>79</v>
      </c>
      <c r="E2958" t="s">
        <v>3703</v>
      </c>
      <c r="F2958" t="s">
        <v>149</v>
      </c>
      <c r="G2958" t="s">
        <v>10720</v>
      </c>
    </row>
    <row r="2959" spans="1:7" ht="44.25" customHeight="1">
      <c r="A2959" t="s">
        <v>10721</v>
      </c>
      <c r="B2959" t="s">
        <v>10722</v>
      </c>
      <c r="C2959" t="s">
        <v>136</v>
      </c>
      <c r="D2959" t="s">
        <v>79</v>
      </c>
      <c r="E2959" t="s">
        <v>10723</v>
      </c>
      <c r="F2959" t="s">
        <v>149</v>
      </c>
      <c r="G2959" t="s">
        <v>10724</v>
      </c>
    </row>
    <row r="2960" spans="1:7" ht="44.25" customHeight="1">
      <c r="A2960" t="s">
        <v>10725</v>
      </c>
      <c r="B2960" t="s">
        <v>10726</v>
      </c>
      <c r="C2960" t="s">
        <v>136</v>
      </c>
      <c r="D2960" t="s">
        <v>79</v>
      </c>
      <c r="E2960" t="s">
        <v>9884</v>
      </c>
      <c r="F2960" t="s">
        <v>149</v>
      </c>
      <c r="G2960" t="s">
        <v>10727</v>
      </c>
    </row>
    <row r="2961" spans="1:7" ht="44.25" customHeight="1">
      <c r="A2961" t="s">
        <v>10728</v>
      </c>
      <c r="B2961" t="s">
        <v>10729</v>
      </c>
      <c r="C2961" t="s">
        <v>136</v>
      </c>
      <c r="D2961" t="s">
        <v>79</v>
      </c>
      <c r="E2961" t="s">
        <v>10730</v>
      </c>
      <c r="F2961" t="s">
        <v>149</v>
      </c>
      <c r="G2961" t="s">
        <v>10731</v>
      </c>
    </row>
    <row r="2962" spans="1:7" ht="44.25" customHeight="1">
      <c r="A2962" t="s">
        <v>10732</v>
      </c>
      <c r="B2962" t="s">
        <v>10733</v>
      </c>
      <c r="C2962" t="s">
        <v>136</v>
      </c>
      <c r="D2962" t="s">
        <v>79</v>
      </c>
      <c r="E2962" t="s">
        <v>10734</v>
      </c>
      <c r="F2962" t="s">
        <v>149</v>
      </c>
      <c r="G2962" t="s">
        <v>10735</v>
      </c>
    </row>
    <row r="2963" spans="1:7" ht="44.25" customHeight="1">
      <c r="A2963" t="s">
        <v>548</v>
      </c>
      <c r="B2963" t="s">
        <v>10736</v>
      </c>
      <c r="C2963" t="s">
        <v>136</v>
      </c>
      <c r="D2963" t="s">
        <v>79</v>
      </c>
      <c r="E2963" t="s">
        <v>10737</v>
      </c>
      <c r="F2963" t="s">
        <v>149</v>
      </c>
      <c r="G2963" t="s">
        <v>10738</v>
      </c>
    </row>
    <row r="2964" spans="1:7" ht="44.25" customHeight="1">
      <c r="A2964" t="s">
        <v>136</v>
      </c>
      <c r="B2964" t="s">
        <v>10739</v>
      </c>
      <c r="C2964" t="s">
        <v>136</v>
      </c>
      <c r="D2964" t="s">
        <v>2257</v>
      </c>
      <c r="E2964" t="s">
        <v>7376</v>
      </c>
      <c r="F2964" t="s">
        <v>149</v>
      </c>
      <c r="G2964" t="s">
        <v>10740</v>
      </c>
    </row>
    <row r="2965" spans="1:7" ht="44.25" customHeight="1">
      <c r="A2965" t="s">
        <v>10741</v>
      </c>
      <c r="B2965" t="s">
        <v>10742</v>
      </c>
      <c r="C2965" t="s">
        <v>136</v>
      </c>
      <c r="D2965" t="s">
        <v>2257</v>
      </c>
      <c r="E2965" t="s">
        <v>7918</v>
      </c>
      <c r="F2965" t="s">
        <v>149</v>
      </c>
      <c r="G2965" t="s">
        <v>10743</v>
      </c>
    </row>
    <row r="2966" spans="1:7" ht="44.25" customHeight="1">
      <c r="A2966" t="s">
        <v>136</v>
      </c>
      <c r="B2966" t="s">
        <v>10744</v>
      </c>
      <c r="C2966" t="s">
        <v>136</v>
      </c>
      <c r="D2966" t="s">
        <v>79</v>
      </c>
      <c r="E2966" t="s">
        <v>10745</v>
      </c>
      <c r="F2966" t="s">
        <v>149</v>
      </c>
      <c r="G2966" t="s">
        <v>10746</v>
      </c>
    </row>
    <row r="2967" spans="1:7" ht="44.25" customHeight="1">
      <c r="A2967" t="s">
        <v>10747</v>
      </c>
      <c r="B2967" t="s">
        <v>10748</v>
      </c>
      <c r="C2967" t="s">
        <v>136</v>
      </c>
      <c r="D2967" t="s">
        <v>2257</v>
      </c>
      <c r="E2967" t="s">
        <v>1607</v>
      </c>
      <c r="F2967" t="s">
        <v>149</v>
      </c>
      <c r="G2967" t="s">
        <v>10749</v>
      </c>
    </row>
    <row r="2968" spans="1:7" ht="44.25" customHeight="1">
      <c r="A2968" t="s">
        <v>10750</v>
      </c>
      <c r="B2968" t="s">
        <v>10751</v>
      </c>
      <c r="C2968" t="s">
        <v>136</v>
      </c>
      <c r="D2968" t="s">
        <v>2253</v>
      </c>
      <c r="E2968" t="s">
        <v>1432</v>
      </c>
      <c r="F2968" t="s">
        <v>149</v>
      </c>
      <c r="G2968" t="s">
        <v>10752</v>
      </c>
    </row>
    <row r="2969" spans="1:7" ht="44.25" customHeight="1">
      <c r="A2969" t="s">
        <v>10753</v>
      </c>
      <c r="B2969" t="s">
        <v>10754</v>
      </c>
      <c r="C2969" t="s">
        <v>136</v>
      </c>
      <c r="D2969" t="s">
        <v>2257</v>
      </c>
      <c r="E2969" t="s">
        <v>1607</v>
      </c>
      <c r="F2969" t="s">
        <v>149</v>
      </c>
      <c r="G2969" t="s">
        <v>10755</v>
      </c>
    </row>
    <row r="2970" spans="1:7" ht="44.25" customHeight="1">
      <c r="A2970" t="s">
        <v>10756</v>
      </c>
      <c r="B2970" t="s">
        <v>10757</v>
      </c>
      <c r="C2970" t="s">
        <v>136</v>
      </c>
      <c r="D2970" t="s">
        <v>79</v>
      </c>
      <c r="E2970" t="s">
        <v>9059</v>
      </c>
      <c r="F2970" t="s">
        <v>149</v>
      </c>
      <c r="G2970" t="s">
        <v>10758</v>
      </c>
    </row>
    <row r="2971" spans="1:7" ht="44.25" customHeight="1">
      <c r="A2971" t="s">
        <v>10759</v>
      </c>
      <c r="B2971" t="s">
        <v>10760</v>
      </c>
      <c r="C2971" t="s">
        <v>136</v>
      </c>
      <c r="D2971" t="s">
        <v>2257</v>
      </c>
      <c r="E2971" t="s">
        <v>1607</v>
      </c>
      <c r="F2971" t="s">
        <v>149</v>
      </c>
      <c r="G2971" t="s">
        <v>10761</v>
      </c>
    </row>
    <row r="2972" spans="1:7" ht="44.25" customHeight="1">
      <c r="A2972" t="s">
        <v>10762</v>
      </c>
      <c r="B2972" t="s">
        <v>10763</v>
      </c>
      <c r="C2972" t="s">
        <v>136</v>
      </c>
      <c r="D2972" t="s">
        <v>2257</v>
      </c>
      <c r="E2972" t="s">
        <v>1607</v>
      </c>
      <c r="F2972" t="s">
        <v>149</v>
      </c>
      <c r="G2972" t="s">
        <v>10764</v>
      </c>
    </row>
    <row r="2973" spans="1:7" ht="44.25" customHeight="1">
      <c r="A2973" t="s">
        <v>136</v>
      </c>
      <c r="B2973" t="s">
        <v>10765</v>
      </c>
      <c r="C2973" t="s">
        <v>136</v>
      </c>
      <c r="D2973" t="s">
        <v>2257</v>
      </c>
      <c r="E2973" t="s">
        <v>1607</v>
      </c>
      <c r="F2973" t="s">
        <v>149</v>
      </c>
      <c r="G2973" t="s">
        <v>10766</v>
      </c>
    </row>
    <row r="2974" spans="1:7" ht="44.25" customHeight="1">
      <c r="A2974" t="s">
        <v>10767</v>
      </c>
      <c r="B2974" t="s">
        <v>10768</v>
      </c>
      <c r="C2974" t="s">
        <v>136</v>
      </c>
      <c r="D2974" t="s">
        <v>2257</v>
      </c>
      <c r="E2974" t="s">
        <v>2399</v>
      </c>
      <c r="F2974" t="s">
        <v>149</v>
      </c>
      <c r="G2974" t="s">
        <v>10769</v>
      </c>
    </row>
    <row r="2975" spans="1:7" ht="44.25" customHeight="1">
      <c r="A2975" t="s">
        <v>10770</v>
      </c>
      <c r="B2975" t="s">
        <v>10771</v>
      </c>
      <c r="C2975" t="s">
        <v>136</v>
      </c>
      <c r="D2975" t="s">
        <v>2253</v>
      </c>
      <c r="E2975" t="s">
        <v>1430</v>
      </c>
      <c r="F2975" t="s">
        <v>149</v>
      </c>
      <c r="G2975" t="s">
        <v>10772</v>
      </c>
    </row>
    <row r="2976" spans="1:7" ht="44.25" customHeight="1">
      <c r="A2976" t="s">
        <v>1341</v>
      </c>
      <c r="B2976" t="s">
        <v>10773</v>
      </c>
      <c r="C2976" t="s">
        <v>136</v>
      </c>
      <c r="D2976" t="s">
        <v>2257</v>
      </c>
      <c r="E2976" t="s">
        <v>1430</v>
      </c>
      <c r="F2976" t="s">
        <v>149</v>
      </c>
      <c r="G2976" t="s">
        <v>10774</v>
      </c>
    </row>
    <row r="2977" spans="1:7" ht="44.25" customHeight="1">
      <c r="A2977" t="s">
        <v>1376</v>
      </c>
      <c r="B2977" t="s">
        <v>10775</v>
      </c>
      <c r="C2977" t="s">
        <v>136</v>
      </c>
      <c r="D2977" t="s">
        <v>2253</v>
      </c>
      <c r="E2977" t="s">
        <v>1432</v>
      </c>
      <c r="F2977" t="s">
        <v>149</v>
      </c>
      <c r="G2977" t="s">
        <v>10776</v>
      </c>
    </row>
    <row r="2978" spans="1:7" ht="44.25" customHeight="1">
      <c r="A2978" t="s">
        <v>10777</v>
      </c>
      <c r="B2978" t="s">
        <v>10778</v>
      </c>
      <c r="C2978" t="s">
        <v>136</v>
      </c>
      <c r="D2978" t="s">
        <v>79</v>
      </c>
      <c r="E2978" t="s">
        <v>2310</v>
      </c>
      <c r="F2978" t="s">
        <v>149</v>
      </c>
      <c r="G2978" t="s">
        <v>10779</v>
      </c>
    </row>
    <row r="2979" spans="1:7" ht="44.25" customHeight="1">
      <c r="A2979" t="s">
        <v>399</v>
      </c>
      <c r="B2979" t="s">
        <v>10780</v>
      </c>
      <c r="C2979" t="s">
        <v>136</v>
      </c>
      <c r="D2979" t="s">
        <v>2253</v>
      </c>
      <c r="E2979" t="s">
        <v>1432</v>
      </c>
      <c r="F2979" t="s">
        <v>149</v>
      </c>
      <c r="G2979" t="s">
        <v>10781</v>
      </c>
    </row>
    <row r="2980" spans="1:7" ht="44.25" customHeight="1">
      <c r="A2980" t="s">
        <v>896</v>
      </c>
      <c r="B2980" t="s">
        <v>10782</v>
      </c>
      <c r="C2980" t="s">
        <v>136</v>
      </c>
      <c r="D2980" t="s">
        <v>2257</v>
      </c>
      <c r="E2980" t="s">
        <v>4699</v>
      </c>
      <c r="F2980" t="s">
        <v>149</v>
      </c>
      <c r="G2980" t="s">
        <v>10783</v>
      </c>
    </row>
    <row r="2981" spans="1:7" ht="44.25" customHeight="1">
      <c r="A2981" t="s">
        <v>10784</v>
      </c>
      <c r="B2981" t="s">
        <v>10785</v>
      </c>
      <c r="C2981" t="s">
        <v>136</v>
      </c>
      <c r="D2981" t="s">
        <v>79</v>
      </c>
      <c r="E2981" t="s">
        <v>4539</v>
      </c>
      <c r="F2981" t="s">
        <v>149</v>
      </c>
      <c r="G2981" t="s">
        <v>10786</v>
      </c>
    </row>
    <row r="2982" spans="1:7" ht="44.25" customHeight="1">
      <c r="A2982" t="s">
        <v>10787</v>
      </c>
      <c r="B2982" t="s">
        <v>10788</v>
      </c>
      <c r="C2982" t="s">
        <v>136</v>
      </c>
      <c r="D2982" t="s">
        <v>79</v>
      </c>
      <c r="E2982" t="s">
        <v>10789</v>
      </c>
      <c r="F2982" t="s">
        <v>149</v>
      </c>
      <c r="G2982" t="s">
        <v>10790</v>
      </c>
    </row>
    <row r="2983" spans="1:7" ht="44.25" customHeight="1">
      <c r="A2983" t="s">
        <v>10791</v>
      </c>
      <c r="B2983" t="s">
        <v>10792</v>
      </c>
      <c r="C2983" t="s">
        <v>136</v>
      </c>
      <c r="D2983" t="s">
        <v>79</v>
      </c>
      <c r="E2983" t="s">
        <v>10793</v>
      </c>
      <c r="F2983" t="s">
        <v>149</v>
      </c>
      <c r="G2983" t="s">
        <v>10794</v>
      </c>
    </row>
    <row r="2984" spans="1:7" ht="44.25" customHeight="1">
      <c r="A2984" t="s">
        <v>10795</v>
      </c>
      <c r="B2984" t="s">
        <v>10796</v>
      </c>
      <c r="C2984" t="s">
        <v>136</v>
      </c>
      <c r="D2984" t="s">
        <v>79</v>
      </c>
      <c r="E2984" t="s">
        <v>10797</v>
      </c>
      <c r="F2984" t="s">
        <v>149</v>
      </c>
      <c r="G2984" t="s">
        <v>10798</v>
      </c>
    </row>
    <row r="2985" spans="1:7" ht="44.25" customHeight="1">
      <c r="A2985" t="s">
        <v>10799</v>
      </c>
      <c r="B2985" t="s">
        <v>10800</v>
      </c>
      <c r="C2985" t="s">
        <v>136</v>
      </c>
      <c r="D2985" t="s">
        <v>79</v>
      </c>
      <c r="E2985" t="s">
        <v>10801</v>
      </c>
      <c r="F2985" t="s">
        <v>149</v>
      </c>
      <c r="G2985" t="s">
        <v>10802</v>
      </c>
    </row>
    <row r="2986" spans="1:7" ht="44.25" customHeight="1">
      <c r="A2986" t="s">
        <v>445</v>
      </c>
      <c r="B2986" t="s">
        <v>10803</v>
      </c>
      <c r="C2986" t="s">
        <v>136</v>
      </c>
      <c r="D2986" t="s">
        <v>79</v>
      </c>
      <c r="E2986" t="s">
        <v>10804</v>
      </c>
      <c r="F2986" t="s">
        <v>149</v>
      </c>
      <c r="G2986" t="s">
        <v>10805</v>
      </c>
    </row>
    <row r="2987" spans="1:7" ht="44.25" customHeight="1">
      <c r="A2987" t="s">
        <v>445</v>
      </c>
      <c r="B2987" t="s">
        <v>10803</v>
      </c>
      <c r="C2987" t="s">
        <v>136</v>
      </c>
      <c r="D2987" t="s">
        <v>79</v>
      </c>
      <c r="E2987" t="s">
        <v>10804</v>
      </c>
      <c r="F2987" t="s">
        <v>149</v>
      </c>
      <c r="G2987" t="s">
        <v>10805</v>
      </c>
    </row>
    <row r="2988" spans="1:7" ht="44.25" customHeight="1">
      <c r="A2988" t="s">
        <v>10806</v>
      </c>
      <c r="B2988" t="s">
        <v>10807</v>
      </c>
      <c r="C2988" t="s">
        <v>136</v>
      </c>
      <c r="D2988" t="s">
        <v>2257</v>
      </c>
      <c r="E2988" t="s">
        <v>5684</v>
      </c>
      <c r="F2988" t="s">
        <v>149</v>
      </c>
      <c r="G2988" t="s">
        <v>10808</v>
      </c>
    </row>
    <row r="2989" spans="1:7" ht="44.25" customHeight="1">
      <c r="A2989" t="s">
        <v>10809</v>
      </c>
      <c r="B2989" t="s">
        <v>10810</v>
      </c>
      <c r="C2989" t="s">
        <v>136</v>
      </c>
      <c r="D2989" t="s">
        <v>79</v>
      </c>
      <c r="E2989" t="s">
        <v>10811</v>
      </c>
      <c r="F2989" t="s">
        <v>149</v>
      </c>
      <c r="G2989" t="s">
        <v>10812</v>
      </c>
    </row>
    <row r="2990" spans="1:7" ht="44.25" customHeight="1">
      <c r="A2990" t="s">
        <v>646</v>
      </c>
      <c r="B2990" t="s">
        <v>10813</v>
      </c>
      <c r="C2990" t="s">
        <v>136</v>
      </c>
      <c r="D2990" t="s">
        <v>79</v>
      </c>
      <c r="E2990" t="s">
        <v>7746</v>
      </c>
      <c r="F2990" t="s">
        <v>149</v>
      </c>
      <c r="G2990" t="s">
        <v>10814</v>
      </c>
    </row>
    <row r="2991" spans="1:7" ht="44.25" customHeight="1">
      <c r="A2991" t="s">
        <v>10815</v>
      </c>
      <c r="B2991" t="s">
        <v>10816</v>
      </c>
      <c r="C2991" t="s">
        <v>136</v>
      </c>
      <c r="D2991" t="s">
        <v>79</v>
      </c>
      <c r="E2991" t="s">
        <v>2625</v>
      </c>
      <c r="F2991" t="s">
        <v>149</v>
      </c>
      <c r="G2991" t="s">
        <v>10817</v>
      </c>
    </row>
    <row r="2992" spans="1:7" ht="44.25" customHeight="1">
      <c r="A2992" t="s">
        <v>10815</v>
      </c>
      <c r="B2992" t="s">
        <v>10816</v>
      </c>
      <c r="C2992" t="s">
        <v>136</v>
      </c>
      <c r="D2992" t="s">
        <v>79</v>
      </c>
      <c r="E2992" t="s">
        <v>2625</v>
      </c>
      <c r="F2992" t="s">
        <v>149</v>
      </c>
      <c r="G2992" t="s">
        <v>10817</v>
      </c>
    </row>
    <row r="2993" spans="1:7" ht="44.25" customHeight="1">
      <c r="A2993" t="s">
        <v>1391</v>
      </c>
      <c r="B2993" t="s">
        <v>10818</v>
      </c>
      <c r="C2993" t="s">
        <v>136</v>
      </c>
      <c r="D2993" t="s">
        <v>2257</v>
      </c>
      <c r="E2993" t="s">
        <v>1607</v>
      </c>
      <c r="F2993" t="s">
        <v>149</v>
      </c>
      <c r="G2993" t="s">
        <v>10819</v>
      </c>
    </row>
    <row r="2994" spans="1:7" ht="44.25" customHeight="1">
      <c r="A2994" t="s">
        <v>10820</v>
      </c>
      <c r="B2994" t="s">
        <v>10821</v>
      </c>
      <c r="C2994" t="s">
        <v>136</v>
      </c>
      <c r="D2994" t="s">
        <v>79</v>
      </c>
      <c r="E2994" t="s">
        <v>10822</v>
      </c>
      <c r="F2994" t="s">
        <v>149</v>
      </c>
      <c r="G2994" t="s">
        <v>10823</v>
      </c>
    </row>
    <row r="2995" spans="1:7" ht="44.25" customHeight="1">
      <c r="A2995" t="s">
        <v>136</v>
      </c>
      <c r="B2995" t="s">
        <v>10824</v>
      </c>
      <c r="C2995" t="s">
        <v>136</v>
      </c>
      <c r="D2995" t="s">
        <v>79</v>
      </c>
      <c r="E2995" t="s">
        <v>10825</v>
      </c>
      <c r="F2995" t="s">
        <v>149</v>
      </c>
      <c r="G2995" t="s">
        <v>10826</v>
      </c>
    </row>
    <row r="2996" spans="1:7" ht="44.25" customHeight="1">
      <c r="A2996" t="s">
        <v>10827</v>
      </c>
      <c r="B2996" t="s">
        <v>10828</v>
      </c>
      <c r="C2996" t="s">
        <v>136</v>
      </c>
      <c r="D2996" t="s">
        <v>79</v>
      </c>
      <c r="E2996" t="s">
        <v>10829</v>
      </c>
      <c r="F2996" t="s">
        <v>149</v>
      </c>
      <c r="G2996" t="s">
        <v>10830</v>
      </c>
    </row>
    <row r="2997" spans="1:7" ht="44.25" customHeight="1">
      <c r="A2997" t="s">
        <v>10831</v>
      </c>
      <c r="B2997" t="s">
        <v>10832</v>
      </c>
      <c r="C2997" t="s">
        <v>136</v>
      </c>
      <c r="D2997" t="s">
        <v>2253</v>
      </c>
      <c r="E2997" t="s">
        <v>1430</v>
      </c>
      <c r="F2997" t="s">
        <v>149</v>
      </c>
      <c r="G2997" t="s">
        <v>10833</v>
      </c>
    </row>
    <row r="2998" spans="1:7" ht="44.25" customHeight="1">
      <c r="A2998" t="s">
        <v>10834</v>
      </c>
      <c r="B2998" t="s">
        <v>10835</v>
      </c>
      <c r="C2998" t="s">
        <v>136</v>
      </c>
      <c r="D2998" t="s">
        <v>2257</v>
      </c>
      <c r="E2998" t="s">
        <v>2276</v>
      </c>
      <c r="F2998" t="s">
        <v>149</v>
      </c>
      <c r="G2998" t="s">
        <v>10836</v>
      </c>
    </row>
    <row r="2999" spans="1:7" ht="44.25" customHeight="1">
      <c r="A2999" t="s">
        <v>10837</v>
      </c>
      <c r="B2999" t="s">
        <v>10838</v>
      </c>
      <c r="C2999" t="s">
        <v>136</v>
      </c>
      <c r="D2999" t="s">
        <v>2253</v>
      </c>
      <c r="E2999" t="s">
        <v>10839</v>
      </c>
      <c r="F2999" t="s">
        <v>149</v>
      </c>
      <c r="G2999" t="s">
        <v>10840</v>
      </c>
    </row>
    <row r="3000" spans="1:7" ht="44.25" customHeight="1">
      <c r="A3000" t="s">
        <v>10841</v>
      </c>
      <c r="B3000" t="s">
        <v>10842</v>
      </c>
      <c r="C3000" t="s">
        <v>136</v>
      </c>
      <c r="D3000" t="s">
        <v>2253</v>
      </c>
      <c r="E3000" t="s">
        <v>1432</v>
      </c>
      <c r="F3000" t="s">
        <v>149</v>
      </c>
      <c r="G3000" t="s">
        <v>10843</v>
      </c>
    </row>
    <row r="3001" spans="1:7" ht="44.25" customHeight="1">
      <c r="A3001" t="s">
        <v>973</v>
      </c>
      <c r="B3001" t="s">
        <v>10844</v>
      </c>
      <c r="C3001" t="s">
        <v>136</v>
      </c>
      <c r="D3001" t="s">
        <v>2257</v>
      </c>
      <c r="E3001" t="s">
        <v>2276</v>
      </c>
      <c r="F3001" t="s">
        <v>149</v>
      </c>
      <c r="G3001" t="s">
        <v>10845</v>
      </c>
    </row>
    <row r="3002" spans="1:7" ht="44.25" customHeight="1">
      <c r="A3002" t="s">
        <v>584</v>
      </c>
      <c r="B3002" t="s">
        <v>10846</v>
      </c>
      <c r="C3002" t="s">
        <v>136</v>
      </c>
      <c r="D3002" t="s">
        <v>79</v>
      </c>
      <c r="E3002" t="s">
        <v>4753</v>
      </c>
      <c r="F3002" t="s">
        <v>149</v>
      </c>
      <c r="G3002" t="s">
        <v>10847</v>
      </c>
    </row>
    <row r="3003" spans="1:7" ht="44.25" customHeight="1">
      <c r="A3003" t="s">
        <v>861</v>
      </c>
      <c r="B3003" t="s">
        <v>10848</v>
      </c>
      <c r="C3003" t="s">
        <v>136</v>
      </c>
      <c r="D3003" t="s">
        <v>2257</v>
      </c>
      <c r="E3003" t="s">
        <v>4124</v>
      </c>
      <c r="F3003" t="s">
        <v>149</v>
      </c>
      <c r="G3003" t="s">
        <v>10849</v>
      </c>
    </row>
    <row r="3004" spans="1:7" ht="44.25" customHeight="1">
      <c r="A3004" t="s">
        <v>136</v>
      </c>
      <c r="B3004" t="s">
        <v>10850</v>
      </c>
      <c r="C3004" t="s">
        <v>136</v>
      </c>
      <c r="D3004" t="s">
        <v>2257</v>
      </c>
      <c r="E3004" t="s">
        <v>5691</v>
      </c>
      <c r="F3004" t="s">
        <v>149</v>
      </c>
      <c r="G3004" t="s">
        <v>10851</v>
      </c>
    </row>
    <row r="3005" spans="1:7" ht="44.25" customHeight="1">
      <c r="A3005" t="s">
        <v>1055</v>
      </c>
      <c r="B3005" t="s">
        <v>10852</v>
      </c>
      <c r="C3005" t="s">
        <v>136</v>
      </c>
      <c r="D3005" t="s">
        <v>79</v>
      </c>
      <c r="E3005" t="s">
        <v>1625</v>
      </c>
      <c r="F3005" t="s">
        <v>149</v>
      </c>
      <c r="G3005" t="s">
        <v>10853</v>
      </c>
    </row>
    <row r="3006" spans="1:7" ht="44.25" customHeight="1">
      <c r="A3006" t="s">
        <v>1055</v>
      </c>
      <c r="B3006" t="s">
        <v>10852</v>
      </c>
      <c r="C3006" t="s">
        <v>136</v>
      </c>
      <c r="D3006" t="s">
        <v>79</v>
      </c>
      <c r="E3006" t="s">
        <v>1625</v>
      </c>
      <c r="F3006" t="s">
        <v>149</v>
      </c>
      <c r="G3006" t="s">
        <v>10853</v>
      </c>
    </row>
    <row r="3007" spans="1:7" ht="44.25" customHeight="1">
      <c r="A3007" t="s">
        <v>10854</v>
      </c>
      <c r="B3007" t="s">
        <v>10855</v>
      </c>
      <c r="C3007" t="s">
        <v>10856</v>
      </c>
      <c r="D3007" t="s">
        <v>79</v>
      </c>
      <c r="E3007" t="s">
        <v>2695</v>
      </c>
      <c r="F3007" t="s">
        <v>149</v>
      </c>
      <c r="G3007" t="s">
        <v>10857</v>
      </c>
    </row>
    <row r="3008" spans="1:7" ht="44.25" customHeight="1">
      <c r="A3008" t="s">
        <v>10858</v>
      </c>
      <c r="B3008" t="s">
        <v>10859</v>
      </c>
      <c r="C3008" t="s">
        <v>136</v>
      </c>
      <c r="D3008" t="s">
        <v>2257</v>
      </c>
      <c r="E3008" t="s">
        <v>1607</v>
      </c>
      <c r="F3008" t="s">
        <v>149</v>
      </c>
      <c r="G3008" t="s">
        <v>10860</v>
      </c>
    </row>
    <row r="3009" spans="1:7" ht="44.25" customHeight="1">
      <c r="A3009" t="s">
        <v>10861</v>
      </c>
      <c r="B3009" t="s">
        <v>10862</v>
      </c>
      <c r="C3009" t="s">
        <v>136</v>
      </c>
      <c r="D3009" t="s">
        <v>2257</v>
      </c>
      <c r="E3009" t="s">
        <v>1607</v>
      </c>
      <c r="F3009" t="s">
        <v>149</v>
      </c>
      <c r="G3009" t="s">
        <v>10863</v>
      </c>
    </row>
    <row r="3010" spans="1:7" ht="44.25" customHeight="1">
      <c r="A3010" t="s">
        <v>10864</v>
      </c>
      <c r="B3010" t="s">
        <v>10865</v>
      </c>
      <c r="C3010" t="s">
        <v>136</v>
      </c>
      <c r="D3010" t="s">
        <v>79</v>
      </c>
      <c r="E3010" t="s">
        <v>7291</v>
      </c>
      <c r="F3010" t="s">
        <v>149</v>
      </c>
      <c r="G3010" t="s">
        <v>10866</v>
      </c>
    </row>
    <row r="3011" spans="1:7" ht="44.25" customHeight="1">
      <c r="A3011" t="s">
        <v>10864</v>
      </c>
      <c r="B3011" t="s">
        <v>10865</v>
      </c>
      <c r="C3011" t="s">
        <v>136</v>
      </c>
      <c r="D3011" t="s">
        <v>79</v>
      </c>
      <c r="E3011" t="s">
        <v>7291</v>
      </c>
      <c r="F3011" t="s">
        <v>149</v>
      </c>
      <c r="G3011" t="s">
        <v>10866</v>
      </c>
    </row>
    <row r="3012" spans="1:7" ht="44.25" customHeight="1">
      <c r="A3012" t="s">
        <v>10867</v>
      </c>
      <c r="B3012" t="s">
        <v>10868</v>
      </c>
      <c r="C3012" t="s">
        <v>136</v>
      </c>
      <c r="D3012" t="s">
        <v>2398</v>
      </c>
      <c r="E3012" t="s">
        <v>10869</v>
      </c>
      <c r="F3012" t="s">
        <v>149</v>
      </c>
      <c r="G3012" t="s">
        <v>10870</v>
      </c>
    </row>
    <row r="3013" spans="1:7" ht="44.25" customHeight="1">
      <c r="A3013" t="s">
        <v>673</v>
      </c>
      <c r="B3013" t="s">
        <v>10871</v>
      </c>
      <c r="C3013" t="s">
        <v>136</v>
      </c>
      <c r="D3013" t="s">
        <v>79</v>
      </c>
      <c r="E3013" t="s">
        <v>8103</v>
      </c>
      <c r="F3013" t="s">
        <v>149</v>
      </c>
      <c r="G3013" t="s">
        <v>10872</v>
      </c>
    </row>
    <row r="3014" spans="1:7" ht="44.25" customHeight="1">
      <c r="A3014" t="s">
        <v>10873</v>
      </c>
      <c r="B3014" t="s">
        <v>10874</v>
      </c>
      <c r="C3014" t="s">
        <v>136</v>
      </c>
      <c r="D3014" t="s">
        <v>2253</v>
      </c>
      <c r="E3014" t="s">
        <v>1432</v>
      </c>
      <c r="F3014" t="s">
        <v>149</v>
      </c>
      <c r="G3014" t="s">
        <v>10875</v>
      </c>
    </row>
    <row r="3015" spans="1:7" ht="44.25" customHeight="1">
      <c r="A3015" t="s">
        <v>10876</v>
      </c>
      <c r="B3015" t="s">
        <v>10877</v>
      </c>
      <c r="C3015" t="s">
        <v>136</v>
      </c>
      <c r="D3015" t="s">
        <v>2253</v>
      </c>
      <c r="E3015" t="s">
        <v>1432</v>
      </c>
      <c r="F3015" t="s">
        <v>149</v>
      </c>
      <c r="G3015" t="s">
        <v>10878</v>
      </c>
    </row>
    <row r="3016" spans="1:7" ht="44.25" customHeight="1">
      <c r="A3016" t="s">
        <v>10879</v>
      </c>
      <c r="B3016" t="s">
        <v>10880</v>
      </c>
      <c r="C3016" t="s">
        <v>136</v>
      </c>
      <c r="D3016" t="s">
        <v>79</v>
      </c>
      <c r="E3016" t="s">
        <v>10881</v>
      </c>
      <c r="F3016" t="s">
        <v>149</v>
      </c>
      <c r="G3016" t="s">
        <v>10882</v>
      </c>
    </row>
    <row r="3017" spans="1:7" ht="44.25" customHeight="1">
      <c r="A3017" t="s">
        <v>1449</v>
      </c>
      <c r="B3017" t="s">
        <v>10883</v>
      </c>
      <c r="C3017" t="s">
        <v>136</v>
      </c>
      <c r="D3017" t="s">
        <v>2257</v>
      </c>
      <c r="E3017" t="s">
        <v>2276</v>
      </c>
      <c r="F3017" t="s">
        <v>149</v>
      </c>
      <c r="G3017" t="s">
        <v>10884</v>
      </c>
    </row>
    <row r="3018" spans="1:7" ht="44.25" customHeight="1">
      <c r="A3018" t="s">
        <v>1468</v>
      </c>
      <c r="B3018" t="s">
        <v>10885</v>
      </c>
      <c r="C3018" t="s">
        <v>136</v>
      </c>
      <c r="D3018" t="s">
        <v>2253</v>
      </c>
      <c r="E3018" t="s">
        <v>2258</v>
      </c>
      <c r="F3018" t="s">
        <v>149</v>
      </c>
      <c r="G3018" t="s">
        <v>10886</v>
      </c>
    </row>
    <row r="3019" spans="1:7" ht="44.25" customHeight="1">
      <c r="A3019" t="s">
        <v>1434</v>
      </c>
      <c r="B3019" t="s">
        <v>10887</v>
      </c>
      <c r="C3019" t="s">
        <v>136</v>
      </c>
      <c r="D3019" t="s">
        <v>2253</v>
      </c>
      <c r="E3019" t="s">
        <v>1430</v>
      </c>
      <c r="F3019" t="s">
        <v>149</v>
      </c>
      <c r="G3019" t="s">
        <v>10888</v>
      </c>
    </row>
    <row r="3020" spans="1:7" ht="44.25" customHeight="1">
      <c r="A3020" t="s">
        <v>500</v>
      </c>
      <c r="B3020" t="s">
        <v>10889</v>
      </c>
      <c r="C3020" t="s">
        <v>136</v>
      </c>
      <c r="D3020" t="s">
        <v>2257</v>
      </c>
      <c r="E3020" t="s">
        <v>2258</v>
      </c>
      <c r="F3020" t="s">
        <v>149</v>
      </c>
      <c r="G3020" t="s">
        <v>10890</v>
      </c>
    </row>
    <row r="3021" spans="1:7" ht="44.25" customHeight="1">
      <c r="A3021" t="s">
        <v>452</v>
      </c>
      <c r="B3021" t="s">
        <v>10891</v>
      </c>
      <c r="C3021" t="s">
        <v>136</v>
      </c>
      <c r="D3021" t="s">
        <v>79</v>
      </c>
      <c r="E3021" t="s">
        <v>4532</v>
      </c>
      <c r="F3021" t="s">
        <v>149</v>
      </c>
      <c r="G3021" t="s">
        <v>10892</v>
      </c>
    </row>
    <row r="3022" spans="1:7" ht="44.25" customHeight="1">
      <c r="A3022" t="s">
        <v>10893</v>
      </c>
      <c r="B3022" t="s">
        <v>10894</v>
      </c>
      <c r="C3022" t="s">
        <v>136</v>
      </c>
      <c r="D3022" t="s">
        <v>79</v>
      </c>
      <c r="E3022" t="s">
        <v>10895</v>
      </c>
      <c r="F3022" t="s">
        <v>149</v>
      </c>
      <c r="G3022" t="s">
        <v>10896</v>
      </c>
    </row>
    <row r="3023" spans="1:7" ht="44.25" customHeight="1">
      <c r="A3023" t="s">
        <v>136</v>
      </c>
      <c r="B3023" t="s">
        <v>10897</v>
      </c>
      <c r="C3023" t="s">
        <v>136</v>
      </c>
      <c r="D3023" t="s">
        <v>2257</v>
      </c>
      <c r="E3023" t="s">
        <v>5813</v>
      </c>
      <c r="F3023" t="s">
        <v>149</v>
      </c>
      <c r="G3023" t="s">
        <v>10898</v>
      </c>
    </row>
    <row r="3024" spans="1:7" ht="44.25" customHeight="1">
      <c r="A3024" t="s">
        <v>10899</v>
      </c>
      <c r="B3024" t="s">
        <v>10900</v>
      </c>
      <c r="C3024" t="s">
        <v>136</v>
      </c>
      <c r="D3024" t="s">
        <v>2257</v>
      </c>
      <c r="E3024" t="s">
        <v>2695</v>
      </c>
      <c r="F3024" t="s">
        <v>149</v>
      </c>
      <c r="G3024" t="s">
        <v>10901</v>
      </c>
    </row>
    <row r="3025" spans="1:7" ht="44.25" customHeight="1">
      <c r="A3025" t="s">
        <v>10902</v>
      </c>
      <c r="B3025" t="s">
        <v>10903</v>
      </c>
      <c r="C3025" t="s">
        <v>136</v>
      </c>
      <c r="D3025" t="s">
        <v>2257</v>
      </c>
      <c r="E3025" t="s">
        <v>2695</v>
      </c>
      <c r="F3025" t="s">
        <v>149</v>
      </c>
      <c r="G3025" t="s">
        <v>10904</v>
      </c>
    </row>
    <row r="3026" spans="1:7" ht="44.25" customHeight="1">
      <c r="A3026" t="s">
        <v>10905</v>
      </c>
      <c r="B3026" t="s">
        <v>10906</v>
      </c>
      <c r="C3026" t="s">
        <v>136</v>
      </c>
      <c r="D3026" t="s">
        <v>79</v>
      </c>
      <c r="E3026" t="s">
        <v>10907</v>
      </c>
      <c r="F3026" t="s">
        <v>149</v>
      </c>
      <c r="G3026" t="s">
        <v>10908</v>
      </c>
    </row>
    <row r="3027" spans="1:7" ht="44.25" customHeight="1">
      <c r="A3027" t="s">
        <v>10909</v>
      </c>
      <c r="B3027" t="s">
        <v>10910</v>
      </c>
      <c r="C3027" t="s">
        <v>136</v>
      </c>
      <c r="D3027" t="s">
        <v>79</v>
      </c>
      <c r="E3027" t="s">
        <v>10911</v>
      </c>
      <c r="F3027" t="s">
        <v>149</v>
      </c>
      <c r="G3027" t="s">
        <v>10912</v>
      </c>
    </row>
    <row r="3028" spans="1:7" ht="44.25" customHeight="1">
      <c r="A3028" t="s">
        <v>10913</v>
      </c>
      <c r="B3028" t="s">
        <v>10914</v>
      </c>
      <c r="C3028" t="s">
        <v>136</v>
      </c>
      <c r="D3028" t="s">
        <v>79</v>
      </c>
      <c r="E3028" t="s">
        <v>10915</v>
      </c>
      <c r="F3028" t="s">
        <v>149</v>
      </c>
      <c r="G3028" t="s">
        <v>10916</v>
      </c>
    </row>
    <row r="3029" spans="1:7" ht="44.25" customHeight="1">
      <c r="A3029" t="s">
        <v>10917</v>
      </c>
      <c r="B3029" t="s">
        <v>10918</v>
      </c>
      <c r="C3029" t="s">
        <v>136</v>
      </c>
      <c r="D3029" t="s">
        <v>2257</v>
      </c>
      <c r="E3029" t="s">
        <v>10919</v>
      </c>
      <c r="F3029" t="s">
        <v>149</v>
      </c>
      <c r="G3029" t="s">
        <v>10920</v>
      </c>
    </row>
    <row r="3030" spans="1:7" ht="44.25" customHeight="1">
      <c r="A3030" t="s">
        <v>616</v>
      </c>
      <c r="B3030" t="s">
        <v>10921</v>
      </c>
      <c r="C3030" t="s">
        <v>136</v>
      </c>
      <c r="D3030" t="s">
        <v>79</v>
      </c>
      <c r="E3030" t="s">
        <v>7220</v>
      </c>
      <c r="F3030" t="s">
        <v>149</v>
      </c>
      <c r="G3030" t="s">
        <v>10922</v>
      </c>
    </row>
    <row r="3031" spans="1:7" ht="44.25" customHeight="1">
      <c r="A3031" t="s">
        <v>702</v>
      </c>
      <c r="B3031" t="s">
        <v>10923</v>
      </c>
      <c r="C3031" t="s">
        <v>136</v>
      </c>
      <c r="D3031" t="s">
        <v>2257</v>
      </c>
      <c r="E3031" t="s">
        <v>1584</v>
      </c>
      <c r="F3031" t="s">
        <v>149</v>
      </c>
      <c r="G3031" t="s">
        <v>10924</v>
      </c>
    </row>
    <row r="3032" spans="1:7" ht="44.25" customHeight="1">
      <c r="A3032" t="s">
        <v>10925</v>
      </c>
      <c r="B3032" t="s">
        <v>10926</v>
      </c>
      <c r="C3032" t="s">
        <v>136</v>
      </c>
      <c r="D3032" t="s">
        <v>2257</v>
      </c>
      <c r="E3032" t="s">
        <v>1607</v>
      </c>
      <c r="F3032" t="s">
        <v>149</v>
      </c>
      <c r="G3032" t="s">
        <v>10927</v>
      </c>
    </row>
    <row r="3033" spans="1:7" ht="44.25" customHeight="1">
      <c r="A3033" t="s">
        <v>10928</v>
      </c>
      <c r="B3033" t="s">
        <v>10929</v>
      </c>
      <c r="C3033" t="s">
        <v>136</v>
      </c>
      <c r="D3033" t="s">
        <v>2257</v>
      </c>
      <c r="E3033" t="s">
        <v>2276</v>
      </c>
      <c r="F3033" t="s">
        <v>149</v>
      </c>
      <c r="G3033" t="s">
        <v>10930</v>
      </c>
    </row>
    <row r="3034" spans="1:7" ht="44.25" customHeight="1">
      <c r="A3034" t="s">
        <v>10931</v>
      </c>
      <c r="B3034" t="s">
        <v>10932</v>
      </c>
      <c r="C3034" t="s">
        <v>136</v>
      </c>
      <c r="D3034" t="s">
        <v>79</v>
      </c>
      <c r="E3034" t="s">
        <v>10933</v>
      </c>
      <c r="F3034" t="s">
        <v>149</v>
      </c>
      <c r="G3034" t="s">
        <v>10934</v>
      </c>
    </row>
    <row r="3035" spans="1:7" ht="44.25" customHeight="1">
      <c r="A3035" t="s">
        <v>10935</v>
      </c>
      <c r="B3035" t="s">
        <v>10936</v>
      </c>
      <c r="C3035" t="s">
        <v>136</v>
      </c>
      <c r="D3035" t="s">
        <v>79</v>
      </c>
      <c r="E3035" t="s">
        <v>10937</v>
      </c>
      <c r="F3035" t="s">
        <v>149</v>
      </c>
      <c r="G3035" t="s">
        <v>10938</v>
      </c>
    </row>
    <row r="3036" spans="1:7" ht="44.25" customHeight="1">
      <c r="A3036" t="s">
        <v>10939</v>
      </c>
      <c r="B3036" t="s">
        <v>10940</v>
      </c>
      <c r="C3036" t="s">
        <v>136</v>
      </c>
      <c r="D3036" t="s">
        <v>2257</v>
      </c>
      <c r="E3036" t="s">
        <v>10941</v>
      </c>
      <c r="F3036" t="s">
        <v>149</v>
      </c>
      <c r="G3036" t="s">
        <v>10942</v>
      </c>
    </row>
    <row r="3037" spans="1:7" ht="44.25" customHeight="1">
      <c r="A3037" t="s">
        <v>10939</v>
      </c>
      <c r="B3037" t="s">
        <v>10940</v>
      </c>
      <c r="C3037" t="s">
        <v>136</v>
      </c>
      <c r="D3037" t="s">
        <v>2257</v>
      </c>
      <c r="E3037" t="s">
        <v>10941</v>
      </c>
      <c r="F3037" t="s">
        <v>149</v>
      </c>
      <c r="G3037" t="s">
        <v>10942</v>
      </c>
    </row>
    <row r="3038" spans="1:7" ht="44.25" customHeight="1">
      <c r="A3038" t="s">
        <v>10943</v>
      </c>
      <c r="B3038" t="s">
        <v>10944</v>
      </c>
      <c r="C3038" t="s">
        <v>136</v>
      </c>
      <c r="D3038" t="s">
        <v>79</v>
      </c>
      <c r="E3038" t="s">
        <v>10945</v>
      </c>
      <c r="F3038" t="s">
        <v>149</v>
      </c>
      <c r="G3038" t="s">
        <v>10946</v>
      </c>
    </row>
    <row r="3039" spans="1:7" ht="44.25" customHeight="1">
      <c r="A3039" t="s">
        <v>10947</v>
      </c>
      <c r="B3039" t="s">
        <v>10948</v>
      </c>
      <c r="C3039" t="s">
        <v>136</v>
      </c>
      <c r="D3039" t="s">
        <v>79</v>
      </c>
      <c r="E3039" t="s">
        <v>10949</v>
      </c>
      <c r="F3039" t="s">
        <v>149</v>
      </c>
      <c r="G3039" t="s">
        <v>10950</v>
      </c>
    </row>
    <row r="3040" spans="1:7" ht="44.25" customHeight="1">
      <c r="A3040" t="s">
        <v>10951</v>
      </c>
      <c r="B3040" t="s">
        <v>10952</v>
      </c>
      <c r="C3040" t="s">
        <v>136</v>
      </c>
      <c r="D3040" t="s">
        <v>79</v>
      </c>
      <c r="E3040" t="s">
        <v>10953</v>
      </c>
      <c r="F3040" t="s">
        <v>149</v>
      </c>
      <c r="G3040" t="s">
        <v>10954</v>
      </c>
    </row>
    <row r="3041" spans="1:7" ht="44.25" customHeight="1">
      <c r="A3041" t="s">
        <v>10955</v>
      </c>
      <c r="B3041" t="s">
        <v>10956</v>
      </c>
      <c r="C3041" t="s">
        <v>136</v>
      </c>
      <c r="D3041" t="s">
        <v>2257</v>
      </c>
      <c r="E3041" t="s">
        <v>1607</v>
      </c>
      <c r="F3041" t="s">
        <v>149</v>
      </c>
      <c r="G3041" t="s">
        <v>10957</v>
      </c>
    </row>
    <row r="3042" spans="1:7" ht="44.25" customHeight="1">
      <c r="A3042" t="s">
        <v>10958</v>
      </c>
      <c r="B3042" t="s">
        <v>10959</v>
      </c>
      <c r="C3042" t="s">
        <v>10960</v>
      </c>
      <c r="D3042" t="s">
        <v>2257</v>
      </c>
      <c r="E3042" t="s">
        <v>1503</v>
      </c>
      <c r="F3042" t="s">
        <v>149</v>
      </c>
      <c r="G3042" t="s">
        <v>10961</v>
      </c>
    </row>
    <row r="3043" spans="1:7" ht="44.25" customHeight="1">
      <c r="A3043" t="s">
        <v>10962</v>
      </c>
      <c r="B3043" t="s">
        <v>10963</v>
      </c>
      <c r="C3043" t="s">
        <v>136</v>
      </c>
      <c r="D3043" t="s">
        <v>2257</v>
      </c>
      <c r="E3043" t="s">
        <v>2399</v>
      </c>
      <c r="F3043" t="s">
        <v>149</v>
      </c>
      <c r="G3043" t="s">
        <v>10964</v>
      </c>
    </row>
    <row r="3044" spans="1:7" ht="44.25" customHeight="1">
      <c r="A3044" t="s">
        <v>285</v>
      </c>
      <c r="B3044" t="s">
        <v>10965</v>
      </c>
      <c r="C3044" t="s">
        <v>136</v>
      </c>
      <c r="D3044" t="s">
        <v>2257</v>
      </c>
      <c r="E3044" t="s">
        <v>1607</v>
      </c>
      <c r="F3044" t="s">
        <v>149</v>
      </c>
      <c r="G3044" t="s">
        <v>10966</v>
      </c>
    </row>
    <row r="3045" spans="1:7" ht="44.25" customHeight="1">
      <c r="A3045" t="s">
        <v>10967</v>
      </c>
      <c r="B3045" t="s">
        <v>10968</v>
      </c>
      <c r="C3045" t="s">
        <v>136</v>
      </c>
      <c r="D3045" t="s">
        <v>2257</v>
      </c>
      <c r="E3045" t="s">
        <v>1607</v>
      </c>
      <c r="F3045" t="s">
        <v>149</v>
      </c>
      <c r="G3045" t="s">
        <v>10969</v>
      </c>
    </row>
    <row r="3046" spans="1:7" ht="44.25" customHeight="1">
      <c r="A3046" t="s">
        <v>837</v>
      </c>
      <c r="B3046" t="s">
        <v>10970</v>
      </c>
      <c r="C3046" t="s">
        <v>136</v>
      </c>
      <c r="D3046" t="s">
        <v>2257</v>
      </c>
      <c r="E3046" t="s">
        <v>3423</v>
      </c>
      <c r="F3046" t="s">
        <v>149</v>
      </c>
      <c r="G3046" t="s">
        <v>10971</v>
      </c>
    </row>
    <row r="3047" spans="1:7" ht="44.25" customHeight="1">
      <c r="A3047" t="s">
        <v>566</v>
      </c>
      <c r="B3047" t="s">
        <v>10972</v>
      </c>
      <c r="C3047" t="s">
        <v>136</v>
      </c>
      <c r="D3047" t="s">
        <v>79</v>
      </c>
      <c r="E3047" t="s">
        <v>3416</v>
      </c>
      <c r="F3047" t="s">
        <v>149</v>
      </c>
      <c r="G3047" t="s">
        <v>10973</v>
      </c>
    </row>
    <row r="3048" spans="1:7" ht="44.25" customHeight="1">
      <c r="A3048" t="s">
        <v>566</v>
      </c>
      <c r="B3048" t="s">
        <v>10972</v>
      </c>
      <c r="C3048" t="s">
        <v>136</v>
      </c>
      <c r="D3048" t="s">
        <v>79</v>
      </c>
      <c r="E3048" t="s">
        <v>3416</v>
      </c>
      <c r="F3048" t="s">
        <v>149</v>
      </c>
      <c r="G3048" t="s">
        <v>10973</v>
      </c>
    </row>
    <row r="3049" spans="1:7" ht="44.25" customHeight="1">
      <c r="A3049" t="s">
        <v>10974</v>
      </c>
      <c r="B3049" t="s">
        <v>10975</v>
      </c>
      <c r="C3049" t="s">
        <v>136</v>
      </c>
      <c r="D3049" t="s">
        <v>2257</v>
      </c>
      <c r="E3049" t="s">
        <v>8486</v>
      </c>
      <c r="F3049" t="s">
        <v>149</v>
      </c>
      <c r="G3049" t="s">
        <v>10976</v>
      </c>
    </row>
    <row r="3050" spans="1:7" ht="44.25" customHeight="1">
      <c r="A3050" t="s">
        <v>10977</v>
      </c>
      <c r="B3050" t="s">
        <v>10978</v>
      </c>
      <c r="C3050" t="s">
        <v>136</v>
      </c>
      <c r="D3050" t="s">
        <v>2253</v>
      </c>
      <c r="E3050" t="s">
        <v>1432</v>
      </c>
      <c r="F3050" t="s">
        <v>149</v>
      </c>
      <c r="G3050" t="s">
        <v>10979</v>
      </c>
    </row>
    <row r="3051" spans="1:7" ht="44.25" customHeight="1">
      <c r="A3051" t="s">
        <v>10980</v>
      </c>
      <c r="B3051" t="s">
        <v>10981</v>
      </c>
      <c r="C3051" t="s">
        <v>136</v>
      </c>
      <c r="D3051" t="s">
        <v>2253</v>
      </c>
      <c r="E3051" t="s">
        <v>1432</v>
      </c>
      <c r="F3051" t="s">
        <v>149</v>
      </c>
      <c r="G3051" t="s">
        <v>10982</v>
      </c>
    </row>
    <row r="3052" spans="1:7" ht="44.25" customHeight="1">
      <c r="A3052" t="s">
        <v>10983</v>
      </c>
      <c r="B3052" t="s">
        <v>10984</v>
      </c>
      <c r="C3052" t="s">
        <v>136</v>
      </c>
      <c r="D3052" t="s">
        <v>2257</v>
      </c>
      <c r="E3052" t="s">
        <v>2276</v>
      </c>
      <c r="F3052" t="s">
        <v>149</v>
      </c>
      <c r="G3052" t="s">
        <v>10985</v>
      </c>
    </row>
    <row r="3053" spans="1:7" ht="44.25" customHeight="1">
      <c r="A3053" t="s">
        <v>355</v>
      </c>
      <c r="B3053" t="s">
        <v>10986</v>
      </c>
      <c r="C3053" t="s">
        <v>136</v>
      </c>
      <c r="D3053" t="s">
        <v>2257</v>
      </c>
      <c r="E3053" t="s">
        <v>2276</v>
      </c>
      <c r="F3053" t="s">
        <v>149</v>
      </c>
      <c r="G3053" t="s">
        <v>10987</v>
      </c>
    </row>
    <row r="3054" spans="1:7" ht="44.25" customHeight="1">
      <c r="A3054" t="s">
        <v>396</v>
      </c>
      <c r="B3054" t="s">
        <v>10988</v>
      </c>
      <c r="C3054" t="s">
        <v>136</v>
      </c>
      <c r="D3054" t="s">
        <v>2257</v>
      </c>
      <c r="E3054" t="s">
        <v>2276</v>
      </c>
      <c r="F3054" t="s">
        <v>149</v>
      </c>
      <c r="G3054" t="s">
        <v>10989</v>
      </c>
    </row>
    <row r="3055" spans="1:7" ht="44.25" customHeight="1">
      <c r="A3055" t="s">
        <v>743</v>
      </c>
      <c r="B3055" t="s">
        <v>10990</v>
      </c>
      <c r="C3055" t="s">
        <v>136</v>
      </c>
      <c r="D3055" t="s">
        <v>2257</v>
      </c>
      <c r="E3055" t="s">
        <v>2269</v>
      </c>
      <c r="F3055" t="s">
        <v>149</v>
      </c>
      <c r="G3055" t="s">
        <v>10991</v>
      </c>
    </row>
    <row r="3056" spans="1:7" ht="44.25" customHeight="1">
      <c r="A3056" t="s">
        <v>957</v>
      </c>
      <c r="B3056" t="s">
        <v>10992</v>
      </c>
      <c r="C3056" t="s">
        <v>136</v>
      </c>
      <c r="D3056" t="s">
        <v>2257</v>
      </c>
      <c r="E3056" t="s">
        <v>2276</v>
      </c>
      <c r="F3056" t="s">
        <v>149</v>
      </c>
      <c r="G3056" t="s">
        <v>10993</v>
      </c>
    </row>
    <row r="3057" spans="1:7" ht="44.25" customHeight="1">
      <c r="A3057" t="s">
        <v>733</v>
      </c>
      <c r="B3057" t="s">
        <v>10994</v>
      </c>
      <c r="C3057" t="s">
        <v>136</v>
      </c>
      <c r="D3057" t="s">
        <v>2257</v>
      </c>
      <c r="E3057" t="s">
        <v>2269</v>
      </c>
      <c r="F3057" t="s">
        <v>149</v>
      </c>
      <c r="G3057" t="s">
        <v>10995</v>
      </c>
    </row>
    <row r="3058" spans="1:7" ht="44.25" customHeight="1">
      <c r="A3058" t="s">
        <v>10996</v>
      </c>
      <c r="B3058" t="s">
        <v>10997</v>
      </c>
      <c r="C3058" t="s">
        <v>136</v>
      </c>
      <c r="D3058" t="s">
        <v>2257</v>
      </c>
      <c r="E3058" t="s">
        <v>3427</v>
      </c>
      <c r="F3058" t="s">
        <v>149</v>
      </c>
      <c r="G3058" t="s">
        <v>10998</v>
      </c>
    </row>
    <row r="3059" spans="1:7" ht="44.25" customHeight="1">
      <c r="A3059" t="s">
        <v>136</v>
      </c>
      <c r="B3059" t="s">
        <v>8653</v>
      </c>
      <c r="C3059" t="s">
        <v>136</v>
      </c>
      <c r="D3059" t="s">
        <v>79</v>
      </c>
      <c r="E3059" t="s">
        <v>3482</v>
      </c>
      <c r="F3059" t="s">
        <v>149</v>
      </c>
      <c r="G3059" t="s">
        <v>10999</v>
      </c>
    </row>
    <row r="3060" spans="1:7" ht="44.25" customHeight="1">
      <c r="A3060" t="s">
        <v>11000</v>
      </c>
      <c r="B3060" t="s">
        <v>11001</v>
      </c>
      <c r="C3060" t="s">
        <v>136</v>
      </c>
      <c r="D3060" t="s">
        <v>79</v>
      </c>
      <c r="E3060" t="s">
        <v>11002</v>
      </c>
      <c r="F3060" t="s">
        <v>149</v>
      </c>
      <c r="G3060" t="s">
        <v>11003</v>
      </c>
    </row>
    <row r="3061" spans="1:7" ht="44.25" customHeight="1">
      <c r="A3061" t="s">
        <v>11004</v>
      </c>
      <c r="B3061" t="s">
        <v>11005</v>
      </c>
      <c r="C3061" t="s">
        <v>136</v>
      </c>
      <c r="D3061" t="s">
        <v>2257</v>
      </c>
      <c r="E3061" t="s">
        <v>1432</v>
      </c>
      <c r="F3061" t="s">
        <v>149</v>
      </c>
      <c r="G3061" t="s">
        <v>11006</v>
      </c>
    </row>
    <row r="3062" spans="1:7" ht="44.25" customHeight="1">
      <c r="A3062" t="s">
        <v>11007</v>
      </c>
      <c r="B3062" t="s">
        <v>11008</v>
      </c>
      <c r="C3062" t="s">
        <v>136</v>
      </c>
      <c r="D3062" t="s">
        <v>2257</v>
      </c>
      <c r="E3062" t="s">
        <v>2276</v>
      </c>
      <c r="F3062" t="s">
        <v>149</v>
      </c>
      <c r="G3062" t="s">
        <v>11009</v>
      </c>
    </row>
    <row r="3063" spans="1:7" ht="44.25" customHeight="1">
      <c r="A3063" t="s">
        <v>961</v>
      </c>
      <c r="B3063" t="s">
        <v>11010</v>
      </c>
      <c r="C3063" t="s">
        <v>136</v>
      </c>
      <c r="D3063" t="s">
        <v>2257</v>
      </c>
      <c r="E3063" t="s">
        <v>2276</v>
      </c>
      <c r="F3063" t="s">
        <v>149</v>
      </c>
      <c r="G3063" t="s">
        <v>11011</v>
      </c>
    </row>
    <row r="3064" spans="1:7" ht="44.25" customHeight="1">
      <c r="A3064" t="s">
        <v>900</v>
      </c>
      <c r="B3064" t="s">
        <v>11012</v>
      </c>
      <c r="C3064" t="s">
        <v>136</v>
      </c>
      <c r="D3064" t="s">
        <v>79</v>
      </c>
      <c r="E3064" t="s">
        <v>4699</v>
      </c>
      <c r="F3064" t="s">
        <v>149</v>
      </c>
      <c r="G3064" t="s">
        <v>11013</v>
      </c>
    </row>
    <row r="3065" spans="1:7" ht="44.25" customHeight="1">
      <c r="A3065" t="s">
        <v>591</v>
      </c>
      <c r="B3065" t="s">
        <v>11014</v>
      </c>
      <c r="C3065" t="s">
        <v>136</v>
      </c>
      <c r="D3065" t="s">
        <v>2257</v>
      </c>
      <c r="E3065" t="s">
        <v>4774</v>
      </c>
      <c r="F3065" t="s">
        <v>149</v>
      </c>
      <c r="G3065" t="s">
        <v>11015</v>
      </c>
    </row>
    <row r="3066" spans="1:7" ht="44.25" customHeight="1">
      <c r="A3066" t="s">
        <v>11016</v>
      </c>
      <c r="B3066" t="s">
        <v>11017</v>
      </c>
      <c r="C3066" t="s">
        <v>136</v>
      </c>
      <c r="D3066" t="s">
        <v>79</v>
      </c>
      <c r="E3066" t="s">
        <v>11018</v>
      </c>
      <c r="F3066" t="s">
        <v>149</v>
      </c>
      <c r="G3066" t="s">
        <v>11019</v>
      </c>
    </row>
    <row r="3067" spans="1:7" ht="44.25" customHeight="1">
      <c r="A3067" t="s">
        <v>11020</v>
      </c>
      <c r="B3067" t="s">
        <v>11021</v>
      </c>
      <c r="C3067" t="s">
        <v>136</v>
      </c>
      <c r="D3067" t="s">
        <v>79</v>
      </c>
      <c r="E3067" t="s">
        <v>11022</v>
      </c>
      <c r="F3067" t="s">
        <v>149</v>
      </c>
      <c r="G3067" t="s">
        <v>11023</v>
      </c>
    </row>
    <row r="3068" spans="1:7" ht="44.25" customHeight="1">
      <c r="A3068" t="s">
        <v>11024</v>
      </c>
      <c r="B3068" t="s">
        <v>11025</v>
      </c>
      <c r="C3068" t="s">
        <v>136</v>
      </c>
      <c r="D3068" t="s">
        <v>2398</v>
      </c>
      <c r="E3068" t="s">
        <v>2399</v>
      </c>
      <c r="F3068" t="s">
        <v>149</v>
      </c>
      <c r="G3068" t="s">
        <v>11026</v>
      </c>
    </row>
    <row r="3069" spans="1:7" ht="44.25" customHeight="1">
      <c r="A3069" t="s">
        <v>11027</v>
      </c>
      <c r="B3069" t="s">
        <v>11028</v>
      </c>
      <c r="C3069" t="s">
        <v>136</v>
      </c>
      <c r="D3069" t="s">
        <v>2257</v>
      </c>
      <c r="E3069" t="s">
        <v>2399</v>
      </c>
      <c r="F3069" t="s">
        <v>149</v>
      </c>
      <c r="G3069" t="s">
        <v>11029</v>
      </c>
    </row>
    <row r="3070" spans="1:7" ht="44.25" customHeight="1">
      <c r="A3070" t="s">
        <v>11030</v>
      </c>
      <c r="B3070" t="s">
        <v>11031</v>
      </c>
      <c r="C3070" t="s">
        <v>136</v>
      </c>
      <c r="D3070" t="s">
        <v>2257</v>
      </c>
      <c r="E3070" t="s">
        <v>2695</v>
      </c>
      <c r="F3070" t="s">
        <v>149</v>
      </c>
      <c r="G3070" t="s">
        <v>11032</v>
      </c>
    </row>
    <row r="3071" spans="1:7" ht="44.25" customHeight="1">
      <c r="A3071" t="s">
        <v>272</v>
      </c>
      <c r="B3071" t="s">
        <v>11033</v>
      </c>
      <c r="C3071" t="s">
        <v>136</v>
      </c>
      <c r="D3071" t="s">
        <v>2257</v>
      </c>
      <c r="E3071" t="s">
        <v>1607</v>
      </c>
      <c r="F3071" t="s">
        <v>149</v>
      </c>
      <c r="G3071" t="s">
        <v>11034</v>
      </c>
    </row>
    <row r="3072" spans="1:7" ht="44.25" customHeight="1">
      <c r="A3072" t="s">
        <v>11035</v>
      </c>
      <c r="B3072" t="s">
        <v>11036</v>
      </c>
      <c r="C3072" t="s">
        <v>136</v>
      </c>
      <c r="D3072" t="s">
        <v>2257</v>
      </c>
      <c r="E3072" t="s">
        <v>2399</v>
      </c>
      <c r="F3072" t="s">
        <v>149</v>
      </c>
      <c r="G3072" t="s">
        <v>11037</v>
      </c>
    </row>
    <row r="3073" spans="1:7" ht="44.25" customHeight="1">
      <c r="A3073" t="s">
        <v>11038</v>
      </c>
      <c r="B3073" t="s">
        <v>11039</v>
      </c>
      <c r="C3073" t="s">
        <v>136</v>
      </c>
      <c r="D3073" t="s">
        <v>79</v>
      </c>
      <c r="E3073" t="s">
        <v>3565</v>
      </c>
      <c r="F3073" t="s">
        <v>149</v>
      </c>
      <c r="G3073" t="s">
        <v>11040</v>
      </c>
    </row>
    <row r="3074" spans="1:7" ht="44.25" customHeight="1">
      <c r="A3074" t="s">
        <v>823</v>
      </c>
      <c r="B3074" t="s">
        <v>11041</v>
      </c>
      <c r="C3074" t="s">
        <v>136</v>
      </c>
      <c r="D3074" t="s">
        <v>2257</v>
      </c>
      <c r="E3074" t="s">
        <v>10065</v>
      </c>
      <c r="F3074" t="s">
        <v>149</v>
      </c>
      <c r="G3074" t="s">
        <v>11042</v>
      </c>
    </row>
    <row r="3075" spans="1:7" ht="44.25" customHeight="1">
      <c r="A3075" t="s">
        <v>11043</v>
      </c>
      <c r="B3075" t="s">
        <v>11044</v>
      </c>
      <c r="C3075" t="s">
        <v>136</v>
      </c>
      <c r="D3075" t="s">
        <v>79</v>
      </c>
      <c r="E3075" t="s">
        <v>8047</v>
      </c>
      <c r="F3075" t="s">
        <v>149</v>
      </c>
      <c r="G3075" t="s">
        <v>11045</v>
      </c>
    </row>
    <row r="3076" spans="1:7" ht="44.25" customHeight="1">
      <c r="A3076" t="s">
        <v>11046</v>
      </c>
      <c r="B3076" t="s">
        <v>11047</v>
      </c>
      <c r="C3076" t="s">
        <v>136</v>
      </c>
      <c r="D3076" t="s">
        <v>79</v>
      </c>
      <c r="E3076" t="s">
        <v>11048</v>
      </c>
      <c r="F3076" t="s">
        <v>149</v>
      </c>
      <c r="G3076" t="s">
        <v>11049</v>
      </c>
    </row>
    <row r="3077" spans="1:7" ht="44.25" customHeight="1">
      <c r="A3077" t="s">
        <v>11050</v>
      </c>
      <c r="B3077" t="s">
        <v>11051</v>
      </c>
      <c r="C3077" t="s">
        <v>136</v>
      </c>
      <c r="D3077" t="s">
        <v>79</v>
      </c>
      <c r="E3077" t="s">
        <v>11052</v>
      </c>
      <c r="F3077" t="s">
        <v>149</v>
      </c>
      <c r="G3077" t="s">
        <v>11053</v>
      </c>
    </row>
    <row r="3078" spans="1:7" ht="44.25" customHeight="1">
      <c r="A3078" t="s">
        <v>11054</v>
      </c>
      <c r="B3078" t="s">
        <v>11055</v>
      </c>
      <c r="C3078" t="s">
        <v>136</v>
      </c>
      <c r="D3078" t="s">
        <v>2257</v>
      </c>
      <c r="E3078" t="s">
        <v>2269</v>
      </c>
      <c r="F3078" t="s">
        <v>149</v>
      </c>
      <c r="G3078" t="s">
        <v>11056</v>
      </c>
    </row>
    <row r="3079" spans="1:7" ht="44.25" customHeight="1">
      <c r="A3079" t="s">
        <v>11057</v>
      </c>
      <c r="B3079" t="s">
        <v>11058</v>
      </c>
      <c r="C3079" t="s">
        <v>136</v>
      </c>
      <c r="D3079" t="s">
        <v>2257</v>
      </c>
      <c r="E3079" t="s">
        <v>2276</v>
      </c>
      <c r="F3079" t="s">
        <v>149</v>
      </c>
      <c r="G3079" t="s">
        <v>11059</v>
      </c>
    </row>
    <row r="3080" spans="1:7" ht="44.25" customHeight="1">
      <c r="A3080" t="s">
        <v>1020</v>
      </c>
      <c r="B3080" t="s">
        <v>11060</v>
      </c>
      <c r="C3080" t="s">
        <v>136</v>
      </c>
      <c r="D3080" t="s">
        <v>2257</v>
      </c>
      <c r="E3080" t="s">
        <v>2276</v>
      </c>
      <c r="F3080" t="s">
        <v>149</v>
      </c>
      <c r="G3080" t="s">
        <v>11061</v>
      </c>
    </row>
    <row r="3081" spans="1:7" ht="44.25" customHeight="1">
      <c r="A3081" t="s">
        <v>1044</v>
      </c>
      <c r="B3081" t="s">
        <v>11062</v>
      </c>
      <c r="C3081" t="s">
        <v>136</v>
      </c>
      <c r="D3081" t="s">
        <v>2257</v>
      </c>
      <c r="E3081" t="s">
        <v>4699</v>
      </c>
      <c r="F3081" t="s">
        <v>149</v>
      </c>
      <c r="G3081" t="s">
        <v>11063</v>
      </c>
    </row>
    <row r="3082" spans="1:7" ht="44.25" customHeight="1">
      <c r="A3082" t="s">
        <v>11064</v>
      </c>
      <c r="B3082" t="s">
        <v>11065</v>
      </c>
      <c r="C3082" t="s">
        <v>136</v>
      </c>
      <c r="D3082" t="s">
        <v>79</v>
      </c>
      <c r="E3082" t="s">
        <v>8550</v>
      </c>
      <c r="F3082" t="s">
        <v>149</v>
      </c>
      <c r="G3082" t="s">
        <v>11066</v>
      </c>
    </row>
    <row r="3083" spans="1:7" ht="44.25" customHeight="1">
      <c r="A3083" t="s">
        <v>11067</v>
      </c>
      <c r="B3083" t="s">
        <v>11068</v>
      </c>
      <c r="C3083" t="s">
        <v>136</v>
      </c>
      <c r="D3083" t="s">
        <v>79</v>
      </c>
      <c r="E3083" t="s">
        <v>11069</v>
      </c>
      <c r="F3083" t="s">
        <v>149</v>
      </c>
      <c r="G3083" t="s">
        <v>11070</v>
      </c>
    </row>
    <row r="3084" spans="1:7" ht="44.25" customHeight="1">
      <c r="A3084" t="s">
        <v>11071</v>
      </c>
      <c r="B3084" t="s">
        <v>11072</v>
      </c>
      <c r="C3084" t="s">
        <v>136</v>
      </c>
      <c r="D3084" t="s">
        <v>79</v>
      </c>
      <c r="E3084" t="s">
        <v>11073</v>
      </c>
      <c r="F3084" t="s">
        <v>149</v>
      </c>
      <c r="G3084" t="s">
        <v>11074</v>
      </c>
    </row>
    <row r="3085" spans="1:7" ht="44.25" customHeight="1">
      <c r="A3085" t="s">
        <v>11075</v>
      </c>
      <c r="B3085" t="s">
        <v>11076</v>
      </c>
      <c r="C3085" t="s">
        <v>136</v>
      </c>
      <c r="D3085" t="s">
        <v>79</v>
      </c>
      <c r="E3085" t="s">
        <v>11077</v>
      </c>
      <c r="F3085" t="s">
        <v>149</v>
      </c>
      <c r="G3085" t="s">
        <v>11078</v>
      </c>
    </row>
    <row r="3086" spans="1:7" ht="44.25" customHeight="1">
      <c r="A3086" t="s">
        <v>11079</v>
      </c>
      <c r="B3086" t="s">
        <v>11080</v>
      </c>
      <c r="C3086" t="s">
        <v>136</v>
      </c>
      <c r="D3086" t="s">
        <v>79</v>
      </c>
      <c r="E3086" t="s">
        <v>8147</v>
      </c>
      <c r="F3086" t="s">
        <v>149</v>
      </c>
      <c r="G3086" t="s">
        <v>11081</v>
      </c>
    </row>
    <row r="3087" spans="1:7" ht="44.25" customHeight="1">
      <c r="A3087" t="s">
        <v>11082</v>
      </c>
      <c r="B3087" t="s">
        <v>11083</v>
      </c>
      <c r="C3087" t="s">
        <v>136</v>
      </c>
      <c r="D3087" t="s">
        <v>2257</v>
      </c>
      <c r="E3087" t="s">
        <v>1607</v>
      </c>
      <c r="F3087" t="s">
        <v>149</v>
      </c>
      <c r="G3087" t="s">
        <v>11084</v>
      </c>
    </row>
    <row r="3088" spans="1:7" ht="44.25" customHeight="1">
      <c r="A3088" t="s">
        <v>11085</v>
      </c>
      <c r="B3088" t="s">
        <v>11086</v>
      </c>
      <c r="C3088" t="s">
        <v>136</v>
      </c>
      <c r="D3088" t="s">
        <v>2257</v>
      </c>
      <c r="E3088" t="s">
        <v>1607</v>
      </c>
      <c r="F3088" t="s">
        <v>149</v>
      </c>
      <c r="G3088" t="s">
        <v>11087</v>
      </c>
    </row>
    <row r="3089" spans="1:7" ht="44.25" customHeight="1">
      <c r="A3089" t="s">
        <v>11088</v>
      </c>
      <c r="B3089" t="s">
        <v>11089</v>
      </c>
      <c r="C3089" t="s">
        <v>136</v>
      </c>
      <c r="D3089" t="s">
        <v>2257</v>
      </c>
      <c r="E3089" t="s">
        <v>1607</v>
      </c>
      <c r="F3089" t="s">
        <v>149</v>
      </c>
      <c r="G3089" t="s">
        <v>11090</v>
      </c>
    </row>
    <row r="3090" spans="1:7" ht="44.25" customHeight="1">
      <c r="A3090" t="s">
        <v>608</v>
      </c>
      <c r="B3090" t="s">
        <v>11091</v>
      </c>
      <c r="C3090" t="s">
        <v>136</v>
      </c>
      <c r="D3090" t="s">
        <v>2257</v>
      </c>
      <c r="E3090" t="s">
        <v>3430</v>
      </c>
      <c r="F3090" t="s">
        <v>149</v>
      </c>
      <c r="G3090" t="s">
        <v>11092</v>
      </c>
    </row>
    <row r="3091" spans="1:7" ht="44.25" customHeight="1">
      <c r="A3091" t="s">
        <v>608</v>
      </c>
      <c r="B3091" t="s">
        <v>11091</v>
      </c>
      <c r="C3091" t="s">
        <v>136</v>
      </c>
      <c r="D3091" t="s">
        <v>2257</v>
      </c>
      <c r="E3091" t="s">
        <v>3430</v>
      </c>
      <c r="F3091" t="s">
        <v>149</v>
      </c>
      <c r="G3091" t="s">
        <v>11092</v>
      </c>
    </row>
    <row r="3092" spans="1:7" ht="44.25" customHeight="1">
      <c r="A3092" t="s">
        <v>11093</v>
      </c>
      <c r="B3092" t="s">
        <v>11094</v>
      </c>
      <c r="C3092" t="s">
        <v>136</v>
      </c>
      <c r="D3092" t="s">
        <v>79</v>
      </c>
      <c r="E3092" t="s">
        <v>1601</v>
      </c>
      <c r="F3092" t="s">
        <v>149</v>
      </c>
      <c r="G3092" t="s">
        <v>11095</v>
      </c>
    </row>
    <row r="3093" spans="1:7" ht="44.25" customHeight="1">
      <c r="A3093" t="s">
        <v>11096</v>
      </c>
      <c r="B3093" t="s">
        <v>11097</v>
      </c>
      <c r="C3093" t="s">
        <v>136</v>
      </c>
      <c r="D3093" t="s">
        <v>2257</v>
      </c>
      <c r="E3093" t="s">
        <v>1432</v>
      </c>
      <c r="F3093" t="s">
        <v>149</v>
      </c>
      <c r="G3093" t="s">
        <v>11098</v>
      </c>
    </row>
    <row r="3094" spans="1:7" ht="44.25" customHeight="1">
      <c r="A3094" t="s">
        <v>11099</v>
      </c>
      <c r="B3094" t="s">
        <v>11100</v>
      </c>
      <c r="C3094" t="s">
        <v>136</v>
      </c>
      <c r="D3094" t="s">
        <v>79</v>
      </c>
      <c r="E3094" t="s">
        <v>3910</v>
      </c>
      <c r="F3094" t="s">
        <v>149</v>
      </c>
      <c r="G3094" t="s">
        <v>11101</v>
      </c>
    </row>
    <row r="3095" spans="1:7" ht="44.25" customHeight="1">
      <c r="A3095" t="s">
        <v>11102</v>
      </c>
      <c r="B3095" t="s">
        <v>11103</v>
      </c>
      <c r="C3095" t="s">
        <v>136</v>
      </c>
      <c r="D3095" t="s">
        <v>2253</v>
      </c>
      <c r="E3095" t="s">
        <v>1432</v>
      </c>
      <c r="F3095" t="s">
        <v>149</v>
      </c>
      <c r="G3095" t="s">
        <v>11104</v>
      </c>
    </row>
    <row r="3096" spans="1:7" ht="44.25" customHeight="1">
      <c r="A3096" t="s">
        <v>11105</v>
      </c>
      <c r="B3096" t="s">
        <v>11106</v>
      </c>
      <c r="C3096" t="s">
        <v>136</v>
      </c>
      <c r="D3096" t="s">
        <v>2253</v>
      </c>
      <c r="E3096" t="s">
        <v>1432</v>
      </c>
      <c r="F3096" t="s">
        <v>149</v>
      </c>
      <c r="G3096" t="s">
        <v>11107</v>
      </c>
    </row>
    <row r="3097" spans="1:7" ht="44.25" customHeight="1">
      <c r="A3097" t="s">
        <v>1476</v>
      </c>
      <c r="B3097" t="s">
        <v>11108</v>
      </c>
      <c r="C3097" t="s">
        <v>136</v>
      </c>
      <c r="D3097" t="s">
        <v>2253</v>
      </c>
      <c r="E3097" t="s">
        <v>1432</v>
      </c>
      <c r="F3097" t="s">
        <v>149</v>
      </c>
      <c r="G3097" t="s">
        <v>11109</v>
      </c>
    </row>
    <row r="3098" spans="1:7" ht="44.25" customHeight="1">
      <c r="A3098" t="s">
        <v>11110</v>
      </c>
      <c r="B3098" t="s">
        <v>11111</v>
      </c>
      <c r="C3098" t="s">
        <v>136</v>
      </c>
      <c r="D3098" t="s">
        <v>2257</v>
      </c>
      <c r="E3098" t="s">
        <v>1607</v>
      </c>
      <c r="F3098" t="s">
        <v>149</v>
      </c>
      <c r="G3098" t="s">
        <v>11112</v>
      </c>
    </row>
    <row r="3099" spans="1:7" ht="44.25" customHeight="1">
      <c r="A3099" t="s">
        <v>11113</v>
      </c>
      <c r="B3099" t="s">
        <v>11114</v>
      </c>
      <c r="C3099" t="s">
        <v>136</v>
      </c>
      <c r="D3099" t="s">
        <v>2257</v>
      </c>
      <c r="E3099" t="s">
        <v>1607</v>
      </c>
      <c r="F3099" t="s">
        <v>149</v>
      </c>
      <c r="G3099" t="s">
        <v>11115</v>
      </c>
    </row>
    <row r="3100" spans="1:7" ht="44.25" customHeight="1">
      <c r="A3100" t="s">
        <v>11116</v>
      </c>
      <c r="B3100" t="s">
        <v>11117</v>
      </c>
      <c r="C3100" t="s">
        <v>136</v>
      </c>
      <c r="D3100" t="s">
        <v>2257</v>
      </c>
      <c r="E3100" t="s">
        <v>1607</v>
      </c>
      <c r="F3100" t="s">
        <v>149</v>
      </c>
      <c r="G3100" t="s">
        <v>11118</v>
      </c>
    </row>
    <row r="3101" spans="1:7" ht="44.25" customHeight="1">
      <c r="A3101" t="s">
        <v>11119</v>
      </c>
      <c r="B3101" t="s">
        <v>11120</v>
      </c>
      <c r="C3101" t="s">
        <v>136</v>
      </c>
      <c r="D3101" t="s">
        <v>2257</v>
      </c>
      <c r="E3101" t="s">
        <v>2399</v>
      </c>
      <c r="F3101" t="s">
        <v>149</v>
      </c>
      <c r="G3101" t="s">
        <v>11121</v>
      </c>
    </row>
    <row r="3102" spans="1:7" ht="44.25" customHeight="1">
      <c r="A3102" t="s">
        <v>11122</v>
      </c>
      <c r="B3102" t="s">
        <v>11123</v>
      </c>
      <c r="C3102" t="s">
        <v>136</v>
      </c>
      <c r="D3102" t="s">
        <v>79</v>
      </c>
      <c r="E3102" t="s">
        <v>11124</v>
      </c>
      <c r="F3102" t="s">
        <v>149</v>
      </c>
      <c r="G3102" t="s">
        <v>11125</v>
      </c>
    </row>
    <row r="3103" spans="1:7" ht="44.25" customHeight="1">
      <c r="A3103" t="s">
        <v>11126</v>
      </c>
      <c r="B3103" t="s">
        <v>11127</v>
      </c>
      <c r="C3103" t="s">
        <v>136</v>
      </c>
      <c r="D3103" t="s">
        <v>2257</v>
      </c>
      <c r="E3103" t="s">
        <v>2276</v>
      </c>
      <c r="F3103" t="s">
        <v>149</v>
      </c>
      <c r="G3103" t="s">
        <v>11128</v>
      </c>
    </row>
    <row r="3104" spans="1:7" ht="44.25" customHeight="1">
      <c r="A3104" t="s">
        <v>11129</v>
      </c>
      <c r="B3104" t="s">
        <v>11130</v>
      </c>
      <c r="C3104" t="s">
        <v>136</v>
      </c>
      <c r="D3104" t="s">
        <v>2253</v>
      </c>
      <c r="E3104" t="s">
        <v>1432</v>
      </c>
      <c r="F3104" t="s">
        <v>149</v>
      </c>
      <c r="G3104" t="s">
        <v>11131</v>
      </c>
    </row>
    <row r="3105" spans="1:7" ht="44.25" customHeight="1">
      <c r="A3105" t="s">
        <v>1323</v>
      </c>
      <c r="B3105" t="s">
        <v>11132</v>
      </c>
      <c r="C3105" t="s">
        <v>136</v>
      </c>
      <c r="D3105" t="s">
        <v>2257</v>
      </c>
      <c r="E3105" t="s">
        <v>2276</v>
      </c>
      <c r="F3105" t="s">
        <v>149</v>
      </c>
      <c r="G3105" t="s">
        <v>11133</v>
      </c>
    </row>
    <row r="3106" spans="1:7" ht="44.25" customHeight="1">
      <c r="A3106" t="s">
        <v>1472</v>
      </c>
      <c r="B3106" t="s">
        <v>11134</v>
      </c>
      <c r="C3106" t="s">
        <v>136</v>
      </c>
      <c r="D3106" t="s">
        <v>2253</v>
      </c>
      <c r="E3106" t="s">
        <v>1432</v>
      </c>
      <c r="F3106" t="s">
        <v>149</v>
      </c>
      <c r="G3106" t="s">
        <v>11135</v>
      </c>
    </row>
    <row r="3107" spans="1:7" ht="44.25" customHeight="1">
      <c r="A3107" t="s">
        <v>11136</v>
      </c>
      <c r="B3107" t="s">
        <v>11137</v>
      </c>
      <c r="C3107" t="s">
        <v>136</v>
      </c>
      <c r="D3107" t="s">
        <v>79</v>
      </c>
      <c r="E3107" t="s">
        <v>11138</v>
      </c>
      <c r="F3107" t="s">
        <v>149</v>
      </c>
      <c r="G3107" t="s">
        <v>11139</v>
      </c>
    </row>
    <row r="3108" spans="1:7" ht="44.25" customHeight="1">
      <c r="A3108" t="s">
        <v>136</v>
      </c>
      <c r="B3108" t="s">
        <v>11140</v>
      </c>
      <c r="C3108" t="s">
        <v>136</v>
      </c>
      <c r="D3108" t="s">
        <v>2257</v>
      </c>
      <c r="E3108" t="s">
        <v>5691</v>
      </c>
      <c r="F3108" t="s">
        <v>149</v>
      </c>
      <c r="G3108" t="s">
        <v>11141</v>
      </c>
    </row>
    <row r="3109" spans="1:7" ht="44.25" customHeight="1">
      <c r="A3109" t="s">
        <v>662</v>
      </c>
      <c r="B3109" t="s">
        <v>11142</v>
      </c>
      <c r="C3109" t="s">
        <v>136</v>
      </c>
      <c r="D3109" t="s">
        <v>79</v>
      </c>
      <c r="E3109" t="s">
        <v>11143</v>
      </c>
      <c r="F3109" t="s">
        <v>149</v>
      </c>
      <c r="G3109" t="s">
        <v>11144</v>
      </c>
    </row>
    <row r="3110" spans="1:7" ht="44.25" customHeight="1">
      <c r="A3110" t="s">
        <v>811</v>
      </c>
      <c r="B3110" t="s">
        <v>11145</v>
      </c>
      <c r="C3110" t="s">
        <v>136</v>
      </c>
      <c r="D3110" t="s">
        <v>79</v>
      </c>
      <c r="E3110" t="s">
        <v>11146</v>
      </c>
      <c r="F3110" t="s">
        <v>149</v>
      </c>
      <c r="G3110" t="s">
        <v>11147</v>
      </c>
    </row>
    <row r="3111" spans="1:7" ht="44.25" customHeight="1">
      <c r="A3111" t="s">
        <v>11148</v>
      </c>
      <c r="B3111" t="s">
        <v>11149</v>
      </c>
      <c r="C3111" t="s">
        <v>136</v>
      </c>
      <c r="D3111" t="s">
        <v>79</v>
      </c>
      <c r="E3111" t="s">
        <v>8147</v>
      </c>
      <c r="F3111" t="s">
        <v>149</v>
      </c>
      <c r="G3111" t="s">
        <v>11150</v>
      </c>
    </row>
    <row r="3112" spans="1:7" ht="44.25" customHeight="1">
      <c r="A3112" t="s">
        <v>11151</v>
      </c>
      <c r="B3112" t="s">
        <v>11152</v>
      </c>
      <c r="C3112" t="s">
        <v>136</v>
      </c>
      <c r="D3112" t="s">
        <v>2257</v>
      </c>
      <c r="E3112" t="s">
        <v>1607</v>
      </c>
      <c r="F3112" t="s">
        <v>149</v>
      </c>
      <c r="G3112" t="s">
        <v>11153</v>
      </c>
    </row>
    <row r="3113" spans="1:7" ht="44.25" customHeight="1">
      <c r="A3113" t="s">
        <v>11154</v>
      </c>
      <c r="B3113" t="s">
        <v>11155</v>
      </c>
      <c r="C3113" t="s">
        <v>136</v>
      </c>
      <c r="D3113" t="s">
        <v>2257</v>
      </c>
      <c r="E3113" t="s">
        <v>2685</v>
      </c>
      <c r="F3113" t="s">
        <v>149</v>
      </c>
      <c r="G3113" t="s">
        <v>11156</v>
      </c>
    </row>
    <row r="3114" spans="1:7" ht="44.25" customHeight="1">
      <c r="A3114" t="s">
        <v>11157</v>
      </c>
      <c r="B3114" t="s">
        <v>11158</v>
      </c>
      <c r="C3114" t="s">
        <v>136</v>
      </c>
      <c r="D3114" t="s">
        <v>2257</v>
      </c>
      <c r="E3114" t="s">
        <v>7212</v>
      </c>
      <c r="F3114" t="s">
        <v>149</v>
      </c>
      <c r="G3114" t="s">
        <v>11159</v>
      </c>
    </row>
    <row r="3115" spans="1:7" ht="44.25" customHeight="1">
      <c r="A3115" t="s">
        <v>11160</v>
      </c>
      <c r="B3115" t="s">
        <v>11161</v>
      </c>
      <c r="C3115" t="s">
        <v>136</v>
      </c>
      <c r="D3115" t="s">
        <v>2257</v>
      </c>
      <c r="E3115" t="s">
        <v>1607</v>
      </c>
      <c r="F3115" t="s">
        <v>149</v>
      </c>
      <c r="G3115" t="s">
        <v>11162</v>
      </c>
    </row>
    <row r="3116" spans="1:7" ht="44.25" customHeight="1">
      <c r="A3116" t="s">
        <v>11163</v>
      </c>
      <c r="B3116" t="s">
        <v>11164</v>
      </c>
      <c r="C3116" t="s">
        <v>136</v>
      </c>
      <c r="D3116" t="s">
        <v>2257</v>
      </c>
      <c r="E3116" t="s">
        <v>1607</v>
      </c>
      <c r="F3116" t="s">
        <v>149</v>
      </c>
      <c r="G3116" t="s">
        <v>11165</v>
      </c>
    </row>
    <row r="3117" spans="1:7" ht="44.25" customHeight="1">
      <c r="A3117" t="s">
        <v>6467</v>
      </c>
      <c r="B3117" t="s">
        <v>6468</v>
      </c>
      <c r="C3117" t="s">
        <v>136</v>
      </c>
      <c r="D3117" t="s">
        <v>79</v>
      </c>
      <c r="E3117" t="s">
        <v>3482</v>
      </c>
      <c r="F3117" t="s">
        <v>149</v>
      </c>
      <c r="G3117" t="s">
        <v>11166</v>
      </c>
    </row>
    <row r="3118" spans="1:7" ht="44.25" customHeight="1">
      <c r="A3118" t="s">
        <v>11167</v>
      </c>
      <c r="B3118" t="s">
        <v>11168</v>
      </c>
      <c r="C3118" t="s">
        <v>136</v>
      </c>
      <c r="D3118" t="s">
        <v>79</v>
      </c>
      <c r="E3118" t="s">
        <v>8643</v>
      </c>
      <c r="F3118" t="s">
        <v>149</v>
      </c>
      <c r="G3118" t="s">
        <v>11169</v>
      </c>
    </row>
    <row r="3119" spans="1:7" ht="44.25" customHeight="1">
      <c r="A3119" t="s">
        <v>11170</v>
      </c>
      <c r="B3119" t="s">
        <v>11171</v>
      </c>
      <c r="C3119" t="s">
        <v>136</v>
      </c>
      <c r="D3119" t="s">
        <v>2253</v>
      </c>
      <c r="E3119" t="s">
        <v>1432</v>
      </c>
      <c r="F3119" t="s">
        <v>149</v>
      </c>
      <c r="G3119" t="s">
        <v>11172</v>
      </c>
    </row>
    <row r="3120" spans="1:7" ht="44.25" customHeight="1">
      <c r="A3120" t="s">
        <v>1483</v>
      </c>
      <c r="B3120" t="s">
        <v>11173</v>
      </c>
      <c r="C3120" t="s">
        <v>136</v>
      </c>
      <c r="D3120" t="s">
        <v>2257</v>
      </c>
      <c r="E3120" t="s">
        <v>2276</v>
      </c>
      <c r="F3120" t="s">
        <v>149</v>
      </c>
      <c r="G3120" t="s">
        <v>11174</v>
      </c>
    </row>
    <row r="3121" spans="1:7" ht="44.25" customHeight="1">
      <c r="A3121" t="s">
        <v>800</v>
      </c>
      <c r="B3121" t="s">
        <v>11175</v>
      </c>
      <c r="C3121" t="s">
        <v>136</v>
      </c>
      <c r="D3121" t="s">
        <v>79</v>
      </c>
      <c r="E3121" t="s">
        <v>11176</v>
      </c>
      <c r="F3121" t="s">
        <v>149</v>
      </c>
      <c r="G3121" t="s">
        <v>11177</v>
      </c>
    </row>
    <row r="3122" spans="1:7" ht="44.25" customHeight="1">
      <c r="A3122" t="s">
        <v>11178</v>
      </c>
      <c r="B3122" t="s">
        <v>11179</v>
      </c>
      <c r="C3122" t="s">
        <v>136</v>
      </c>
      <c r="D3122" t="s">
        <v>79</v>
      </c>
      <c r="E3122" t="s">
        <v>4548</v>
      </c>
      <c r="F3122" t="s">
        <v>149</v>
      </c>
      <c r="G3122" t="s">
        <v>11180</v>
      </c>
    </row>
    <row r="3123" spans="1:7" ht="44.25" customHeight="1">
      <c r="A3123" t="s">
        <v>501</v>
      </c>
      <c r="B3123" t="s">
        <v>11181</v>
      </c>
      <c r="C3123" t="s">
        <v>136</v>
      </c>
      <c r="D3123" t="s">
        <v>79</v>
      </c>
      <c r="E3123" t="s">
        <v>2258</v>
      </c>
      <c r="F3123" t="s">
        <v>149</v>
      </c>
      <c r="G3123" t="s">
        <v>11182</v>
      </c>
    </row>
    <row r="3124" spans="1:7" ht="44.25" customHeight="1">
      <c r="A3124" t="s">
        <v>11183</v>
      </c>
      <c r="B3124" t="s">
        <v>11184</v>
      </c>
      <c r="C3124" t="s">
        <v>136</v>
      </c>
      <c r="D3124" t="s">
        <v>2257</v>
      </c>
      <c r="E3124" t="s">
        <v>9138</v>
      </c>
      <c r="F3124" t="s">
        <v>149</v>
      </c>
      <c r="G3124" t="s">
        <v>11185</v>
      </c>
    </row>
    <row r="3125" spans="1:7" ht="44.25" customHeight="1">
      <c r="A3125" t="s">
        <v>1480</v>
      </c>
      <c r="B3125" t="s">
        <v>11186</v>
      </c>
      <c r="C3125" t="s">
        <v>136</v>
      </c>
      <c r="D3125" t="s">
        <v>2253</v>
      </c>
      <c r="E3125" t="s">
        <v>1432</v>
      </c>
      <c r="F3125" t="s">
        <v>149</v>
      </c>
      <c r="G3125" t="s">
        <v>11187</v>
      </c>
    </row>
    <row r="3126" spans="1:7" ht="44.25" customHeight="1">
      <c r="A3126" t="s">
        <v>328</v>
      </c>
      <c r="B3126" t="s">
        <v>11188</v>
      </c>
      <c r="C3126" t="s">
        <v>136</v>
      </c>
      <c r="D3126" t="s">
        <v>2253</v>
      </c>
      <c r="E3126" t="s">
        <v>1432</v>
      </c>
      <c r="F3126" t="s">
        <v>149</v>
      </c>
      <c r="G3126" t="s">
        <v>11189</v>
      </c>
    </row>
    <row r="3127" spans="1:7" ht="44.25" customHeight="1">
      <c r="A3127" t="s">
        <v>1078</v>
      </c>
      <c r="B3127" t="s">
        <v>11190</v>
      </c>
      <c r="C3127" t="s">
        <v>136</v>
      </c>
      <c r="D3127" t="s">
        <v>2257</v>
      </c>
      <c r="E3127" t="s">
        <v>2265</v>
      </c>
      <c r="F3127" t="s">
        <v>149</v>
      </c>
      <c r="G3127" t="s">
        <v>11191</v>
      </c>
    </row>
    <row r="3128" spans="1:7" ht="44.25" customHeight="1">
      <c r="A3128" t="s">
        <v>772</v>
      </c>
      <c r="B3128" t="s">
        <v>11192</v>
      </c>
      <c r="C3128" t="s">
        <v>136</v>
      </c>
      <c r="D3128" t="s">
        <v>2257</v>
      </c>
      <c r="E3128" t="s">
        <v>1432</v>
      </c>
      <c r="F3128" t="s">
        <v>149</v>
      </c>
      <c r="G3128" t="s">
        <v>11193</v>
      </c>
    </row>
    <row r="3129" spans="1:7" ht="44.25" customHeight="1">
      <c r="A3129" t="s">
        <v>11194</v>
      </c>
      <c r="B3129" t="s">
        <v>11195</v>
      </c>
      <c r="C3129" t="s">
        <v>136</v>
      </c>
      <c r="D3129" t="s">
        <v>79</v>
      </c>
      <c r="E3129" t="s">
        <v>6211</v>
      </c>
      <c r="F3129" t="s">
        <v>149</v>
      </c>
      <c r="G3129" t="s">
        <v>11196</v>
      </c>
    </row>
    <row r="3130" spans="1:7" ht="44.25" customHeight="1">
      <c r="A3130" t="s">
        <v>11197</v>
      </c>
      <c r="B3130" t="s">
        <v>11198</v>
      </c>
      <c r="C3130" t="s">
        <v>136</v>
      </c>
      <c r="D3130" t="s">
        <v>79</v>
      </c>
      <c r="E3130" t="s">
        <v>11199</v>
      </c>
      <c r="F3130" t="s">
        <v>149</v>
      </c>
      <c r="G3130" t="s">
        <v>11200</v>
      </c>
    </row>
    <row r="3131" spans="1:7" ht="44.25" customHeight="1">
      <c r="A3131" t="s">
        <v>11201</v>
      </c>
      <c r="B3131" t="s">
        <v>11202</v>
      </c>
      <c r="C3131" t="s">
        <v>136</v>
      </c>
      <c r="D3131" t="s">
        <v>79</v>
      </c>
      <c r="E3131" t="s">
        <v>11203</v>
      </c>
      <c r="F3131" t="s">
        <v>149</v>
      </c>
      <c r="G3131" t="s">
        <v>11204</v>
      </c>
    </row>
    <row r="3132" spans="1:7" ht="44.25" customHeight="1">
      <c r="A3132" t="s">
        <v>11205</v>
      </c>
      <c r="B3132" t="s">
        <v>11206</v>
      </c>
      <c r="C3132" t="s">
        <v>136</v>
      </c>
      <c r="D3132" t="s">
        <v>2257</v>
      </c>
      <c r="E3132" t="s">
        <v>5684</v>
      </c>
      <c r="F3132" t="s">
        <v>149</v>
      </c>
      <c r="G3132" t="s">
        <v>11207</v>
      </c>
    </row>
    <row r="3133" spans="1:7" ht="44.25" customHeight="1">
      <c r="A3133" t="s">
        <v>11208</v>
      </c>
      <c r="B3133" t="s">
        <v>11209</v>
      </c>
      <c r="C3133" t="s">
        <v>136</v>
      </c>
      <c r="D3133" t="s">
        <v>2257</v>
      </c>
      <c r="E3133" t="s">
        <v>1607</v>
      </c>
      <c r="F3133" t="s">
        <v>149</v>
      </c>
      <c r="G3133" t="s">
        <v>11210</v>
      </c>
    </row>
    <row r="3134" spans="1:7" ht="44.25" customHeight="1">
      <c r="A3134" t="s">
        <v>11211</v>
      </c>
      <c r="B3134" t="s">
        <v>11212</v>
      </c>
      <c r="C3134" t="s">
        <v>136</v>
      </c>
      <c r="D3134" t="s">
        <v>2257</v>
      </c>
      <c r="E3134" t="s">
        <v>3427</v>
      </c>
      <c r="F3134" t="s">
        <v>149</v>
      </c>
      <c r="G3134" t="s">
        <v>11213</v>
      </c>
    </row>
    <row r="3135" spans="1:7" ht="44.25" customHeight="1">
      <c r="A3135" t="s">
        <v>590</v>
      </c>
      <c r="B3135" t="s">
        <v>11214</v>
      </c>
      <c r="C3135" t="s">
        <v>136</v>
      </c>
      <c r="D3135" t="s">
        <v>79</v>
      </c>
      <c r="E3135" t="s">
        <v>11215</v>
      </c>
      <c r="F3135" t="s">
        <v>149</v>
      </c>
      <c r="G3135" t="s">
        <v>11216</v>
      </c>
    </row>
    <row r="3136" spans="1:7" ht="44.25" customHeight="1">
      <c r="A3136" t="s">
        <v>866</v>
      </c>
      <c r="B3136" t="s">
        <v>11217</v>
      </c>
      <c r="C3136" t="s">
        <v>136</v>
      </c>
      <c r="D3136" t="s">
        <v>79</v>
      </c>
      <c r="E3136" t="s">
        <v>3686</v>
      </c>
      <c r="F3136" t="s">
        <v>149</v>
      </c>
      <c r="G3136" t="s">
        <v>11218</v>
      </c>
    </row>
    <row r="3137" spans="1:7" ht="44.25" customHeight="1">
      <c r="A3137" t="s">
        <v>11219</v>
      </c>
      <c r="B3137" t="s">
        <v>11220</v>
      </c>
      <c r="C3137" t="s">
        <v>136</v>
      </c>
      <c r="D3137" t="s">
        <v>2257</v>
      </c>
      <c r="E3137" t="s">
        <v>2276</v>
      </c>
      <c r="F3137" t="s">
        <v>149</v>
      </c>
      <c r="G3137" t="s">
        <v>11221</v>
      </c>
    </row>
    <row r="3138" spans="1:7" ht="44.25" customHeight="1">
      <c r="A3138" t="s">
        <v>992</v>
      </c>
      <c r="B3138" t="s">
        <v>11222</v>
      </c>
      <c r="C3138" t="s">
        <v>136</v>
      </c>
      <c r="D3138" t="s">
        <v>2257</v>
      </c>
      <c r="E3138" t="s">
        <v>2276</v>
      </c>
      <c r="F3138" t="s">
        <v>149</v>
      </c>
      <c r="G3138" t="s">
        <v>11223</v>
      </c>
    </row>
    <row r="3139" spans="1:7" ht="44.25" customHeight="1">
      <c r="A3139" t="s">
        <v>989</v>
      </c>
      <c r="B3139" t="s">
        <v>11224</v>
      </c>
      <c r="C3139" t="s">
        <v>136</v>
      </c>
      <c r="D3139" t="s">
        <v>2257</v>
      </c>
      <c r="E3139" t="s">
        <v>2276</v>
      </c>
      <c r="F3139" t="s">
        <v>149</v>
      </c>
      <c r="G3139" t="s">
        <v>11225</v>
      </c>
    </row>
    <row r="3140" spans="1:7" ht="44.25" customHeight="1">
      <c r="A3140" t="s">
        <v>956</v>
      </c>
      <c r="B3140" t="s">
        <v>11226</v>
      </c>
      <c r="C3140" t="s">
        <v>136</v>
      </c>
      <c r="D3140" t="s">
        <v>2257</v>
      </c>
      <c r="E3140" t="s">
        <v>2276</v>
      </c>
      <c r="F3140" t="s">
        <v>149</v>
      </c>
      <c r="G3140" t="s">
        <v>11227</v>
      </c>
    </row>
    <row r="3141" spans="1:7" ht="44.25" customHeight="1">
      <c r="A3141" t="s">
        <v>421</v>
      </c>
      <c r="B3141" t="s">
        <v>11228</v>
      </c>
      <c r="C3141" t="s">
        <v>136</v>
      </c>
      <c r="D3141" t="s">
        <v>79</v>
      </c>
      <c r="E3141" t="s">
        <v>11229</v>
      </c>
      <c r="F3141" t="s">
        <v>149</v>
      </c>
      <c r="G3141" t="s">
        <v>11230</v>
      </c>
    </row>
    <row r="3142" spans="1:7" ht="44.25" customHeight="1">
      <c r="A3142" t="s">
        <v>855</v>
      </c>
      <c r="B3142" t="s">
        <v>11231</v>
      </c>
      <c r="C3142" t="s">
        <v>136</v>
      </c>
      <c r="D3142" t="s">
        <v>2257</v>
      </c>
      <c r="E3142" t="s">
        <v>4124</v>
      </c>
      <c r="F3142" t="s">
        <v>149</v>
      </c>
      <c r="G3142" t="s">
        <v>11232</v>
      </c>
    </row>
    <row r="3143" spans="1:7" ht="44.25" customHeight="1">
      <c r="A3143" t="s">
        <v>725</v>
      </c>
      <c r="B3143" t="s">
        <v>11233</v>
      </c>
      <c r="C3143" t="s">
        <v>136</v>
      </c>
      <c r="D3143" t="s">
        <v>2257</v>
      </c>
      <c r="E3143" t="s">
        <v>2269</v>
      </c>
      <c r="F3143" t="s">
        <v>149</v>
      </c>
      <c r="G3143" t="s">
        <v>11234</v>
      </c>
    </row>
    <row r="3144" spans="1:7" ht="44.25" customHeight="1">
      <c r="A3144" t="s">
        <v>639</v>
      </c>
      <c r="B3144" t="s">
        <v>11235</v>
      </c>
      <c r="C3144" t="s">
        <v>136</v>
      </c>
      <c r="D3144" t="s">
        <v>79</v>
      </c>
      <c r="E3144" t="s">
        <v>7693</v>
      </c>
      <c r="F3144" t="s">
        <v>149</v>
      </c>
      <c r="G3144" t="s">
        <v>11236</v>
      </c>
    </row>
    <row r="3145" spans="1:7" ht="44.25" customHeight="1">
      <c r="A3145" t="s">
        <v>11237</v>
      </c>
      <c r="B3145" t="s">
        <v>11238</v>
      </c>
      <c r="C3145" t="s">
        <v>136</v>
      </c>
      <c r="D3145" t="s">
        <v>79</v>
      </c>
      <c r="E3145" t="s">
        <v>11239</v>
      </c>
      <c r="F3145" t="s">
        <v>149</v>
      </c>
      <c r="G3145" t="s">
        <v>11240</v>
      </c>
    </row>
    <row r="3146" spans="1:7" ht="44.25" customHeight="1">
      <c r="A3146" t="s">
        <v>11241</v>
      </c>
      <c r="B3146" t="s">
        <v>11242</v>
      </c>
      <c r="C3146" t="s">
        <v>136</v>
      </c>
      <c r="D3146" t="s">
        <v>79</v>
      </c>
      <c r="E3146" t="s">
        <v>11243</v>
      </c>
      <c r="F3146" t="s">
        <v>149</v>
      </c>
      <c r="G3146" t="s">
        <v>11244</v>
      </c>
    </row>
    <row r="3147" spans="1:7" ht="44.25" customHeight="1">
      <c r="A3147" t="s">
        <v>11245</v>
      </c>
      <c r="B3147" t="s">
        <v>11246</v>
      </c>
      <c r="C3147" t="s">
        <v>136</v>
      </c>
      <c r="D3147" t="s">
        <v>79</v>
      </c>
      <c r="E3147" t="s">
        <v>11247</v>
      </c>
      <c r="F3147" t="s">
        <v>149</v>
      </c>
      <c r="G3147" t="s">
        <v>11248</v>
      </c>
    </row>
    <row r="3148" spans="1:7" ht="44.25" customHeight="1">
      <c r="A3148" t="s">
        <v>11249</v>
      </c>
      <c r="B3148" t="s">
        <v>11250</v>
      </c>
      <c r="C3148" t="s">
        <v>136</v>
      </c>
      <c r="D3148" t="s">
        <v>79</v>
      </c>
      <c r="E3148" t="s">
        <v>11251</v>
      </c>
      <c r="F3148" t="s">
        <v>149</v>
      </c>
      <c r="G3148" t="s">
        <v>11252</v>
      </c>
    </row>
    <row r="3149" spans="1:7" ht="44.25" customHeight="1">
      <c r="A3149" t="s">
        <v>11253</v>
      </c>
      <c r="B3149" t="s">
        <v>11254</v>
      </c>
      <c r="C3149" t="s">
        <v>136</v>
      </c>
      <c r="D3149" t="s">
        <v>2257</v>
      </c>
      <c r="E3149" t="s">
        <v>6603</v>
      </c>
      <c r="F3149" t="s">
        <v>149</v>
      </c>
      <c r="G3149" t="s">
        <v>11255</v>
      </c>
    </row>
    <row r="3150" spans="1:7" ht="44.25" customHeight="1">
      <c r="A3150" t="s">
        <v>11256</v>
      </c>
      <c r="B3150" t="s">
        <v>11257</v>
      </c>
      <c r="C3150" t="s">
        <v>136</v>
      </c>
      <c r="D3150" t="s">
        <v>79</v>
      </c>
      <c r="E3150" t="s">
        <v>11258</v>
      </c>
      <c r="F3150" t="s">
        <v>149</v>
      </c>
      <c r="G3150" t="s">
        <v>11259</v>
      </c>
    </row>
    <row r="3151" spans="1:7" ht="44.25" customHeight="1">
      <c r="A3151" t="s">
        <v>11260</v>
      </c>
      <c r="B3151" t="s">
        <v>11261</v>
      </c>
      <c r="C3151" t="s">
        <v>136</v>
      </c>
      <c r="D3151" t="s">
        <v>2257</v>
      </c>
      <c r="E3151" t="s">
        <v>1607</v>
      </c>
      <c r="F3151" t="s">
        <v>149</v>
      </c>
      <c r="G3151" t="s">
        <v>11262</v>
      </c>
    </row>
    <row r="3152" spans="1:7" ht="44.25" customHeight="1">
      <c r="A3152" t="s">
        <v>11263</v>
      </c>
      <c r="B3152" t="s">
        <v>11264</v>
      </c>
      <c r="C3152" t="s">
        <v>136</v>
      </c>
      <c r="D3152" t="s">
        <v>2257</v>
      </c>
      <c r="E3152" t="s">
        <v>1607</v>
      </c>
      <c r="F3152" t="s">
        <v>149</v>
      </c>
      <c r="G3152" t="s">
        <v>11265</v>
      </c>
    </row>
    <row r="3153" spans="1:7" ht="44.25" customHeight="1">
      <c r="A3153" t="s">
        <v>11266</v>
      </c>
      <c r="B3153" t="s">
        <v>11267</v>
      </c>
      <c r="C3153" t="s">
        <v>136</v>
      </c>
      <c r="D3153" t="s">
        <v>79</v>
      </c>
      <c r="E3153" t="s">
        <v>3576</v>
      </c>
      <c r="F3153" t="s">
        <v>149</v>
      </c>
      <c r="G3153" t="s">
        <v>11268</v>
      </c>
    </row>
    <row r="3154" spans="1:7" ht="44.25" customHeight="1">
      <c r="A3154" t="s">
        <v>11269</v>
      </c>
      <c r="B3154" t="s">
        <v>11270</v>
      </c>
      <c r="C3154" t="s">
        <v>136</v>
      </c>
      <c r="D3154" t="s">
        <v>79</v>
      </c>
      <c r="E3154" t="s">
        <v>3402</v>
      </c>
      <c r="F3154" t="s">
        <v>149</v>
      </c>
      <c r="G3154" t="s">
        <v>11271</v>
      </c>
    </row>
    <row r="3155" spans="1:7" ht="44.25" customHeight="1">
      <c r="A3155" t="s">
        <v>11269</v>
      </c>
      <c r="B3155" t="s">
        <v>11270</v>
      </c>
      <c r="C3155" t="s">
        <v>136</v>
      </c>
      <c r="D3155" t="s">
        <v>79</v>
      </c>
      <c r="E3155" t="s">
        <v>3402</v>
      </c>
      <c r="F3155" t="s">
        <v>149</v>
      </c>
      <c r="G3155" t="s">
        <v>11271</v>
      </c>
    </row>
    <row r="3156" spans="1:7" ht="44.25" customHeight="1">
      <c r="A3156" t="s">
        <v>11272</v>
      </c>
      <c r="B3156" t="s">
        <v>11273</v>
      </c>
      <c r="C3156" t="s">
        <v>136</v>
      </c>
      <c r="D3156" t="s">
        <v>2253</v>
      </c>
      <c r="E3156" t="s">
        <v>1432</v>
      </c>
      <c r="F3156" t="s">
        <v>149</v>
      </c>
      <c r="G3156" t="s">
        <v>11274</v>
      </c>
    </row>
    <row r="3157" spans="1:7" ht="44.25" customHeight="1">
      <c r="A3157" t="s">
        <v>11275</v>
      </c>
      <c r="B3157" t="s">
        <v>11276</v>
      </c>
      <c r="C3157" t="s">
        <v>136</v>
      </c>
      <c r="D3157" t="s">
        <v>2253</v>
      </c>
      <c r="E3157" t="s">
        <v>1432</v>
      </c>
      <c r="F3157" t="s">
        <v>149</v>
      </c>
      <c r="G3157" t="s">
        <v>11277</v>
      </c>
    </row>
    <row r="3158" spans="1:7" ht="44.25" customHeight="1">
      <c r="A3158" t="s">
        <v>1382</v>
      </c>
      <c r="B3158" t="s">
        <v>11278</v>
      </c>
      <c r="C3158" t="s">
        <v>136</v>
      </c>
      <c r="D3158" t="s">
        <v>2253</v>
      </c>
      <c r="E3158" t="s">
        <v>2258</v>
      </c>
      <c r="F3158" t="s">
        <v>149</v>
      </c>
      <c r="G3158" t="s">
        <v>11279</v>
      </c>
    </row>
    <row r="3159" spans="1:7" ht="44.25" customHeight="1">
      <c r="A3159" t="s">
        <v>1443</v>
      </c>
      <c r="B3159" t="s">
        <v>11280</v>
      </c>
      <c r="C3159" t="s">
        <v>136</v>
      </c>
      <c r="D3159" t="s">
        <v>2257</v>
      </c>
      <c r="E3159" t="s">
        <v>2258</v>
      </c>
      <c r="F3159" t="s">
        <v>149</v>
      </c>
      <c r="G3159" t="s">
        <v>11281</v>
      </c>
    </row>
    <row r="3160" spans="1:7" ht="44.25" customHeight="1">
      <c r="A3160" t="s">
        <v>336</v>
      </c>
      <c r="B3160" t="s">
        <v>11282</v>
      </c>
      <c r="C3160" t="s">
        <v>136</v>
      </c>
      <c r="D3160" t="s">
        <v>2257</v>
      </c>
      <c r="E3160" t="s">
        <v>1430</v>
      </c>
      <c r="F3160" t="s">
        <v>149</v>
      </c>
      <c r="G3160" t="s">
        <v>11283</v>
      </c>
    </row>
    <row r="3161" spans="1:7" ht="44.25" customHeight="1">
      <c r="A3161" t="s">
        <v>742</v>
      </c>
      <c r="B3161" t="s">
        <v>11284</v>
      </c>
      <c r="C3161" t="s">
        <v>136</v>
      </c>
      <c r="D3161" t="s">
        <v>2257</v>
      </c>
      <c r="E3161" t="s">
        <v>2269</v>
      </c>
      <c r="F3161" t="s">
        <v>149</v>
      </c>
      <c r="G3161" t="s">
        <v>11285</v>
      </c>
    </row>
    <row r="3162" spans="1:7" ht="44.25" customHeight="1">
      <c r="A3162" t="s">
        <v>11286</v>
      </c>
      <c r="B3162" t="s">
        <v>11287</v>
      </c>
      <c r="C3162" t="s">
        <v>136</v>
      </c>
      <c r="D3162" t="s">
        <v>79</v>
      </c>
      <c r="E3162" t="s">
        <v>9138</v>
      </c>
      <c r="F3162" t="s">
        <v>149</v>
      </c>
      <c r="G3162" t="s">
        <v>11288</v>
      </c>
    </row>
    <row r="3163" spans="1:7" ht="44.25" customHeight="1">
      <c r="A3163" t="s">
        <v>738</v>
      </c>
      <c r="B3163" t="s">
        <v>11289</v>
      </c>
      <c r="C3163" t="s">
        <v>136</v>
      </c>
      <c r="D3163" t="s">
        <v>2257</v>
      </c>
      <c r="E3163" t="s">
        <v>2269</v>
      </c>
      <c r="F3163" t="s">
        <v>149</v>
      </c>
      <c r="G3163" t="s">
        <v>11290</v>
      </c>
    </row>
    <row r="3164" spans="1:7" ht="44.25" customHeight="1">
      <c r="A3164" t="s">
        <v>11291</v>
      </c>
      <c r="B3164" t="s">
        <v>11292</v>
      </c>
      <c r="C3164" t="s">
        <v>136</v>
      </c>
      <c r="D3164" t="s">
        <v>79</v>
      </c>
      <c r="E3164" t="s">
        <v>4205</v>
      </c>
      <c r="F3164" t="s">
        <v>149</v>
      </c>
      <c r="G3164" t="s">
        <v>11293</v>
      </c>
    </row>
    <row r="3165" spans="1:7" ht="44.25" customHeight="1">
      <c r="A3165" t="s">
        <v>11294</v>
      </c>
      <c r="B3165" t="s">
        <v>11295</v>
      </c>
      <c r="C3165" t="s">
        <v>136</v>
      </c>
      <c r="D3165" t="s">
        <v>79</v>
      </c>
      <c r="E3165" t="s">
        <v>11296</v>
      </c>
      <c r="F3165" t="s">
        <v>149</v>
      </c>
      <c r="G3165" t="s">
        <v>11297</v>
      </c>
    </row>
    <row r="3166" spans="1:7" ht="44.25" customHeight="1">
      <c r="A3166" t="s">
        <v>11298</v>
      </c>
      <c r="B3166" t="s">
        <v>11299</v>
      </c>
      <c r="C3166" t="s">
        <v>136</v>
      </c>
      <c r="D3166" t="s">
        <v>2257</v>
      </c>
      <c r="E3166" t="s">
        <v>5684</v>
      </c>
      <c r="F3166" t="s">
        <v>149</v>
      </c>
      <c r="G3166" t="s">
        <v>11300</v>
      </c>
    </row>
    <row r="3167" spans="1:7" ht="44.25" customHeight="1">
      <c r="A3167" t="s">
        <v>136</v>
      </c>
      <c r="B3167" t="s">
        <v>11301</v>
      </c>
      <c r="C3167" t="s">
        <v>136</v>
      </c>
      <c r="D3167" t="s">
        <v>2257</v>
      </c>
      <c r="E3167" t="s">
        <v>5691</v>
      </c>
      <c r="F3167" t="s">
        <v>149</v>
      </c>
      <c r="G3167" t="s">
        <v>11302</v>
      </c>
    </row>
    <row r="3168" spans="1:7" ht="44.25" customHeight="1">
      <c r="A3168" t="s">
        <v>136</v>
      </c>
      <c r="B3168" t="s">
        <v>11303</v>
      </c>
      <c r="C3168" t="s">
        <v>136</v>
      </c>
      <c r="D3168" t="s">
        <v>2257</v>
      </c>
      <c r="E3168" t="s">
        <v>2399</v>
      </c>
      <c r="F3168" t="s">
        <v>149</v>
      </c>
      <c r="G3168" t="s">
        <v>11304</v>
      </c>
    </row>
    <row r="3169" spans="1:7" ht="44.25" customHeight="1">
      <c r="A3169" t="s">
        <v>11305</v>
      </c>
      <c r="B3169" t="s">
        <v>11306</v>
      </c>
      <c r="C3169" t="s">
        <v>136</v>
      </c>
      <c r="D3169" t="s">
        <v>2257</v>
      </c>
      <c r="E3169" t="s">
        <v>1607</v>
      </c>
      <c r="F3169" t="s">
        <v>149</v>
      </c>
      <c r="G3169" t="s">
        <v>11307</v>
      </c>
    </row>
    <row r="3170" spans="1:7" ht="44.25" customHeight="1">
      <c r="A3170" t="s">
        <v>11308</v>
      </c>
      <c r="B3170" t="s">
        <v>11309</v>
      </c>
      <c r="C3170" t="s">
        <v>136</v>
      </c>
      <c r="D3170" t="s">
        <v>2257</v>
      </c>
      <c r="E3170" t="s">
        <v>1607</v>
      </c>
      <c r="F3170" t="s">
        <v>149</v>
      </c>
      <c r="G3170" t="s">
        <v>11310</v>
      </c>
    </row>
    <row r="3171" spans="1:7" ht="44.25" customHeight="1">
      <c r="A3171" t="s">
        <v>11311</v>
      </c>
      <c r="B3171" t="s">
        <v>11312</v>
      </c>
      <c r="C3171" t="s">
        <v>136</v>
      </c>
      <c r="D3171" t="s">
        <v>2257</v>
      </c>
      <c r="E3171" t="s">
        <v>1607</v>
      </c>
      <c r="F3171" t="s">
        <v>149</v>
      </c>
      <c r="G3171" t="s">
        <v>11313</v>
      </c>
    </row>
    <row r="3172" spans="1:7" ht="44.25" customHeight="1">
      <c r="A3172" t="s">
        <v>11314</v>
      </c>
      <c r="B3172" t="s">
        <v>11315</v>
      </c>
      <c r="C3172" t="s">
        <v>136</v>
      </c>
      <c r="D3172" t="s">
        <v>2257</v>
      </c>
      <c r="E3172" t="s">
        <v>1607</v>
      </c>
      <c r="F3172" t="s">
        <v>149</v>
      </c>
      <c r="G3172" t="s">
        <v>11316</v>
      </c>
    </row>
    <row r="3173" spans="1:7" ht="44.25" customHeight="1">
      <c r="A3173" t="s">
        <v>11317</v>
      </c>
      <c r="B3173" t="s">
        <v>11318</v>
      </c>
      <c r="C3173" t="s">
        <v>136</v>
      </c>
      <c r="D3173" t="s">
        <v>79</v>
      </c>
      <c r="E3173" t="s">
        <v>11319</v>
      </c>
      <c r="F3173" t="s">
        <v>149</v>
      </c>
      <c r="G3173" t="s">
        <v>11320</v>
      </c>
    </row>
    <row r="3174" spans="1:7" ht="44.25" customHeight="1">
      <c r="A3174" t="s">
        <v>11321</v>
      </c>
      <c r="B3174" t="s">
        <v>11322</v>
      </c>
      <c r="C3174" t="s">
        <v>136</v>
      </c>
      <c r="D3174" t="s">
        <v>2253</v>
      </c>
      <c r="E3174" t="s">
        <v>1432</v>
      </c>
      <c r="F3174" t="s">
        <v>149</v>
      </c>
      <c r="G3174" t="s">
        <v>11323</v>
      </c>
    </row>
    <row r="3175" spans="1:7" ht="44.25" customHeight="1">
      <c r="A3175" t="s">
        <v>11324</v>
      </c>
      <c r="B3175" t="s">
        <v>11325</v>
      </c>
      <c r="C3175" t="s">
        <v>136</v>
      </c>
      <c r="D3175" t="s">
        <v>2253</v>
      </c>
      <c r="E3175" t="s">
        <v>1430</v>
      </c>
      <c r="F3175" t="s">
        <v>149</v>
      </c>
      <c r="G3175" t="s">
        <v>11326</v>
      </c>
    </row>
    <row r="3176" spans="1:7" ht="44.25" customHeight="1">
      <c r="A3176" t="s">
        <v>11327</v>
      </c>
      <c r="B3176" t="s">
        <v>11328</v>
      </c>
      <c r="C3176" t="s">
        <v>136</v>
      </c>
      <c r="D3176" t="s">
        <v>2253</v>
      </c>
      <c r="E3176" t="s">
        <v>1432</v>
      </c>
      <c r="F3176" t="s">
        <v>149</v>
      </c>
      <c r="G3176" t="s">
        <v>11329</v>
      </c>
    </row>
    <row r="3177" spans="1:7" ht="44.25" customHeight="1">
      <c r="A3177" t="s">
        <v>11330</v>
      </c>
      <c r="B3177" t="s">
        <v>11331</v>
      </c>
      <c r="C3177" t="s">
        <v>136</v>
      </c>
      <c r="D3177" t="s">
        <v>79</v>
      </c>
      <c r="E3177" t="s">
        <v>9934</v>
      </c>
      <c r="F3177" t="s">
        <v>149</v>
      </c>
      <c r="G3177" t="s">
        <v>11332</v>
      </c>
    </row>
    <row r="3178" spans="1:7" ht="44.25" customHeight="1">
      <c r="A3178" t="s">
        <v>11333</v>
      </c>
      <c r="B3178" t="s">
        <v>11334</v>
      </c>
      <c r="C3178" t="s">
        <v>136</v>
      </c>
      <c r="D3178" t="s">
        <v>2257</v>
      </c>
      <c r="E3178" t="s">
        <v>1430</v>
      </c>
      <c r="F3178" t="s">
        <v>149</v>
      </c>
      <c r="G3178" t="s">
        <v>11335</v>
      </c>
    </row>
    <row r="3179" spans="1:7" ht="44.25" customHeight="1">
      <c r="A3179" t="s">
        <v>11336</v>
      </c>
      <c r="B3179" t="s">
        <v>11337</v>
      </c>
      <c r="C3179" t="s">
        <v>136</v>
      </c>
      <c r="D3179" t="s">
        <v>2253</v>
      </c>
      <c r="E3179" t="s">
        <v>1432</v>
      </c>
      <c r="F3179" t="s">
        <v>149</v>
      </c>
      <c r="G3179" t="s">
        <v>11338</v>
      </c>
    </row>
    <row r="3180" spans="1:7" ht="44.25" customHeight="1">
      <c r="A3180" t="s">
        <v>324</v>
      </c>
      <c r="B3180" t="s">
        <v>11339</v>
      </c>
      <c r="C3180" t="s">
        <v>136</v>
      </c>
      <c r="D3180" t="s">
        <v>2253</v>
      </c>
      <c r="E3180" t="s">
        <v>1432</v>
      </c>
      <c r="F3180" t="s">
        <v>149</v>
      </c>
      <c r="G3180" t="s">
        <v>11340</v>
      </c>
    </row>
    <row r="3181" spans="1:7" ht="44.25" customHeight="1">
      <c r="A3181" t="s">
        <v>7218</v>
      </c>
      <c r="B3181" t="s">
        <v>7219</v>
      </c>
      <c r="C3181" t="s">
        <v>136</v>
      </c>
      <c r="D3181" t="s">
        <v>79</v>
      </c>
      <c r="E3181" t="s">
        <v>7220</v>
      </c>
      <c r="F3181" t="s">
        <v>149</v>
      </c>
      <c r="G3181" t="s">
        <v>11341</v>
      </c>
    </row>
    <row r="3182" spans="1:7" ht="44.25" customHeight="1">
      <c r="A3182" t="s">
        <v>554</v>
      </c>
      <c r="B3182" t="s">
        <v>11342</v>
      </c>
      <c r="C3182" t="s">
        <v>136</v>
      </c>
      <c r="D3182" t="s">
        <v>2257</v>
      </c>
      <c r="E3182" t="s">
        <v>11343</v>
      </c>
      <c r="F3182" t="s">
        <v>149</v>
      </c>
      <c r="G3182" t="s">
        <v>11344</v>
      </c>
    </row>
    <row r="3183" spans="1:7" ht="44.25" customHeight="1">
      <c r="A3183" t="s">
        <v>11345</v>
      </c>
      <c r="B3183" t="s">
        <v>11346</v>
      </c>
      <c r="C3183" t="s">
        <v>136</v>
      </c>
      <c r="D3183" t="s">
        <v>79</v>
      </c>
      <c r="E3183" t="s">
        <v>11347</v>
      </c>
      <c r="F3183" t="s">
        <v>149</v>
      </c>
      <c r="G3183" t="s">
        <v>11348</v>
      </c>
    </row>
    <row r="3184" spans="1:7" ht="44.25" customHeight="1">
      <c r="A3184" t="s">
        <v>11349</v>
      </c>
      <c r="B3184" t="s">
        <v>11350</v>
      </c>
      <c r="C3184" t="s">
        <v>136</v>
      </c>
      <c r="D3184" t="s">
        <v>79</v>
      </c>
      <c r="E3184" t="s">
        <v>11351</v>
      </c>
      <c r="F3184" t="s">
        <v>149</v>
      </c>
      <c r="G3184" t="s">
        <v>11352</v>
      </c>
    </row>
    <row r="3185" spans="1:7" ht="44.25" customHeight="1">
      <c r="A3185" t="s">
        <v>11353</v>
      </c>
      <c r="B3185" t="s">
        <v>11354</v>
      </c>
      <c r="C3185" t="s">
        <v>136</v>
      </c>
      <c r="D3185" t="s">
        <v>79</v>
      </c>
      <c r="E3185" t="s">
        <v>11355</v>
      </c>
      <c r="F3185" t="s">
        <v>149</v>
      </c>
      <c r="G3185" t="s">
        <v>11356</v>
      </c>
    </row>
    <row r="3186" spans="1:7" ht="44.25" customHeight="1">
      <c r="A3186" t="s">
        <v>11357</v>
      </c>
      <c r="B3186" t="s">
        <v>11358</v>
      </c>
      <c r="C3186" t="s">
        <v>136</v>
      </c>
      <c r="D3186" t="s">
        <v>79</v>
      </c>
      <c r="E3186" t="s">
        <v>11359</v>
      </c>
      <c r="F3186" t="s">
        <v>149</v>
      </c>
      <c r="G3186" t="s">
        <v>11360</v>
      </c>
    </row>
    <row r="3187" spans="1:7" ht="44.25" customHeight="1">
      <c r="A3187" t="s">
        <v>11361</v>
      </c>
      <c r="B3187" t="s">
        <v>11362</v>
      </c>
      <c r="C3187" t="s">
        <v>136</v>
      </c>
      <c r="D3187" t="s">
        <v>2257</v>
      </c>
      <c r="E3187" t="s">
        <v>1522</v>
      </c>
      <c r="F3187" t="s">
        <v>149</v>
      </c>
      <c r="G3187" t="s">
        <v>11363</v>
      </c>
    </row>
    <row r="3188" spans="1:7" ht="44.25" customHeight="1">
      <c r="A3188" t="s">
        <v>11364</v>
      </c>
      <c r="B3188" t="s">
        <v>11365</v>
      </c>
      <c r="C3188" t="s">
        <v>136</v>
      </c>
      <c r="D3188" t="s">
        <v>2253</v>
      </c>
      <c r="E3188" t="s">
        <v>1432</v>
      </c>
      <c r="F3188" t="s">
        <v>149</v>
      </c>
      <c r="G3188" t="s">
        <v>11366</v>
      </c>
    </row>
    <row r="3189" spans="1:7" ht="44.25" customHeight="1">
      <c r="A3189" t="s">
        <v>11367</v>
      </c>
      <c r="B3189" t="s">
        <v>11368</v>
      </c>
      <c r="C3189" t="s">
        <v>136</v>
      </c>
      <c r="D3189" t="s">
        <v>2257</v>
      </c>
      <c r="E3189" t="s">
        <v>2276</v>
      </c>
      <c r="F3189" t="s">
        <v>149</v>
      </c>
      <c r="G3189" t="s">
        <v>11369</v>
      </c>
    </row>
    <row r="3190" spans="1:7" ht="44.25" customHeight="1">
      <c r="A3190" t="s">
        <v>366</v>
      </c>
      <c r="B3190" t="s">
        <v>11370</v>
      </c>
      <c r="C3190" t="s">
        <v>136</v>
      </c>
      <c r="D3190" t="s">
        <v>2257</v>
      </c>
      <c r="E3190" t="s">
        <v>2276</v>
      </c>
      <c r="F3190" t="s">
        <v>149</v>
      </c>
      <c r="G3190" t="s">
        <v>11371</v>
      </c>
    </row>
    <row r="3191" spans="1:7" ht="44.25" customHeight="1">
      <c r="A3191" t="s">
        <v>757</v>
      </c>
      <c r="B3191" t="s">
        <v>11372</v>
      </c>
      <c r="C3191" t="s">
        <v>136</v>
      </c>
      <c r="D3191" t="s">
        <v>79</v>
      </c>
      <c r="E3191" t="s">
        <v>4511</v>
      </c>
      <c r="F3191" t="s">
        <v>149</v>
      </c>
      <c r="G3191" t="s">
        <v>11373</v>
      </c>
    </row>
    <row r="3192" spans="1:7" ht="44.25" customHeight="1">
      <c r="A3192" t="s">
        <v>754</v>
      </c>
      <c r="B3192" t="s">
        <v>11374</v>
      </c>
      <c r="C3192" t="s">
        <v>136</v>
      </c>
      <c r="D3192" t="s">
        <v>79</v>
      </c>
      <c r="E3192" t="s">
        <v>4511</v>
      </c>
      <c r="F3192" t="s">
        <v>149</v>
      </c>
      <c r="G3192" t="s">
        <v>11375</v>
      </c>
    </row>
    <row r="3193" spans="1:7" ht="44.25" customHeight="1">
      <c r="A3193" t="s">
        <v>136</v>
      </c>
      <c r="B3193" t="s">
        <v>11376</v>
      </c>
      <c r="C3193" t="s">
        <v>136</v>
      </c>
      <c r="D3193" t="s">
        <v>79</v>
      </c>
      <c r="E3193" t="s">
        <v>1530</v>
      </c>
      <c r="F3193" t="s">
        <v>149</v>
      </c>
      <c r="G3193" t="s">
        <v>11377</v>
      </c>
    </row>
    <row r="3194" spans="1:7" ht="44.25" customHeight="1">
      <c r="A3194" t="s">
        <v>11378</v>
      </c>
      <c r="B3194" t="s">
        <v>11379</v>
      </c>
      <c r="C3194" t="s">
        <v>136</v>
      </c>
      <c r="D3194" t="s">
        <v>79</v>
      </c>
      <c r="E3194" t="s">
        <v>11380</v>
      </c>
      <c r="F3194" t="s">
        <v>149</v>
      </c>
      <c r="G3194" t="s">
        <v>11381</v>
      </c>
    </row>
    <row r="3195" spans="1:7" ht="44.25" customHeight="1">
      <c r="A3195" t="s">
        <v>11382</v>
      </c>
      <c r="B3195" t="s">
        <v>11383</v>
      </c>
      <c r="C3195" t="s">
        <v>136</v>
      </c>
      <c r="D3195" t="s">
        <v>79</v>
      </c>
      <c r="E3195" t="s">
        <v>11384</v>
      </c>
      <c r="F3195" t="s">
        <v>149</v>
      </c>
      <c r="G3195" t="s">
        <v>11385</v>
      </c>
    </row>
    <row r="3196" spans="1:7" ht="44.25" customHeight="1">
      <c r="A3196" t="s">
        <v>11386</v>
      </c>
      <c r="B3196" t="s">
        <v>11387</v>
      </c>
      <c r="C3196" t="s">
        <v>136</v>
      </c>
      <c r="D3196" t="s">
        <v>79</v>
      </c>
      <c r="E3196" t="s">
        <v>11388</v>
      </c>
      <c r="F3196" t="s">
        <v>149</v>
      </c>
      <c r="G3196" t="s">
        <v>11389</v>
      </c>
    </row>
    <row r="3197" spans="1:7" ht="44.25" customHeight="1">
      <c r="A3197" t="s">
        <v>11390</v>
      </c>
      <c r="B3197" t="s">
        <v>11391</v>
      </c>
      <c r="C3197" t="s">
        <v>136</v>
      </c>
      <c r="D3197" t="s">
        <v>2257</v>
      </c>
      <c r="E3197" t="s">
        <v>1607</v>
      </c>
      <c r="F3197" t="s">
        <v>149</v>
      </c>
      <c r="G3197" t="s">
        <v>11392</v>
      </c>
    </row>
    <row r="3198" spans="1:7" ht="44.25" customHeight="1">
      <c r="A3198" t="s">
        <v>11393</v>
      </c>
      <c r="B3198" t="s">
        <v>11394</v>
      </c>
      <c r="C3198" t="s">
        <v>136</v>
      </c>
      <c r="D3198" t="s">
        <v>2257</v>
      </c>
      <c r="E3198" t="s">
        <v>1607</v>
      </c>
      <c r="F3198" t="s">
        <v>149</v>
      </c>
      <c r="G3198" t="s">
        <v>11395</v>
      </c>
    </row>
    <row r="3199" spans="1:7" ht="44.25" customHeight="1">
      <c r="A3199" t="s">
        <v>136</v>
      </c>
      <c r="B3199" t="s">
        <v>11396</v>
      </c>
      <c r="C3199" t="s">
        <v>11397</v>
      </c>
      <c r="D3199" t="s">
        <v>2257</v>
      </c>
      <c r="E3199" t="s">
        <v>1607</v>
      </c>
      <c r="F3199" t="s">
        <v>149</v>
      </c>
      <c r="G3199" t="s">
        <v>11398</v>
      </c>
    </row>
    <row r="3200" spans="1:7" ht="44.25" customHeight="1">
      <c r="A3200" t="s">
        <v>11399</v>
      </c>
      <c r="B3200" t="s">
        <v>11400</v>
      </c>
      <c r="C3200" t="s">
        <v>136</v>
      </c>
      <c r="D3200" t="s">
        <v>2257</v>
      </c>
      <c r="E3200" t="s">
        <v>1607</v>
      </c>
      <c r="F3200" t="s">
        <v>149</v>
      </c>
      <c r="G3200" t="s">
        <v>11401</v>
      </c>
    </row>
    <row r="3201" spans="1:7" ht="44.25" customHeight="1">
      <c r="A3201" t="s">
        <v>11402</v>
      </c>
      <c r="B3201" t="s">
        <v>11403</v>
      </c>
      <c r="C3201" t="s">
        <v>136</v>
      </c>
      <c r="D3201" t="s">
        <v>79</v>
      </c>
      <c r="E3201" t="s">
        <v>11404</v>
      </c>
      <c r="F3201" t="s">
        <v>149</v>
      </c>
      <c r="G3201" t="s">
        <v>11405</v>
      </c>
    </row>
    <row r="3202" spans="1:7" ht="44.25" customHeight="1">
      <c r="A3202" t="s">
        <v>11406</v>
      </c>
      <c r="B3202" t="s">
        <v>11407</v>
      </c>
      <c r="C3202" t="s">
        <v>136</v>
      </c>
      <c r="D3202" t="s">
        <v>2253</v>
      </c>
      <c r="E3202" t="s">
        <v>1430</v>
      </c>
      <c r="F3202" t="s">
        <v>149</v>
      </c>
      <c r="G3202" t="s">
        <v>11408</v>
      </c>
    </row>
    <row r="3203" spans="1:7" ht="44.25" customHeight="1">
      <c r="A3203" t="s">
        <v>11409</v>
      </c>
      <c r="B3203" t="s">
        <v>11410</v>
      </c>
      <c r="C3203" t="s">
        <v>136</v>
      </c>
      <c r="D3203" t="s">
        <v>2253</v>
      </c>
      <c r="E3203" t="s">
        <v>1432</v>
      </c>
      <c r="F3203" t="s">
        <v>149</v>
      </c>
      <c r="G3203" t="s">
        <v>11411</v>
      </c>
    </row>
    <row r="3204" spans="1:7" ht="44.25" customHeight="1">
      <c r="A3204" t="s">
        <v>437</v>
      </c>
      <c r="B3204" t="s">
        <v>11412</v>
      </c>
      <c r="C3204" t="s">
        <v>136</v>
      </c>
      <c r="D3204" t="s">
        <v>79</v>
      </c>
      <c r="E3204" t="s">
        <v>4281</v>
      </c>
      <c r="F3204" t="s">
        <v>149</v>
      </c>
      <c r="G3204" t="s">
        <v>11413</v>
      </c>
    </row>
    <row r="3205" spans="1:7" ht="44.25" customHeight="1">
      <c r="A3205" t="s">
        <v>11414</v>
      </c>
      <c r="B3205" t="s">
        <v>11415</v>
      </c>
      <c r="C3205" t="s">
        <v>136</v>
      </c>
      <c r="D3205" t="s">
        <v>79</v>
      </c>
      <c r="E3205" t="s">
        <v>11416</v>
      </c>
      <c r="F3205" t="s">
        <v>149</v>
      </c>
      <c r="G3205" t="s">
        <v>11417</v>
      </c>
    </row>
    <row r="3206" spans="1:7" ht="44.25" customHeight="1">
      <c r="A3206" t="s">
        <v>11418</v>
      </c>
      <c r="B3206" t="s">
        <v>11419</v>
      </c>
      <c r="C3206" t="s">
        <v>136</v>
      </c>
      <c r="D3206" t="s">
        <v>79</v>
      </c>
      <c r="E3206" t="s">
        <v>11420</v>
      </c>
      <c r="F3206" t="s">
        <v>149</v>
      </c>
      <c r="G3206" t="s">
        <v>11421</v>
      </c>
    </row>
    <row r="3207" spans="1:7" ht="44.25" customHeight="1">
      <c r="A3207" t="s">
        <v>11422</v>
      </c>
      <c r="B3207" t="s">
        <v>11423</v>
      </c>
      <c r="C3207" t="s">
        <v>136</v>
      </c>
      <c r="D3207" t="s">
        <v>79</v>
      </c>
      <c r="E3207" t="s">
        <v>11424</v>
      </c>
      <c r="F3207" t="s">
        <v>149</v>
      </c>
      <c r="G3207" t="s">
        <v>11425</v>
      </c>
    </row>
    <row r="3208" spans="1:7" ht="44.25" customHeight="1">
      <c r="A3208" t="s">
        <v>11426</v>
      </c>
      <c r="B3208" t="s">
        <v>11427</v>
      </c>
      <c r="C3208" t="s">
        <v>136</v>
      </c>
      <c r="D3208" t="s">
        <v>79</v>
      </c>
      <c r="E3208" t="s">
        <v>11428</v>
      </c>
      <c r="F3208" t="s">
        <v>149</v>
      </c>
      <c r="G3208" t="s">
        <v>11429</v>
      </c>
    </row>
    <row r="3209" spans="1:7" ht="44.25" customHeight="1">
      <c r="A3209" t="s">
        <v>11430</v>
      </c>
      <c r="B3209" t="s">
        <v>11431</v>
      </c>
      <c r="C3209" t="s">
        <v>136</v>
      </c>
      <c r="D3209" t="s">
        <v>79</v>
      </c>
      <c r="E3209" t="s">
        <v>4906</v>
      </c>
      <c r="F3209" t="s">
        <v>149</v>
      </c>
      <c r="G3209" t="s">
        <v>11432</v>
      </c>
    </row>
    <row r="3210" spans="1:7" ht="44.25" customHeight="1">
      <c r="A3210" t="s">
        <v>136</v>
      </c>
      <c r="B3210" t="s">
        <v>11433</v>
      </c>
      <c r="C3210" t="s">
        <v>136</v>
      </c>
      <c r="D3210" t="s">
        <v>2257</v>
      </c>
      <c r="E3210" t="s">
        <v>6805</v>
      </c>
      <c r="F3210" t="s">
        <v>149</v>
      </c>
      <c r="G3210" t="s">
        <v>11434</v>
      </c>
    </row>
    <row r="3211" spans="1:7" ht="44.25" customHeight="1">
      <c r="A3211" t="s">
        <v>846</v>
      </c>
      <c r="B3211" t="s">
        <v>11435</v>
      </c>
      <c r="C3211" t="s">
        <v>136</v>
      </c>
      <c r="D3211" t="s">
        <v>79</v>
      </c>
      <c r="E3211" t="s">
        <v>1599</v>
      </c>
      <c r="F3211" t="s">
        <v>149</v>
      </c>
      <c r="G3211" t="s">
        <v>11436</v>
      </c>
    </row>
    <row r="3212" spans="1:7" ht="44.25" customHeight="1">
      <c r="A3212" t="s">
        <v>11437</v>
      </c>
      <c r="B3212" t="s">
        <v>11438</v>
      </c>
      <c r="C3212" t="s">
        <v>136</v>
      </c>
      <c r="D3212" t="s">
        <v>2257</v>
      </c>
      <c r="E3212" t="s">
        <v>1607</v>
      </c>
      <c r="F3212" t="s">
        <v>149</v>
      </c>
      <c r="G3212" t="s">
        <v>11439</v>
      </c>
    </row>
    <row r="3213" spans="1:7" ht="44.25" customHeight="1">
      <c r="A3213" t="s">
        <v>11440</v>
      </c>
      <c r="B3213" t="s">
        <v>11441</v>
      </c>
      <c r="C3213" t="s">
        <v>136</v>
      </c>
      <c r="D3213" t="s">
        <v>2257</v>
      </c>
      <c r="E3213" t="s">
        <v>2399</v>
      </c>
      <c r="F3213" t="s">
        <v>149</v>
      </c>
      <c r="G3213" t="s">
        <v>11442</v>
      </c>
    </row>
    <row r="3214" spans="1:7" ht="44.25" customHeight="1">
      <c r="A3214" t="s">
        <v>11443</v>
      </c>
      <c r="B3214" t="s">
        <v>11444</v>
      </c>
      <c r="C3214" t="s">
        <v>136</v>
      </c>
      <c r="D3214" t="s">
        <v>2257</v>
      </c>
      <c r="E3214" t="s">
        <v>2399</v>
      </c>
      <c r="F3214" t="s">
        <v>149</v>
      </c>
      <c r="G3214" t="s">
        <v>11445</v>
      </c>
    </row>
    <row r="3215" spans="1:7" ht="44.25" customHeight="1">
      <c r="A3215" t="s">
        <v>273</v>
      </c>
      <c r="B3215" t="s">
        <v>11446</v>
      </c>
      <c r="C3215" t="s">
        <v>136</v>
      </c>
      <c r="D3215" t="s">
        <v>2257</v>
      </c>
      <c r="E3215" t="s">
        <v>1607</v>
      </c>
      <c r="F3215" t="s">
        <v>149</v>
      </c>
      <c r="G3215" t="s">
        <v>11447</v>
      </c>
    </row>
    <row r="3216" spans="1:7" ht="44.25" customHeight="1">
      <c r="A3216" t="s">
        <v>11448</v>
      </c>
      <c r="B3216" t="s">
        <v>11449</v>
      </c>
      <c r="C3216" t="s">
        <v>136</v>
      </c>
      <c r="D3216" t="s">
        <v>2257</v>
      </c>
      <c r="E3216" t="s">
        <v>2399</v>
      </c>
      <c r="F3216" t="s">
        <v>149</v>
      </c>
      <c r="G3216" t="s">
        <v>11450</v>
      </c>
    </row>
    <row r="3217" spans="1:7" ht="44.25" customHeight="1">
      <c r="A3217" t="s">
        <v>11451</v>
      </c>
      <c r="B3217" t="s">
        <v>11452</v>
      </c>
      <c r="C3217" t="s">
        <v>136</v>
      </c>
      <c r="D3217" t="s">
        <v>79</v>
      </c>
      <c r="E3217" t="s">
        <v>9107</v>
      </c>
      <c r="F3217" t="s">
        <v>149</v>
      </c>
      <c r="G3217" t="s">
        <v>11453</v>
      </c>
    </row>
    <row r="3218" spans="1:7" ht="44.25" customHeight="1">
      <c r="A3218" t="s">
        <v>11454</v>
      </c>
      <c r="B3218" t="s">
        <v>11455</v>
      </c>
      <c r="C3218" t="s">
        <v>136</v>
      </c>
      <c r="D3218" t="s">
        <v>79</v>
      </c>
      <c r="E3218" t="s">
        <v>8047</v>
      </c>
      <c r="F3218" t="s">
        <v>149</v>
      </c>
      <c r="G3218" t="s">
        <v>11456</v>
      </c>
    </row>
    <row r="3219" spans="1:7" ht="44.25" customHeight="1">
      <c r="A3219" t="s">
        <v>11457</v>
      </c>
      <c r="B3219" t="s">
        <v>11458</v>
      </c>
      <c r="C3219" t="s">
        <v>136</v>
      </c>
      <c r="D3219" t="s">
        <v>2253</v>
      </c>
      <c r="E3219" t="s">
        <v>1430</v>
      </c>
      <c r="F3219" t="s">
        <v>149</v>
      </c>
      <c r="G3219" t="s">
        <v>11459</v>
      </c>
    </row>
    <row r="3220" spans="1:7" ht="44.25" customHeight="1">
      <c r="A3220" t="s">
        <v>11460</v>
      </c>
      <c r="B3220" t="s">
        <v>11461</v>
      </c>
      <c r="C3220" t="s">
        <v>136</v>
      </c>
      <c r="D3220" t="s">
        <v>2253</v>
      </c>
      <c r="E3220" t="s">
        <v>1430</v>
      </c>
      <c r="F3220" t="s">
        <v>149</v>
      </c>
      <c r="G3220" t="s">
        <v>11462</v>
      </c>
    </row>
    <row r="3221" spans="1:7" ht="44.25" customHeight="1">
      <c r="A3221" t="s">
        <v>11463</v>
      </c>
      <c r="B3221" t="s">
        <v>11464</v>
      </c>
      <c r="C3221" t="s">
        <v>136</v>
      </c>
      <c r="D3221" t="s">
        <v>2257</v>
      </c>
      <c r="E3221" t="s">
        <v>8486</v>
      </c>
      <c r="F3221" t="s">
        <v>149</v>
      </c>
      <c r="G3221" t="s">
        <v>11465</v>
      </c>
    </row>
    <row r="3222" spans="1:7" ht="44.25" customHeight="1">
      <c r="A3222" t="s">
        <v>963</v>
      </c>
      <c r="B3222" t="s">
        <v>11466</v>
      </c>
      <c r="C3222" t="s">
        <v>136</v>
      </c>
      <c r="D3222" t="s">
        <v>2257</v>
      </c>
      <c r="E3222" t="s">
        <v>2276</v>
      </c>
      <c r="F3222" t="s">
        <v>149</v>
      </c>
      <c r="G3222" t="s">
        <v>11467</v>
      </c>
    </row>
    <row r="3223" spans="1:7" ht="44.25" customHeight="1">
      <c r="A3223" t="s">
        <v>719</v>
      </c>
      <c r="B3223" t="s">
        <v>11468</v>
      </c>
      <c r="C3223" t="s">
        <v>136</v>
      </c>
      <c r="D3223" t="s">
        <v>2257</v>
      </c>
      <c r="E3223" t="s">
        <v>1584</v>
      </c>
      <c r="F3223" t="s">
        <v>149</v>
      </c>
      <c r="G3223" t="s">
        <v>11469</v>
      </c>
    </row>
    <row r="3224" spans="1:7" ht="44.25" customHeight="1">
      <c r="A3224" t="s">
        <v>11470</v>
      </c>
      <c r="B3224" t="s">
        <v>11471</v>
      </c>
      <c r="C3224" t="s">
        <v>136</v>
      </c>
      <c r="D3224" t="s">
        <v>79</v>
      </c>
      <c r="E3224" t="s">
        <v>11472</v>
      </c>
      <c r="F3224" t="s">
        <v>149</v>
      </c>
      <c r="G3224" t="s">
        <v>11473</v>
      </c>
    </row>
    <row r="3225" spans="1:7" ht="44.25" customHeight="1">
      <c r="A3225" t="s">
        <v>11474</v>
      </c>
      <c r="B3225" t="s">
        <v>11475</v>
      </c>
      <c r="C3225" t="s">
        <v>136</v>
      </c>
      <c r="D3225" t="s">
        <v>79</v>
      </c>
      <c r="E3225" t="s">
        <v>11476</v>
      </c>
      <c r="F3225" t="s">
        <v>149</v>
      </c>
      <c r="G3225" t="s">
        <v>11477</v>
      </c>
    </row>
    <row r="3226" spans="1:7" ht="44.25" customHeight="1">
      <c r="A3226" t="s">
        <v>11478</v>
      </c>
      <c r="B3226" t="s">
        <v>11479</v>
      </c>
      <c r="C3226" t="s">
        <v>136</v>
      </c>
      <c r="D3226" t="s">
        <v>79</v>
      </c>
      <c r="E3226" t="s">
        <v>11480</v>
      </c>
      <c r="F3226" t="s">
        <v>149</v>
      </c>
      <c r="G3226" t="s">
        <v>11481</v>
      </c>
    </row>
    <row r="3227" spans="1:7" ht="44.25" customHeight="1">
      <c r="A3227" t="s">
        <v>11482</v>
      </c>
      <c r="B3227" t="s">
        <v>11483</v>
      </c>
      <c r="C3227" t="s">
        <v>136</v>
      </c>
      <c r="D3227" t="s">
        <v>79</v>
      </c>
      <c r="E3227" t="s">
        <v>11484</v>
      </c>
      <c r="F3227" t="s">
        <v>149</v>
      </c>
      <c r="G3227" t="s">
        <v>11485</v>
      </c>
    </row>
    <row r="3228" spans="1:7" ht="44.25" customHeight="1">
      <c r="A3228" t="s">
        <v>11482</v>
      </c>
      <c r="B3228" t="s">
        <v>11483</v>
      </c>
      <c r="C3228" t="s">
        <v>136</v>
      </c>
      <c r="D3228" t="s">
        <v>79</v>
      </c>
      <c r="E3228" t="s">
        <v>11484</v>
      </c>
      <c r="F3228" t="s">
        <v>149</v>
      </c>
      <c r="G3228" t="s">
        <v>11485</v>
      </c>
    </row>
    <row r="3229" spans="1:7" ht="44.25" customHeight="1">
      <c r="A3229" t="s">
        <v>11486</v>
      </c>
      <c r="B3229" t="s">
        <v>11487</v>
      </c>
      <c r="C3229" t="s">
        <v>136</v>
      </c>
      <c r="D3229" t="s">
        <v>2257</v>
      </c>
      <c r="E3229" t="s">
        <v>5691</v>
      </c>
      <c r="F3229" t="s">
        <v>149</v>
      </c>
      <c r="G3229" t="s">
        <v>11488</v>
      </c>
    </row>
    <row r="3230" spans="1:7" ht="44.25" customHeight="1">
      <c r="A3230" t="s">
        <v>136</v>
      </c>
      <c r="B3230" t="s">
        <v>11489</v>
      </c>
      <c r="C3230" t="s">
        <v>136</v>
      </c>
      <c r="D3230" t="s">
        <v>2257</v>
      </c>
      <c r="E3230" t="s">
        <v>5738</v>
      </c>
      <c r="F3230" t="s">
        <v>149</v>
      </c>
      <c r="G3230" t="s">
        <v>11490</v>
      </c>
    </row>
    <row r="3231" spans="1:7" ht="44.25" customHeight="1">
      <c r="A3231" t="s">
        <v>136</v>
      </c>
      <c r="B3231" t="s">
        <v>11491</v>
      </c>
      <c r="C3231" t="s">
        <v>136</v>
      </c>
      <c r="D3231" t="s">
        <v>2257</v>
      </c>
      <c r="E3231" t="s">
        <v>5691</v>
      </c>
      <c r="F3231" t="s">
        <v>149</v>
      </c>
      <c r="G3231" t="s">
        <v>11492</v>
      </c>
    </row>
    <row r="3232" spans="1:7" ht="44.25" customHeight="1">
      <c r="A3232" t="s">
        <v>11493</v>
      </c>
      <c r="B3232" t="s">
        <v>11494</v>
      </c>
      <c r="C3232" t="s">
        <v>11495</v>
      </c>
      <c r="D3232" t="s">
        <v>79</v>
      </c>
      <c r="E3232" t="s">
        <v>11496</v>
      </c>
      <c r="F3232" t="s">
        <v>149</v>
      </c>
      <c r="G3232" t="s">
        <v>11497</v>
      </c>
    </row>
    <row r="3233" spans="1:7" ht="44.25" customHeight="1">
      <c r="A3233" t="s">
        <v>621</v>
      </c>
      <c r="B3233" t="s">
        <v>11498</v>
      </c>
      <c r="C3233" t="s">
        <v>136</v>
      </c>
      <c r="D3233" t="s">
        <v>2257</v>
      </c>
      <c r="E3233" t="s">
        <v>4855</v>
      </c>
      <c r="F3233" t="s">
        <v>149</v>
      </c>
      <c r="G3233" t="s">
        <v>11499</v>
      </c>
    </row>
    <row r="3234" spans="1:7" ht="44.25" customHeight="1">
      <c r="A3234" t="s">
        <v>11500</v>
      </c>
      <c r="B3234" t="s">
        <v>11501</v>
      </c>
      <c r="C3234" t="s">
        <v>136</v>
      </c>
      <c r="D3234" t="s">
        <v>79</v>
      </c>
      <c r="E3234" t="s">
        <v>11502</v>
      </c>
      <c r="F3234" t="s">
        <v>149</v>
      </c>
      <c r="G3234" t="s">
        <v>11503</v>
      </c>
    </row>
    <row r="3235" spans="1:7" ht="44.25" customHeight="1">
      <c r="A3235" t="s">
        <v>6137</v>
      </c>
      <c r="B3235" t="s">
        <v>6138</v>
      </c>
      <c r="C3235" t="s">
        <v>136</v>
      </c>
      <c r="D3235" t="s">
        <v>79</v>
      </c>
      <c r="E3235" t="s">
        <v>6139</v>
      </c>
      <c r="F3235" t="s">
        <v>149</v>
      </c>
      <c r="G3235" t="s">
        <v>11504</v>
      </c>
    </row>
    <row r="3236" spans="1:7" ht="44.25" customHeight="1">
      <c r="A3236" t="s">
        <v>11505</v>
      </c>
      <c r="B3236" t="s">
        <v>11506</v>
      </c>
      <c r="C3236" t="s">
        <v>136</v>
      </c>
      <c r="D3236" t="s">
        <v>79</v>
      </c>
      <c r="E3236" t="s">
        <v>11507</v>
      </c>
      <c r="F3236" t="s">
        <v>149</v>
      </c>
      <c r="G3236" t="s">
        <v>11508</v>
      </c>
    </row>
    <row r="3237" spans="1:7" ht="44.25" customHeight="1">
      <c r="A3237" t="s">
        <v>11509</v>
      </c>
      <c r="B3237" t="s">
        <v>11510</v>
      </c>
      <c r="C3237" t="s">
        <v>136</v>
      </c>
      <c r="D3237" t="s">
        <v>2257</v>
      </c>
      <c r="E3237" t="s">
        <v>5684</v>
      </c>
      <c r="F3237" t="s">
        <v>149</v>
      </c>
      <c r="G3237" t="s">
        <v>11511</v>
      </c>
    </row>
    <row r="3238" spans="1:7" ht="44.25" customHeight="1">
      <c r="A3238" t="s">
        <v>11512</v>
      </c>
      <c r="B3238" t="s">
        <v>11513</v>
      </c>
      <c r="C3238" t="s">
        <v>136</v>
      </c>
      <c r="D3238" t="s">
        <v>2257</v>
      </c>
      <c r="E3238" t="s">
        <v>7046</v>
      </c>
      <c r="F3238" t="s">
        <v>149</v>
      </c>
      <c r="G3238" t="s">
        <v>11514</v>
      </c>
    </row>
    <row r="3239" spans="1:7" ht="44.25" customHeight="1">
      <c r="A3239" t="s">
        <v>11515</v>
      </c>
      <c r="B3239" t="s">
        <v>11516</v>
      </c>
      <c r="C3239" t="s">
        <v>136</v>
      </c>
      <c r="D3239" t="s">
        <v>79</v>
      </c>
      <c r="E3239" t="s">
        <v>10811</v>
      </c>
      <c r="F3239" t="s">
        <v>149</v>
      </c>
      <c r="G3239" t="s">
        <v>11517</v>
      </c>
    </row>
    <row r="3240" spans="1:7" ht="44.25" customHeight="1">
      <c r="A3240" t="s">
        <v>299</v>
      </c>
      <c r="B3240" t="s">
        <v>11518</v>
      </c>
      <c r="C3240" t="s">
        <v>1505</v>
      </c>
      <c r="D3240" t="s">
        <v>2257</v>
      </c>
      <c r="E3240" t="s">
        <v>1504</v>
      </c>
      <c r="F3240" t="s">
        <v>149</v>
      </c>
      <c r="G3240" t="s">
        <v>11519</v>
      </c>
    </row>
    <row r="3241" spans="1:7" ht="44.25" customHeight="1">
      <c r="A3241" t="s">
        <v>1358</v>
      </c>
      <c r="B3241" t="s">
        <v>11520</v>
      </c>
      <c r="C3241" t="s">
        <v>136</v>
      </c>
      <c r="D3241" t="s">
        <v>2257</v>
      </c>
      <c r="E3241" t="s">
        <v>2258</v>
      </c>
      <c r="F3241" t="s">
        <v>149</v>
      </c>
      <c r="G3241" t="s">
        <v>11521</v>
      </c>
    </row>
    <row r="3242" spans="1:7" ht="44.25" customHeight="1">
      <c r="A3242" t="s">
        <v>333</v>
      </c>
      <c r="B3242" t="s">
        <v>11522</v>
      </c>
      <c r="C3242" t="s">
        <v>136</v>
      </c>
      <c r="D3242" t="s">
        <v>2253</v>
      </c>
      <c r="E3242" t="s">
        <v>1432</v>
      </c>
      <c r="F3242" t="s">
        <v>149</v>
      </c>
      <c r="G3242" t="s">
        <v>11523</v>
      </c>
    </row>
    <row r="3243" spans="1:7" ht="44.25" customHeight="1">
      <c r="A3243" t="s">
        <v>331</v>
      </c>
      <c r="B3243" t="s">
        <v>11524</v>
      </c>
      <c r="C3243" t="s">
        <v>136</v>
      </c>
      <c r="D3243" t="s">
        <v>79</v>
      </c>
      <c r="E3243" t="s">
        <v>2269</v>
      </c>
      <c r="F3243" t="s">
        <v>149</v>
      </c>
      <c r="G3243" t="s">
        <v>11525</v>
      </c>
    </row>
    <row r="3244" spans="1:7" ht="44.25" customHeight="1">
      <c r="A3244" t="s">
        <v>371</v>
      </c>
      <c r="B3244" t="s">
        <v>11526</v>
      </c>
      <c r="C3244" t="s">
        <v>136</v>
      </c>
      <c r="D3244" t="s">
        <v>2253</v>
      </c>
      <c r="E3244" t="s">
        <v>1432</v>
      </c>
      <c r="F3244" t="s">
        <v>149</v>
      </c>
      <c r="G3244" t="s">
        <v>11527</v>
      </c>
    </row>
    <row r="3245" spans="1:7" ht="44.25" customHeight="1">
      <c r="A3245" t="s">
        <v>748</v>
      </c>
      <c r="B3245" t="s">
        <v>11528</v>
      </c>
      <c r="C3245" t="s">
        <v>136</v>
      </c>
      <c r="D3245" t="s">
        <v>79</v>
      </c>
      <c r="E3245" t="s">
        <v>8784</v>
      </c>
      <c r="F3245" t="s">
        <v>149</v>
      </c>
      <c r="G3245" t="s">
        <v>11529</v>
      </c>
    </row>
    <row r="3246" spans="1:7" ht="44.25" customHeight="1">
      <c r="A3246" t="s">
        <v>453</v>
      </c>
      <c r="B3246" t="s">
        <v>11530</v>
      </c>
      <c r="C3246" t="s">
        <v>136</v>
      </c>
      <c r="D3246" t="s">
        <v>79</v>
      </c>
      <c r="E3246" t="s">
        <v>4532</v>
      </c>
      <c r="F3246" t="s">
        <v>149</v>
      </c>
      <c r="G3246" t="s">
        <v>11531</v>
      </c>
    </row>
    <row r="3247" spans="1:7" ht="44.25" customHeight="1">
      <c r="A3247" t="s">
        <v>136</v>
      </c>
      <c r="B3247" t="s">
        <v>11532</v>
      </c>
      <c r="C3247" t="s">
        <v>136</v>
      </c>
      <c r="D3247" t="s">
        <v>79</v>
      </c>
      <c r="E3247" t="s">
        <v>1586</v>
      </c>
      <c r="F3247" t="s">
        <v>149</v>
      </c>
      <c r="G3247" t="s">
        <v>11533</v>
      </c>
    </row>
    <row r="3248" spans="1:7" ht="44.25" customHeight="1">
      <c r="A3248" t="s">
        <v>11534</v>
      </c>
      <c r="B3248" t="s">
        <v>11535</v>
      </c>
      <c r="C3248" t="s">
        <v>136</v>
      </c>
      <c r="D3248" t="s">
        <v>79</v>
      </c>
      <c r="E3248" t="s">
        <v>10037</v>
      </c>
      <c r="F3248" t="s">
        <v>149</v>
      </c>
      <c r="G3248" t="s">
        <v>11536</v>
      </c>
    </row>
    <row r="3249" spans="1:7" ht="44.25" customHeight="1">
      <c r="A3249" t="s">
        <v>11537</v>
      </c>
      <c r="B3249" t="s">
        <v>11538</v>
      </c>
      <c r="C3249" t="s">
        <v>136</v>
      </c>
      <c r="D3249" t="s">
        <v>79</v>
      </c>
      <c r="E3249" t="s">
        <v>6637</v>
      </c>
      <c r="F3249" t="s">
        <v>149</v>
      </c>
      <c r="G3249" t="s">
        <v>11539</v>
      </c>
    </row>
    <row r="3250" spans="1:7" ht="44.25" customHeight="1">
      <c r="A3250" t="s">
        <v>11540</v>
      </c>
      <c r="B3250" t="s">
        <v>11541</v>
      </c>
      <c r="C3250" t="s">
        <v>136</v>
      </c>
      <c r="D3250" t="s">
        <v>79</v>
      </c>
      <c r="E3250" t="s">
        <v>11542</v>
      </c>
      <c r="F3250" t="s">
        <v>149</v>
      </c>
      <c r="G3250" t="s">
        <v>11543</v>
      </c>
    </row>
    <row r="3251" spans="1:7" ht="44.25" customHeight="1">
      <c r="A3251" t="s">
        <v>11544</v>
      </c>
      <c r="B3251" t="s">
        <v>11545</v>
      </c>
      <c r="C3251" t="s">
        <v>136</v>
      </c>
      <c r="D3251" t="s">
        <v>79</v>
      </c>
      <c r="E3251" t="s">
        <v>11546</v>
      </c>
      <c r="F3251" t="s">
        <v>149</v>
      </c>
      <c r="G3251" t="s">
        <v>11547</v>
      </c>
    </row>
    <row r="3252" spans="1:7" ht="44.25" customHeight="1">
      <c r="A3252" t="s">
        <v>11548</v>
      </c>
      <c r="B3252" t="s">
        <v>11549</v>
      </c>
      <c r="C3252" t="s">
        <v>136</v>
      </c>
      <c r="D3252" t="s">
        <v>79</v>
      </c>
      <c r="E3252" t="s">
        <v>11550</v>
      </c>
      <c r="F3252" t="s">
        <v>149</v>
      </c>
      <c r="G3252" t="s">
        <v>11551</v>
      </c>
    </row>
    <row r="3253" spans="1:7" ht="44.25" customHeight="1">
      <c r="A3253" t="s">
        <v>11552</v>
      </c>
      <c r="B3253" t="s">
        <v>11553</v>
      </c>
      <c r="C3253" t="s">
        <v>136</v>
      </c>
      <c r="D3253" t="s">
        <v>79</v>
      </c>
      <c r="E3253" t="s">
        <v>11554</v>
      </c>
      <c r="F3253" t="s">
        <v>149</v>
      </c>
      <c r="G3253" t="s">
        <v>11555</v>
      </c>
    </row>
    <row r="3254" spans="1:7" ht="44.25" customHeight="1">
      <c r="A3254" t="s">
        <v>1067</v>
      </c>
      <c r="B3254" t="s">
        <v>11556</v>
      </c>
      <c r="C3254" t="s">
        <v>136</v>
      </c>
      <c r="D3254" t="s">
        <v>79</v>
      </c>
      <c r="E3254" t="s">
        <v>11557</v>
      </c>
      <c r="F3254" t="s">
        <v>149</v>
      </c>
      <c r="G3254" t="s">
        <v>11558</v>
      </c>
    </row>
    <row r="3255" spans="1:7" ht="44.25" customHeight="1">
      <c r="A3255" t="s">
        <v>11559</v>
      </c>
      <c r="B3255" t="s">
        <v>11560</v>
      </c>
      <c r="C3255" t="s">
        <v>136</v>
      </c>
      <c r="D3255" t="s">
        <v>2257</v>
      </c>
      <c r="E3255" t="s">
        <v>1607</v>
      </c>
      <c r="F3255" t="s">
        <v>149</v>
      </c>
      <c r="G3255" t="s">
        <v>11561</v>
      </c>
    </row>
    <row r="3256" spans="1:7" ht="44.25" customHeight="1">
      <c r="A3256" t="s">
        <v>276</v>
      </c>
      <c r="B3256" t="s">
        <v>11562</v>
      </c>
      <c r="C3256" t="s">
        <v>136</v>
      </c>
      <c r="D3256" t="s">
        <v>2624</v>
      </c>
      <c r="E3256" t="s">
        <v>1607</v>
      </c>
      <c r="F3256" t="s">
        <v>149</v>
      </c>
      <c r="G3256" t="s">
        <v>11563</v>
      </c>
    </row>
    <row r="3257" spans="1:7" ht="44.25" customHeight="1">
      <c r="A3257" t="s">
        <v>11564</v>
      </c>
      <c r="B3257" t="s">
        <v>11565</v>
      </c>
      <c r="C3257" t="s">
        <v>136</v>
      </c>
      <c r="D3257" t="s">
        <v>2257</v>
      </c>
      <c r="E3257" t="s">
        <v>1607</v>
      </c>
      <c r="F3257" t="s">
        <v>149</v>
      </c>
      <c r="G3257" t="s">
        <v>11566</v>
      </c>
    </row>
    <row r="3258" spans="1:7" ht="44.25" customHeight="1">
      <c r="A3258" t="s">
        <v>11567</v>
      </c>
      <c r="B3258" t="s">
        <v>11568</v>
      </c>
      <c r="C3258" t="s">
        <v>136</v>
      </c>
      <c r="D3258" t="s">
        <v>2257</v>
      </c>
      <c r="E3258" t="s">
        <v>2276</v>
      </c>
      <c r="F3258" t="s">
        <v>149</v>
      </c>
      <c r="G3258" t="s">
        <v>11569</v>
      </c>
    </row>
    <row r="3259" spans="1:7" ht="44.25" customHeight="1">
      <c r="A3259" t="s">
        <v>11570</v>
      </c>
      <c r="B3259" t="s">
        <v>11571</v>
      </c>
      <c r="C3259" t="s">
        <v>136</v>
      </c>
      <c r="D3259" t="s">
        <v>2253</v>
      </c>
      <c r="E3259" t="s">
        <v>1432</v>
      </c>
      <c r="F3259" t="s">
        <v>149</v>
      </c>
      <c r="G3259" t="s">
        <v>11572</v>
      </c>
    </row>
    <row r="3260" spans="1:7" ht="44.25" customHeight="1">
      <c r="A3260" t="s">
        <v>11573</v>
      </c>
      <c r="B3260" t="s">
        <v>11574</v>
      </c>
      <c r="C3260" t="s">
        <v>136</v>
      </c>
      <c r="D3260" t="s">
        <v>2257</v>
      </c>
      <c r="E3260" t="s">
        <v>2276</v>
      </c>
      <c r="F3260" t="s">
        <v>149</v>
      </c>
      <c r="G3260" t="s">
        <v>11575</v>
      </c>
    </row>
    <row r="3261" spans="1:7" ht="44.25" customHeight="1">
      <c r="A3261" t="s">
        <v>11576</v>
      </c>
      <c r="B3261" t="s">
        <v>11577</v>
      </c>
      <c r="C3261" t="s">
        <v>136</v>
      </c>
      <c r="D3261" t="s">
        <v>2253</v>
      </c>
      <c r="E3261" t="s">
        <v>1432</v>
      </c>
      <c r="F3261" t="s">
        <v>149</v>
      </c>
      <c r="G3261" t="s">
        <v>11578</v>
      </c>
    </row>
    <row r="3262" spans="1:7" ht="44.25" customHeight="1">
      <c r="A3262" t="s">
        <v>1444</v>
      </c>
      <c r="B3262" t="s">
        <v>11579</v>
      </c>
      <c r="C3262" t="s">
        <v>136</v>
      </c>
      <c r="D3262" t="s">
        <v>2253</v>
      </c>
      <c r="E3262" t="s">
        <v>1432</v>
      </c>
      <c r="F3262" t="s">
        <v>149</v>
      </c>
      <c r="G3262" t="s">
        <v>11580</v>
      </c>
    </row>
    <row r="3263" spans="1:7" ht="44.25" customHeight="1">
      <c r="A3263" t="s">
        <v>1458</v>
      </c>
      <c r="B3263" t="s">
        <v>11581</v>
      </c>
      <c r="C3263" t="s">
        <v>136</v>
      </c>
      <c r="D3263" t="s">
        <v>2253</v>
      </c>
      <c r="E3263" t="s">
        <v>1432</v>
      </c>
      <c r="F3263" t="s">
        <v>149</v>
      </c>
      <c r="G3263" t="s">
        <v>11582</v>
      </c>
    </row>
    <row r="3264" spans="1:7" ht="44.25" customHeight="1">
      <c r="A3264" t="s">
        <v>387</v>
      </c>
      <c r="B3264" t="s">
        <v>11583</v>
      </c>
      <c r="C3264" t="s">
        <v>136</v>
      </c>
      <c r="D3264" t="s">
        <v>79</v>
      </c>
      <c r="E3264" t="s">
        <v>3759</v>
      </c>
      <c r="F3264" t="s">
        <v>149</v>
      </c>
      <c r="G3264" t="s">
        <v>11584</v>
      </c>
    </row>
    <row r="3265" spans="1:7" ht="44.25" customHeight="1">
      <c r="A3265" t="s">
        <v>568</v>
      </c>
      <c r="B3265" t="s">
        <v>7658</v>
      </c>
      <c r="C3265" t="s">
        <v>136</v>
      </c>
      <c r="D3265" t="s">
        <v>2257</v>
      </c>
      <c r="E3265" t="s">
        <v>7659</v>
      </c>
      <c r="F3265" t="s">
        <v>149</v>
      </c>
      <c r="G3265" t="s">
        <v>11585</v>
      </c>
    </row>
    <row r="3266" spans="1:7" ht="44.25" customHeight="1">
      <c r="A3266" t="s">
        <v>704</v>
      </c>
      <c r="B3266" t="s">
        <v>11586</v>
      </c>
      <c r="C3266" t="s">
        <v>136</v>
      </c>
      <c r="D3266" t="s">
        <v>2257</v>
      </c>
      <c r="E3266" t="s">
        <v>1584</v>
      </c>
      <c r="F3266" t="s">
        <v>149</v>
      </c>
      <c r="G3266" t="s">
        <v>11587</v>
      </c>
    </row>
    <row r="3267" spans="1:7" ht="44.25" customHeight="1">
      <c r="A3267" t="s">
        <v>11588</v>
      </c>
      <c r="B3267" t="s">
        <v>11589</v>
      </c>
      <c r="C3267" t="s">
        <v>136</v>
      </c>
      <c r="D3267" t="s">
        <v>79</v>
      </c>
      <c r="E3267" t="s">
        <v>11590</v>
      </c>
      <c r="F3267" t="s">
        <v>149</v>
      </c>
      <c r="G3267" t="s">
        <v>11591</v>
      </c>
    </row>
    <row r="3268" spans="1:7" ht="44.25" customHeight="1">
      <c r="A3268" t="s">
        <v>11592</v>
      </c>
      <c r="B3268" t="s">
        <v>11593</v>
      </c>
      <c r="C3268" t="s">
        <v>136</v>
      </c>
      <c r="D3268" t="s">
        <v>79</v>
      </c>
      <c r="E3268" t="s">
        <v>11594</v>
      </c>
      <c r="F3268" t="s">
        <v>149</v>
      </c>
      <c r="G3268" t="s">
        <v>11595</v>
      </c>
    </row>
    <row r="3269" spans="1:7" ht="44.25" customHeight="1">
      <c r="A3269" t="s">
        <v>11596</v>
      </c>
      <c r="B3269" t="s">
        <v>11597</v>
      </c>
      <c r="C3269" t="s">
        <v>136</v>
      </c>
      <c r="D3269" t="s">
        <v>79</v>
      </c>
      <c r="E3269" t="s">
        <v>11598</v>
      </c>
      <c r="F3269" t="s">
        <v>149</v>
      </c>
      <c r="G3269" t="s">
        <v>11599</v>
      </c>
    </row>
    <row r="3270" spans="1:7" ht="44.25" customHeight="1">
      <c r="A3270" t="s">
        <v>11600</v>
      </c>
      <c r="B3270" t="s">
        <v>11601</v>
      </c>
      <c r="C3270" t="s">
        <v>136</v>
      </c>
      <c r="D3270" t="s">
        <v>2257</v>
      </c>
      <c r="E3270" t="s">
        <v>5684</v>
      </c>
      <c r="F3270" t="s">
        <v>149</v>
      </c>
      <c r="G3270" t="s">
        <v>11602</v>
      </c>
    </row>
    <row r="3271" spans="1:7" ht="44.25" customHeight="1">
      <c r="A3271" t="s">
        <v>11603</v>
      </c>
      <c r="B3271" t="s">
        <v>11604</v>
      </c>
      <c r="C3271" t="s">
        <v>136</v>
      </c>
      <c r="D3271" t="s">
        <v>2257</v>
      </c>
      <c r="E3271" t="s">
        <v>5891</v>
      </c>
      <c r="F3271" t="s">
        <v>149</v>
      </c>
      <c r="G3271" t="s">
        <v>11605</v>
      </c>
    </row>
    <row r="3272" spans="1:7" ht="44.25" customHeight="1">
      <c r="A3272" t="s">
        <v>11606</v>
      </c>
      <c r="B3272" t="s">
        <v>11607</v>
      </c>
      <c r="C3272" t="s">
        <v>136</v>
      </c>
      <c r="D3272" t="s">
        <v>79</v>
      </c>
      <c r="E3272" t="s">
        <v>11608</v>
      </c>
      <c r="F3272" t="s">
        <v>149</v>
      </c>
      <c r="G3272" t="s">
        <v>11609</v>
      </c>
    </row>
    <row r="3273" spans="1:7" ht="44.25" customHeight="1">
      <c r="A3273" t="s">
        <v>578</v>
      </c>
      <c r="B3273" t="s">
        <v>11610</v>
      </c>
      <c r="C3273" t="s">
        <v>136</v>
      </c>
      <c r="D3273" t="s">
        <v>79</v>
      </c>
      <c r="E3273" t="s">
        <v>5986</v>
      </c>
      <c r="F3273" t="s">
        <v>149</v>
      </c>
      <c r="G3273" t="s">
        <v>11611</v>
      </c>
    </row>
    <row r="3274" spans="1:7" ht="44.25" customHeight="1">
      <c r="A3274" t="s">
        <v>11612</v>
      </c>
      <c r="B3274" t="s">
        <v>11613</v>
      </c>
      <c r="C3274" t="s">
        <v>136</v>
      </c>
      <c r="D3274" t="s">
        <v>2257</v>
      </c>
      <c r="E3274" t="s">
        <v>1607</v>
      </c>
      <c r="F3274" t="s">
        <v>149</v>
      </c>
      <c r="G3274" t="s">
        <v>11614</v>
      </c>
    </row>
    <row r="3275" spans="1:7" ht="44.25" customHeight="1">
      <c r="A3275" t="s">
        <v>136</v>
      </c>
      <c r="B3275" t="s">
        <v>11615</v>
      </c>
      <c r="C3275" t="s">
        <v>136</v>
      </c>
      <c r="D3275" t="s">
        <v>2257</v>
      </c>
      <c r="E3275" t="s">
        <v>2695</v>
      </c>
      <c r="F3275" t="s">
        <v>149</v>
      </c>
      <c r="G3275" t="s">
        <v>11616</v>
      </c>
    </row>
    <row r="3276" spans="1:7" ht="44.25" customHeight="1">
      <c r="A3276" t="s">
        <v>11617</v>
      </c>
      <c r="B3276" t="s">
        <v>11618</v>
      </c>
      <c r="C3276" t="s">
        <v>136</v>
      </c>
      <c r="D3276" t="s">
        <v>2257</v>
      </c>
      <c r="E3276" t="s">
        <v>1607</v>
      </c>
      <c r="F3276" t="s">
        <v>149</v>
      </c>
      <c r="G3276" t="s">
        <v>11619</v>
      </c>
    </row>
    <row r="3277" spans="1:7" ht="44.25" customHeight="1">
      <c r="A3277" t="s">
        <v>268</v>
      </c>
      <c r="B3277" t="s">
        <v>11620</v>
      </c>
      <c r="C3277" t="s">
        <v>136</v>
      </c>
      <c r="D3277" t="s">
        <v>2257</v>
      </c>
      <c r="E3277" t="s">
        <v>1607</v>
      </c>
      <c r="F3277" t="s">
        <v>149</v>
      </c>
      <c r="G3277" t="s">
        <v>11621</v>
      </c>
    </row>
    <row r="3278" spans="1:7" ht="44.25" customHeight="1">
      <c r="A3278" t="s">
        <v>909</v>
      </c>
      <c r="B3278" t="s">
        <v>11622</v>
      </c>
      <c r="C3278" t="s">
        <v>136</v>
      </c>
      <c r="D3278" t="s">
        <v>2257</v>
      </c>
      <c r="E3278" t="s">
        <v>11623</v>
      </c>
      <c r="F3278" t="s">
        <v>149</v>
      </c>
      <c r="G3278" t="s">
        <v>11624</v>
      </c>
    </row>
    <row r="3279" spans="1:7" ht="44.25" customHeight="1">
      <c r="A3279" t="s">
        <v>11625</v>
      </c>
      <c r="B3279" t="s">
        <v>11626</v>
      </c>
      <c r="C3279" t="s">
        <v>136</v>
      </c>
      <c r="D3279" t="s">
        <v>2253</v>
      </c>
      <c r="E3279" t="s">
        <v>1432</v>
      </c>
      <c r="F3279" t="s">
        <v>149</v>
      </c>
      <c r="G3279" t="s">
        <v>11627</v>
      </c>
    </row>
    <row r="3280" spans="1:7" ht="44.25" customHeight="1">
      <c r="A3280" t="s">
        <v>11628</v>
      </c>
      <c r="B3280" t="s">
        <v>11629</v>
      </c>
      <c r="C3280" t="s">
        <v>136</v>
      </c>
      <c r="D3280" t="s">
        <v>79</v>
      </c>
      <c r="E3280" t="s">
        <v>11630</v>
      </c>
      <c r="F3280" t="s">
        <v>149</v>
      </c>
      <c r="G3280" t="s">
        <v>11631</v>
      </c>
    </row>
    <row r="3281" spans="1:7" ht="44.25" customHeight="1">
      <c r="A3281" t="s">
        <v>11632</v>
      </c>
      <c r="B3281" t="s">
        <v>11633</v>
      </c>
      <c r="C3281" t="s">
        <v>136</v>
      </c>
      <c r="D3281" t="s">
        <v>79</v>
      </c>
      <c r="E3281" t="s">
        <v>11634</v>
      </c>
      <c r="F3281" t="s">
        <v>149</v>
      </c>
      <c r="G3281" t="s">
        <v>11635</v>
      </c>
    </row>
    <row r="3282" spans="1:7" ht="44.25" customHeight="1">
      <c r="A3282" t="s">
        <v>11636</v>
      </c>
      <c r="B3282" t="s">
        <v>11637</v>
      </c>
      <c r="C3282" t="s">
        <v>136</v>
      </c>
      <c r="D3282" t="s">
        <v>79</v>
      </c>
      <c r="E3282" t="s">
        <v>11638</v>
      </c>
      <c r="F3282" t="s">
        <v>149</v>
      </c>
      <c r="G3282" t="s">
        <v>11639</v>
      </c>
    </row>
    <row r="3283" spans="1:7" ht="44.25" customHeight="1">
      <c r="A3283" t="s">
        <v>11640</v>
      </c>
      <c r="B3283" t="s">
        <v>11641</v>
      </c>
      <c r="C3283" t="s">
        <v>136</v>
      </c>
      <c r="D3283" t="s">
        <v>79</v>
      </c>
      <c r="E3283" t="s">
        <v>11642</v>
      </c>
      <c r="F3283" t="s">
        <v>149</v>
      </c>
      <c r="G3283" t="s">
        <v>11643</v>
      </c>
    </row>
    <row r="3284" spans="1:7" ht="44.25" customHeight="1">
      <c r="A3284" t="s">
        <v>11644</v>
      </c>
      <c r="B3284" t="s">
        <v>11645</v>
      </c>
      <c r="C3284" t="s">
        <v>136</v>
      </c>
      <c r="D3284" t="s">
        <v>79</v>
      </c>
      <c r="E3284" t="s">
        <v>11646</v>
      </c>
      <c r="F3284" t="s">
        <v>149</v>
      </c>
      <c r="G3284" t="s">
        <v>11647</v>
      </c>
    </row>
    <row r="3285" spans="1:7" ht="44.25" customHeight="1">
      <c r="A3285" t="s">
        <v>11648</v>
      </c>
      <c r="B3285" t="s">
        <v>11649</v>
      </c>
      <c r="C3285" t="s">
        <v>136</v>
      </c>
      <c r="D3285" t="s">
        <v>2257</v>
      </c>
      <c r="E3285" t="s">
        <v>1607</v>
      </c>
      <c r="F3285" t="s">
        <v>149</v>
      </c>
      <c r="G3285" t="s">
        <v>11650</v>
      </c>
    </row>
    <row r="3286" spans="1:7" ht="44.25" customHeight="1">
      <c r="A3286" t="s">
        <v>136</v>
      </c>
      <c r="B3286" t="s">
        <v>11651</v>
      </c>
      <c r="C3286" t="s">
        <v>136</v>
      </c>
      <c r="D3286" t="s">
        <v>2257</v>
      </c>
      <c r="E3286" t="s">
        <v>1607</v>
      </c>
      <c r="F3286" t="s">
        <v>149</v>
      </c>
      <c r="G3286" t="s">
        <v>11652</v>
      </c>
    </row>
    <row r="3287" spans="1:7" ht="44.25" customHeight="1">
      <c r="A3287" t="s">
        <v>11653</v>
      </c>
      <c r="B3287" t="s">
        <v>11654</v>
      </c>
      <c r="C3287" t="s">
        <v>136</v>
      </c>
      <c r="D3287" t="s">
        <v>2253</v>
      </c>
      <c r="E3287" t="s">
        <v>1432</v>
      </c>
      <c r="F3287" t="s">
        <v>149</v>
      </c>
      <c r="G3287" t="s">
        <v>11655</v>
      </c>
    </row>
    <row r="3288" spans="1:7" ht="44.25" customHeight="1">
      <c r="A3288" t="s">
        <v>1457</v>
      </c>
      <c r="B3288" t="s">
        <v>11656</v>
      </c>
      <c r="C3288" t="s">
        <v>136</v>
      </c>
      <c r="D3288" t="s">
        <v>2253</v>
      </c>
      <c r="E3288" t="s">
        <v>1432</v>
      </c>
      <c r="F3288" t="s">
        <v>149</v>
      </c>
      <c r="G3288" t="s">
        <v>11657</v>
      </c>
    </row>
    <row r="3289" spans="1:7" ht="44.25" customHeight="1">
      <c r="A3289" t="s">
        <v>377</v>
      </c>
      <c r="B3289" t="s">
        <v>11658</v>
      </c>
      <c r="C3289" t="s">
        <v>136</v>
      </c>
      <c r="D3289" t="s">
        <v>2253</v>
      </c>
      <c r="E3289" t="s">
        <v>1432</v>
      </c>
      <c r="F3289" t="s">
        <v>149</v>
      </c>
      <c r="G3289" t="s">
        <v>11659</v>
      </c>
    </row>
    <row r="3290" spans="1:7" ht="44.25" customHeight="1">
      <c r="A3290" t="s">
        <v>11660</v>
      </c>
      <c r="B3290" t="s">
        <v>11661</v>
      </c>
      <c r="C3290" t="s">
        <v>136</v>
      </c>
      <c r="D3290" t="s">
        <v>79</v>
      </c>
      <c r="E3290" t="s">
        <v>7081</v>
      </c>
      <c r="F3290" t="s">
        <v>149</v>
      </c>
      <c r="G3290" t="s">
        <v>11662</v>
      </c>
    </row>
    <row r="3291" spans="1:7" ht="44.25" customHeight="1">
      <c r="A3291" t="s">
        <v>716</v>
      </c>
      <c r="B3291" t="s">
        <v>11663</v>
      </c>
      <c r="C3291" t="s">
        <v>136</v>
      </c>
      <c r="D3291" t="s">
        <v>2257</v>
      </c>
      <c r="E3291" t="s">
        <v>1584</v>
      </c>
      <c r="F3291" t="s">
        <v>149</v>
      </c>
      <c r="G3291" t="s">
        <v>11664</v>
      </c>
    </row>
    <row r="3292" spans="1:7" ht="44.25" customHeight="1">
      <c r="A3292" t="s">
        <v>705</v>
      </c>
      <c r="B3292" t="s">
        <v>11665</v>
      </c>
      <c r="C3292" t="s">
        <v>136</v>
      </c>
      <c r="D3292" t="s">
        <v>2257</v>
      </c>
      <c r="E3292" t="s">
        <v>1584</v>
      </c>
      <c r="F3292" t="s">
        <v>149</v>
      </c>
      <c r="G3292" t="s">
        <v>11666</v>
      </c>
    </row>
    <row r="3293" spans="1:7" ht="44.25" customHeight="1">
      <c r="A3293" t="s">
        <v>11667</v>
      </c>
      <c r="B3293" t="s">
        <v>11668</v>
      </c>
      <c r="C3293" t="s">
        <v>136</v>
      </c>
      <c r="D3293" t="s">
        <v>79</v>
      </c>
      <c r="E3293" t="s">
        <v>11669</v>
      </c>
      <c r="F3293" t="s">
        <v>149</v>
      </c>
      <c r="G3293" t="s">
        <v>11670</v>
      </c>
    </row>
    <row r="3294" spans="1:7" ht="44.25" customHeight="1">
      <c r="A3294" t="s">
        <v>11671</v>
      </c>
      <c r="B3294" t="s">
        <v>11672</v>
      </c>
      <c r="C3294" t="s">
        <v>136</v>
      </c>
      <c r="D3294" t="s">
        <v>79</v>
      </c>
      <c r="E3294" t="s">
        <v>11673</v>
      </c>
      <c r="F3294" t="s">
        <v>149</v>
      </c>
      <c r="G3294" t="s">
        <v>11674</v>
      </c>
    </row>
    <row r="3295" spans="1:7" ht="44.25" customHeight="1">
      <c r="A3295" t="s">
        <v>11675</v>
      </c>
      <c r="B3295" t="s">
        <v>11676</v>
      </c>
      <c r="C3295" t="s">
        <v>136</v>
      </c>
      <c r="D3295" t="s">
        <v>79</v>
      </c>
      <c r="E3295" t="s">
        <v>11677</v>
      </c>
      <c r="F3295" t="s">
        <v>149</v>
      </c>
      <c r="G3295" t="s">
        <v>11678</v>
      </c>
    </row>
    <row r="3296" spans="1:7" ht="44.25" customHeight="1">
      <c r="A3296" t="s">
        <v>839</v>
      </c>
      <c r="B3296" t="s">
        <v>11679</v>
      </c>
      <c r="C3296" t="s">
        <v>136</v>
      </c>
      <c r="D3296" t="s">
        <v>79</v>
      </c>
      <c r="E3296" t="s">
        <v>11680</v>
      </c>
      <c r="F3296" t="s">
        <v>149</v>
      </c>
      <c r="G3296" t="s">
        <v>11681</v>
      </c>
    </row>
    <row r="3297" spans="1:7" ht="44.25" customHeight="1">
      <c r="A3297" t="s">
        <v>11682</v>
      </c>
      <c r="B3297" t="s">
        <v>11683</v>
      </c>
      <c r="C3297" t="s">
        <v>136</v>
      </c>
      <c r="D3297" t="s">
        <v>2257</v>
      </c>
      <c r="E3297" t="s">
        <v>1607</v>
      </c>
      <c r="F3297" t="s">
        <v>149</v>
      </c>
      <c r="G3297" t="s">
        <v>11684</v>
      </c>
    </row>
    <row r="3298" spans="1:7" ht="44.25" customHeight="1">
      <c r="A3298" t="s">
        <v>281</v>
      </c>
      <c r="B3298" t="s">
        <v>11685</v>
      </c>
      <c r="C3298" t="s">
        <v>1500</v>
      </c>
      <c r="D3298" t="s">
        <v>2257</v>
      </c>
      <c r="E3298" t="s">
        <v>1607</v>
      </c>
      <c r="F3298" t="s">
        <v>149</v>
      </c>
      <c r="G3298" t="s">
        <v>11686</v>
      </c>
    </row>
    <row r="3299" spans="1:7" ht="44.25" customHeight="1">
      <c r="A3299" t="s">
        <v>11687</v>
      </c>
      <c r="B3299" t="s">
        <v>11688</v>
      </c>
      <c r="C3299" t="s">
        <v>136</v>
      </c>
      <c r="D3299" t="s">
        <v>2257</v>
      </c>
      <c r="E3299" t="s">
        <v>1607</v>
      </c>
      <c r="F3299" t="s">
        <v>149</v>
      </c>
      <c r="G3299" t="s">
        <v>11689</v>
      </c>
    </row>
    <row r="3300" spans="1:7" ht="44.25" customHeight="1">
      <c r="A3300" t="s">
        <v>11690</v>
      </c>
      <c r="B3300" t="s">
        <v>11691</v>
      </c>
      <c r="C3300" t="s">
        <v>136</v>
      </c>
      <c r="D3300" t="s">
        <v>2257</v>
      </c>
      <c r="E3300" t="s">
        <v>2399</v>
      </c>
      <c r="F3300" t="s">
        <v>149</v>
      </c>
      <c r="G3300" t="s">
        <v>11692</v>
      </c>
    </row>
    <row r="3301" spans="1:7" ht="44.25" customHeight="1">
      <c r="A3301" t="s">
        <v>11693</v>
      </c>
      <c r="B3301" t="s">
        <v>11694</v>
      </c>
      <c r="C3301" t="s">
        <v>136</v>
      </c>
      <c r="D3301" t="s">
        <v>2257</v>
      </c>
      <c r="E3301" t="s">
        <v>1607</v>
      </c>
      <c r="F3301" t="s">
        <v>149</v>
      </c>
      <c r="G3301" t="s">
        <v>11695</v>
      </c>
    </row>
    <row r="3302" spans="1:7" ht="44.25" customHeight="1">
      <c r="A3302" t="s">
        <v>905</v>
      </c>
      <c r="B3302" t="s">
        <v>11696</v>
      </c>
      <c r="C3302" t="s">
        <v>136</v>
      </c>
      <c r="D3302" t="s">
        <v>2257</v>
      </c>
      <c r="E3302" t="s">
        <v>3361</v>
      </c>
      <c r="F3302" t="s">
        <v>149</v>
      </c>
      <c r="G3302" t="s">
        <v>11697</v>
      </c>
    </row>
    <row r="3303" spans="1:7" ht="44.25" customHeight="1">
      <c r="A3303" t="s">
        <v>7352</v>
      </c>
      <c r="B3303" t="s">
        <v>7353</v>
      </c>
      <c r="C3303" t="s">
        <v>136</v>
      </c>
      <c r="D3303" t="s">
        <v>79</v>
      </c>
      <c r="E3303" t="s">
        <v>7354</v>
      </c>
      <c r="F3303" t="s">
        <v>149</v>
      </c>
      <c r="G3303" t="s">
        <v>11698</v>
      </c>
    </row>
    <row r="3304" spans="1:7" ht="44.25" customHeight="1">
      <c r="A3304" t="s">
        <v>7089</v>
      </c>
      <c r="B3304" t="s">
        <v>7090</v>
      </c>
      <c r="C3304" t="s">
        <v>136</v>
      </c>
      <c r="D3304" t="s">
        <v>2257</v>
      </c>
      <c r="E3304" t="s">
        <v>6323</v>
      </c>
      <c r="F3304" t="s">
        <v>149</v>
      </c>
      <c r="G3304" t="s">
        <v>11699</v>
      </c>
    </row>
    <row r="3305" spans="1:7" ht="44.25" customHeight="1">
      <c r="A3305" t="s">
        <v>11700</v>
      </c>
      <c r="B3305" t="s">
        <v>11701</v>
      </c>
      <c r="C3305" t="s">
        <v>136</v>
      </c>
      <c r="D3305" t="s">
        <v>2253</v>
      </c>
      <c r="E3305" t="s">
        <v>1430</v>
      </c>
      <c r="F3305" t="s">
        <v>149</v>
      </c>
      <c r="G3305" t="s">
        <v>11702</v>
      </c>
    </row>
    <row r="3306" spans="1:7" ht="44.25" customHeight="1">
      <c r="A3306" t="s">
        <v>913</v>
      </c>
      <c r="B3306" t="s">
        <v>11703</v>
      </c>
      <c r="C3306" t="s">
        <v>136</v>
      </c>
      <c r="D3306" t="s">
        <v>2257</v>
      </c>
      <c r="E3306" t="s">
        <v>11704</v>
      </c>
      <c r="F3306" t="s">
        <v>149</v>
      </c>
      <c r="G3306" t="s">
        <v>11705</v>
      </c>
    </row>
    <row r="3307" spans="1:7" ht="44.25" customHeight="1">
      <c r="A3307" t="s">
        <v>1022</v>
      </c>
      <c r="B3307" t="s">
        <v>11706</v>
      </c>
      <c r="C3307" t="s">
        <v>136</v>
      </c>
      <c r="D3307" t="s">
        <v>79</v>
      </c>
      <c r="E3307" t="s">
        <v>11707</v>
      </c>
      <c r="F3307" t="s">
        <v>149</v>
      </c>
      <c r="G3307" t="s">
        <v>11708</v>
      </c>
    </row>
    <row r="3308" spans="1:7" ht="44.25" customHeight="1">
      <c r="A3308" t="s">
        <v>11709</v>
      </c>
      <c r="B3308" t="s">
        <v>11710</v>
      </c>
      <c r="C3308" t="s">
        <v>136</v>
      </c>
      <c r="D3308" t="s">
        <v>79</v>
      </c>
      <c r="E3308" t="s">
        <v>11711</v>
      </c>
      <c r="F3308" t="s">
        <v>149</v>
      </c>
      <c r="G3308" t="s">
        <v>11712</v>
      </c>
    </row>
    <row r="3309" spans="1:7" ht="44.25" customHeight="1">
      <c r="A3309" t="s">
        <v>11713</v>
      </c>
      <c r="B3309" t="s">
        <v>11714</v>
      </c>
      <c r="C3309" t="s">
        <v>136</v>
      </c>
      <c r="D3309" t="s">
        <v>2253</v>
      </c>
      <c r="E3309" t="s">
        <v>1430</v>
      </c>
      <c r="F3309" t="s">
        <v>149</v>
      </c>
      <c r="G3309" t="s">
        <v>11715</v>
      </c>
    </row>
    <row r="3310" spans="1:7" ht="44.25" customHeight="1">
      <c r="A3310" t="s">
        <v>343</v>
      </c>
      <c r="B3310" t="s">
        <v>11716</v>
      </c>
      <c r="C3310" t="s">
        <v>136</v>
      </c>
      <c r="D3310" t="s">
        <v>2253</v>
      </c>
      <c r="E3310" t="s">
        <v>2258</v>
      </c>
      <c r="F3310" t="s">
        <v>149</v>
      </c>
      <c r="G3310" t="s">
        <v>11717</v>
      </c>
    </row>
    <row r="3311" spans="1:7" ht="44.25" customHeight="1">
      <c r="A3311" t="s">
        <v>964</v>
      </c>
      <c r="B3311" t="s">
        <v>11718</v>
      </c>
      <c r="C3311" t="s">
        <v>136</v>
      </c>
      <c r="D3311" t="s">
        <v>2257</v>
      </c>
      <c r="E3311" t="s">
        <v>2276</v>
      </c>
      <c r="F3311" t="s">
        <v>149</v>
      </c>
      <c r="G3311" t="s">
        <v>11719</v>
      </c>
    </row>
    <row r="3312" spans="1:7" ht="44.25" customHeight="1">
      <c r="A3312" t="s">
        <v>728</v>
      </c>
      <c r="B3312" t="s">
        <v>11720</v>
      </c>
      <c r="C3312" t="s">
        <v>136</v>
      </c>
      <c r="D3312" t="s">
        <v>2257</v>
      </c>
      <c r="E3312" t="s">
        <v>2269</v>
      </c>
      <c r="F3312" t="s">
        <v>149</v>
      </c>
      <c r="G3312" t="s">
        <v>11721</v>
      </c>
    </row>
    <row r="3313" spans="1:7" ht="44.25" customHeight="1">
      <c r="A3313" t="s">
        <v>463</v>
      </c>
      <c r="B3313" t="s">
        <v>11722</v>
      </c>
      <c r="C3313" t="s">
        <v>136</v>
      </c>
      <c r="D3313" t="s">
        <v>79</v>
      </c>
      <c r="E3313" t="s">
        <v>4539</v>
      </c>
      <c r="F3313" t="s">
        <v>149</v>
      </c>
      <c r="G3313" t="s">
        <v>11723</v>
      </c>
    </row>
    <row r="3314" spans="1:7" ht="44.25" customHeight="1">
      <c r="A3314" t="s">
        <v>11724</v>
      </c>
      <c r="B3314" t="s">
        <v>11725</v>
      </c>
      <c r="C3314" t="s">
        <v>136</v>
      </c>
      <c r="D3314" t="s">
        <v>79</v>
      </c>
      <c r="E3314" t="s">
        <v>11726</v>
      </c>
      <c r="F3314" t="s">
        <v>149</v>
      </c>
      <c r="G3314" t="s">
        <v>11727</v>
      </c>
    </row>
    <row r="3315" spans="1:7" ht="44.25" customHeight="1">
      <c r="A3315" t="s">
        <v>11724</v>
      </c>
      <c r="B3315" t="s">
        <v>11725</v>
      </c>
      <c r="C3315" t="s">
        <v>136</v>
      </c>
      <c r="D3315" t="s">
        <v>79</v>
      </c>
      <c r="E3315" t="s">
        <v>11726</v>
      </c>
      <c r="F3315" t="s">
        <v>149</v>
      </c>
      <c r="G3315" t="s">
        <v>11727</v>
      </c>
    </row>
    <row r="3316" spans="1:7" ht="44.25" customHeight="1">
      <c r="A3316" t="s">
        <v>11728</v>
      </c>
      <c r="B3316" t="s">
        <v>11729</v>
      </c>
      <c r="C3316" t="s">
        <v>136</v>
      </c>
      <c r="D3316" t="s">
        <v>79</v>
      </c>
      <c r="E3316" t="s">
        <v>11730</v>
      </c>
      <c r="F3316" t="s">
        <v>149</v>
      </c>
      <c r="G3316" t="s">
        <v>11731</v>
      </c>
    </row>
    <row r="3317" spans="1:7" ht="44.25" customHeight="1">
      <c r="A3317" t="s">
        <v>11732</v>
      </c>
      <c r="B3317" t="s">
        <v>11733</v>
      </c>
      <c r="C3317" t="s">
        <v>136</v>
      </c>
      <c r="D3317" t="s">
        <v>79</v>
      </c>
      <c r="E3317" t="s">
        <v>10723</v>
      </c>
      <c r="F3317" t="s">
        <v>149</v>
      </c>
      <c r="G3317" t="s">
        <v>11734</v>
      </c>
    </row>
    <row r="3318" spans="1:7" ht="44.25" customHeight="1">
      <c r="A3318" t="s">
        <v>11735</v>
      </c>
      <c r="B3318" t="s">
        <v>11736</v>
      </c>
      <c r="C3318" t="s">
        <v>136</v>
      </c>
      <c r="D3318" t="s">
        <v>79</v>
      </c>
      <c r="E3318" t="s">
        <v>11737</v>
      </c>
      <c r="F3318" t="s">
        <v>149</v>
      </c>
      <c r="G3318" t="s">
        <v>11738</v>
      </c>
    </row>
    <row r="3319" spans="1:7" ht="44.25" customHeight="1">
      <c r="A3319" t="s">
        <v>290</v>
      </c>
      <c r="B3319" t="s">
        <v>11739</v>
      </c>
      <c r="C3319" t="s">
        <v>136</v>
      </c>
      <c r="D3319" t="s">
        <v>2257</v>
      </c>
      <c r="E3319" t="s">
        <v>1607</v>
      </c>
      <c r="F3319" t="s">
        <v>149</v>
      </c>
      <c r="G3319" t="s">
        <v>11740</v>
      </c>
    </row>
    <row r="3320" spans="1:7" ht="44.25" customHeight="1">
      <c r="A3320" t="s">
        <v>11741</v>
      </c>
      <c r="B3320" t="s">
        <v>11742</v>
      </c>
      <c r="C3320" t="s">
        <v>136</v>
      </c>
      <c r="D3320" t="s">
        <v>2257</v>
      </c>
      <c r="E3320" t="s">
        <v>1607</v>
      </c>
      <c r="F3320" t="s">
        <v>149</v>
      </c>
      <c r="G3320" t="s">
        <v>11743</v>
      </c>
    </row>
    <row r="3321" spans="1:7" ht="44.25" customHeight="1">
      <c r="A3321" t="s">
        <v>11744</v>
      </c>
      <c r="B3321" t="s">
        <v>11745</v>
      </c>
      <c r="C3321" t="s">
        <v>136</v>
      </c>
      <c r="D3321" t="s">
        <v>2257</v>
      </c>
      <c r="E3321" t="s">
        <v>1607</v>
      </c>
      <c r="F3321" t="s">
        <v>149</v>
      </c>
      <c r="G3321" t="s">
        <v>11746</v>
      </c>
    </row>
    <row r="3322" spans="1:7" ht="44.25" customHeight="1">
      <c r="A3322" t="s">
        <v>11747</v>
      </c>
      <c r="B3322" t="s">
        <v>11748</v>
      </c>
      <c r="C3322" t="s">
        <v>11749</v>
      </c>
      <c r="D3322" t="s">
        <v>2257</v>
      </c>
      <c r="E3322" t="s">
        <v>1607</v>
      </c>
      <c r="F3322" t="s">
        <v>149</v>
      </c>
      <c r="G3322" t="s">
        <v>11750</v>
      </c>
    </row>
    <row r="3323" spans="1:7" ht="44.25" customHeight="1">
      <c r="A3323" t="s">
        <v>11751</v>
      </c>
      <c r="B3323" t="s">
        <v>11752</v>
      </c>
      <c r="C3323" t="s">
        <v>136</v>
      </c>
      <c r="D3323" t="s">
        <v>2257</v>
      </c>
      <c r="E3323" t="s">
        <v>11753</v>
      </c>
      <c r="F3323" t="s">
        <v>149</v>
      </c>
      <c r="G3323" t="s">
        <v>11754</v>
      </c>
    </row>
    <row r="3324" spans="1:7" ht="44.25" customHeight="1">
      <c r="A3324" t="s">
        <v>1487</v>
      </c>
      <c r="B3324" t="s">
        <v>11755</v>
      </c>
      <c r="C3324" t="s">
        <v>136</v>
      </c>
      <c r="D3324" t="s">
        <v>2257</v>
      </c>
      <c r="E3324" t="s">
        <v>2276</v>
      </c>
      <c r="F3324" t="s">
        <v>149</v>
      </c>
      <c r="G3324" t="s">
        <v>11756</v>
      </c>
    </row>
    <row r="3325" spans="1:7" ht="44.25" customHeight="1">
      <c r="A3325" t="s">
        <v>304</v>
      </c>
      <c r="B3325" t="s">
        <v>11757</v>
      </c>
      <c r="C3325" t="s">
        <v>136</v>
      </c>
      <c r="D3325" t="s">
        <v>2257</v>
      </c>
      <c r="E3325" t="s">
        <v>2276</v>
      </c>
      <c r="F3325" t="s">
        <v>149</v>
      </c>
      <c r="G3325" t="s">
        <v>11758</v>
      </c>
    </row>
    <row r="3326" spans="1:7" ht="44.25" customHeight="1">
      <c r="A3326" t="s">
        <v>1021</v>
      </c>
      <c r="B3326" t="s">
        <v>11759</v>
      </c>
      <c r="C3326" t="s">
        <v>136</v>
      </c>
      <c r="D3326" t="s">
        <v>2257</v>
      </c>
      <c r="E3326" t="s">
        <v>2276</v>
      </c>
      <c r="F3326" t="s">
        <v>149</v>
      </c>
      <c r="G3326" t="s">
        <v>11760</v>
      </c>
    </row>
    <row r="3327" spans="1:7" ht="44.25" customHeight="1">
      <c r="A3327" t="s">
        <v>711</v>
      </c>
      <c r="B3327" t="s">
        <v>11761</v>
      </c>
      <c r="C3327" t="s">
        <v>136</v>
      </c>
      <c r="D3327" t="s">
        <v>2257</v>
      </c>
      <c r="E3327" t="s">
        <v>1584</v>
      </c>
      <c r="F3327" t="s">
        <v>149</v>
      </c>
      <c r="G3327" t="s">
        <v>11762</v>
      </c>
    </row>
    <row r="3328" spans="1:7" ht="44.25" customHeight="1">
      <c r="A3328" t="s">
        <v>11763</v>
      </c>
      <c r="B3328" t="s">
        <v>11764</v>
      </c>
      <c r="C3328" t="s">
        <v>136</v>
      </c>
      <c r="D3328" t="s">
        <v>79</v>
      </c>
      <c r="E3328" t="s">
        <v>4536</v>
      </c>
      <c r="F3328" t="s">
        <v>149</v>
      </c>
      <c r="G3328" t="s">
        <v>11765</v>
      </c>
    </row>
    <row r="3329" spans="1:7" ht="44.25" customHeight="1">
      <c r="A3329" t="s">
        <v>11766</v>
      </c>
      <c r="B3329" t="s">
        <v>11767</v>
      </c>
      <c r="C3329" t="s">
        <v>136</v>
      </c>
      <c r="D3329" t="s">
        <v>2257</v>
      </c>
      <c r="E3329" t="s">
        <v>11768</v>
      </c>
      <c r="F3329" t="s">
        <v>149</v>
      </c>
      <c r="G3329" t="s">
        <v>11769</v>
      </c>
    </row>
    <row r="3330" spans="1:7" ht="44.25" customHeight="1">
      <c r="A3330" t="s">
        <v>11770</v>
      </c>
      <c r="B3330" t="s">
        <v>11771</v>
      </c>
      <c r="C3330" t="s">
        <v>136</v>
      </c>
      <c r="D3330" t="s">
        <v>79</v>
      </c>
      <c r="E3330" t="s">
        <v>11772</v>
      </c>
      <c r="F3330" t="s">
        <v>149</v>
      </c>
      <c r="G3330" t="s">
        <v>11773</v>
      </c>
    </row>
    <row r="3331" spans="1:7" ht="44.25" customHeight="1">
      <c r="A3331" t="s">
        <v>11774</v>
      </c>
      <c r="B3331" t="s">
        <v>11775</v>
      </c>
      <c r="C3331" t="s">
        <v>136</v>
      </c>
      <c r="D3331" t="s">
        <v>79</v>
      </c>
      <c r="E3331" t="s">
        <v>11776</v>
      </c>
      <c r="F3331" t="s">
        <v>149</v>
      </c>
      <c r="G3331" t="s">
        <v>11777</v>
      </c>
    </row>
    <row r="3332" spans="1:7" ht="44.25" customHeight="1">
      <c r="A3332" t="s">
        <v>11778</v>
      </c>
      <c r="B3332" t="s">
        <v>11779</v>
      </c>
      <c r="C3332" t="s">
        <v>136</v>
      </c>
      <c r="D3332" t="s">
        <v>2257</v>
      </c>
      <c r="E3332" t="s">
        <v>2685</v>
      </c>
      <c r="F3332" t="s">
        <v>149</v>
      </c>
      <c r="G3332" t="s">
        <v>11780</v>
      </c>
    </row>
    <row r="3333" spans="1:7" ht="44.25" customHeight="1">
      <c r="A3333" t="s">
        <v>11781</v>
      </c>
      <c r="B3333" t="s">
        <v>11782</v>
      </c>
      <c r="C3333" t="s">
        <v>136</v>
      </c>
      <c r="D3333" t="s">
        <v>2257</v>
      </c>
      <c r="E3333" t="s">
        <v>2399</v>
      </c>
      <c r="F3333" t="s">
        <v>149</v>
      </c>
      <c r="G3333" t="s">
        <v>11783</v>
      </c>
    </row>
    <row r="3334" spans="1:7" ht="44.25" customHeight="1">
      <c r="A3334" t="s">
        <v>11784</v>
      </c>
      <c r="B3334" t="s">
        <v>11785</v>
      </c>
      <c r="C3334" t="s">
        <v>136</v>
      </c>
      <c r="D3334" t="s">
        <v>79</v>
      </c>
      <c r="E3334" t="s">
        <v>3534</v>
      </c>
      <c r="F3334" t="s">
        <v>149</v>
      </c>
      <c r="G3334" t="s">
        <v>11786</v>
      </c>
    </row>
    <row r="3335" spans="1:7" ht="44.25" customHeight="1">
      <c r="A3335" t="s">
        <v>11787</v>
      </c>
      <c r="B3335" t="s">
        <v>11788</v>
      </c>
      <c r="C3335" t="s">
        <v>136</v>
      </c>
      <c r="D3335" t="s">
        <v>2253</v>
      </c>
      <c r="E3335" t="s">
        <v>1432</v>
      </c>
      <c r="F3335" t="s">
        <v>149</v>
      </c>
      <c r="G3335" t="s">
        <v>11789</v>
      </c>
    </row>
    <row r="3336" spans="1:7" ht="44.25" customHeight="1">
      <c r="A3336" t="s">
        <v>11790</v>
      </c>
      <c r="B3336" t="s">
        <v>11791</v>
      </c>
      <c r="C3336" t="s">
        <v>136</v>
      </c>
      <c r="D3336" t="s">
        <v>2253</v>
      </c>
      <c r="E3336" t="s">
        <v>3737</v>
      </c>
      <c r="F3336" t="s">
        <v>149</v>
      </c>
      <c r="G3336" t="s">
        <v>11792</v>
      </c>
    </row>
    <row r="3337" spans="1:7" ht="44.25" customHeight="1">
      <c r="A3337" t="s">
        <v>11793</v>
      </c>
      <c r="B3337" t="s">
        <v>11794</v>
      </c>
      <c r="C3337" t="s">
        <v>136</v>
      </c>
      <c r="D3337" t="s">
        <v>2253</v>
      </c>
      <c r="E3337" t="s">
        <v>1432</v>
      </c>
      <c r="F3337" t="s">
        <v>149</v>
      </c>
      <c r="G3337" t="s">
        <v>11795</v>
      </c>
    </row>
    <row r="3338" spans="1:7" ht="44.25" customHeight="1">
      <c r="A3338" t="s">
        <v>776</v>
      </c>
      <c r="B3338" t="s">
        <v>11796</v>
      </c>
      <c r="C3338" t="s">
        <v>136</v>
      </c>
      <c r="D3338" t="s">
        <v>2257</v>
      </c>
      <c r="E3338" t="s">
        <v>1432</v>
      </c>
      <c r="F3338" t="s">
        <v>149</v>
      </c>
      <c r="G3338" t="s">
        <v>11797</v>
      </c>
    </row>
    <row r="3339" spans="1:7" ht="44.25" customHeight="1">
      <c r="A3339" t="s">
        <v>643</v>
      </c>
      <c r="B3339" t="s">
        <v>11798</v>
      </c>
      <c r="C3339" t="s">
        <v>136</v>
      </c>
      <c r="D3339" t="s">
        <v>79</v>
      </c>
      <c r="E3339" t="s">
        <v>11799</v>
      </c>
      <c r="F3339" t="s">
        <v>149</v>
      </c>
      <c r="G3339" t="s">
        <v>11800</v>
      </c>
    </row>
    <row r="3340" spans="1:7" ht="44.25" customHeight="1">
      <c r="A3340" t="s">
        <v>885</v>
      </c>
      <c r="B3340" t="s">
        <v>11801</v>
      </c>
      <c r="C3340" t="s">
        <v>136</v>
      </c>
      <c r="D3340" t="s">
        <v>79</v>
      </c>
      <c r="E3340" t="s">
        <v>4679</v>
      </c>
      <c r="F3340" t="s">
        <v>149</v>
      </c>
      <c r="G3340" t="s">
        <v>11802</v>
      </c>
    </row>
    <row r="3341" spans="1:7" ht="44.25" customHeight="1">
      <c r="A3341" t="s">
        <v>11803</v>
      </c>
      <c r="B3341" t="s">
        <v>11804</v>
      </c>
      <c r="C3341" t="s">
        <v>136</v>
      </c>
      <c r="D3341" t="s">
        <v>2257</v>
      </c>
      <c r="E3341" t="s">
        <v>4299</v>
      </c>
      <c r="F3341" t="s">
        <v>149</v>
      </c>
      <c r="G3341" t="s">
        <v>11805</v>
      </c>
    </row>
    <row r="3342" spans="1:7" ht="44.25" customHeight="1">
      <c r="A3342" t="s">
        <v>11806</v>
      </c>
      <c r="B3342" t="s">
        <v>11807</v>
      </c>
      <c r="C3342" t="s">
        <v>136</v>
      </c>
      <c r="D3342" t="s">
        <v>2257</v>
      </c>
      <c r="E3342" t="s">
        <v>5691</v>
      </c>
      <c r="F3342" t="s">
        <v>149</v>
      </c>
      <c r="G3342" t="s">
        <v>11808</v>
      </c>
    </row>
    <row r="3343" spans="1:7" ht="44.25" customHeight="1">
      <c r="A3343" t="s">
        <v>136</v>
      </c>
      <c r="B3343" t="s">
        <v>11809</v>
      </c>
      <c r="C3343" t="s">
        <v>136</v>
      </c>
      <c r="D3343" t="s">
        <v>2257</v>
      </c>
      <c r="E3343" t="s">
        <v>2695</v>
      </c>
      <c r="F3343" t="s">
        <v>149</v>
      </c>
      <c r="G3343" t="s">
        <v>11810</v>
      </c>
    </row>
    <row r="3344" spans="1:7" ht="44.25" customHeight="1">
      <c r="A3344" t="s">
        <v>11811</v>
      </c>
      <c r="B3344" t="s">
        <v>11812</v>
      </c>
      <c r="C3344" t="s">
        <v>136</v>
      </c>
      <c r="D3344" t="s">
        <v>2257</v>
      </c>
      <c r="E3344" t="s">
        <v>1607</v>
      </c>
      <c r="F3344" t="s">
        <v>149</v>
      </c>
      <c r="G3344" t="s">
        <v>11813</v>
      </c>
    </row>
    <row r="3345" spans="1:7" ht="44.25" customHeight="1">
      <c r="A3345" t="s">
        <v>11814</v>
      </c>
      <c r="B3345" t="s">
        <v>11815</v>
      </c>
      <c r="C3345" t="s">
        <v>136</v>
      </c>
      <c r="D3345" t="s">
        <v>2257</v>
      </c>
      <c r="E3345" t="s">
        <v>1607</v>
      </c>
      <c r="F3345" t="s">
        <v>149</v>
      </c>
      <c r="G3345" t="s">
        <v>11816</v>
      </c>
    </row>
    <row r="3346" spans="1:7" ht="44.25" customHeight="1">
      <c r="A3346" t="s">
        <v>11817</v>
      </c>
      <c r="B3346" t="s">
        <v>11818</v>
      </c>
      <c r="C3346" t="s">
        <v>136</v>
      </c>
      <c r="D3346" t="s">
        <v>2257</v>
      </c>
      <c r="E3346" t="s">
        <v>3361</v>
      </c>
      <c r="F3346" t="s">
        <v>149</v>
      </c>
      <c r="G3346" t="s">
        <v>11819</v>
      </c>
    </row>
    <row r="3347" spans="1:7" ht="44.25" customHeight="1">
      <c r="A3347" t="s">
        <v>11820</v>
      </c>
      <c r="B3347" t="s">
        <v>11821</v>
      </c>
      <c r="C3347" t="s">
        <v>136</v>
      </c>
      <c r="D3347" t="s">
        <v>2257</v>
      </c>
      <c r="E3347" t="s">
        <v>8443</v>
      </c>
      <c r="F3347" t="s">
        <v>149</v>
      </c>
      <c r="G3347" t="s">
        <v>11822</v>
      </c>
    </row>
    <row r="3348" spans="1:7" ht="44.25" customHeight="1">
      <c r="A3348" t="s">
        <v>11823</v>
      </c>
      <c r="B3348" t="s">
        <v>11824</v>
      </c>
      <c r="C3348" t="s">
        <v>136</v>
      </c>
      <c r="D3348" t="s">
        <v>2257</v>
      </c>
      <c r="E3348" t="s">
        <v>2258</v>
      </c>
      <c r="F3348" t="s">
        <v>149</v>
      </c>
      <c r="G3348" t="s">
        <v>11825</v>
      </c>
    </row>
    <row r="3349" spans="1:7" ht="44.25" customHeight="1">
      <c r="A3349" t="s">
        <v>11826</v>
      </c>
      <c r="B3349" t="s">
        <v>11827</v>
      </c>
      <c r="C3349" t="s">
        <v>136</v>
      </c>
      <c r="D3349" t="s">
        <v>2257</v>
      </c>
      <c r="E3349" t="s">
        <v>1607</v>
      </c>
      <c r="F3349" t="s">
        <v>149</v>
      </c>
      <c r="G3349" t="s">
        <v>11828</v>
      </c>
    </row>
    <row r="3350" spans="1:7" ht="44.25" customHeight="1">
      <c r="A3350" t="s">
        <v>11829</v>
      </c>
      <c r="B3350" t="s">
        <v>11830</v>
      </c>
      <c r="C3350" t="s">
        <v>11831</v>
      </c>
      <c r="D3350" t="s">
        <v>2257</v>
      </c>
      <c r="E3350" t="s">
        <v>1607</v>
      </c>
      <c r="F3350" t="s">
        <v>149</v>
      </c>
      <c r="G3350" t="s">
        <v>11832</v>
      </c>
    </row>
    <row r="3351" spans="1:7" ht="44.25" customHeight="1">
      <c r="A3351" t="s">
        <v>11833</v>
      </c>
      <c r="B3351" t="s">
        <v>11834</v>
      </c>
      <c r="C3351" t="s">
        <v>136</v>
      </c>
      <c r="D3351" t="s">
        <v>79</v>
      </c>
      <c r="E3351" t="s">
        <v>3427</v>
      </c>
      <c r="F3351" t="s">
        <v>149</v>
      </c>
      <c r="G3351" t="s">
        <v>11835</v>
      </c>
    </row>
    <row r="3352" spans="1:7" ht="44.25" customHeight="1">
      <c r="A3352" t="s">
        <v>11836</v>
      </c>
      <c r="B3352" t="s">
        <v>11837</v>
      </c>
      <c r="C3352" t="s">
        <v>136</v>
      </c>
      <c r="D3352" t="s">
        <v>79</v>
      </c>
      <c r="E3352" t="s">
        <v>3534</v>
      </c>
      <c r="F3352" t="s">
        <v>149</v>
      </c>
      <c r="G3352" t="s">
        <v>11838</v>
      </c>
    </row>
    <row r="3353" spans="1:7" ht="44.25" customHeight="1">
      <c r="A3353" t="s">
        <v>888</v>
      </c>
      <c r="B3353" t="s">
        <v>10527</v>
      </c>
      <c r="C3353" t="s">
        <v>136</v>
      </c>
      <c r="D3353" t="s">
        <v>2257</v>
      </c>
      <c r="E3353" t="s">
        <v>3580</v>
      </c>
      <c r="F3353" t="s">
        <v>149</v>
      </c>
      <c r="G3353" t="s">
        <v>11839</v>
      </c>
    </row>
    <row r="3354" spans="1:7" ht="44.25" customHeight="1">
      <c r="A3354" t="s">
        <v>11840</v>
      </c>
      <c r="B3354" t="s">
        <v>11841</v>
      </c>
      <c r="C3354" t="s">
        <v>136</v>
      </c>
      <c r="D3354" t="s">
        <v>2253</v>
      </c>
      <c r="E3354" t="s">
        <v>2258</v>
      </c>
      <c r="F3354" t="s">
        <v>149</v>
      </c>
      <c r="G3354" t="s">
        <v>11842</v>
      </c>
    </row>
    <row r="3355" spans="1:7" ht="44.25" customHeight="1">
      <c r="A3355" t="s">
        <v>11843</v>
      </c>
      <c r="B3355" t="s">
        <v>11844</v>
      </c>
      <c r="C3355" t="s">
        <v>136</v>
      </c>
      <c r="D3355" t="s">
        <v>2257</v>
      </c>
      <c r="E3355" t="s">
        <v>2276</v>
      </c>
      <c r="F3355" t="s">
        <v>149</v>
      </c>
      <c r="G3355" t="s">
        <v>11845</v>
      </c>
    </row>
    <row r="3356" spans="1:7" ht="44.25" customHeight="1">
      <c r="A3356" t="s">
        <v>11846</v>
      </c>
      <c r="B3356" t="s">
        <v>11847</v>
      </c>
      <c r="C3356" t="s">
        <v>136</v>
      </c>
      <c r="D3356" t="s">
        <v>79</v>
      </c>
      <c r="E3356" t="s">
        <v>6242</v>
      </c>
      <c r="F3356" t="s">
        <v>149</v>
      </c>
      <c r="G3356" t="s">
        <v>11848</v>
      </c>
    </row>
    <row r="3357" spans="1:7" ht="44.25" customHeight="1">
      <c r="A3357" t="s">
        <v>1369</v>
      </c>
      <c r="B3357" t="s">
        <v>11849</v>
      </c>
      <c r="C3357" t="s">
        <v>136</v>
      </c>
      <c r="D3357" t="s">
        <v>2257</v>
      </c>
      <c r="E3357" t="s">
        <v>2276</v>
      </c>
      <c r="F3357" t="s">
        <v>149</v>
      </c>
      <c r="G3357" t="s">
        <v>11850</v>
      </c>
    </row>
    <row r="3358" spans="1:7" ht="44.25" customHeight="1">
      <c r="A3358" t="s">
        <v>338</v>
      </c>
      <c r="B3358" t="s">
        <v>11851</v>
      </c>
      <c r="C3358" t="s">
        <v>136</v>
      </c>
      <c r="D3358" t="s">
        <v>2257</v>
      </c>
      <c r="E3358" t="s">
        <v>1430</v>
      </c>
      <c r="F3358" t="s">
        <v>149</v>
      </c>
      <c r="G3358" t="s">
        <v>11852</v>
      </c>
    </row>
    <row r="3359" spans="1:7" ht="44.25" customHeight="1">
      <c r="A3359" t="s">
        <v>797</v>
      </c>
      <c r="B3359" t="s">
        <v>11853</v>
      </c>
      <c r="C3359" t="s">
        <v>136</v>
      </c>
      <c r="D3359" t="s">
        <v>79</v>
      </c>
      <c r="E3359" t="s">
        <v>11854</v>
      </c>
      <c r="F3359" t="s">
        <v>149</v>
      </c>
      <c r="G3359" t="s">
        <v>11855</v>
      </c>
    </row>
    <row r="3360" spans="1:7" ht="44.25" customHeight="1">
      <c r="A3360" t="s">
        <v>737</v>
      </c>
      <c r="B3360" t="s">
        <v>11856</v>
      </c>
      <c r="C3360" t="s">
        <v>136</v>
      </c>
      <c r="D3360" t="s">
        <v>2257</v>
      </c>
      <c r="E3360" t="s">
        <v>2269</v>
      </c>
      <c r="F3360" t="s">
        <v>149</v>
      </c>
      <c r="G3360" t="s">
        <v>11857</v>
      </c>
    </row>
    <row r="3361" spans="1:7" ht="44.25" customHeight="1">
      <c r="A3361" t="s">
        <v>1031</v>
      </c>
      <c r="B3361" t="s">
        <v>11858</v>
      </c>
      <c r="C3361" t="s">
        <v>136</v>
      </c>
      <c r="D3361" t="s">
        <v>79</v>
      </c>
      <c r="E3361" t="s">
        <v>1430</v>
      </c>
      <c r="F3361" t="s">
        <v>149</v>
      </c>
      <c r="G3361" t="s">
        <v>11859</v>
      </c>
    </row>
    <row r="3362" spans="1:7" ht="44.25" customHeight="1">
      <c r="A3362" t="s">
        <v>11860</v>
      </c>
      <c r="B3362" t="s">
        <v>11861</v>
      </c>
      <c r="C3362" t="s">
        <v>136</v>
      </c>
      <c r="D3362" t="s">
        <v>2257</v>
      </c>
      <c r="E3362" t="s">
        <v>4595</v>
      </c>
      <c r="F3362" t="s">
        <v>149</v>
      </c>
      <c r="G3362" t="s">
        <v>11862</v>
      </c>
    </row>
    <row r="3363" spans="1:7" ht="44.25" customHeight="1">
      <c r="A3363" t="s">
        <v>11863</v>
      </c>
      <c r="B3363" t="s">
        <v>11864</v>
      </c>
      <c r="C3363" t="s">
        <v>136</v>
      </c>
      <c r="D3363" t="s">
        <v>79</v>
      </c>
      <c r="E3363" t="s">
        <v>11865</v>
      </c>
      <c r="F3363" t="s">
        <v>149</v>
      </c>
      <c r="G3363" t="s">
        <v>11866</v>
      </c>
    </row>
    <row r="3364" spans="1:7" ht="44.25" customHeight="1">
      <c r="A3364" t="s">
        <v>11867</v>
      </c>
      <c r="B3364" t="s">
        <v>11868</v>
      </c>
      <c r="C3364" t="s">
        <v>136</v>
      </c>
      <c r="D3364" t="s">
        <v>2257</v>
      </c>
      <c r="E3364" t="s">
        <v>5691</v>
      </c>
      <c r="F3364" t="s">
        <v>149</v>
      </c>
      <c r="G3364" t="s">
        <v>11869</v>
      </c>
    </row>
    <row r="3365" spans="1:7" ht="44.25" customHeight="1">
      <c r="A3365" t="s">
        <v>11870</v>
      </c>
      <c r="B3365" t="s">
        <v>11871</v>
      </c>
      <c r="C3365" t="s">
        <v>136</v>
      </c>
      <c r="D3365" t="s">
        <v>2257</v>
      </c>
      <c r="E3365" t="s">
        <v>5691</v>
      </c>
      <c r="F3365" t="s">
        <v>149</v>
      </c>
      <c r="G3365" t="s">
        <v>11872</v>
      </c>
    </row>
    <row r="3366" spans="1:7" ht="44.25" customHeight="1">
      <c r="A3366" t="s">
        <v>11873</v>
      </c>
      <c r="B3366" t="s">
        <v>11874</v>
      </c>
      <c r="C3366" t="s">
        <v>136</v>
      </c>
      <c r="D3366" t="s">
        <v>2257</v>
      </c>
      <c r="E3366" t="s">
        <v>1607</v>
      </c>
      <c r="F3366" t="s">
        <v>149</v>
      </c>
      <c r="G3366" t="s">
        <v>11875</v>
      </c>
    </row>
    <row r="3367" spans="1:7" ht="44.25" customHeight="1">
      <c r="A3367" t="s">
        <v>369</v>
      </c>
      <c r="B3367" t="s">
        <v>11876</v>
      </c>
      <c r="C3367" t="s">
        <v>136</v>
      </c>
      <c r="D3367" t="s">
        <v>79</v>
      </c>
      <c r="E3367" t="s">
        <v>7005</v>
      </c>
      <c r="F3367" t="s">
        <v>149</v>
      </c>
      <c r="G3367" t="s">
        <v>11877</v>
      </c>
    </row>
    <row r="3368" spans="1:7" ht="44.25" customHeight="1">
      <c r="A3368" t="s">
        <v>11878</v>
      </c>
      <c r="B3368" t="s">
        <v>11879</v>
      </c>
      <c r="C3368" t="s">
        <v>136</v>
      </c>
      <c r="D3368" t="s">
        <v>79</v>
      </c>
      <c r="E3368" t="s">
        <v>7216</v>
      </c>
      <c r="F3368" t="s">
        <v>149</v>
      </c>
      <c r="G3368" t="s">
        <v>11880</v>
      </c>
    </row>
    <row r="3369" spans="1:7" ht="44.25" customHeight="1">
      <c r="A3369" t="s">
        <v>11878</v>
      </c>
      <c r="B3369" t="s">
        <v>11879</v>
      </c>
      <c r="C3369" t="s">
        <v>136</v>
      </c>
      <c r="D3369" t="s">
        <v>79</v>
      </c>
      <c r="E3369" t="s">
        <v>7216</v>
      </c>
      <c r="F3369" t="s">
        <v>149</v>
      </c>
      <c r="G3369" t="s">
        <v>11880</v>
      </c>
    </row>
    <row r="3370" spans="1:7" ht="44.25" customHeight="1">
      <c r="A3370" t="s">
        <v>11881</v>
      </c>
      <c r="B3370" t="s">
        <v>11882</v>
      </c>
      <c r="C3370" t="s">
        <v>136</v>
      </c>
      <c r="D3370" t="s">
        <v>2253</v>
      </c>
      <c r="E3370" t="s">
        <v>1432</v>
      </c>
      <c r="F3370" t="s">
        <v>149</v>
      </c>
      <c r="G3370" t="s">
        <v>11883</v>
      </c>
    </row>
    <row r="3371" spans="1:7" ht="44.25" customHeight="1">
      <c r="A3371" t="s">
        <v>11884</v>
      </c>
      <c r="B3371" t="s">
        <v>11885</v>
      </c>
      <c r="C3371" t="s">
        <v>136</v>
      </c>
      <c r="D3371" t="s">
        <v>2257</v>
      </c>
      <c r="E3371" t="s">
        <v>2276</v>
      </c>
      <c r="F3371" t="s">
        <v>149</v>
      </c>
      <c r="G3371" t="s">
        <v>11886</v>
      </c>
    </row>
    <row r="3372" spans="1:7" ht="44.25" customHeight="1">
      <c r="A3372" t="s">
        <v>11887</v>
      </c>
      <c r="B3372" t="s">
        <v>11888</v>
      </c>
      <c r="C3372" t="s">
        <v>136</v>
      </c>
      <c r="D3372" t="s">
        <v>2253</v>
      </c>
      <c r="E3372" t="s">
        <v>1432</v>
      </c>
      <c r="F3372" t="s">
        <v>149</v>
      </c>
      <c r="G3372" t="s">
        <v>11889</v>
      </c>
    </row>
    <row r="3373" spans="1:7" ht="44.25" customHeight="1">
      <c r="A3373" t="s">
        <v>11890</v>
      </c>
      <c r="B3373" t="s">
        <v>11891</v>
      </c>
      <c r="C3373" t="s">
        <v>136</v>
      </c>
      <c r="D3373" t="s">
        <v>79</v>
      </c>
      <c r="E3373" t="s">
        <v>11892</v>
      </c>
      <c r="F3373" t="s">
        <v>149</v>
      </c>
      <c r="G3373" t="s">
        <v>11893</v>
      </c>
    </row>
    <row r="3374" spans="1:7" ht="44.25" customHeight="1">
      <c r="A3374" t="s">
        <v>11894</v>
      </c>
      <c r="B3374" t="s">
        <v>11895</v>
      </c>
      <c r="C3374" t="s">
        <v>136</v>
      </c>
      <c r="D3374" t="s">
        <v>2257</v>
      </c>
      <c r="E3374" t="s">
        <v>6128</v>
      </c>
      <c r="F3374" t="s">
        <v>149</v>
      </c>
      <c r="G3374" t="s">
        <v>11896</v>
      </c>
    </row>
    <row r="3375" spans="1:7" ht="44.25" customHeight="1">
      <c r="A3375" t="s">
        <v>11897</v>
      </c>
      <c r="B3375" t="s">
        <v>11898</v>
      </c>
      <c r="C3375" t="s">
        <v>136</v>
      </c>
      <c r="D3375" t="s">
        <v>2257</v>
      </c>
      <c r="E3375" t="s">
        <v>5691</v>
      </c>
      <c r="F3375" t="s">
        <v>149</v>
      </c>
      <c r="G3375" t="s">
        <v>11899</v>
      </c>
    </row>
    <row r="3376" spans="1:7" ht="44.25" customHeight="1">
      <c r="A3376" t="s">
        <v>11900</v>
      </c>
      <c r="B3376" t="s">
        <v>11901</v>
      </c>
      <c r="C3376" t="s">
        <v>136</v>
      </c>
      <c r="D3376" t="s">
        <v>2257</v>
      </c>
      <c r="E3376" t="s">
        <v>6128</v>
      </c>
      <c r="F3376" t="s">
        <v>149</v>
      </c>
      <c r="G3376" t="s">
        <v>11902</v>
      </c>
    </row>
    <row r="3377" spans="1:7" ht="44.25" customHeight="1">
      <c r="A3377" t="s">
        <v>474</v>
      </c>
      <c r="B3377" t="s">
        <v>11903</v>
      </c>
      <c r="C3377" t="s">
        <v>136</v>
      </c>
      <c r="D3377" t="s">
        <v>2257</v>
      </c>
      <c r="E3377" t="s">
        <v>1518</v>
      </c>
      <c r="F3377" t="s">
        <v>149</v>
      </c>
      <c r="G3377" t="s">
        <v>11904</v>
      </c>
    </row>
    <row r="3378" spans="1:7" ht="44.25" customHeight="1">
      <c r="A3378" t="s">
        <v>136</v>
      </c>
      <c r="B3378" t="s">
        <v>11905</v>
      </c>
      <c r="C3378" t="s">
        <v>136</v>
      </c>
      <c r="D3378" t="s">
        <v>2257</v>
      </c>
      <c r="E3378" t="s">
        <v>2399</v>
      </c>
      <c r="F3378" t="s">
        <v>149</v>
      </c>
      <c r="G3378" t="s">
        <v>11906</v>
      </c>
    </row>
    <row r="3379" spans="1:7" ht="44.25" customHeight="1">
      <c r="A3379" t="s">
        <v>286</v>
      </c>
      <c r="B3379" t="s">
        <v>11907</v>
      </c>
      <c r="C3379" t="s">
        <v>136</v>
      </c>
      <c r="D3379" t="s">
        <v>2257</v>
      </c>
      <c r="E3379" t="s">
        <v>1607</v>
      </c>
      <c r="F3379" t="s">
        <v>149</v>
      </c>
      <c r="G3379" t="s">
        <v>11908</v>
      </c>
    </row>
    <row r="3380" spans="1:7" ht="44.25" customHeight="1">
      <c r="A3380" t="s">
        <v>11909</v>
      </c>
      <c r="B3380" t="s">
        <v>11910</v>
      </c>
      <c r="C3380" t="s">
        <v>136</v>
      </c>
      <c r="D3380" t="s">
        <v>2257</v>
      </c>
      <c r="E3380" t="s">
        <v>1607</v>
      </c>
      <c r="F3380" t="s">
        <v>149</v>
      </c>
      <c r="G3380" t="s">
        <v>11911</v>
      </c>
    </row>
    <row r="3381" spans="1:7" ht="44.25" customHeight="1">
      <c r="A3381" t="s">
        <v>561</v>
      </c>
      <c r="B3381" t="s">
        <v>11912</v>
      </c>
      <c r="C3381" t="s">
        <v>136</v>
      </c>
      <c r="D3381" t="s">
        <v>79</v>
      </c>
      <c r="E3381" t="s">
        <v>3565</v>
      </c>
      <c r="F3381" t="s">
        <v>149</v>
      </c>
      <c r="G3381" t="s">
        <v>11913</v>
      </c>
    </row>
    <row r="3382" spans="1:7" ht="44.25" customHeight="1">
      <c r="A3382" t="s">
        <v>11914</v>
      </c>
      <c r="B3382" t="s">
        <v>11915</v>
      </c>
      <c r="C3382" t="s">
        <v>136</v>
      </c>
      <c r="D3382" t="s">
        <v>79</v>
      </c>
      <c r="E3382" t="s">
        <v>6154</v>
      </c>
      <c r="F3382" t="s">
        <v>149</v>
      </c>
      <c r="G3382" t="s">
        <v>11916</v>
      </c>
    </row>
    <row r="3383" spans="1:7" ht="44.25" customHeight="1">
      <c r="A3383" t="s">
        <v>11917</v>
      </c>
      <c r="B3383" t="s">
        <v>11918</v>
      </c>
      <c r="C3383" t="s">
        <v>136</v>
      </c>
      <c r="D3383" t="s">
        <v>79</v>
      </c>
      <c r="E3383" t="s">
        <v>11919</v>
      </c>
      <c r="F3383" t="s">
        <v>149</v>
      </c>
      <c r="G3383" t="s">
        <v>11920</v>
      </c>
    </row>
    <row r="3384" spans="1:7" ht="44.25" customHeight="1">
      <c r="A3384" t="s">
        <v>11921</v>
      </c>
      <c r="B3384" t="s">
        <v>11922</v>
      </c>
      <c r="C3384" t="s">
        <v>136</v>
      </c>
      <c r="D3384" t="s">
        <v>2253</v>
      </c>
      <c r="E3384" t="s">
        <v>1432</v>
      </c>
      <c r="F3384" t="s">
        <v>149</v>
      </c>
      <c r="G3384" t="s">
        <v>11923</v>
      </c>
    </row>
    <row r="3385" spans="1:7" ht="44.25" customHeight="1">
      <c r="A3385" t="s">
        <v>783</v>
      </c>
      <c r="B3385" t="s">
        <v>11924</v>
      </c>
      <c r="C3385" t="s">
        <v>136</v>
      </c>
      <c r="D3385" t="s">
        <v>2253</v>
      </c>
      <c r="E3385" t="s">
        <v>1432</v>
      </c>
      <c r="F3385" t="s">
        <v>149</v>
      </c>
      <c r="G3385" t="s">
        <v>11925</v>
      </c>
    </row>
    <row r="3386" spans="1:7" ht="44.25" customHeight="1">
      <c r="A3386" t="s">
        <v>11926</v>
      </c>
      <c r="B3386" t="s">
        <v>11927</v>
      </c>
      <c r="C3386" t="s">
        <v>136</v>
      </c>
      <c r="D3386" t="s">
        <v>79</v>
      </c>
      <c r="E3386" t="s">
        <v>7742</v>
      </c>
      <c r="F3386" t="s">
        <v>149</v>
      </c>
      <c r="G3386" t="s">
        <v>11928</v>
      </c>
    </row>
    <row r="3387" spans="1:7" ht="44.25" customHeight="1">
      <c r="A3387" t="s">
        <v>11929</v>
      </c>
      <c r="B3387" t="s">
        <v>11930</v>
      </c>
      <c r="C3387" t="s">
        <v>136</v>
      </c>
      <c r="D3387" t="s">
        <v>79</v>
      </c>
      <c r="E3387" t="s">
        <v>11931</v>
      </c>
      <c r="F3387" t="s">
        <v>149</v>
      </c>
      <c r="G3387" t="s">
        <v>11932</v>
      </c>
    </row>
    <row r="3388" spans="1:7" ht="44.25" customHeight="1">
      <c r="A3388" t="s">
        <v>11933</v>
      </c>
      <c r="B3388" t="s">
        <v>11934</v>
      </c>
      <c r="C3388" t="s">
        <v>136</v>
      </c>
      <c r="D3388" t="s">
        <v>2257</v>
      </c>
      <c r="E3388" t="s">
        <v>5813</v>
      </c>
      <c r="F3388" t="s">
        <v>149</v>
      </c>
      <c r="G3388" t="s">
        <v>11935</v>
      </c>
    </row>
    <row r="3389" spans="1:7" ht="44.25" customHeight="1">
      <c r="A3389" t="s">
        <v>11936</v>
      </c>
      <c r="B3389" t="s">
        <v>11937</v>
      </c>
      <c r="C3389" t="s">
        <v>136</v>
      </c>
      <c r="D3389" t="s">
        <v>2257</v>
      </c>
      <c r="E3389" t="s">
        <v>1607</v>
      </c>
      <c r="F3389" t="s">
        <v>149</v>
      </c>
      <c r="G3389" t="s">
        <v>11938</v>
      </c>
    </row>
    <row r="3390" spans="1:7" ht="44.25" customHeight="1">
      <c r="A3390" t="s">
        <v>11939</v>
      </c>
      <c r="B3390" t="s">
        <v>11940</v>
      </c>
      <c r="C3390" t="s">
        <v>136</v>
      </c>
      <c r="D3390" t="s">
        <v>2257</v>
      </c>
      <c r="E3390" t="s">
        <v>1607</v>
      </c>
      <c r="F3390" t="s">
        <v>149</v>
      </c>
      <c r="G3390" t="s">
        <v>11941</v>
      </c>
    </row>
    <row r="3391" spans="1:7" ht="44.25" customHeight="1">
      <c r="A3391" t="s">
        <v>11942</v>
      </c>
      <c r="B3391" t="s">
        <v>11943</v>
      </c>
      <c r="C3391" t="s">
        <v>136</v>
      </c>
      <c r="D3391" t="s">
        <v>2257</v>
      </c>
      <c r="E3391" t="s">
        <v>1607</v>
      </c>
      <c r="F3391" t="s">
        <v>149</v>
      </c>
      <c r="G3391" t="s">
        <v>11944</v>
      </c>
    </row>
    <row r="3392" spans="1:7" ht="44.25" customHeight="1">
      <c r="A3392" t="s">
        <v>11945</v>
      </c>
      <c r="B3392" t="s">
        <v>11946</v>
      </c>
      <c r="C3392" t="s">
        <v>136</v>
      </c>
      <c r="D3392" t="s">
        <v>2257</v>
      </c>
      <c r="E3392" t="s">
        <v>1607</v>
      </c>
      <c r="F3392" t="s">
        <v>149</v>
      </c>
      <c r="G3392" t="s">
        <v>11947</v>
      </c>
    </row>
    <row r="3393" spans="1:7" ht="44.25" customHeight="1">
      <c r="A3393" t="s">
        <v>11948</v>
      </c>
      <c r="B3393" t="s">
        <v>11949</v>
      </c>
      <c r="C3393" t="s">
        <v>136</v>
      </c>
      <c r="D3393" t="s">
        <v>2253</v>
      </c>
      <c r="E3393" t="s">
        <v>1432</v>
      </c>
      <c r="F3393" t="s">
        <v>149</v>
      </c>
      <c r="G3393" t="s">
        <v>11950</v>
      </c>
    </row>
    <row r="3394" spans="1:7" ht="44.25" customHeight="1">
      <c r="A3394" t="s">
        <v>11951</v>
      </c>
      <c r="B3394" t="s">
        <v>11952</v>
      </c>
      <c r="C3394" t="s">
        <v>136</v>
      </c>
      <c r="D3394" t="s">
        <v>2253</v>
      </c>
      <c r="E3394" t="s">
        <v>1432</v>
      </c>
      <c r="F3394" t="s">
        <v>149</v>
      </c>
      <c r="G3394" t="s">
        <v>11953</v>
      </c>
    </row>
    <row r="3395" spans="1:7" ht="44.25" customHeight="1">
      <c r="A3395" t="s">
        <v>11954</v>
      </c>
      <c r="B3395" t="s">
        <v>11955</v>
      </c>
      <c r="C3395" t="s">
        <v>136</v>
      </c>
      <c r="D3395" t="s">
        <v>2257</v>
      </c>
      <c r="E3395" t="s">
        <v>2276</v>
      </c>
      <c r="F3395" t="s">
        <v>149</v>
      </c>
      <c r="G3395" t="s">
        <v>11956</v>
      </c>
    </row>
    <row r="3396" spans="1:7" ht="44.25" customHeight="1">
      <c r="A3396" t="s">
        <v>1329</v>
      </c>
      <c r="B3396" t="s">
        <v>11957</v>
      </c>
      <c r="C3396" t="s">
        <v>136</v>
      </c>
      <c r="D3396" t="s">
        <v>2253</v>
      </c>
      <c r="E3396" t="s">
        <v>1432</v>
      </c>
      <c r="F3396" t="s">
        <v>149</v>
      </c>
      <c r="G3396" t="s">
        <v>11958</v>
      </c>
    </row>
    <row r="3397" spans="1:7" ht="44.25" customHeight="1">
      <c r="A3397" t="s">
        <v>1348</v>
      </c>
      <c r="B3397" t="s">
        <v>11959</v>
      </c>
      <c r="C3397" t="s">
        <v>136</v>
      </c>
      <c r="D3397" t="s">
        <v>2257</v>
      </c>
      <c r="E3397" t="s">
        <v>2276</v>
      </c>
      <c r="F3397" t="s">
        <v>149</v>
      </c>
      <c r="G3397" t="s">
        <v>11960</v>
      </c>
    </row>
    <row r="3398" spans="1:7" ht="44.25" customHeight="1">
      <c r="A3398" t="s">
        <v>1364</v>
      </c>
      <c r="B3398" t="s">
        <v>11961</v>
      </c>
      <c r="C3398" t="s">
        <v>136</v>
      </c>
      <c r="D3398" t="s">
        <v>2257</v>
      </c>
      <c r="E3398" t="s">
        <v>2276</v>
      </c>
      <c r="F3398" t="s">
        <v>149</v>
      </c>
      <c r="G3398" t="s">
        <v>11962</v>
      </c>
    </row>
    <row r="3399" spans="1:7" ht="44.25" customHeight="1">
      <c r="A3399" t="s">
        <v>787</v>
      </c>
      <c r="B3399" t="s">
        <v>11963</v>
      </c>
      <c r="C3399" t="s">
        <v>136</v>
      </c>
      <c r="D3399" t="s">
        <v>2253</v>
      </c>
      <c r="E3399" t="s">
        <v>1432</v>
      </c>
      <c r="F3399" t="s">
        <v>149</v>
      </c>
      <c r="G3399" t="s">
        <v>11964</v>
      </c>
    </row>
    <row r="3400" spans="1:7" ht="44.25" customHeight="1">
      <c r="A3400" t="s">
        <v>753</v>
      </c>
      <c r="B3400" t="s">
        <v>11965</v>
      </c>
      <c r="C3400" t="s">
        <v>136</v>
      </c>
      <c r="D3400" t="s">
        <v>79</v>
      </c>
      <c r="E3400" t="s">
        <v>4511</v>
      </c>
      <c r="F3400" t="s">
        <v>149</v>
      </c>
      <c r="G3400" t="s">
        <v>11966</v>
      </c>
    </row>
    <row r="3401" spans="1:7" ht="44.25" customHeight="1">
      <c r="A3401" t="s">
        <v>698</v>
      </c>
      <c r="B3401" t="s">
        <v>11967</v>
      </c>
      <c r="C3401" t="s">
        <v>136</v>
      </c>
      <c r="D3401" t="s">
        <v>2257</v>
      </c>
      <c r="E3401" t="s">
        <v>1584</v>
      </c>
      <c r="F3401" t="s">
        <v>149</v>
      </c>
      <c r="G3401" t="s">
        <v>11968</v>
      </c>
    </row>
    <row r="3402" spans="1:7" ht="44.25" customHeight="1">
      <c r="A3402" t="s">
        <v>11969</v>
      </c>
      <c r="B3402" t="s">
        <v>11970</v>
      </c>
      <c r="C3402" t="s">
        <v>136</v>
      </c>
      <c r="D3402" t="s">
        <v>79</v>
      </c>
      <c r="E3402" t="s">
        <v>11971</v>
      </c>
      <c r="F3402" t="s">
        <v>149</v>
      </c>
      <c r="G3402" t="s">
        <v>11972</v>
      </c>
    </row>
    <row r="3403" spans="1:7" ht="44.25" customHeight="1">
      <c r="A3403" t="s">
        <v>11973</v>
      </c>
      <c r="B3403" t="s">
        <v>11974</v>
      </c>
      <c r="C3403" t="s">
        <v>136</v>
      </c>
      <c r="D3403" t="s">
        <v>79</v>
      </c>
      <c r="E3403" t="s">
        <v>11975</v>
      </c>
      <c r="F3403" t="s">
        <v>149</v>
      </c>
      <c r="G3403" t="s">
        <v>11976</v>
      </c>
    </row>
    <row r="3404" spans="1:7" ht="44.25" customHeight="1">
      <c r="A3404" t="s">
        <v>11977</v>
      </c>
      <c r="B3404" t="s">
        <v>11978</v>
      </c>
      <c r="C3404" t="s">
        <v>136</v>
      </c>
      <c r="D3404" t="s">
        <v>2257</v>
      </c>
      <c r="E3404" t="s">
        <v>11979</v>
      </c>
      <c r="F3404" t="s">
        <v>149</v>
      </c>
      <c r="G3404" t="s">
        <v>11980</v>
      </c>
    </row>
    <row r="3405" spans="1:7" ht="44.25" customHeight="1">
      <c r="A3405" t="s">
        <v>11977</v>
      </c>
      <c r="B3405" t="s">
        <v>11978</v>
      </c>
      <c r="C3405" t="s">
        <v>136</v>
      </c>
      <c r="D3405" t="s">
        <v>2257</v>
      </c>
      <c r="E3405" t="s">
        <v>11979</v>
      </c>
      <c r="F3405" t="s">
        <v>149</v>
      </c>
      <c r="G3405" t="s">
        <v>11980</v>
      </c>
    </row>
    <row r="3406" spans="1:7" ht="44.25" customHeight="1">
      <c r="A3406" t="s">
        <v>11981</v>
      </c>
      <c r="B3406" t="s">
        <v>11982</v>
      </c>
      <c r="C3406" t="s">
        <v>136</v>
      </c>
      <c r="D3406" t="s">
        <v>79</v>
      </c>
      <c r="E3406" t="s">
        <v>11983</v>
      </c>
      <c r="F3406" t="s">
        <v>149</v>
      </c>
      <c r="G3406" t="s">
        <v>11984</v>
      </c>
    </row>
    <row r="3407" spans="1:7" ht="44.25" customHeight="1">
      <c r="A3407" t="s">
        <v>11981</v>
      </c>
      <c r="B3407" t="s">
        <v>11982</v>
      </c>
      <c r="C3407" t="s">
        <v>136</v>
      </c>
      <c r="D3407" t="s">
        <v>79</v>
      </c>
      <c r="E3407" t="s">
        <v>11983</v>
      </c>
      <c r="F3407" t="s">
        <v>149</v>
      </c>
      <c r="G3407" t="s">
        <v>11984</v>
      </c>
    </row>
    <row r="3408" spans="1:7" ht="44.25" customHeight="1">
      <c r="A3408" t="s">
        <v>11985</v>
      </c>
      <c r="B3408" t="s">
        <v>11986</v>
      </c>
      <c r="C3408" t="s">
        <v>136</v>
      </c>
      <c r="D3408" t="s">
        <v>79</v>
      </c>
      <c r="E3408" t="s">
        <v>11987</v>
      </c>
      <c r="F3408" t="s">
        <v>149</v>
      </c>
      <c r="G3408" t="s">
        <v>11988</v>
      </c>
    </row>
    <row r="3409" spans="1:7" ht="44.25" customHeight="1">
      <c r="A3409" t="s">
        <v>136</v>
      </c>
      <c r="B3409" t="s">
        <v>11989</v>
      </c>
      <c r="C3409" t="s">
        <v>136</v>
      </c>
      <c r="D3409" t="s">
        <v>2257</v>
      </c>
      <c r="E3409" t="s">
        <v>5813</v>
      </c>
      <c r="F3409" t="s">
        <v>149</v>
      </c>
      <c r="G3409" t="s">
        <v>11990</v>
      </c>
    </row>
    <row r="3410" spans="1:7" ht="44.25" customHeight="1">
      <c r="A3410" t="s">
        <v>845</v>
      </c>
      <c r="B3410" t="s">
        <v>11991</v>
      </c>
      <c r="C3410" t="s">
        <v>136</v>
      </c>
      <c r="D3410" t="s">
        <v>79</v>
      </c>
      <c r="E3410" t="s">
        <v>1599</v>
      </c>
      <c r="F3410" t="s">
        <v>149</v>
      </c>
      <c r="G3410" t="s">
        <v>11992</v>
      </c>
    </row>
    <row r="3411" spans="1:7" ht="44.25" customHeight="1">
      <c r="A3411" t="s">
        <v>11993</v>
      </c>
      <c r="B3411" t="s">
        <v>11994</v>
      </c>
      <c r="C3411" t="s">
        <v>136</v>
      </c>
      <c r="D3411" t="s">
        <v>2257</v>
      </c>
      <c r="E3411" t="s">
        <v>1607</v>
      </c>
      <c r="F3411" t="s">
        <v>149</v>
      </c>
      <c r="G3411" t="s">
        <v>11995</v>
      </c>
    </row>
    <row r="3412" spans="1:7" ht="44.25" customHeight="1">
      <c r="A3412" t="s">
        <v>11996</v>
      </c>
      <c r="B3412" t="s">
        <v>11997</v>
      </c>
      <c r="C3412" t="s">
        <v>136</v>
      </c>
      <c r="D3412" t="s">
        <v>79</v>
      </c>
      <c r="E3412" t="s">
        <v>11998</v>
      </c>
      <c r="F3412" t="s">
        <v>149</v>
      </c>
      <c r="G3412" t="s">
        <v>11999</v>
      </c>
    </row>
    <row r="3413" spans="1:7" ht="44.25" customHeight="1">
      <c r="A3413" t="s">
        <v>12000</v>
      </c>
      <c r="B3413" t="s">
        <v>12001</v>
      </c>
      <c r="C3413" t="s">
        <v>136</v>
      </c>
      <c r="D3413" t="s">
        <v>2257</v>
      </c>
      <c r="E3413" t="s">
        <v>1607</v>
      </c>
      <c r="F3413" t="s">
        <v>149</v>
      </c>
      <c r="G3413" t="s">
        <v>12002</v>
      </c>
    </row>
    <row r="3414" spans="1:7" ht="44.25" customHeight="1">
      <c r="A3414" t="s">
        <v>642</v>
      </c>
      <c r="B3414" t="s">
        <v>12003</v>
      </c>
      <c r="C3414" t="s">
        <v>136</v>
      </c>
      <c r="D3414" t="s">
        <v>79</v>
      </c>
      <c r="E3414" t="s">
        <v>1575</v>
      </c>
      <c r="F3414" t="s">
        <v>149</v>
      </c>
      <c r="G3414" t="s">
        <v>12004</v>
      </c>
    </row>
    <row r="3415" spans="1:7" ht="44.25" customHeight="1">
      <c r="A3415" t="s">
        <v>12005</v>
      </c>
      <c r="B3415" t="s">
        <v>12006</v>
      </c>
      <c r="C3415" t="s">
        <v>136</v>
      </c>
      <c r="D3415" t="s">
        <v>2253</v>
      </c>
      <c r="E3415" t="s">
        <v>1432</v>
      </c>
      <c r="F3415" t="s">
        <v>149</v>
      </c>
      <c r="G3415" t="s">
        <v>12007</v>
      </c>
    </row>
    <row r="3416" spans="1:7" ht="44.25" customHeight="1">
      <c r="A3416" t="s">
        <v>363</v>
      </c>
      <c r="B3416" t="s">
        <v>12008</v>
      </c>
      <c r="C3416" t="s">
        <v>136</v>
      </c>
      <c r="D3416" t="s">
        <v>2253</v>
      </c>
      <c r="E3416" t="s">
        <v>1432</v>
      </c>
      <c r="F3416" t="s">
        <v>149</v>
      </c>
      <c r="G3416" t="s">
        <v>12009</v>
      </c>
    </row>
    <row r="3417" spans="1:7" ht="44.25" customHeight="1">
      <c r="A3417" t="s">
        <v>367</v>
      </c>
      <c r="B3417" t="s">
        <v>12010</v>
      </c>
      <c r="C3417" t="s">
        <v>136</v>
      </c>
      <c r="D3417" t="s">
        <v>2253</v>
      </c>
      <c r="E3417" t="s">
        <v>2258</v>
      </c>
      <c r="F3417" t="s">
        <v>149</v>
      </c>
      <c r="G3417" t="s">
        <v>12011</v>
      </c>
    </row>
    <row r="3418" spans="1:7" ht="44.25" customHeight="1">
      <c r="A3418" t="s">
        <v>768</v>
      </c>
      <c r="B3418" t="s">
        <v>12012</v>
      </c>
      <c r="C3418" t="s">
        <v>136</v>
      </c>
      <c r="D3418" t="s">
        <v>2257</v>
      </c>
      <c r="E3418" t="s">
        <v>8539</v>
      </c>
      <c r="F3418" t="s">
        <v>149</v>
      </c>
      <c r="G3418" t="s">
        <v>12013</v>
      </c>
    </row>
    <row r="3419" spans="1:7" ht="44.25" customHeight="1">
      <c r="A3419" t="s">
        <v>12014</v>
      </c>
      <c r="B3419" t="s">
        <v>12015</v>
      </c>
      <c r="C3419" t="s">
        <v>136</v>
      </c>
      <c r="D3419" t="s">
        <v>79</v>
      </c>
      <c r="E3419" t="s">
        <v>12016</v>
      </c>
      <c r="F3419" t="s">
        <v>149</v>
      </c>
      <c r="G3419" t="s">
        <v>12017</v>
      </c>
    </row>
    <row r="3420" spans="1:7" ht="44.25" customHeight="1">
      <c r="A3420" t="s">
        <v>12018</v>
      </c>
      <c r="B3420" t="s">
        <v>12019</v>
      </c>
      <c r="C3420" t="s">
        <v>136</v>
      </c>
      <c r="D3420" t="s">
        <v>79</v>
      </c>
      <c r="E3420" t="s">
        <v>12020</v>
      </c>
      <c r="F3420" t="s">
        <v>149</v>
      </c>
      <c r="G3420" t="s">
        <v>12021</v>
      </c>
    </row>
    <row r="3421" spans="1:7" ht="44.25" customHeight="1">
      <c r="A3421" t="s">
        <v>12022</v>
      </c>
      <c r="B3421" t="s">
        <v>12023</v>
      </c>
      <c r="C3421" t="s">
        <v>136</v>
      </c>
      <c r="D3421" t="s">
        <v>2257</v>
      </c>
      <c r="E3421" t="s">
        <v>5684</v>
      </c>
      <c r="F3421" t="s">
        <v>149</v>
      </c>
      <c r="G3421" t="s">
        <v>12024</v>
      </c>
    </row>
    <row r="3422" spans="1:7" ht="44.25" customHeight="1">
      <c r="A3422" t="s">
        <v>12025</v>
      </c>
      <c r="B3422" t="s">
        <v>12026</v>
      </c>
      <c r="C3422" t="s">
        <v>136</v>
      </c>
      <c r="D3422" t="s">
        <v>79</v>
      </c>
      <c r="E3422" t="s">
        <v>12027</v>
      </c>
      <c r="F3422" t="s">
        <v>149</v>
      </c>
      <c r="G3422" t="s">
        <v>12028</v>
      </c>
    </row>
    <row r="3423" spans="1:7" ht="44.25" customHeight="1">
      <c r="A3423" t="s">
        <v>1085</v>
      </c>
      <c r="B3423" t="s">
        <v>12029</v>
      </c>
      <c r="C3423" t="s">
        <v>136</v>
      </c>
      <c r="D3423" t="s">
        <v>79</v>
      </c>
      <c r="E3423" t="s">
        <v>8477</v>
      </c>
      <c r="F3423" t="s">
        <v>149</v>
      </c>
      <c r="G3423" t="s">
        <v>12030</v>
      </c>
    </row>
    <row r="3424" spans="1:7" ht="44.25" customHeight="1">
      <c r="A3424" t="s">
        <v>12031</v>
      </c>
      <c r="B3424" t="s">
        <v>12032</v>
      </c>
      <c r="C3424" t="s">
        <v>136</v>
      </c>
      <c r="D3424" t="s">
        <v>2253</v>
      </c>
      <c r="E3424" t="s">
        <v>1432</v>
      </c>
      <c r="F3424" t="s">
        <v>149</v>
      </c>
      <c r="G3424" t="s">
        <v>12033</v>
      </c>
    </row>
    <row r="3425" spans="1:7" ht="44.25" customHeight="1">
      <c r="A3425" t="s">
        <v>12034</v>
      </c>
      <c r="B3425" t="s">
        <v>12035</v>
      </c>
      <c r="C3425" t="s">
        <v>136</v>
      </c>
      <c r="D3425" t="s">
        <v>2253</v>
      </c>
      <c r="E3425" t="s">
        <v>1432</v>
      </c>
      <c r="F3425" t="s">
        <v>149</v>
      </c>
      <c r="G3425" t="s">
        <v>12036</v>
      </c>
    </row>
    <row r="3426" spans="1:7" ht="44.25" customHeight="1">
      <c r="A3426" t="s">
        <v>12037</v>
      </c>
      <c r="B3426" t="s">
        <v>12038</v>
      </c>
      <c r="C3426" t="s">
        <v>136</v>
      </c>
      <c r="D3426" t="s">
        <v>2253</v>
      </c>
      <c r="E3426" t="s">
        <v>1432</v>
      </c>
      <c r="F3426" t="s">
        <v>149</v>
      </c>
      <c r="G3426" t="s">
        <v>12039</v>
      </c>
    </row>
    <row r="3427" spans="1:7" ht="44.25" customHeight="1">
      <c r="A3427" t="s">
        <v>12040</v>
      </c>
      <c r="B3427" t="s">
        <v>12041</v>
      </c>
      <c r="C3427" t="s">
        <v>136</v>
      </c>
      <c r="D3427" t="s">
        <v>2253</v>
      </c>
      <c r="E3427" t="s">
        <v>1430</v>
      </c>
      <c r="F3427" t="s">
        <v>149</v>
      </c>
      <c r="G3427" t="s">
        <v>12042</v>
      </c>
    </row>
    <row r="3428" spans="1:7" ht="44.25" customHeight="1">
      <c r="A3428" t="s">
        <v>401</v>
      </c>
      <c r="B3428" t="s">
        <v>12043</v>
      </c>
      <c r="C3428" t="s">
        <v>136</v>
      </c>
      <c r="D3428" t="s">
        <v>2257</v>
      </c>
      <c r="E3428" t="s">
        <v>1432</v>
      </c>
      <c r="F3428" t="s">
        <v>149</v>
      </c>
      <c r="G3428" t="s">
        <v>12044</v>
      </c>
    </row>
    <row r="3429" spans="1:7" ht="44.25" customHeight="1">
      <c r="A3429" t="s">
        <v>598</v>
      </c>
      <c r="B3429" t="s">
        <v>12045</v>
      </c>
      <c r="C3429" t="s">
        <v>136</v>
      </c>
      <c r="D3429" t="s">
        <v>79</v>
      </c>
      <c r="E3429" t="s">
        <v>12046</v>
      </c>
      <c r="F3429" t="s">
        <v>149</v>
      </c>
      <c r="G3429" t="s">
        <v>12047</v>
      </c>
    </row>
    <row r="3430" spans="1:7" ht="44.25" customHeight="1">
      <c r="A3430" t="s">
        <v>924</v>
      </c>
      <c r="B3430" t="s">
        <v>12048</v>
      </c>
      <c r="C3430" t="s">
        <v>136</v>
      </c>
      <c r="D3430" t="s">
        <v>79</v>
      </c>
      <c r="E3430" t="s">
        <v>4511</v>
      </c>
      <c r="F3430" t="s">
        <v>149</v>
      </c>
      <c r="G3430" t="s">
        <v>12049</v>
      </c>
    </row>
    <row r="3431" spans="1:7" ht="44.25" customHeight="1">
      <c r="A3431" t="s">
        <v>12050</v>
      </c>
      <c r="B3431" t="s">
        <v>12051</v>
      </c>
      <c r="C3431" t="s">
        <v>136</v>
      </c>
      <c r="D3431" t="s">
        <v>79</v>
      </c>
      <c r="E3431" t="s">
        <v>12052</v>
      </c>
      <c r="F3431" t="s">
        <v>149</v>
      </c>
      <c r="G3431" t="s">
        <v>12053</v>
      </c>
    </row>
    <row r="3432" spans="1:7" ht="44.25" customHeight="1">
      <c r="A3432" t="s">
        <v>12054</v>
      </c>
      <c r="B3432" t="s">
        <v>12055</v>
      </c>
      <c r="C3432" t="s">
        <v>136</v>
      </c>
      <c r="D3432" t="s">
        <v>79</v>
      </c>
      <c r="E3432" t="s">
        <v>12056</v>
      </c>
      <c r="F3432" t="s">
        <v>149</v>
      </c>
      <c r="G3432" t="s">
        <v>12057</v>
      </c>
    </row>
    <row r="3433" spans="1:7" ht="44.25" customHeight="1">
      <c r="A3433" t="s">
        <v>12058</v>
      </c>
      <c r="B3433" t="s">
        <v>12059</v>
      </c>
      <c r="C3433" t="s">
        <v>136</v>
      </c>
      <c r="D3433" t="s">
        <v>79</v>
      </c>
      <c r="E3433" t="s">
        <v>12060</v>
      </c>
      <c r="F3433" t="s">
        <v>149</v>
      </c>
      <c r="G3433" t="s">
        <v>12061</v>
      </c>
    </row>
    <row r="3434" spans="1:7" ht="44.25" customHeight="1">
      <c r="A3434" t="s">
        <v>12062</v>
      </c>
      <c r="B3434" t="s">
        <v>12063</v>
      </c>
      <c r="C3434" t="s">
        <v>136</v>
      </c>
      <c r="D3434" t="s">
        <v>79</v>
      </c>
      <c r="E3434" t="s">
        <v>12064</v>
      </c>
      <c r="F3434" t="s">
        <v>149</v>
      </c>
      <c r="G3434" t="s">
        <v>12065</v>
      </c>
    </row>
    <row r="3435" spans="1:7" ht="44.25" customHeight="1">
      <c r="A3435" t="s">
        <v>12066</v>
      </c>
      <c r="B3435" t="s">
        <v>12067</v>
      </c>
      <c r="C3435" t="s">
        <v>136</v>
      </c>
      <c r="D3435" t="s">
        <v>2257</v>
      </c>
      <c r="E3435" t="s">
        <v>5691</v>
      </c>
      <c r="F3435" t="s">
        <v>149</v>
      </c>
      <c r="G3435" t="s">
        <v>12068</v>
      </c>
    </row>
    <row r="3436" spans="1:7" ht="44.25" customHeight="1">
      <c r="A3436" t="s">
        <v>12069</v>
      </c>
      <c r="B3436" t="s">
        <v>12070</v>
      </c>
      <c r="C3436" t="s">
        <v>136</v>
      </c>
      <c r="D3436" t="s">
        <v>2257</v>
      </c>
      <c r="E3436" t="s">
        <v>1607</v>
      </c>
      <c r="F3436" t="s">
        <v>149</v>
      </c>
      <c r="G3436" t="s">
        <v>12071</v>
      </c>
    </row>
    <row r="3437" spans="1:7" ht="44.25" customHeight="1">
      <c r="A3437" t="s">
        <v>12072</v>
      </c>
      <c r="B3437" t="s">
        <v>12073</v>
      </c>
      <c r="C3437" t="s">
        <v>136</v>
      </c>
      <c r="D3437" t="s">
        <v>2257</v>
      </c>
      <c r="E3437" t="s">
        <v>2399</v>
      </c>
      <c r="F3437" t="s">
        <v>149</v>
      </c>
      <c r="G3437" t="s">
        <v>12074</v>
      </c>
    </row>
    <row r="3438" spans="1:7" ht="44.25" customHeight="1">
      <c r="A3438" t="s">
        <v>12075</v>
      </c>
      <c r="B3438" t="s">
        <v>12076</v>
      </c>
      <c r="C3438" t="s">
        <v>136</v>
      </c>
      <c r="D3438" t="s">
        <v>2257</v>
      </c>
      <c r="E3438" t="s">
        <v>1607</v>
      </c>
      <c r="F3438" t="s">
        <v>149</v>
      </c>
      <c r="G3438" t="s">
        <v>12077</v>
      </c>
    </row>
    <row r="3439" spans="1:7" ht="44.25" customHeight="1">
      <c r="A3439" t="s">
        <v>12078</v>
      </c>
      <c r="B3439" t="s">
        <v>12079</v>
      </c>
      <c r="C3439" t="s">
        <v>136</v>
      </c>
      <c r="D3439" t="s">
        <v>2257</v>
      </c>
      <c r="E3439" t="s">
        <v>1607</v>
      </c>
      <c r="F3439" t="s">
        <v>149</v>
      </c>
      <c r="G3439" t="s">
        <v>12080</v>
      </c>
    </row>
    <row r="3440" spans="1:7" ht="44.25" customHeight="1">
      <c r="A3440" t="s">
        <v>12081</v>
      </c>
      <c r="B3440" t="s">
        <v>12082</v>
      </c>
      <c r="C3440" t="s">
        <v>136</v>
      </c>
      <c r="D3440" t="s">
        <v>79</v>
      </c>
      <c r="E3440" t="s">
        <v>12083</v>
      </c>
      <c r="F3440" t="s">
        <v>149</v>
      </c>
      <c r="G3440" t="s">
        <v>12084</v>
      </c>
    </row>
    <row r="3441" spans="1:7" ht="44.25" customHeight="1">
      <c r="A3441" t="s">
        <v>12085</v>
      </c>
      <c r="B3441" t="s">
        <v>12086</v>
      </c>
      <c r="C3441" t="s">
        <v>136</v>
      </c>
      <c r="D3441" t="s">
        <v>79</v>
      </c>
      <c r="E3441" t="s">
        <v>12087</v>
      </c>
      <c r="F3441" t="s">
        <v>149</v>
      </c>
      <c r="G3441" t="s">
        <v>12088</v>
      </c>
    </row>
    <row r="3442" spans="1:7" ht="44.25" customHeight="1">
      <c r="A3442" t="s">
        <v>12085</v>
      </c>
      <c r="B3442" t="s">
        <v>12086</v>
      </c>
      <c r="C3442" t="s">
        <v>136</v>
      </c>
      <c r="D3442" t="s">
        <v>79</v>
      </c>
      <c r="E3442" t="s">
        <v>12087</v>
      </c>
      <c r="F3442" t="s">
        <v>149</v>
      </c>
      <c r="G3442" t="s">
        <v>12088</v>
      </c>
    </row>
    <row r="3443" spans="1:7" ht="44.25" customHeight="1">
      <c r="A3443" t="s">
        <v>12085</v>
      </c>
      <c r="B3443" t="s">
        <v>12086</v>
      </c>
      <c r="C3443" t="s">
        <v>136</v>
      </c>
      <c r="D3443" t="s">
        <v>79</v>
      </c>
      <c r="E3443" t="s">
        <v>12087</v>
      </c>
      <c r="F3443" t="s">
        <v>149</v>
      </c>
      <c r="G3443" t="s">
        <v>12088</v>
      </c>
    </row>
    <row r="3444" spans="1:7" ht="44.25" customHeight="1">
      <c r="A3444" t="s">
        <v>12089</v>
      </c>
      <c r="B3444" t="s">
        <v>12090</v>
      </c>
      <c r="C3444" t="s">
        <v>136</v>
      </c>
      <c r="D3444" t="s">
        <v>79</v>
      </c>
      <c r="E3444" t="s">
        <v>12091</v>
      </c>
      <c r="F3444" t="s">
        <v>149</v>
      </c>
      <c r="G3444" t="s">
        <v>12092</v>
      </c>
    </row>
    <row r="3445" spans="1:7" ht="44.25" customHeight="1">
      <c r="A3445" t="s">
        <v>663</v>
      </c>
      <c r="B3445" t="s">
        <v>12093</v>
      </c>
      <c r="C3445" t="s">
        <v>136</v>
      </c>
      <c r="D3445" t="s">
        <v>79</v>
      </c>
      <c r="E3445" t="s">
        <v>12094</v>
      </c>
      <c r="F3445" t="s">
        <v>149</v>
      </c>
      <c r="G3445" t="s">
        <v>12095</v>
      </c>
    </row>
    <row r="3446" spans="1:7" ht="44.25" customHeight="1">
      <c r="A3446" t="s">
        <v>12096</v>
      </c>
      <c r="B3446" t="s">
        <v>12097</v>
      </c>
      <c r="C3446" t="s">
        <v>136</v>
      </c>
      <c r="D3446" t="s">
        <v>2257</v>
      </c>
      <c r="E3446" t="s">
        <v>1607</v>
      </c>
      <c r="F3446" t="s">
        <v>149</v>
      </c>
      <c r="G3446" t="s">
        <v>12098</v>
      </c>
    </row>
    <row r="3447" spans="1:7" ht="44.25" customHeight="1">
      <c r="A3447" t="s">
        <v>12099</v>
      </c>
      <c r="B3447" t="s">
        <v>12100</v>
      </c>
      <c r="C3447" t="s">
        <v>136</v>
      </c>
      <c r="D3447" t="s">
        <v>2257</v>
      </c>
      <c r="E3447" t="s">
        <v>1607</v>
      </c>
      <c r="F3447" t="s">
        <v>149</v>
      </c>
      <c r="G3447" t="s">
        <v>12101</v>
      </c>
    </row>
    <row r="3448" spans="1:7" ht="44.25" customHeight="1">
      <c r="A3448" t="s">
        <v>12102</v>
      </c>
      <c r="B3448" t="s">
        <v>12103</v>
      </c>
      <c r="C3448" t="s">
        <v>12104</v>
      </c>
      <c r="D3448" t="s">
        <v>2257</v>
      </c>
      <c r="E3448" t="s">
        <v>2685</v>
      </c>
      <c r="F3448" t="s">
        <v>149</v>
      </c>
      <c r="G3448" t="s">
        <v>12105</v>
      </c>
    </row>
    <row r="3449" spans="1:7" ht="44.25" customHeight="1">
      <c r="A3449" t="s">
        <v>12106</v>
      </c>
      <c r="B3449" t="s">
        <v>12107</v>
      </c>
      <c r="C3449" t="s">
        <v>136</v>
      </c>
      <c r="D3449" t="s">
        <v>2257</v>
      </c>
      <c r="E3449" t="s">
        <v>1607</v>
      </c>
      <c r="F3449" t="s">
        <v>149</v>
      </c>
      <c r="G3449" t="s">
        <v>12108</v>
      </c>
    </row>
    <row r="3450" spans="1:7" ht="44.25" customHeight="1">
      <c r="A3450" t="s">
        <v>12109</v>
      </c>
      <c r="B3450" t="s">
        <v>12110</v>
      </c>
      <c r="C3450" t="s">
        <v>136</v>
      </c>
      <c r="D3450" t="s">
        <v>79</v>
      </c>
      <c r="E3450" t="s">
        <v>3475</v>
      </c>
      <c r="F3450" t="s">
        <v>149</v>
      </c>
      <c r="G3450" t="s">
        <v>12111</v>
      </c>
    </row>
    <row r="3451" spans="1:7" ht="44.25" customHeight="1">
      <c r="A3451" t="s">
        <v>12112</v>
      </c>
      <c r="B3451" t="s">
        <v>12113</v>
      </c>
      <c r="C3451" t="s">
        <v>136</v>
      </c>
      <c r="D3451" t="s">
        <v>2253</v>
      </c>
      <c r="E3451" t="s">
        <v>10839</v>
      </c>
      <c r="F3451" t="s">
        <v>149</v>
      </c>
      <c r="G3451" t="s">
        <v>12114</v>
      </c>
    </row>
    <row r="3452" spans="1:7" ht="44.25" customHeight="1">
      <c r="A3452" t="s">
        <v>12115</v>
      </c>
      <c r="B3452" t="s">
        <v>12116</v>
      </c>
      <c r="C3452" t="s">
        <v>136</v>
      </c>
      <c r="D3452" t="s">
        <v>2257</v>
      </c>
      <c r="E3452" t="s">
        <v>2276</v>
      </c>
      <c r="F3452" t="s">
        <v>149</v>
      </c>
      <c r="G3452" t="s">
        <v>12117</v>
      </c>
    </row>
    <row r="3453" spans="1:7" ht="44.25" customHeight="1">
      <c r="A3453" t="s">
        <v>12118</v>
      </c>
      <c r="B3453" t="s">
        <v>12119</v>
      </c>
      <c r="C3453" t="s">
        <v>136</v>
      </c>
      <c r="D3453" t="s">
        <v>2253</v>
      </c>
      <c r="E3453" t="s">
        <v>1432</v>
      </c>
      <c r="F3453" t="s">
        <v>149</v>
      </c>
      <c r="G3453" t="s">
        <v>12120</v>
      </c>
    </row>
    <row r="3454" spans="1:7" ht="44.25" customHeight="1">
      <c r="A3454" t="s">
        <v>12121</v>
      </c>
      <c r="B3454" t="s">
        <v>12122</v>
      </c>
      <c r="C3454" t="s">
        <v>136</v>
      </c>
      <c r="D3454" t="s">
        <v>2257</v>
      </c>
      <c r="E3454" t="s">
        <v>2276</v>
      </c>
      <c r="F3454" t="s">
        <v>149</v>
      </c>
      <c r="G3454" t="s">
        <v>12123</v>
      </c>
    </row>
    <row r="3455" spans="1:7" ht="44.25" customHeight="1">
      <c r="A3455" t="s">
        <v>12124</v>
      </c>
      <c r="B3455" t="s">
        <v>12125</v>
      </c>
      <c r="C3455" t="s">
        <v>136</v>
      </c>
      <c r="D3455" t="s">
        <v>2253</v>
      </c>
      <c r="E3455" t="s">
        <v>1432</v>
      </c>
      <c r="F3455" t="s">
        <v>149</v>
      </c>
      <c r="G3455" t="s">
        <v>12126</v>
      </c>
    </row>
    <row r="3456" spans="1:7" ht="44.25" customHeight="1">
      <c r="A3456" t="s">
        <v>1016</v>
      </c>
      <c r="B3456" t="s">
        <v>12127</v>
      </c>
      <c r="C3456" t="s">
        <v>136</v>
      </c>
      <c r="D3456" t="s">
        <v>2257</v>
      </c>
      <c r="E3456" t="s">
        <v>2276</v>
      </c>
      <c r="F3456" t="s">
        <v>149</v>
      </c>
      <c r="G3456" t="s">
        <v>12128</v>
      </c>
    </row>
    <row r="3457" spans="1:7" ht="44.25" customHeight="1">
      <c r="A3457" t="s">
        <v>721</v>
      </c>
      <c r="B3457" t="s">
        <v>12129</v>
      </c>
      <c r="C3457" t="s">
        <v>136</v>
      </c>
      <c r="D3457" t="s">
        <v>2257</v>
      </c>
      <c r="E3457" t="s">
        <v>2269</v>
      </c>
      <c r="F3457" t="s">
        <v>149</v>
      </c>
      <c r="G3457" t="s">
        <v>12130</v>
      </c>
    </row>
    <row r="3458" spans="1:7" ht="44.25" customHeight="1">
      <c r="A3458" t="s">
        <v>136</v>
      </c>
      <c r="B3458" t="s">
        <v>12131</v>
      </c>
      <c r="C3458" t="s">
        <v>136</v>
      </c>
      <c r="D3458" t="s">
        <v>79</v>
      </c>
      <c r="E3458" t="s">
        <v>12132</v>
      </c>
      <c r="F3458" t="s">
        <v>149</v>
      </c>
      <c r="G3458" t="s">
        <v>12133</v>
      </c>
    </row>
    <row r="3459" spans="1:7" ht="44.25" customHeight="1">
      <c r="A3459" t="s">
        <v>12134</v>
      </c>
      <c r="B3459" t="s">
        <v>12135</v>
      </c>
      <c r="C3459" t="s">
        <v>136</v>
      </c>
      <c r="D3459" t="s">
        <v>79</v>
      </c>
      <c r="E3459" t="s">
        <v>12136</v>
      </c>
      <c r="F3459" t="s">
        <v>149</v>
      </c>
      <c r="G3459" t="s">
        <v>12137</v>
      </c>
    </row>
    <row r="3460" spans="1:7" ht="44.25" customHeight="1">
      <c r="A3460" t="s">
        <v>1063</v>
      </c>
      <c r="B3460" t="s">
        <v>12138</v>
      </c>
      <c r="C3460" t="s">
        <v>136</v>
      </c>
      <c r="D3460" t="s">
        <v>79</v>
      </c>
      <c r="E3460" t="s">
        <v>1627</v>
      </c>
      <c r="F3460" t="s">
        <v>149</v>
      </c>
      <c r="G3460" t="s">
        <v>12139</v>
      </c>
    </row>
    <row r="3461" spans="1:7" ht="44.25" customHeight="1">
      <c r="A3461" t="s">
        <v>136</v>
      </c>
      <c r="B3461" t="s">
        <v>12140</v>
      </c>
      <c r="C3461" t="s">
        <v>136</v>
      </c>
      <c r="D3461" t="s">
        <v>2257</v>
      </c>
      <c r="E3461" t="s">
        <v>1607</v>
      </c>
      <c r="F3461" t="s">
        <v>149</v>
      </c>
      <c r="G3461" t="s">
        <v>12141</v>
      </c>
    </row>
    <row r="3462" spans="1:7" ht="44.25" customHeight="1">
      <c r="A3462" t="s">
        <v>12142</v>
      </c>
      <c r="B3462" t="s">
        <v>12143</v>
      </c>
      <c r="C3462" t="s">
        <v>136</v>
      </c>
      <c r="D3462" t="s">
        <v>2257</v>
      </c>
      <c r="E3462" t="s">
        <v>1607</v>
      </c>
      <c r="F3462" t="s">
        <v>149</v>
      </c>
      <c r="G3462" t="s">
        <v>12144</v>
      </c>
    </row>
    <row r="3463" spans="1:7" ht="44.25" customHeight="1">
      <c r="A3463" t="s">
        <v>269</v>
      </c>
      <c r="B3463" t="s">
        <v>12145</v>
      </c>
      <c r="C3463" t="s">
        <v>136</v>
      </c>
      <c r="D3463" t="s">
        <v>2257</v>
      </c>
      <c r="E3463" t="s">
        <v>1607</v>
      </c>
      <c r="F3463" t="s">
        <v>149</v>
      </c>
      <c r="G3463" t="s">
        <v>12146</v>
      </c>
    </row>
    <row r="3464" spans="1:7" ht="44.25" customHeight="1">
      <c r="A3464" t="s">
        <v>12147</v>
      </c>
      <c r="B3464" t="s">
        <v>12148</v>
      </c>
      <c r="C3464" t="s">
        <v>136</v>
      </c>
      <c r="D3464" t="s">
        <v>2257</v>
      </c>
      <c r="E3464" t="s">
        <v>3162</v>
      </c>
      <c r="F3464" t="s">
        <v>149</v>
      </c>
      <c r="G3464" t="s">
        <v>12149</v>
      </c>
    </row>
    <row r="3465" spans="1:7" ht="44.25" customHeight="1">
      <c r="A3465" t="s">
        <v>12150</v>
      </c>
      <c r="B3465" t="s">
        <v>12151</v>
      </c>
      <c r="C3465" t="s">
        <v>136</v>
      </c>
      <c r="D3465" t="s">
        <v>79</v>
      </c>
      <c r="E3465" t="s">
        <v>3503</v>
      </c>
      <c r="F3465" t="s">
        <v>149</v>
      </c>
      <c r="G3465" t="s">
        <v>12152</v>
      </c>
    </row>
    <row r="3466" spans="1:7" ht="44.25" customHeight="1">
      <c r="A3466" t="s">
        <v>12153</v>
      </c>
      <c r="B3466" t="s">
        <v>12154</v>
      </c>
      <c r="C3466" t="s">
        <v>136</v>
      </c>
      <c r="D3466" t="s">
        <v>79</v>
      </c>
      <c r="E3466" t="s">
        <v>12155</v>
      </c>
      <c r="F3466" t="s">
        <v>149</v>
      </c>
      <c r="G3466" t="s">
        <v>12156</v>
      </c>
    </row>
    <row r="3467" spans="1:7" ht="44.25" customHeight="1">
      <c r="A3467" t="s">
        <v>12157</v>
      </c>
      <c r="B3467" t="s">
        <v>12158</v>
      </c>
      <c r="C3467" t="s">
        <v>136</v>
      </c>
      <c r="D3467" t="s">
        <v>2253</v>
      </c>
      <c r="E3467" t="s">
        <v>1432</v>
      </c>
      <c r="F3467" t="s">
        <v>149</v>
      </c>
      <c r="G3467" t="s">
        <v>12159</v>
      </c>
    </row>
    <row r="3468" spans="1:7" ht="44.25" customHeight="1">
      <c r="A3468" t="s">
        <v>12160</v>
      </c>
      <c r="B3468" t="s">
        <v>12161</v>
      </c>
      <c r="C3468" t="s">
        <v>136</v>
      </c>
      <c r="D3468" t="s">
        <v>2253</v>
      </c>
      <c r="E3468" t="s">
        <v>1432</v>
      </c>
      <c r="F3468" t="s">
        <v>149</v>
      </c>
      <c r="G3468" t="s">
        <v>12162</v>
      </c>
    </row>
    <row r="3469" spans="1:7" ht="44.25" customHeight="1">
      <c r="A3469" t="s">
        <v>12163</v>
      </c>
      <c r="B3469" t="s">
        <v>12164</v>
      </c>
      <c r="C3469" t="s">
        <v>136</v>
      </c>
      <c r="D3469" t="s">
        <v>2257</v>
      </c>
      <c r="E3469" t="s">
        <v>1607</v>
      </c>
      <c r="F3469" t="s">
        <v>149</v>
      </c>
      <c r="G3469" t="s">
        <v>12165</v>
      </c>
    </row>
    <row r="3470" spans="1:7" ht="44.25" customHeight="1">
      <c r="A3470" t="s">
        <v>12166</v>
      </c>
      <c r="B3470" t="s">
        <v>12167</v>
      </c>
      <c r="C3470" t="s">
        <v>136</v>
      </c>
      <c r="D3470" t="s">
        <v>2257</v>
      </c>
      <c r="E3470" t="s">
        <v>2695</v>
      </c>
      <c r="F3470" t="s">
        <v>149</v>
      </c>
      <c r="G3470" t="s">
        <v>12168</v>
      </c>
    </row>
    <row r="3471" spans="1:7" ht="44.25" customHeight="1">
      <c r="A3471" t="s">
        <v>12169</v>
      </c>
      <c r="B3471" t="s">
        <v>12170</v>
      </c>
      <c r="C3471" t="s">
        <v>136</v>
      </c>
      <c r="D3471" t="s">
        <v>2257</v>
      </c>
      <c r="E3471" t="s">
        <v>1607</v>
      </c>
      <c r="F3471" t="s">
        <v>149</v>
      </c>
      <c r="G3471" t="s">
        <v>12171</v>
      </c>
    </row>
    <row r="3472" spans="1:7" ht="44.25" customHeight="1">
      <c r="A3472" t="s">
        <v>12172</v>
      </c>
      <c r="B3472" t="s">
        <v>12173</v>
      </c>
      <c r="C3472" t="s">
        <v>136</v>
      </c>
      <c r="D3472" t="s">
        <v>2257</v>
      </c>
      <c r="E3472" t="s">
        <v>1607</v>
      </c>
      <c r="F3472" t="s">
        <v>149</v>
      </c>
      <c r="G3472" t="s">
        <v>12174</v>
      </c>
    </row>
    <row r="3473" spans="1:7" ht="44.25" customHeight="1">
      <c r="A3473" t="s">
        <v>1056</v>
      </c>
      <c r="B3473" t="s">
        <v>12175</v>
      </c>
      <c r="C3473" t="s">
        <v>136</v>
      </c>
      <c r="D3473" t="s">
        <v>79</v>
      </c>
      <c r="E3473" t="s">
        <v>3485</v>
      </c>
      <c r="F3473" t="s">
        <v>149</v>
      </c>
      <c r="G3473" t="s">
        <v>12176</v>
      </c>
    </row>
    <row r="3474" spans="1:7" ht="44.25" customHeight="1">
      <c r="A3474" t="s">
        <v>12177</v>
      </c>
      <c r="B3474" t="s">
        <v>12178</v>
      </c>
      <c r="C3474" t="s">
        <v>136</v>
      </c>
      <c r="D3474" t="s">
        <v>79</v>
      </c>
      <c r="E3474" t="s">
        <v>12179</v>
      </c>
      <c r="F3474" t="s">
        <v>149</v>
      </c>
      <c r="G3474" t="s">
        <v>12180</v>
      </c>
    </row>
    <row r="3475" spans="1:7" ht="44.25" customHeight="1">
      <c r="A3475" t="s">
        <v>12181</v>
      </c>
      <c r="B3475" t="s">
        <v>12182</v>
      </c>
      <c r="C3475" t="s">
        <v>136</v>
      </c>
      <c r="D3475" t="s">
        <v>2257</v>
      </c>
      <c r="E3475" t="s">
        <v>2276</v>
      </c>
      <c r="F3475" t="s">
        <v>149</v>
      </c>
      <c r="G3475" t="s">
        <v>12183</v>
      </c>
    </row>
    <row r="3476" spans="1:7" ht="44.25" customHeight="1">
      <c r="A3476" t="s">
        <v>1465</v>
      </c>
      <c r="B3476" t="s">
        <v>12184</v>
      </c>
      <c r="C3476" t="s">
        <v>136</v>
      </c>
      <c r="D3476" t="s">
        <v>2253</v>
      </c>
      <c r="E3476" t="s">
        <v>1432</v>
      </c>
      <c r="F3476" t="s">
        <v>149</v>
      </c>
      <c r="G3476" t="s">
        <v>12185</v>
      </c>
    </row>
    <row r="3477" spans="1:7" ht="44.25" customHeight="1">
      <c r="A3477" t="s">
        <v>860</v>
      </c>
      <c r="B3477" t="s">
        <v>12186</v>
      </c>
      <c r="C3477" t="s">
        <v>136</v>
      </c>
      <c r="D3477" t="s">
        <v>2257</v>
      </c>
      <c r="E3477" t="s">
        <v>4124</v>
      </c>
      <c r="F3477" t="s">
        <v>149</v>
      </c>
      <c r="G3477" t="s">
        <v>12187</v>
      </c>
    </row>
    <row r="3478" spans="1:7" ht="44.25" customHeight="1">
      <c r="A3478" t="s">
        <v>595</v>
      </c>
      <c r="B3478" t="s">
        <v>12188</v>
      </c>
      <c r="C3478" t="s">
        <v>136</v>
      </c>
      <c r="D3478" t="s">
        <v>79</v>
      </c>
      <c r="E3478" t="s">
        <v>12189</v>
      </c>
      <c r="F3478" t="s">
        <v>149</v>
      </c>
      <c r="G3478" t="s">
        <v>12190</v>
      </c>
    </row>
    <row r="3479" spans="1:7" ht="44.25" customHeight="1">
      <c r="A3479" t="s">
        <v>567</v>
      </c>
      <c r="B3479" t="s">
        <v>12191</v>
      </c>
      <c r="C3479" t="s">
        <v>136</v>
      </c>
      <c r="D3479" t="s">
        <v>79</v>
      </c>
      <c r="E3479" t="s">
        <v>6211</v>
      </c>
      <c r="F3479" t="s">
        <v>149</v>
      </c>
      <c r="G3479" t="s">
        <v>12192</v>
      </c>
    </row>
    <row r="3480" spans="1:7" ht="44.25" customHeight="1">
      <c r="A3480" t="s">
        <v>12193</v>
      </c>
      <c r="B3480" t="s">
        <v>12194</v>
      </c>
      <c r="C3480" t="s">
        <v>136</v>
      </c>
      <c r="D3480" t="s">
        <v>79</v>
      </c>
      <c r="E3480" t="s">
        <v>12195</v>
      </c>
      <c r="F3480" t="s">
        <v>149</v>
      </c>
      <c r="G3480" t="s">
        <v>12196</v>
      </c>
    </row>
    <row r="3481" spans="1:7" ht="44.25" customHeight="1">
      <c r="A3481" t="s">
        <v>12197</v>
      </c>
      <c r="B3481" t="s">
        <v>12198</v>
      </c>
      <c r="C3481" t="s">
        <v>136</v>
      </c>
      <c r="D3481" t="s">
        <v>79</v>
      </c>
      <c r="E3481" t="s">
        <v>12199</v>
      </c>
      <c r="F3481" t="s">
        <v>149</v>
      </c>
      <c r="G3481" t="s">
        <v>12200</v>
      </c>
    </row>
    <row r="3482" spans="1:7" ht="44.25" customHeight="1">
      <c r="A3482" t="s">
        <v>12201</v>
      </c>
      <c r="B3482" t="s">
        <v>12202</v>
      </c>
      <c r="C3482" t="s">
        <v>136</v>
      </c>
      <c r="D3482" t="s">
        <v>79</v>
      </c>
      <c r="E3482" t="s">
        <v>12203</v>
      </c>
      <c r="F3482" t="s">
        <v>149</v>
      </c>
      <c r="G3482" t="s">
        <v>12204</v>
      </c>
    </row>
    <row r="3483" spans="1:7" ht="44.25" customHeight="1">
      <c r="A3483" t="s">
        <v>12205</v>
      </c>
      <c r="B3483" t="s">
        <v>12206</v>
      </c>
      <c r="C3483" t="s">
        <v>136</v>
      </c>
      <c r="D3483" t="s">
        <v>2257</v>
      </c>
      <c r="E3483" t="s">
        <v>5691</v>
      </c>
      <c r="F3483" t="s">
        <v>149</v>
      </c>
      <c r="G3483" t="s">
        <v>12207</v>
      </c>
    </row>
    <row r="3484" spans="1:7" ht="44.25" customHeight="1">
      <c r="A3484" t="s">
        <v>12208</v>
      </c>
      <c r="B3484" t="s">
        <v>12209</v>
      </c>
      <c r="C3484" t="s">
        <v>136</v>
      </c>
      <c r="D3484" t="s">
        <v>2257</v>
      </c>
      <c r="E3484" t="s">
        <v>5684</v>
      </c>
      <c r="F3484" t="s">
        <v>149</v>
      </c>
      <c r="G3484" t="s">
        <v>12210</v>
      </c>
    </row>
    <row r="3485" spans="1:7" ht="44.25" customHeight="1">
      <c r="A3485" t="s">
        <v>12211</v>
      </c>
      <c r="B3485" t="s">
        <v>12212</v>
      </c>
      <c r="C3485" t="s">
        <v>136</v>
      </c>
      <c r="D3485" t="s">
        <v>2257</v>
      </c>
      <c r="E3485" t="s">
        <v>5782</v>
      </c>
      <c r="F3485" t="s">
        <v>149</v>
      </c>
      <c r="G3485" t="s">
        <v>12213</v>
      </c>
    </row>
    <row r="3486" spans="1:7" ht="44.25" customHeight="1">
      <c r="A3486" t="s">
        <v>12214</v>
      </c>
      <c r="B3486" t="s">
        <v>12215</v>
      </c>
      <c r="C3486" t="s">
        <v>136</v>
      </c>
      <c r="D3486" t="s">
        <v>79</v>
      </c>
      <c r="E3486" t="s">
        <v>9240</v>
      </c>
      <c r="F3486" t="s">
        <v>149</v>
      </c>
      <c r="G3486" t="s">
        <v>12216</v>
      </c>
    </row>
    <row r="3487" spans="1:7" ht="44.25" customHeight="1">
      <c r="A3487" t="s">
        <v>12217</v>
      </c>
      <c r="B3487" t="s">
        <v>12218</v>
      </c>
      <c r="C3487" t="s">
        <v>136</v>
      </c>
      <c r="D3487" t="s">
        <v>2257</v>
      </c>
      <c r="E3487" t="s">
        <v>1607</v>
      </c>
      <c r="F3487" t="s">
        <v>149</v>
      </c>
      <c r="G3487" t="s">
        <v>12219</v>
      </c>
    </row>
    <row r="3488" spans="1:7" ht="44.25" customHeight="1">
      <c r="A3488" t="s">
        <v>12220</v>
      </c>
      <c r="B3488" t="s">
        <v>12221</v>
      </c>
      <c r="C3488" t="s">
        <v>136</v>
      </c>
      <c r="D3488" t="s">
        <v>2257</v>
      </c>
      <c r="E3488" t="s">
        <v>1607</v>
      </c>
      <c r="F3488" t="s">
        <v>149</v>
      </c>
      <c r="G3488" t="s">
        <v>12222</v>
      </c>
    </row>
    <row r="3489" spans="1:7" ht="44.25" customHeight="1">
      <c r="A3489" t="s">
        <v>12223</v>
      </c>
      <c r="B3489" t="s">
        <v>12224</v>
      </c>
      <c r="C3489" t="s">
        <v>136</v>
      </c>
      <c r="D3489" t="s">
        <v>2257</v>
      </c>
      <c r="E3489" t="s">
        <v>1607</v>
      </c>
      <c r="F3489" t="s">
        <v>149</v>
      </c>
      <c r="G3489" t="s">
        <v>12225</v>
      </c>
    </row>
    <row r="3490" spans="1:7" ht="44.25" customHeight="1">
      <c r="A3490" t="s">
        <v>12226</v>
      </c>
      <c r="B3490" t="s">
        <v>12227</v>
      </c>
      <c r="C3490" t="s">
        <v>136</v>
      </c>
      <c r="D3490" t="s">
        <v>79</v>
      </c>
      <c r="E3490" t="s">
        <v>12228</v>
      </c>
      <c r="F3490" t="s">
        <v>149</v>
      </c>
      <c r="G3490" t="s">
        <v>12229</v>
      </c>
    </row>
    <row r="3491" spans="1:7" ht="44.25" customHeight="1">
      <c r="A3491" t="s">
        <v>12230</v>
      </c>
      <c r="B3491" t="s">
        <v>12231</v>
      </c>
      <c r="C3491" t="s">
        <v>136</v>
      </c>
      <c r="D3491" t="s">
        <v>2257</v>
      </c>
      <c r="E3491" t="s">
        <v>3427</v>
      </c>
      <c r="F3491" t="s">
        <v>149</v>
      </c>
      <c r="G3491" t="s">
        <v>12232</v>
      </c>
    </row>
    <row r="3492" spans="1:7" ht="44.25" customHeight="1">
      <c r="A3492" t="s">
        <v>12233</v>
      </c>
      <c r="B3492" t="s">
        <v>12234</v>
      </c>
      <c r="C3492" t="s">
        <v>136</v>
      </c>
      <c r="D3492" t="s">
        <v>79</v>
      </c>
      <c r="E3492" t="s">
        <v>7005</v>
      </c>
      <c r="F3492" t="s">
        <v>149</v>
      </c>
      <c r="G3492" t="s">
        <v>12235</v>
      </c>
    </row>
    <row r="3493" spans="1:7" ht="44.25" customHeight="1">
      <c r="A3493" t="s">
        <v>12236</v>
      </c>
      <c r="B3493" t="s">
        <v>12237</v>
      </c>
      <c r="C3493" t="s">
        <v>136</v>
      </c>
      <c r="D3493" t="s">
        <v>2253</v>
      </c>
      <c r="E3493" t="s">
        <v>1432</v>
      </c>
      <c r="F3493" t="s">
        <v>149</v>
      </c>
      <c r="G3493" t="s">
        <v>12238</v>
      </c>
    </row>
    <row r="3494" spans="1:7" ht="44.25" customHeight="1">
      <c r="A3494" t="s">
        <v>12239</v>
      </c>
      <c r="B3494" t="s">
        <v>12240</v>
      </c>
      <c r="C3494" t="s">
        <v>136</v>
      </c>
      <c r="D3494" t="s">
        <v>2257</v>
      </c>
      <c r="E3494" t="s">
        <v>8486</v>
      </c>
      <c r="F3494" t="s">
        <v>149</v>
      </c>
      <c r="G3494" t="s">
        <v>12241</v>
      </c>
    </row>
    <row r="3495" spans="1:7" ht="44.25" customHeight="1">
      <c r="A3495" t="s">
        <v>12242</v>
      </c>
      <c r="B3495" t="s">
        <v>12243</v>
      </c>
      <c r="C3495" t="s">
        <v>136</v>
      </c>
      <c r="D3495" t="s">
        <v>2253</v>
      </c>
      <c r="E3495" t="s">
        <v>1432</v>
      </c>
      <c r="F3495" t="s">
        <v>149</v>
      </c>
      <c r="G3495" t="s">
        <v>12244</v>
      </c>
    </row>
    <row r="3496" spans="1:7" ht="44.25" customHeight="1">
      <c r="A3496" t="s">
        <v>12245</v>
      </c>
      <c r="B3496" t="s">
        <v>12246</v>
      </c>
      <c r="C3496" t="s">
        <v>136</v>
      </c>
      <c r="D3496" t="s">
        <v>2257</v>
      </c>
      <c r="E3496" t="s">
        <v>2276</v>
      </c>
      <c r="F3496" t="s">
        <v>149</v>
      </c>
      <c r="G3496" t="s">
        <v>12247</v>
      </c>
    </row>
    <row r="3497" spans="1:7" ht="44.25" customHeight="1">
      <c r="A3497" t="s">
        <v>1324</v>
      </c>
      <c r="B3497" t="s">
        <v>12248</v>
      </c>
      <c r="C3497" t="s">
        <v>136</v>
      </c>
      <c r="D3497" t="s">
        <v>2257</v>
      </c>
      <c r="E3497" t="s">
        <v>2276</v>
      </c>
      <c r="F3497" t="s">
        <v>149</v>
      </c>
      <c r="G3497" t="s">
        <v>12249</v>
      </c>
    </row>
    <row r="3498" spans="1:7" ht="44.25" customHeight="1">
      <c r="A3498" t="s">
        <v>1488</v>
      </c>
      <c r="B3498" t="s">
        <v>12250</v>
      </c>
      <c r="C3498" t="s">
        <v>136</v>
      </c>
      <c r="D3498" t="s">
        <v>2257</v>
      </c>
      <c r="E3498" t="s">
        <v>2276</v>
      </c>
      <c r="F3498" t="s">
        <v>149</v>
      </c>
      <c r="G3498" t="s">
        <v>12251</v>
      </c>
    </row>
    <row r="3499" spans="1:7" ht="44.25" customHeight="1">
      <c r="A3499" t="s">
        <v>12252</v>
      </c>
      <c r="B3499" t="s">
        <v>12253</v>
      </c>
      <c r="C3499" t="s">
        <v>136</v>
      </c>
      <c r="D3499" t="s">
        <v>2257</v>
      </c>
      <c r="E3499" t="s">
        <v>2276</v>
      </c>
      <c r="F3499" t="s">
        <v>149</v>
      </c>
      <c r="G3499" t="s">
        <v>12254</v>
      </c>
    </row>
    <row r="3500" spans="1:7" ht="44.25" customHeight="1">
      <c r="A3500" t="s">
        <v>12255</v>
      </c>
      <c r="B3500" t="s">
        <v>12256</v>
      </c>
      <c r="C3500" t="s">
        <v>136</v>
      </c>
      <c r="D3500" t="s">
        <v>2257</v>
      </c>
      <c r="E3500" t="s">
        <v>2276</v>
      </c>
      <c r="F3500" t="s">
        <v>149</v>
      </c>
      <c r="G3500" t="s">
        <v>12257</v>
      </c>
    </row>
    <row r="3501" spans="1:7" ht="44.25" customHeight="1">
      <c r="A3501" t="s">
        <v>12258</v>
      </c>
      <c r="B3501" t="s">
        <v>12259</v>
      </c>
      <c r="C3501" t="s">
        <v>136</v>
      </c>
      <c r="D3501" t="s">
        <v>79</v>
      </c>
      <c r="E3501" t="s">
        <v>12260</v>
      </c>
      <c r="F3501" t="s">
        <v>149</v>
      </c>
      <c r="G3501" t="s">
        <v>12261</v>
      </c>
    </row>
    <row r="3502" spans="1:7" ht="44.25" customHeight="1">
      <c r="A3502" t="s">
        <v>12262</v>
      </c>
      <c r="B3502" t="s">
        <v>12263</v>
      </c>
      <c r="C3502" t="s">
        <v>136</v>
      </c>
      <c r="D3502" t="s">
        <v>2257</v>
      </c>
      <c r="E3502" t="s">
        <v>6128</v>
      </c>
      <c r="F3502" t="s">
        <v>149</v>
      </c>
      <c r="G3502" t="s">
        <v>12264</v>
      </c>
    </row>
    <row r="3503" spans="1:7" ht="44.25" customHeight="1">
      <c r="A3503" t="s">
        <v>12265</v>
      </c>
      <c r="B3503" t="s">
        <v>12266</v>
      </c>
      <c r="C3503" t="s">
        <v>136</v>
      </c>
      <c r="D3503" t="s">
        <v>2257</v>
      </c>
      <c r="E3503" t="s">
        <v>1607</v>
      </c>
      <c r="F3503" t="s">
        <v>149</v>
      </c>
      <c r="G3503" t="s">
        <v>12267</v>
      </c>
    </row>
    <row r="3504" spans="1:7" ht="44.25" customHeight="1">
      <c r="A3504" t="s">
        <v>1321</v>
      </c>
      <c r="B3504" t="s">
        <v>12268</v>
      </c>
      <c r="C3504" t="s">
        <v>136</v>
      </c>
      <c r="D3504" t="s">
        <v>2257</v>
      </c>
      <c r="E3504" t="s">
        <v>2276</v>
      </c>
      <c r="F3504" t="s">
        <v>149</v>
      </c>
      <c r="G3504" t="s">
        <v>12269</v>
      </c>
    </row>
    <row r="3505" spans="1:7" ht="44.25" customHeight="1">
      <c r="A3505" t="s">
        <v>1352</v>
      </c>
      <c r="B3505" t="s">
        <v>12270</v>
      </c>
      <c r="C3505" t="s">
        <v>136</v>
      </c>
      <c r="D3505" t="s">
        <v>2253</v>
      </c>
      <c r="E3505" t="s">
        <v>1430</v>
      </c>
      <c r="F3505" t="s">
        <v>149</v>
      </c>
      <c r="G3505" t="s">
        <v>12271</v>
      </c>
    </row>
    <row r="3506" spans="1:7" ht="44.25" customHeight="1">
      <c r="A3506" t="s">
        <v>375</v>
      </c>
      <c r="B3506" t="s">
        <v>12272</v>
      </c>
      <c r="C3506" t="s">
        <v>136</v>
      </c>
      <c r="D3506" t="s">
        <v>2257</v>
      </c>
      <c r="E3506" t="s">
        <v>2269</v>
      </c>
      <c r="F3506" t="s">
        <v>149</v>
      </c>
      <c r="G3506" t="s">
        <v>12273</v>
      </c>
    </row>
    <row r="3507" spans="1:7" ht="44.25" customHeight="1">
      <c r="A3507" t="s">
        <v>1010</v>
      </c>
      <c r="B3507" t="s">
        <v>12274</v>
      </c>
      <c r="C3507" t="s">
        <v>136</v>
      </c>
      <c r="D3507" t="s">
        <v>2257</v>
      </c>
      <c r="E3507" t="s">
        <v>2276</v>
      </c>
      <c r="F3507" t="s">
        <v>149</v>
      </c>
      <c r="G3507" t="s">
        <v>12275</v>
      </c>
    </row>
    <row r="3508" spans="1:7" ht="44.25" customHeight="1">
      <c r="A3508" t="s">
        <v>603</v>
      </c>
      <c r="B3508" t="s">
        <v>12276</v>
      </c>
      <c r="C3508" t="s">
        <v>136</v>
      </c>
      <c r="D3508" t="s">
        <v>79</v>
      </c>
      <c r="E3508" t="s">
        <v>7413</v>
      </c>
      <c r="F3508" t="s">
        <v>149</v>
      </c>
      <c r="G3508" t="s">
        <v>12277</v>
      </c>
    </row>
    <row r="3509" spans="1:7" ht="44.25" customHeight="1">
      <c r="A3509" t="s">
        <v>1075</v>
      </c>
      <c r="B3509" t="s">
        <v>12278</v>
      </c>
      <c r="C3509" t="s">
        <v>136</v>
      </c>
      <c r="D3509" t="s">
        <v>2257</v>
      </c>
      <c r="E3509" t="s">
        <v>2276</v>
      </c>
      <c r="F3509" t="s">
        <v>149</v>
      </c>
      <c r="G3509" t="s">
        <v>12279</v>
      </c>
    </row>
    <row r="3510" spans="1:7" ht="44.25" customHeight="1">
      <c r="A3510" t="s">
        <v>1024</v>
      </c>
      <c r="B3510" t="s">
        <v>12280</v>
      </c>
      <c r="C3510" t="s">
        <v>136</v>
      </c>
      <c r="D3510" t="s">
        <v>79</v>
      </c>
      <c r="E3510" t="s">
        <v>7457</v>
      </c>
      <c r="F3510" t="s">
        <v>149</v>
      </c>
      <c r="G3510" t="s">
        <v>12281</v>
      </c>
    </row>
    <row r="3511" spans="1:7" ht="44.25" customHeight="1">
      <c r="A3511" t="s">
        <v>12282</v>
      </c>
      <c r="B3511" t="s">
        <v>12283</v>
      </c>
      <c r="C3511" t="s">
        <v>136</v>
      </c>
      <c r="D3511" t="s">
        <v>79</v>
      </c>
      <c r="E3511" t="s">
        <v>12284</v>
      </c>
      <c r="F3511" t="s">
        <v>149</v>
      </c>
      <c r="G3511" t="s">
        <v>12285</v>
      </c>
    </row>
    <row r="3512" spans="1:7" ht="44.25" customHeight="1">
      <c r="A3512" t="s">
        <v>12286</v>
      </c>
      <c r="B3512" t="s">
        <v>12287</v>
      </c>
      <c r="C3512" t="s">
        <v>136</v>
      </c>
      <c r="D3512" t="s">
        <v>79</v>
      </c>
      <c r="E3512" t="s">
        <v>12288</v>
      </c>
      <c r="F3512" t="s">
        <v>149</v>
      </c>
      <c r="G3512" t="s">
        <v>12289</v>
      </c>
    </row>
    <row r="3513" spans="1:7" ht="44.25" customHeight="1">
      <c r="A3513" t="s">
        <v>12290</v>
      </c>
      <c r="B3513" t="s">
        <v>12291</v>
      </c>
      <c r="C3513" t="s">
        <v>136</v>
      </c>
      <c r="D3513" t="s">
        <v>79</v>
      </c>
      <c r="E3513" t="s">
        <v>12292</v>
      </c>
      <c r="F3513" t="s">
        <v>149</v>
      </c>
      <c r="G3513" t="s">
        <v>12293</v>
      </c>
    </row>
    <row r="3514" spans="1:7" ht="44.25" customHeight="1">
      <c r="A3514" t="s">
        <v>12294</v>
      </c>
      <c r="B3514" t="s">
        <v>12295</v>
      </c>
      <c r="C3514" t="s">
        <v>136</v>
      </c>
      <c r="D3514" t="s">
        <v>79</v>
      </c>
      <c r="E3514" t="s">
        <v>12296</v>
      </c>
      <c r="F3514" t="s">
        <v>149</v>
      </c>
      <c r="G3514" t="s">
        <v>12297</v>
      </c>
    </row>
    <row r="3515" spans="1:7" ht="44.25" customHeight="1">
      <c r="A3515" t="s">
        <v>12298</v>
      </c>
      <c r="B3515" t="s">
        <v>12299</v>
      </c>
      <c r="C3515" t="s">
        <v>136</v>
      </c>
      <c r="D3515" t="s">
        <v>79</v>
      </c>
      <c r="E3515" t="s">
        <v>12300</v>
      </c>
      <c r="F3515" t="s">
        <v>149</v>
      </c>
      <c r="G3515" t="s">
        <v>12301</v>
      </c>
    </row>
    <row r="3516" spans="1:7" ht="44.25" customHeight="1">
      <c r="A3516" t="s">
        <v>12302</v>
      </c>
      <c r="B3516" t="s">
        <v>12303</v>
      </c>
      <c r="C3516" t="s">
        <v>136</v>
      </c>
      <c r="D3516" t="s">
        <v>79</v>
      </c>
      <c r="E3516" t="s">
        <v>12304</v>
      </c>
      <c r="F3516" t="s">
        <v>149</v>
      </c>
      <c r="G3516" t="s">
        <v>12305</v>
      </c>
    </row>
    <row r="3517" spans="1:7" ht="44.25" customHeight="1">
      <c r="A3517" t="s">
        <v>12306</v>
      </c>
      <c r="B3517" t="s">
        <v>12307</v>
      </c>
      <c r="C3517" t="s">
        <v>136</v>
      </c>
      <c r="D3517" t="s">
        <v>2257</v>
      </c>
      <c r="E3517" t="s">
        <v>2695</v>
      </c>
      <c r="F3517" t="s">
        <v>149</v>
      </c>
      <c r="G3517" t="s">
        <v>12308</v>
      </c>
    </row>
    <row r="3518" spans="1:7" ht="44.25" customHeight="1">
      <c r="A3518" t="s">
        <v>1611</v>
      </c>
      <c r="B3518" t="s">
        <v>12309</v>
      </c>
      <c r="C3518" t="s">
        <v>136</v>
      </c>
      <c r="D3518" t="s">
        <v>2257</v>
      </c>
      <c r="E3518" t="s">
        <v>2685</v>
      </c>
      <c r="F3518" t="s">
        <v>149</v>
      </c>
      <c r="G3518" t="s">
        <v>12310</v>
      </c>
    </row>
    <row r="3519" spans="1:7" ht="44.25" customHeight="1">
      <c r="A3519" t="s">
        <v>12311</v>
      </c>
      <c r="B3519" t="s">
        <v>12312</v>
      </c>
      <c r="C3519" t="s">
        <v>136</v>
      </c>
      <c r="D3519" t="s">
        <v>2257</v>
      </c>
      <c r="E3519" t="s">
        <v>1607</v>
      </c>
      <c r="F3519" t="s">
        <v>149</v>
      </c>
      <c r="G3519" t="s">
        <v>12313</v>
      </c>
    </row>
    <row r="3520" spans="1:7" ht="44.25" customHeight="1">
      <c r="A3520" t="s">
        <v>12314</v>
      </c>
      <c r="B3520" t="s">
        <v>12315</v>
      </c>
      <c r="C3520" t="s">
        <v>136</v>
      </c>
      <c r="D3520" t="s">
        <v>2253</v>
      </c>
      <c r="E3520" t="s">
        <v>1430</v>
      </c>
      <c r="F3520" t="s">
        <v>149</v>
      </c>
      <c r="G3520" t="s">
        <v>12316</v>
      </c>
    </row>
    <row r="3521" spans="1:7" ht="44.25" customHeight="1">
      <c r="A3521" t="s">
        <v>12317</v>
      </c>
      <c r="B3521" t="s">
        <v>12318</v>
      </c>
      <c r="C3521" t="s">
        <v>136</v>
      </c>
      <c r="D3521" t="s">
        <v>2257</v>
      </c>
      <c r="E3521" t="s">
        <v>1430</v>
      </c>
      <c r="F3521" t="s">
        <v>149</v>
      </c>
      <c r="G3521" t="s">
        <v>12319</v>
      </c>
    </row>
    <row r="3522" spans="1:7" ht="44.25" customHeight="1">
      <c r="A3522" t="s">
        <v>12320</v>
      </c>
      <c r="B3522" t="s">
        <v>12321</v>
      </c>
      <c r="C3522" t="s">
        <v>136</v>
      </c>
      <c r="D3522" t="s">
        <v>2253</v>
      </c>
      <c r="E3522" t="s">
        <v>1432</v>
      </c>
      <c r="F3522" t="s">
        <v>149</v>
      </c>
      <c r="G3522" t="s">
        <v>12322</v>
      </c>
    </row>
    <row r="3523" spans="1:7" ht="44.25" customHeight="1">
      <c r="A3523" t="s">
        <v>975</v>
      </c>
      <c r="B3523" t="s">
        <v>12323</v>
      </c>
      <c r="C3523" t="s">
        <v>136</v>
      </c>
      <c r="D3523" t="s">
        <v>2257</v>
      </c>
      <c r="E3523" t="s">
        <v>2276</v>
      </c>
      <c r="F3523" t="s">
        <v>149</v>
      </c>
      <c r="G3523" t="s">
        <v>12324</v>
      </c>
    </row>
    <row r="3524" spans="1:7" ht="44.25" customHeight="1">
      <c r="A3524" t="s">
        <v>594</v>
      </c>
      <c r="B3524" t="s">
        <v>12325</v>
      </c>
      <c r="C3524" t="s">
        <v>136</v>
      </c>
      <c r="D3524" t="s">
        <v>79</v>
      </c>
      <c r="E3524" t="s">
        <v>12189</v>
      </c>
      <c r="F3524" t="s">
        <v>149</v>
      </c>
      <c r="G3524" t="s">
        <v>12326</v>
      </c>
    </row>
    <row r="3525" spans="1:7" ht="44.25" customHeight="1">
      <c r="A3525" t="s">
        <v>899</v>
      </c>
      <c r="B3525" t="s">
        <v>12327</v>
      </c>
      <c r="C3525" t="s">
        <v>136</v>
      </c>
      <c r="D3525" t="s">
        <v>2257</v>
      </c>
      <c r="E3525" t="s">
        <v>4699</v>
      </c>
      <c r="F3525" t="s">
        <v>149</v>
      </c>
      <c r="G3525" t="s">
        <v>12328</v>
      </c>
    </row>
    <row r="3526" spans="1:7" ht="44.25" customHeight="1">
      <c r="A3526" t="s">
        <v>450</v>
      </c>
      <c r="B3526" t="s">
        <v>12329</v>
      </c>
      <c r="C3526" t="s">
        <v>136</v>
      </c>
      <c r="D3526" t="s">
        <v>2257</v>
      </c>
      <c r="E3526" t="s">
        <v>1430</v>
      </c>
      <c r="F3526" t="s">
        <v>149</v>
      </c>
      <c r="G3526" t="s">
        <v>12330</v>
      </c>
    </row>
    <row r="3527" spans="1:7" ht="44.25" customHeight="1">
      <c r="A3527" t="s">
        <v>12331</v>
      </c>
      <c r="B3527" t="s">
        <v>12332</v>
      </c>
      <c r="C3527" t="s">
        <v>136</v>
      </c>
      <c r="D3527" t="s">
        <v>79</v>
      </c>
      <c r="E3527" t="s">
        <v>12333</v>
      </c>
      <c r="F3527" t="s">
        <v>149</v>
      </c>
      <c r="G3527" t="s">
        <v>12334</v>
      </c>
    </row>
    <row r="3528" spans="1:7" ht="44.25" customHeight="1">
      <c r="A3528" t="s">
        <v>12335</v>
      </c>
      <c r="B3528" t="s">
        <v>12336</v>
      </c>
      <c r="C3528" t="s">
        <v>136</v>
      </c>
      <c r="D3528" t="s">
        <v>79</v>
      </c>
      <c r="E3528" t="s">
        <v>12337</v>
      </c>
      <c r="F3528" t="s">
        <v>149</v>
      </c>
      <c r="G3528" t="s">
        <v>12338</v>
      </c>
    </row>
    <row r="3529" spans="1:7" ht="44.25" customHeight="1">
      <c r="A3529" t="s">
        <v>12339</v>
      </c>
      <c r="B3529" t="s">
        <v>12340</v>
      </c>
      <c r="C3529" t="s">
        <v>136</v>
      </c>
      <c r="D3529" t="s">
        <v>79</v>
      </c>
      <c r="E3529" t="s">
        <v>12341</v>
      </c>
      <c r="F3529" t="s">
        <v>149</v>
      </c>
      <c r="G3529" t="s">
        <v>12342</v>
      </c>
    </row>
    <row r="3530" spans="1:7" ht="44.25" customHeight="1">
      <c r="A3530" t="s">
        <v>12343</v>
      </c>
      <c r="B3530" t="s">
        <v>12344</v>
      </c>
      <c r="C3530" t="s">
        <v>136</v>
      </c>
      <c r="D3530" t="s">
        <v>2257</v>
      </c>
      <c r="E3530" t="s">
        <v>5691</v>
      </c>
      <c r="F3530" t="s">
        <v>149</v>
      </c>
      <c r="G3530" t="s">
        <v>12345</v>
      </c>
    </row>
    <row r="3531" spans="1:7" ht="44.25" customHeight="1">
      <c r="A3531" t="s">
        <v>12346</v>
      </c>
      <c r="B3531" t="s">
        <v>12347</v>
      </c>
      <c r="C3531" t="s">
        <v>136</v>
      </c>
      <c r="D3531" t="s">
        <v>2257</v>
      </c>
      <c r="E3531" t="s">
        <v>5691</v>
      </c>
      <c r="F3531" t="s">
        <v>149</v>
      </c>
      <c r="G3531" t="s">
        <v>12348</v>
      </c>
    </row>
    <row r="3532" spans="1:7" ht="44.25" customHeight="1">
      <c r="A3532" t="s">
        <v>12349</v>
      </c>
      <c r="B3532" t="s">
        <v>12350</v>
      </c>
      <c r="C3532" t="s">
        <v>136</v>
      </c>
      <c r="D3532" t="s">
        <v>79</v>
      </c>
      <c r="E3532" t="s">
        <v>5982</v>
      </c>
      <c r="F3532" t="s">
        <v>149</v>
      </c>
      <c r="G3532" t="s">
        <v>12351</v>
      </c>
    </row>
    <row r="3533" spans="1:7" ht="44.25" customHeight="1">
      <c r="A3533" t="s">
        <v>12352</v>
      </c>
      <c r="B3533" t="s">
        <v>12353</v>
      </c>
      <c r="C3533" t="s">
        <v>136</v>
      </c>
      <c r="D3533" t="s">
        <v>2257</v>
      </c>
      <c r="E3533" t="s">
        <v>1607</v>
      </c>
      <c r="F3533" t="s">
        <v>149</v>
      </c>
      <c r="G3533" t="s">
        <v>12354</v>
      </c>
    </row>
    <row r="3534" spans="1:7" ht="44.25" customHeight="1">
      <c r="A3534" t="s">
        <v>300</v>
      </c>
      <c r="B3534" t="s">
        <v>12355</v>
      </c>
      <c r="C3534" t="s">
        <v>136</v>
      </c>
      <c r="D3534" t="s">
        <v>2257</v>
      </c>
      <c r="E3534" t="s">
        <v>1504</v>
      </c>
      <c r="F3534" t="s">
        <v>149</v>
      </c>
      <c r="G3534" t="s">
        <v>12356</v>
      </c>
    </row>
    <row r="3535" spans="1:7" ht="44.25" customHeight="1">
      <c r="A3535" t="s">
        <v>12357</v>
      </c>
      <c r="B3535" t="s">
        <v>12358</v>
      </c>
      <c r="C3535" t="s">
        <v>136</v>
      </c>
      <c r="D3535" t="s">
        <v>2257</v>
      </c>
      <c r="E3535" t="s">
        <v>1607</v>
      </c>
      <c r="F3535" t="s">
        <v>149</v>
      </c>
      <c r="G3535" t="s">
        <v>12359</v>
      </c>
    </row>
    <row r="3536" spans="1:7" ht="44.25" customHeight="1">
      <c r="A3536" t="s">
        <v>12360</v>
      </c>
      <c r="B3536" t="s">
        <v>12361</v>
      </c>
      <c r="C3536" t="s">
        <v>136</v>
      </c>
      <c r="D3536" t="s">
        <v>2257</v>
      </c>
      <c r="E3536" t="s">
        <v>1607</v>
      </c>
      <c r="F3536" t="s">
        <v>149</v>
      </c>
      <c r="G3536" t="s">
        <v>12362</v>
      </c>
    </row>
    <row r="3537" spans="1:7" ht="44.25" customHeight="1">
      <c r="A3537" t="s">
        <v>12363</v>
      </c>
      <c r="B3537" t="s">
        <v>12364</v>
      </c>
      <c r="C3537" t="s">
        <v>136</v>
      </c>
      <c r="D3537" t="s">
        <v>2257</v>
      </c>
      <c r="E3537" t="s">
        <v>2399</v>
      </c>
      <c r="F3537" t="s">
        <v>149</v>
      </c>
      <c r="G3537" t="s">
        <v>12365</v>
      </c>
    </row>
    <row r="3538" spans="1:7" ht="44.25" customHeight="1">
      <c r="A3538" t="s">
        <v>12366</v>
      </c>
      <c r="B3538" t="s">
        <v>12367</v>
      </c>
      <c r="C3538" t="s">
        <v>136</v>
      </c>
      <c r="D3538" t="s">
        <v>2253</v>
      </c>
      <c r="E3538" t="s">
        <v>1432</v>
      </c>
      <c r="F3538" t="s">
        <v>149</v>
      </c>
      <c r="G3538" t="s">
        <v>12368</v>
      </c>
    </row>
    <row r="3539" spans="1:7" ht="44.25" customHeight="1">
      <c r="A3539" t="s">
        <v>12369</v>
      </c>
      <c r="B3539" t="s">
        <v>12370</v>
      </c>
      <c r="C3539" t="s">
        <v>136</v>
      </c>
      <c r="D3539" t="s">
        <v>2253</v>
      </c>
      <c r="E3539" t="s">
        <v>1430</v>
      </c>
      <c r="F3539" t="s">
        <v>149</v>
      </c>
      <c r="G3539" t="s">
        <v>12371</v>
      </c>
    </row>
    <row r="3540" spans="1:7" ht="44.25" customHeight="1">
      <c r="A3540" t="s">
        <v>12372</v>
      </c>
      <c r="B3540" t="s">
        <v>12373</v>
      </c>
      <c r="C3540" t="s">
        <v>136</v>
      </c>
      <c r="D3540" t="s">
        <v>2253</v>
      </c>
      <c r="E3540" t="s">
        <v>1432</v>
      </c>
      <c r="F3540" t="s">
        <v>149</v>
      </c>
      <c r="G3540" t="s">
        <v>12374</v>
      </c>
    </row>
    <row r="3541" spans="1:7" ht="44.25" customHeight="1">
      <c r="A3541" t="s">
        <v>858</v>
      </c>
      <c r="B3541" t="s">
        <v>12375</v>
      </c>
      <c r="C3541" t="s">
        <v>136</v>
      </c>
      <c r="D3541" t="s">
        <v>2257</v>
      </c>
      <c r="E3541" t="s">
        <v>4124</v>
      </c>
      <c r="F3541" t="s">
        <v>149</v>
      </c>
      <c r="G3541" t="s">
        <v>12376</v>
      </c>
    </row>
    <row r="3542" spans="1:7" ht="44.25" customHeight="1">
      <c r="A3542" t="s">
        <v>12377</v>
      </c>
      <c r="B3542" t="s">
        <v>12378</v>
      </c>
      <c r="C3542" t="s">
        <v>136</v>
      </c>
      <c r="D3542" t="s">
        <v>2257</v>
      </c>
      <c r="E3542" t="s">
        <v>4595</v>
      </c>
      <c r="F3542" t="s">
        <v>149</v>
      </c>
      <c r="G3542" t="s">
        <v>12379</v>
      </c>
    </row>
    <row r="3543" spans="1:7" ht="44.25" customHeight="1">
      <c r="A3543" t="s">
        <v>12380</v>
      </c>
      <c r="B3543" t="s">
        <v>12381</v>
      </c>
      <c r="C3543" t="s">
        <v>136</v>
      </c>
      <c r="D3543" t="s">
        <v>79</v>
      </c>
      <c r="E3543" t="s">
        <v>12382</v>
      </c>
      <c r="F3543" t="s">
        <v>149</v>
      </c>
      <c r="G3543" t="s">
        <v>12383</v>
      </c>
    </row>
    <row r="3544" spans="1:7" ht="44.25" customHeight="1">
      <c r="A3544" t="s">
        <v>12384</v>
      </c>
      <c r="B3544" t="s">
        <v>12385</v>
      </c>
      <c r="C3544" t="s">
        <v>136</v>
      </c>
      <c r="D3544" t="s">
        <v>79</v>
      </c>
      <c r="E3544" t="s">
        <v>4177</v>
      </c>
      <c r="F3544" t="s">
        <v>149</v>
      </c>
      <c r="G3544" t="s">
        <v>12386</v>
      </c>
    </row>
    <row r="3545" spans="1:7" ht="44.25" customHeight="1">
      <c r="A3545" t="s">
        <v>890</v>
      </c>
      <c r="B3545" t="s">
        <v>10139</v>
      </c>
      <c r="C3545" t="s">
        <v>136</v>
      </c>
      <c r="D3545" t="s">
        <v>2257</v>
      </c>
      <c r="E3545" t="s">
        <v>3580</v>
      </c>
      <c r="F3545" t="s">
        <v>149</v>
      </c>
      <c r="G3545" t="s">
        <v>12387</v>
      </c>
    </row>
    <row r="3546" spans="1:7" ht="44.25" customHeight="1">
      <c r="A3546" t="s">
        <v>8433</v>
      </c>
      <c r="B3546" t="s">
        <v>8434</v>
      </c>
      <c r="C3546" t="s">
        <v>136</v>
      </c>
      <c r="D3546" t="s">
        <v>2257</v>
      </c>
      <c r="E3546" t="s">
        <v>6323</v>
      </c>
      <c r="F3546" t="s">
        <v>149</v>
      </c>
      <c r="G3546" t="s">
        <v>12388</v>
      </c>
    </row>
    <row r="3547" spans="1:7" ht="44.25" customHeight="1">
      <c r="A3547" t="s">
        <v>12389</v>
      </c>
      <c r="B3547" t="s">
        <v>12390</v>
      </c>
      <c r="C3547" t="s">
        <v>136</v>
      </c>
      <c r="D3547" t="s">
        <v>79</v>
      </c>
      <c r="E3547" t="s">
        <v>12391</v>
      </c>
      <c r="F3547" t="s">
        <v>149</v>
      </c>
      <c r="G3547" t="s">
        <v>12392</v>
      </c>
    </row>
    <row r="3548" spans="1:7" ht="44.25" customHeight="1">
      <c r="A3548" t="s">
        <v>12389</v>
      </c>
      <c r="B3548" t="s">
        <v>12390</v>
      </c>
      <c r="C3548" t="s">
        <v>136</v>
      </c>
      <c r="D3548" t="s">
        <v>79</v>
      </c>
      <c r="E3548" t="s">
        <v>12391</v>
      </c>
      <c r="F3548" t="s">
        <v>149</v>
      </c>
      <c r="G3548" t="s">
        <v>12392</v>
      </c>
    </row>
    <row r="3549" spans="1:7" ht="44.25" customHeight="1">
      <c r="A3549" t="s">
        <v>12393</v>
      </c>
      <c r="B3549" t="s">
        <v>12394</v>
      </c>
      <c r="C3549" t="s">
        <v>136</v>
      </c>
      <c r="D3549" t="s">
        <v>79</v>
      </c>
      <c r="E3549" t="s">
        <v>12395</v>
      </c>
      <c r="F3549" t="s">
        <v>149</v>
      </c>
      <c r="G3549" t="s">
        <v>12396</v>
      </c>
    </row>
    <row r="3550" spans="1:7" ht="44.25" customHeight="1">
      <c r="A3550" t="s">
        <v>136</v>
      </c>
      <c r="B3550" t="s">
        <v>12397</v>
      </c>
      <c r="C3550" t="s">
        <v>136</v>
      </c>
      <c r="D3550" t="s">
        <v>2257</v>
      </c>
      <c r="E3550" t="s">
        <v>5813</v>
      </c>
      <c r="F3550" t="s">
        <v>149</v>
      </c>
      <c r="G3550" t="s">
        <v>12398</v>
      </c>
    </row>
    <row r="3551" spans="1:7" ht="44.25" customHeight="1">
      <c r="A3551" t="s">
        <v>136</v>
      </c>
      <c r="B3551" t="s">
        <v>12399</v>
      </c>
      <c r="C3551" t="s">
        <v>136</v>
      </c>
      <c r="D3551" t="s">
        <v>2257</v>
      </c>
      <c r="E3551" t="s">
        <v>6805</v>
      </c>
      <c r="F3551" t="s">
        <v>149</v>
      </c>
      <c r="G3551" t="s">
        <v>12400</v>
      </c>
    </row>
    <row r="3552" spans="1:7" ht="44.25" customHeight="1">
      <c r="A3552" t="s">
        <v>136</v>
      </c>
      <c r="B3552" t="s">
        <v>12401</v>
      </c>
      <c r="C3552" t="s">
        <v>136</v>
      </c>
      <c r="D3552" t="s">
        <v>2257</v>
      </c>
      <c r="E3552" t="s">
        <v>5813</v>
      </c>
      <c r="F3552" t="s">
        <v>149</v>
      </c>
      <c r="G3552" t="s">
        <v>12402</v>
      </c>
    </row>
    <row r="3553" spans="1:7" ht="44.25" customHeight="1">
      <c r="A3553" t="s">
        <v>12403</v>
      </c>
      <c r="B3553" t="s">
        <v>12404</v>
      </c>
      <c r="C3553" t="s">
        <v>136</v>
      </c>
      <c r="D3553" t="s">
        <v>79</v>
      </c>
      <c r="E3553" t="s">
        <v>2695</v>
      </c>
      <c r="F3553" t="s">
        <v>149</v>
      </c>
      <c r="G3553" t="s">
        <v>12405</v>
      </c>
    </row>
    <row r="3554" spans="1:7" ht="44.25" customHeight="1">
      <c r="A3554" t="s">
        <v>12406</v>
      </c>
      <c r="B3554" t="s">
        <v>12407</v>
      </c>
      <c r="C3554" t="s">
        <v>136</v>
      </c>
      <c r="D3554" t="s">
        <v>2257</v>
      </c>
      <c r="E3554" t="s">
        <v>1607</v>
      </c>
      <c r="F3554" t="s">
        <v>149</v>
      </c>
      <c r="G3554" t="s">
        <v>12408</v>
      </c>
    </row>
    <row r="3555" spans="1:7" ht="44.25" customHeight="1">
      <c r="A3555" t="s">
        <v>12409</v>
      </c>
      <c r="B3555" t="s">
        <v>12410</v>
      </c>
      <c r="C3555" t="s">
        <v>136</v>
      </c>
      <c r="D3555" t="s">
        <v>2257</v>
      </c>
      <c r="E3555" t="s">
        <v>1607</v>
      </c>
      <c r="F3555" t="s">
        <v>149</v>
      </c>
      <c r="G3555" t="s">
        <v>12411</v>
      </c>
    </row>
    <row r="3556" spans="1:7" ht="44.25" customHeight="1">
      <c r="A3556" t="s">
        <v>1402</v>
      </c>
      <c r="B3556" t="s">
        <v>12412</v>
      </c>
      <c r="C3556" t="s">
        <v>136</v>
      </c>
      <c r="D3556" t="s">
        <v>2257</v>
      </c>
      <c r="E3556" t="s">
        <v>1607</v>
      </c>
      <c r="F3556" t="s">
        <v>149</v>
      </c>
      <c r="G3556" t="s">
        <v>12413</v>
      </c>
    </row>
    <row r="3557" spans="1:7" ht="44.25" customHeight="1">
      <c r="A3557" t="s">
        <v>1405</v>
      </c>
      <c r="B3557" t="s">
        <v>12414</v>
      </c>
      <c r="C3557" t="s">
        <v>136</v>
      </c>
      <c r="D3557" t="s">
        <v>2257</v>
      </c>
      <c r="E3557" t="s">
        <v>1607</v>
      </c>
      <c r="F3557" t="s">
        <v>149</v>
      </c>
      <c r="G3557" t="s">
        <v>12415</v>
      </c>
    </row>
    <row r="3558" spans="1:7" ht="44.25" customHeight="1">
      <c r="A3558" t="s">
        <v>12416</v>
      </c>
      <c r="B3558" t="s">
        <v>12417</v>
      </c>
      <c r="C3558" t="s">
        <v>136</v>
      </c>
      <c r="D3558" t="s">
        <v>2257</v>
      </c>
      <c r="E3558" t="s">
        <v>1607</v>
      </c>
      <c r="F3558" t="s">
        <v>149</v>
      </c>
      <c r="G3558" t="s">
        <v>12418</v>
      </c>
    </row>
    <row r="3559" spans="1:7" ht="44.25" customHeight="1">
      <c r="A3559" t="s">
        <v>12419</v>
      </c>
      <c r="B3559" t="s">
        <v>12420</v>
      </c>
      <c r="C3559" t="s">
        <v>136</v>
      </c>
      <c r="D3559" t="s">
        <v>2253</v>
      </c>
      <c r="E3559" t="s">
        <v>1430</v>
      </c>
      <c r="F3559" t="s">
        <v>149</v>
      </c>
      <c r="G3559" t="s">
        <v>12421</v>
      </c>
    </row>
    <row r="3560" spans="1:7" ht="44.25" customHeight="1">
      <c r="A3560" t="s">
        <v>12422</v>
      </c>
      <c r="B3560" t="s">
        <v>12423</v>
      </c>
      <c r="C3560" t="s">
        <v>136</v>
      </c>
      <c r="D3560" t="s">
        <v>2253</v>
      </c>
      <c r="E3560" t="s">
        <v>1430</v>
      </c>
      <c r="F3560" t="s">
        <v>149</v>
      </c>
      <c r="G3560" t="s">
        <v>12424</v>
      </c>
    </row>
    <row r="3561" spans="1:7" ht="44.25" customHeight="1">
      <c r="A3561" t="s">
        <v>12425</v>
      </c>
      <c r="B3561" t="s">
        <v>12426</v>
      </c>
      <c r="C3561" t="s">
        <v>136</v>
      </c>
      <c r="D3561" t="s">
        <v>2253</v>
      </c>
      <c r="E3561" t="s">
        <v>1432</v>
      </c>
      <c r="F3561" t="s">
        <v>149</v>
      </c>
      <c r="G3561" t="s">
        <v>12427</v>
      </c>
    </row>
    <row r="3562" spans="1:7" ht="44.25" customHeight="1">
      <c r="A3562" t="s">
        <v>12428</v>
      </c>
      <c r="B3562" t="s">
        <v>12429</v>
      </c>
      <c r="C3562" t="s">
        <v>136</v>
      </c>
      <c r="D3562" t="s">
        <v>2253</v>
      </c>
      <c r="E3562" t="s">
        <v>1432</v>
      </c>
      <c r="F3562" t="s">
        <v>149</v>
      </c>
      <c r="G3562" t="s">
        <v>12430</v>
      </c>
    </row>
    <row r="3563" spans="1:7" ht="44.25" customHeight="1">
      <c r="A3563" t="s">
        <v>1486</v>
      </c>
      <c r="B3563" t="s">
        <v>12431</v>
      </c>
      <c r="C3563" t="s">
        <v>136</v>
      </c>
      <c r="D3563" t="s">
        <v>2257</v>
      </c>
      <c r="E3563" t="s">
        <v>2276</v>
      </c>
      <c r="F3563" t="s">
        <v>149</v>
      </c>
      <c r="G3563" t="s">
        <v>12432</v>
      </c>
    </row>
    <row r="3564" spans="1:7" ht="44.25" customHeight="1">
      <c r="A3564" t="s">
        <v>1490</v>
      </c>
      <c r="B3564" t="s">
        <v>12433</v>
      </c>
      <c r="C3564" t="s">
        <v>136</v>
      </c>
      <c r="D3564" t="s">
        <v>2257</v>
      </c>
      <c r="E3564" t="s">
        <v>2276</v>
      </c>
      <c r="F3564" t="s">
        <v>149</v>
      </c>
      <c r="G3564" t="s">
        <v>12434</v>
      </c>
    </row>
    <row r="3565" spans="1:7" ht="44.25" customHeight="1">
      <c r="A3565" t="s">
        <v>12435</v>
      </c>
      <c r="B3565" t="s">
        <v>12436</v>
      </c>
      <c r="C3565" t="s">
        <v>136</v>
      </c>
      <c r="D3565" t="s">
        <v>2257</v>
      </c>
      <c r="E3565" t="s">
        <v>12437</v>
      </c>
      <c r="F3565" t="s">
        <v>149</v>
      </c>
      <c r="G3565" t="s">
        <v>12438</v>
      </c>
    </row>
    <row r="3566" spans="1:7" ht="44.25" customHeight="1">
      <c r="A3566" t="s">
        <v>12439</v>
      </c>
      <c r="B3566" t="s">
        <v>12440</v>
      </c>
      <c r="C3566" t="s">
        <v>136</v>
      </c>
      <c r="D3566" t="s">
        <v>79</v>
      </c>
      <c r="E3566" t="s">
        <v>12441</v>
      </c>
      <c r="F3566" t="s">
        <v>149</v>
      </c>
      <c r="G3566" t="s">
        <v>12442</v>
      </c>
    </row>
    <row r="3567" spans="1:7" ht="44.25" customHeight="1">
      <c r="A3567" t="s">
        <v>12443</v>
      </c>
      <c r="B3567" t="s">
        <v>12444</v>
      </c>
      <c r="C3567" t="s">
        <v>136</v>
      </c>
      <c r="D3567" t="s">
        <v>79</v>
      </c>
      <c r="E3567" t="s">
        <v>12445</v>
      </c>
      <c r="F3567" t="s">
        <v>149</v>
      </c>
      <c r="G3567" t="s">
        <v>12446</v>
      </c>
    </row>
    <row r="3568" spans="1:7" ht="44.25" customHeight="1">
      <c r="A3568" t="s">
        <v>12447</v>
      </c>
      <c r="B3568" t="s">
        <v>12448</v>
      </c>
      <c r="C3568" t="s">
        <v>136</v>
      </c>
      <c r="D3568" t="s">
        <v>79</v>
      </c>
      <c r="E3568" t="s">
        <v>12449</v>
      </c>
      <c r="F3568" t="s">
        <v>149</v>
      </c>
      <c r="G3568" t="s">
        <v>12450</v>
      </c>
    </row>
    <row r="3569" spans="1:7" ht="44.25" customHeight="1">
      <c r="A3569" t="s">
        <v>12451</v>
      </c>
      <c r="B3569" t="s">
        <v>12452</v>
      </c>
      <c r="C3569" t="s">
        <v>136</v>
      </c>
      <c r="D3569" t="s">
        <v>79</v>
      </c>
      <c r="E3569" t="s">
        <v>12453</v>
      </c>
      <c r="F3569" t="s">
        <v>149</v>
      </c>
      <c r="G3569" t="s">
        <v>12454</v>
      </c>
    </row>
    <row r="3570" spans="1:7" ht="44.25" customHeight="1">
      <c r="A3570" t="s">
        <v>12455</v>
      </c>
      <c r="B3570" t="s">
        <v>12456</v>
      </c>
      <c r="C3570" t="s">
        <v>136</v>
      </c>
      <c r="D3570" t="s">
        <v>79</v>
      </c>
      <c r="E3570" t="s">
        <v>12457</v>
      </c>
      <c r="F3570" t="s">
        <v>149</v>
      </c>
      <c r="G3570" t="s">
        <v>12458</v>
      </c>
    </row>
    <row r="3571" spans="1:7" ht="44.25" customHeight="1">
      <c r="A3571" t="s">
        <v>12459</v>
      </c>
      <c r="B3571" t="s">
        <v>12460</v>
      </c>
      <c r="C3571" t="s">
        <v>136</v>
      </c>
      <c r="D3571" t="s">
        <v>79</v>
      </c>
      <c r="E3571" t="s">
        <v>12461</v>
      </c>
      <c r="F3571" t="s">
        <v>149</v>
      </c>
      <c r="G3571" t="s">
        <v>12462</v>
      </c>
    </row>
    <row r="3572" spans="1:7" ht="44.25" customHeight="1">
      <c r="A3572" t="s">
        <v>12459</v>
      </c>
      <c r="B3572" t="s">
        <v>12460</v>
      </c>
      <c r="C3572" t="s">
        <v>136</v>
      </c>
      <c r="D3572" t="s">
        <v>79</v>
      </c>
      <c r="E3572" t="s">
        <v>12461</v>
      </c>
      <c r="F3572" t="s">
        <v>149</v>
      </c>
      <c r="G3572" t="s">
        <v>12462</v>
      </c>
    </row>
    <row r="3573" spans="1:7" ht="44.25" customHeight="1">
      <c r="A3573" t="s">
        <v>12463</v>
      </c>
      <c r="B3573" t="s">
        <v>12464</v>
      </c>
      <c r="C3573" t="s">
        <v>136</v>
      </c>
      <c r="D3573" t="s">
        <v>2257</v>
      </c>
      <c r="E3573" t="s">
        <v>6409</v>
      </c>
      <c r="F3573" t="s">
        <v>149</v>
      </c>
      <c r="G3573" t="s">
        <v>12465</v>
      </c>
    </row>
    <row r="3574" spans="1:7" ht="44.25" customHeight="1">
      <c r="A3574" t="s">
        <v>136</v>
      </c>
      <c r="B3574" t="s">
        <v>12466</v>
      </c>
      <c r="C3574" t="s">
        <v>136</v>
      </c>
      <c r="D3574" t="s">
        <v>2257</v>
      </c>
      <c r="E3574" t="s">
        <v>5855</v>
      </c>
      <c r="F3574" t="s">
        <v>149</v>
      </c>
      <c r="G3574" t="s">
        <v>12467</v>
      </c>
    </row>
    <row r="3575" spans="1:7" ht="44.25" customHeight="1">
      <c r="A3575" t="s">
        <v>12468</v>
      </c>
      <c r="B3575" t="s">
        <v>12469</v>
      </c>
      <c r="C3575" t="s">
        <v>136</v>
      </c>
      <c r="D3575" t="s">
        <v>2257</v>
      </c>
      <c r="E3575" t="s">
        <v>12470</v>
      </c>
      <c r="F3575" t="s">
        <v>149</v>
      </c>
      <c r="G3575" t="s">
        <v>12471</v>
      </c>
    </row>
    <row r="3576" spans="1:7" ht="44.25" customHeight="1">
      <c r="A3576" t="s">
        <v>12472</v>
      </c>
      <c r="B3576" t="s">
        <v>12473</v>
      </c>
      <c r="C3576" t="s">
        <v>136</v>
      </c>
      <c r="D3576" t="s">
        <v>2257</v>
      </c>
      <c r="E3576" t="s">
        <v>1607</v>
      </c>
      <c r="F3576" t="s">
        <v>149</v>
      </c>
      <c r="G3576" t="s">
        <v>12474</v>
      </c>
    </row>
    <row r="3577" spans="1:7" ht="44.25" customHeight="1">
      <c r="A3577" t="s">
        <v>12475</v>
      </c>
      <c r="B3577" t="s">
        <v>12476</v>
      </c>
      <c r="C3577" t="s">
        <v>136</v>
      </c>
      <c r="D3577" t="s">
        <v>2257</v>
      </c>
      <c r="E3577" t="s">
        <v>1607</v>
      </c>
      <c r="F3577" t="s">
        <v>149</v>
      </c>
      <c r="G3577" t="s">
        <v>12477</v>
      </c>
    </row>
    <row r="3578" spans="1:7" ht="44.25" customHeight="1">
      <c r="A3578" t="s">
        <v>301</v>
      </c>
      <c r="B3578" t="s">
        <v>12478</v>
      </c>
      <c r="C3578" t="s">
        <v>1506</v>
      </c>
      <c r="D3578" t="s">
        <v>2257</v>
      </c>
      <c r="E3578" t="s">
        <v>1504</v>
      </c>
      <c r="F3578" t="s">
        <v>149</v>
      </c>
      <c r="G3578" t="s">
        <v>12479</v>
      </c>
    </row>
    <row r="3579" spans="1:7" ht="44.25" customHeight="1">
      <c r="A3579" t="s">
        <v>12480</v>
      </c>
      <c r="B3579" t="s">
        <v>12481</v>
      </c>
      <c r="C3579" t="s">
        <v>136</v>
      </c>
      <c r="D3579" t="s">
        <v>2257</v>
      </c>
      <c r="E3579" t="s">
        <v>2882</v>
      </c>
      <c r="F3579" t="s">
        <v>149</v>
      </c>
      <c r="G3579" t="s">
        <v>12482</v>
      </c>
    </row>
    <row r="3580" spans="1:7" ht="44.25" customHeight="1">
      <c r="A3580" t="s">
        <v>762</v>
      </c>
      <c r="B3580" t="s">
        <v>12483</v>
      </c>
      <c r="C3580" t="s">
        <v>136</v>
      </c>
      <c r="D3580" t="s">
        <v>79</v>
      </c>
      <c r="E3580" t="s">
        <v>3534</v>
      </c>
      <c r="F3580" t="s">
        <v>149</v>
      </c>
      <c r="G3580" t="s">
        <v>12484</v>
      </c>
    </row>
    <row r="3581" spans="1:7" ht="44.25" customHeight="1">
      <c r="A3581" t="s">
        <v>12485</v>
      </c>
      <c r="B3581" t="s">
        <v>12486</v>
      </c>
      <c r="C3581" t="s">
        <v>136</v>
      </c>
      <c r="D3581" t="s">
        <v>2253</v>
      </c>
      <c r="E3581" t="s">
        <v>1432</v>
      </c>
      <c r="F3581" t="s">
        <v>149</v>
      </c>
      <c r="G3581" t="s">
        <v>12487</v>
      </c>
    </row>
    <row r="3582" spans="1:7" ht="44.25" customHeight="1">
      <c r="A3582" t="s">
        <v>11996</v>
      </c>
      <c r="B3582" t="s">
        <v>11997</v>
      </c>
      <c r="C3582" t="s">
        <v>136</v>
      </c>
      <c r="D3582" t="s">
        <v>79</v>
      </c>
      <c r="E3582" t="s">
        <v>11998</v>
      </c>
      <c r="F3582" t="s">
        <v>149</v>
      </c>
      <c r="G3582" t="s">
        <v>12488</v>
      </c>
    </row>
    <row r="3583" spans="1:7" ht="44.25" customHeight="1">
      <c r="A3583" t="s">
        <v>12489</v>
      </c>
      <c r="B3583" t="s">
        <v>12490</v>
      </c>
      <c r="C3583" t="s">
        <v>136</v>
      </c>
      <c r="D3583" t="s">
        <v>2253</v>
      </c>
      <c r="E3583" t="s">
        <v>1432</v>
      </c>
      <c r="F3583" t="s">
        <v>149</v>
      </c>
      <c r="G3583" t="s">
        <v>12491</v>
      </c>
    </row>
    <row r="3584" spans="1:7" ht="44.25" customHeight="1">
      <c r="A3584" t="s">
        <v>12492</v>
      </c>
      <c r="B3584" t="s">
        <v>12493</v>
      </c>
      <c r="C3584" t="s">
        <v>136</v>
      </c>
      <c r="D3584" t="s">
        <v>2257</v>
      </c>
      <c r="E3584" t="s">
        <v>2276</v>
      </c>
      <c r="F3584" t="s">
        <v>149</v>
      </c>
      <c r="G3584" t="s">
        <v>12494</v>
      </c>
    </row>
    <row r="3585" spans="1:7" ht="44.25" customHeight="1">
      <c r="A3585" t="s">
        <v>12495</v>
      </c>
      <c r="B3585" t="s">
        <v>12496</v>
      </c>
      <c r="C3585" t="s">
        <v>136</v>
      </c>
      <c r="D3585" t="s">
        <v>79</v>
      </c>
      <c r="E3585" t="s">
        <v>7457</v>
      </c>
      <c r="F3585" t="s">
        <v>149</v>
      </c>
      <c r="G3585" t="s">
        <v>12497</v>
      </c>
    </row>
    <row r="3586" spans="1:7" ht="44.25" customHeight="1">
      <c r="A3586" t="s">
        <v>1470</v>
      </c>
      <c r="B3586" t="s">
        <v>12498</v>
      </c>
      <c r="C3586" t="s">
        <v>136</v>
      </c>
      <c r="D3586" t="s">
        <v>2257</v>
      </c>
      <c r="E3586" t="s">
        <v>2276</v>
      </c>
      <c r="F3586" t="s">
        <v>149</v>
      </c>
      <c r="G3586" t="s">
        <v>12499</v>
      </c>
    </row>
    <row r="3587" spans="1:7" ht="44.25" customHeight="1">
      <c r="A3587" t="s">
        <v>626</v>
      </c>
      <c r="B3587" t="s">
        <v>12500</v>
      </c>
      <c r="C3587" t="s">
        <v>136</v>
      </c>
      <c r="D3587" t="s">
        <v>79</v>
      </c>
      <c r="E3587" t="s">
        <v>4536</v>
      </c>
      <c r="F3587" t="s">
        <v>149</v>
      </c>
      <c r="G3587" t="s">
        <v>12501</v>
      </c>
    </row>
    <row r="3588" spans="1:7" ht="44.25" customHeight="1">
      <c r="A3588" t="s">
        <v>526</v>
      </c>
      <c r="B3588" t="s">
        <v>12502</v>
      </c>
      <c r="C3588" t="s">
        <v>136</v>
      </c>
      <c r="D3588" t="s">
        <v>79</v>
      </c>
      <c r="E3588" t="s">
        <v>6793</v>
      </c>
      <c r="F3588" t="s">
        <v>149</v>
      </c>
      <c r="G3588" t="s">
        <v>12503</v>
      </c>
    </row>
    <row r="3589" spans="1:7" ht="44.25" customHeight="1">
      <c r="A3589" t="s">
        <v>136</v>
      </c>
      <c r="B3589" t="s">
        <v>12504</v>
      </c>
      <c r="C3589" t="s">
        <v>136</v>
      </c>
      <c r="D3589" t="s">
        <v>79</v>
      </c>
      <c r="E3589" t="s">
        <v>12505</v>
      </c>
      <c r="F3589" t="s">
        <v>149</v>
      </c>
      <c r="G3589" t="s">
        <v>12506</v>
      </c>
    </row>
    <row r="3590" spans="1:7" ht="44.25" customHeight="1">
      <c r="A3590" t="s">
        <v>12507</v>
      </c>
      <c r="B3590" t="s">
        <v>12508</v>
      </c>
      <c r="C3590" t="s">
        <v>136</v>
      </c>
      <c r="D3590" t="s">
        <v>79</v>
      </c>
      <c r="E3590" t="s">
        <v>12509</v>
      </c>
      <c r="F3590" t="s">
        <v>149</v>
      </c>
      <c r="G3590" t="s">
        <v>12510</v>
      </c>
    </row>
    <row r="3591" spans="1:7" ht="44.25" customHeight="1">
      <c r="A3591" t="s">
        <v>12511</v>
      </c>
      <c r="B3591" t="s">
        <v>12512</v>
      </c>
      <c r="C3591" t="s">
        <v>136</v>
      </c>
      <c r="D3591" t="s">
        <v>79</v>
      </c>
      <c r="E3591" t="s">
        <v>5169</v>
      </c>
      <c r="F3591" t="s">
        <v>149</v>
      </c>
      <c r="G3591" t="s">
        <v>12513</v>
      </c>
    </row>
    <row r="3592" spans="1:7" ht="44.25" customHeight="1">
      <c r="A3592" t="s">
        <v>12514</v>
      </c>
      <c r="B3592" t="s">
        <v>12515</v>
      </c>
      <c r="C3592" t="s">
        <v>136</v>
      </c>
      <c r="D3592" t="s">
        <v>79</v>
      </c>
      <c r="E3592" t="s">
        <v>12516</v>
      </c>
      <c r="F3592" t="s">
        <v>149</v>
      </c>
      <c r="G3592" t="s">
        <v>12517</v>
      </c>
    </row>
    <row r="3593" spans="1:7" ht="44.25" customHeight="1">
      <c r="A3593" t="s">
        <v>12514</v>
      </c>
      <c r="B3593" t="s">
        <v>12515</v>
      </c>
      <c r="C3593" t="s">
        <v>136</v>
      </c>
      <c r="D3593" t="s">
        <v>79</v>
      </c>
      <c r="E3593" t="s">
        <v>12516</v>
      </c>
      <c r="F3593" t="s">
        <v>149</v>
      </c>
      <c r="G3593" t="s">
        <v>12517</v>
      </c>
    </row>
    <row r="3594" spans="1:7" ht="44.25" customHeight="1">
      <c r="A3594" t="s">
        <v>12518</v>
      </c>
      <c r="B3594" t="s">
        <v>12519</v>
      </c>
      <c r="C3594" t="s">
        <v>136</v>
      </c>
      <c r="D3594" t="s">
        <v>79</v>
      </c>
      <c r="E3594" t="s">
        <v>12520</v>
      </c>
      <c r="F3594" t="s">
        <v>149</v>
      </c>
      <c r="G3594" t="s">
        <v>12521</v>
      </c>
    </row>
    <row r="3595" spans="1:7" ht="44.25" customHeight="1">
      <c r="A3595" t="s">
        <v>136</v>
      </c>
      <c r="B3595" t="s">
        <v>12522</v>
      </c>
      <c r="C3595" t="s">
        <v>136</v>
      </c>
      <c r="D3595" t="s">
        <v>2257</v>
      </c>
      <c r="E3595" t="s">
        <v>6603</v>
      </c>
      <c r="F3595" t="s">
        <v>149</v>
      </c>
      <c r="G3595" t="s">
        <v>12523</v>
      </c>
    </row>
    <row r="3596" spans="1:7" ht="44.25" customHeight="1">
      <c r="A3596" t="s">
        <v>494</v>
      </c>
      <c r="B3596" t="s">
        <v>12524</v>
      </c>
      <c r="C3596" t="s">
        <v>136</v>
      </c>
      <c r="D3596" t="s">
        <v>79</v>
      </c>
      <c r="E3596" t="s">
        <v>12525</v>
      </c>
      <c r="F3596" t="s">
        <v>149</v>
      </c>
      <c r="G3596" t="s">
        <v>12526</v>
      </c>
    </row>
    <row r="3597" spans="1:7" ht="44.25" customHeight="1">
      <c r="A3597" t="s">
        <v>12527</v>
      </c>
      <c r="B3597" t="s">
        <v>12528</v>
      </c>
      <c r="C3597" t="s">
        <v>136</v>
      </c>
      <c r="D3597" t="s">
        <v>2257</v>
      </c>
      <c r="E3597" t="s">
        <v>1607</v>
      </c>
      <c r="F3597" t="s">
        <v>149</v>
      </c>
      <c r="G3597" t="s">
        <v>12529</v>
      </c>
    </row>
    <row r="3598" spans="1:7" ht="44.25" customHeight="1">
      <c r="A3598" t="s">
        <v>12530</v>
      </c>
      <c r="B3598" t="s">
        <v>12531</v>
      </c>
      <c r="C3598" t="s">
        <v>136</v>
      </c>
      <c r="D3598" t="s">
        <v>2257</v>
      </c>
      <c r="E3598" t="s">
        <v>1607</v>
      </c>
      <c r="F3598" t="s">
        <v>149</v>
      </c>
      <c r="G3598" t="s">
        <v>12532</v>
      </c>
    </row>
    <row r="3599" spans="1:7" ht="44.25" customHeight="1">
      <c r="A3599" t="s">
        <v>12533</v>
      </c>
      <c r="B3599" t="s">
        <v>12534</v>
      </c>
      <c r="C3599" t="s">
        <v>136</v>
      </c>
      <c r="D3599" t="s">
        <v>2257</v>
      </c>
      <c r="E3599" t="s">
        <v>1607</v>
      </c>
      <c r="F3599" t="s">
        <v>149</v>
      </c>
      <c r="G3599" t="s">
        <v>12535</v>
      </c>
    </row>
    <row r="3600" spans="1:7" ht="44.25" customHeight="1">
      <c r="A3600" t="s">
        <v>12536</v>
      </c>
      <c r="B3600" t="s">
        <v>12537</v>
      </c>
      <c r="C3600" t="s">
        <v>136</v>
      </c>
      <c r="D3600" t="s">
        <v>2257</v>
      </c>
      <c r="E3600" t="s">
        <v>1607</v>
      </c>
      <c r="F3600" t="s">
        <v>149</v>
      </c>
      <c r="G3600" t="s">
        <v>12538</v>
      </c>
    </row>
    <row r="3601" spans="1:7" ht="44.25" customHeight="1">
      <c r="A3601" t="s">
        <v>12539</v>
      </c>
      <c r="B3601" t="s">
        <v>12540</v>
      </c>
      <c r="C3601" t="s">
        <v>136</v>
      </c>
      <c r="D3601" t="s">
        <v>2257</v>
      </c>
      <c r="E3601" t="s">
        <v>1607</v>
      </c>
      <c r="F3601" t="s">
        <v>149</v>
      </c>
      <c r="G3601" t="s">
        <v>12541</v>
      </c>
    </row>
    <row r="3602" spans="1:7" ht="44.25" customHeight="1">
      <c r="A3602" t="s">
        <v>1442</v>
      </c>
      <c r="B3602" t="s">
        <v>12542</v>
      </c>
      <c r="C3602" t="s">
        <v>136</v>
      </c>
      <c r="D3602" t="s">
        <v>79</v>
      </c>
      <c r="E3602" t="s">
        <v>3427</v>
      </c>
      <c r="F3602" t="s">
        <v>149</v>
      </c>
      <c r="G3602" t="s">
        <v>12543</v>
      </c>
    </row>
    <row r="3603" spans="1:7" ht="44.25" customHeight="1">
      <c r="A3603" t="s">
        <v>12544</v>
      </c>
      <c r="B3603" t="s">
        <v>12545</v>
      </c>
      <c r="C3603" t="s">
        <v>136</v>
      </c>
      <c r="D3603" t="s">
        <v>2257</v>
      </c>
      <c r="E3603" t="s">
        <v>3427</v>
      </c>
      <c r="F3603" t="s">
        <v>149</v>
      </c>
      <c r="G3603" t="s">
        <v>12546</v>
      </c>
    </row>
    <row r="3604" spans="1:7" ht="44.25" customHeight="1">
      <c r="A3604" t="s">
        <v>616</v>
      </c>
      <c r="B3604" t="s">
        <v>10921</v>
      </c>
      <c r="C3604" t="s">
        <v>136</v>
      </c>
      <c r="D3604" t="s">
        <v>79</v>
      </c>
      <c r="E3604" t="s">
        <v>7220</v>
      </c>
      <c r="F3604" t="s">
        <v>149</v>
      </c>
      <c r="G3604" t="s">
        <v>12547</v>
      </c>
    </row>
    <row r="3605" spans="1:7" ht="44.25" customHeight="1">
      <c r="A3605" t="s">
        <v>1355</v>
      </c>
      <c r="B3605" t="s">
        <v>12548</v>
      </c>
      <c r="C3605" t="s">
        <v>136</v>
      </c>
      <c r="D3605" t="s">
        <v>2253</v>
      </c>
      <c r="E3605" t="s">
        <v>1432</v>
      </c>
      <c r="F3605" t="s">
        <v>149</v>
      </c>
      <c r="G3605" t="s">
        <v>12549</v>
      </c>
    </row>
    <row r="3606" spans="1:7" ht="44.25" customHeight="1">
      <c r="A3606" t="s">
        <v>1360</v>
      </c>
      <c r="B3606" t="s">
        <v>12550</v>
      </c>
      <c r="C3606" t="s">
        <v>136</v>
      </c>
      <c r="D3606" t="s">
        <v>2253</v>
      </c>
      <c r="E3606" t="s">
        <v>1432</v>
      </c>
      <c r="F3606" t="s">
        <v>149</v>
      </c>
      <c r="G3606" t="s">
        <v>12551</v>
      </c>
    </row>
    <row r="3607" spans="1:7" ht="44.25" customHeight="1">
      <c r="A3607" t="s">
        <v>382</v>
      </c>
      <c r="B3607" t="s">
        <v>12552</v>
      </c>
      <c r="C3607" t="s">
        <v>136</v>
      </c>
      <c r="D3607" t="s">
        <v>2257</v>
      </c>
      <c r="E3607" t="s">
        <v>2276</v>
      </c>
      <c r="F3607" t="s">
        <v>149</v>
      </c>
      <c r="G3607" t="s">
        <v>12553</v>
      </c>
    </row>
    <row r="3608" spans="1:7" ht="44.25" customHeight="1">
      <c r="A3608" t="s">
        <v>851</v>
      </c>
      <c r="B3608" t="s">
        <v>12554</v>
      </c>
      <c r="C3608" t="s">
        <v>136</v>
      </c>
      <c r="D3608" t="s">
        <v>2257</v>
      </c>
      <c r="E3608" t="s">
        <v>4124</v>
      </c>
      <c r="F3608" t="s">
        <v>149</v>
      </c>
      <c r="G3608" t="s">
        <v>12555</v>
      </c>
    </row>
    <row r="3609" spans="1:7" ht="44.25" customHeight="1">
      <c r="A3609" t="s">
        <v>12556</v>
      </c>
      <c r="B3609" t="s">
        <v>12557</v>
      </c>
      <c r="C3609" t="s">
        <v>136</v>
      </c>
      <c r="D3609" t="s">
        <v>79</v>
      </c>
      <c r="E3609" t="s">
        <v>12558</v>
      </c>
      <c r="F3609" t="s">
        <v>149</v>
      </c>
      <c r="G3609" t="s">
        <v>12559</v>
      </c>
    </row>
    <row r="3610" spans="1:7" ht="44.25" customHeight="1">
      <c r="A3610" t="s">
        <v>12560</v>
      </c>
      <c r="B3610" t="s">
        <v>12561</v>
      </c>
      <c r="C3610" t="s">
        <v>136</v>
      </c>
      <c r="D3610" t="s">
        <v>79</v>
      </c>
      <c r="E3610" t="s">
        <v>12562</v>
      </c>
      <c r="F3610" t="s">
        <v>149</v>
      </c>
      <c r="G3610" t="s">
        <v>12563</v>
      </c>
    </row>
    <row r="3611" spans="1:7" ht="44.25" customHeight="1">
      <c r="A3611" t="s">
        <v>12564</v>
      </c>
      <c r="B3611" t="s">
        <v>12565</v>
      </c>
      <c r="C3611" t="s">
        <v>136</v>
      </c>
      <c r="D3611" t="s">
        <v>79</v>
      </c>
      <c r="E3611" t="s">
        <v>9370</v>
      </c>
      <c r="F3611" t="s">
        <v>149</v>
      </c>
      <c r="G3611" t="s">
        <v>12566</v>
      </c>
    </row>
    <row r="3612" spans="1:7" ht="44.25" customHeight="1">
      <c r="A3612" t="s">
        <v>136</v>
      </c>
      <c r="B3612" t="s">
        <v>12567</v>
      </c>
      <c r="C3612" t="s">
        <v>136</v>
      </c>
      <c r="D3612" t="s">
        <v>79</v>
      </c>
      <c r="E3612" t="s">
        <v>6544</v>
      </c>
      <c r="F3612" t="s">
        <v>149</v>
      </c>
      <c r="G3612" t="s">
        <v>12568</v>
      </c>
    </row>
    <row r="3613" spans="1:7" ht="44.25" customHeight="1">
      <c r="A3613" t="s">
        <v>12569</v>
      </c>
      <c r="B3613" t="s">
        <v>12570</v>
      </c>
      <c r="C3613" t="s">
        <v>136</v>
      </c>
      <c r="D3613" t="s">
        <v>79</v>
      </c>
      <c r="E3613" t="s">
        <v>12571</v>
      </c>
      <c r="F3613" t="s">
        <v>149</v>
      </c>
      <c r="G3613" t="s">
        <v>12572</v>
      </c>
    </row>
    <row r="3614" spans="1:7" ht="44.25" customHeight="1">
      <c r="A3614" t="s">
        <v>12573</v>
      </c>
      <c r="B3614" t="s">
        <v>12574</v>
      </c>
      <c r="C3614" t="s">
        <v>136</v>
      </c>
      <c r="D3614" t="s">
        <v>79</v>
      </c>
      <c r="E3614" t="s">
        <v>12575</v>
      </c>
      <c r="F3614" t="s">
        <v>149</v>
      </c>
      <c r="G3614" t="s">
        <v>12576</v>
      </c>
    </row>
    <row r="3615" spans="1:7" ht="44.25" customHeight="1">
      <c r="A3615" t="s">
        <v>12573</v>
      </c>
      <c r="B3615" t="s">
        <v>12574</v>
      </c>
      <c r="C3615" t="s">
        <v>136</v>
      </c>
      <c r="D3615" t="s">
        <v>79</v>
      </c>
      <c r="E3615" t="s">
        <v>12575</v>
      </c>
      <c r="F3615" t="s">
        <v>149</v>
      </c>
      <c r="G3615" t="s">
        <v>12576</v>
      </c>
    </row>
    <row r="3616" spans="1:7" ht="44.25" customHeight="1">
      <c r="A3616" t="s">
        <v>12573</v>
      </c>
      <c r="B3616" t="s">
        <v>12574</v>
      </c>
      <c r="C3616" t="s">
        <v>136</v>
      </c>
      <c r="D3616" t="s">
        <v>79</v>
      </c>
      <c r="E3616" t="s">
        <v>12575</v>
      </c>
      <c r="F3616" t="s">
        <v>149</v>
      </c>
      <c r="G3616" t="s">
        <v>12576</v>
      </c>
    </row>
    <row r="3617" spans="1:7" ht="44.25" customHeight="1">
      <c r="A3617" t="s">
        <v>12577</v>
      </c>
      <c r="B3617" t="s">
        <v>12578</v>
      </c>
      <c r="C3617" t="s">
        <v>136</v>
      </c>
      <c r="D3617" t="s">
        <v>79</v>
      </c>
      <c r="E3617" t="s">
        <v>12579</v>
      </c>
      <c r="F3617" t="s">
        <v>149</v>
      </c>
      <c r="G3617" t="s">
        <v>12580</v>
      </c>
    </row>
    <row r="3618" spans="1:7" ht="44.25" customHeight="1">
      <c r="A3618" t="s">
        <v>668</v>
      </c>
      <c r="B3618" t="s">
        <v>12581</v>
      </c>
      <c r="C3618" t="s">
        <v>136</v>
      </c>
      <c r="D3618" t="s">
        <v>79</v>
      </c>
      <c r="E3618" t="s">
        <v>12582</v>
      </c>
      <c r="F3618" t="s">
        <v>149</v>
      </c>
      <c r="G3618" t="s">
        <v>12583</v>
      </c>
    </row>
    <row r="3619" spans="1:7" ht="44.25" customHeight="1">
      <c r="A3619" t="s">
        <v>12584</v>
      </c>
      <c r="B3619" t="s">
        <v>12585</v>
      </c>
      <c r="C3619" t="s">
        <v>136</v>
      </c>
      <c r="D3619" t="s">
        <v>2257</v>
      </c>
      <c r="E3619" t="s">
        <v>3162</v>
      </c>
      <c r="F3619" t="s">
        <v>149</v>
      </c>
      <c r="G3619" t="s">
        <v>12586</v>
      </c>
    </row>
    <row r="3620" spans="1:7" ht="44.25" customHeight="1">
      <c r="A3620" t="s">
        <v>12587</v>
      </c>
      <c r="B3620" t="s">
        <v>12588</v>
      </c>
      <c r="C3620" t="s">
        <v>136</v>
      </c>
      <c r="D3620" t="s">
        <v>79</v>
      </c>
      <c r="E3620" t="s">
        <v>12589</v>
      </c>
      <c r="F3620" t="s">
        <v>149</v>
      </c>
      <c r="G3620" t="s">
        <v>12590</v>
      </c>
    </row>
    <row r="3621" spans="1:7" ht="44.25" customHeight="1">
      <c r="A3621" t="s">
        <v>12591</v>
      </c>
      <c r="B3621" t="s">
        <v>12592</v>
      </c>
      <c r="C3621" t="s">
        <v>136</v>
      </c>
      <c r="D3621" t="s">
        <v>2253</v>
      </c>
      <c r="E3621" t="s">
        <v>1432</v>
      </c>
      <c r="F3621" t="s">
        <v>149</v>
      </c>
      <c r="G3621" t="s">
        <v>12593</v>
      </c>
    </row>
    <row r="3622" spans="1:7" ht="44.25" customHeight="1">
      <c r="A3622" t="s">
        <v>12594</v>
      </c>
      <c r="B3622" t="s">
        <v>12595</v>
      </c>
      <c r="C3622" t="s">
        <v>136</v>
      </c>
      <c r="D3622" t="s">
        <v>2253</v>
      </c>
      <c r="E3622" t="s">
        <v>1430</v>
      </c>
      <c r="F3622" t="s">
        <v>149</v>
      </c>
      <c r="G3622" t="s">
        <v>12596</v>
      </c>
    </row>
    <row r="3623" spans="1:7" ht="44.25" customHeight="1">
      <c r="A3623" t="s">
        <v>12597</v>
      </c>
      <c r="B3623" t="s">
        <v>12598</v>
      </c>
      <c r="C3623" t="s">
        <v>136</v>
      </c>
      <c r="D3623" t="s">
        <v>2253</v>
      </c>
      <c r="E3623" t="s">
        <v>1432</v>
      </c>
      <c r="F3623" t="s">
        <v>149</v>
      </c>
      <c r="G3623" t="s">
        <v>12599</v>
      </c>
    </row>
    <row r="3624" spans="1:7" ht="44.25" customHeight="1">
      <c r="A3624" t="s">
        <v>12600</v>
      </c>
      <c r="B3624" t="s">
        <v>12601</v>
      </c>
      <c r="C3624" t="s">
        <v>136</v>
      </c>
      <c r="D3624" t="s">
        <v>2257</v>
      </c>
      <c r="E3624" t="s">
        <v>1430</v>
      </c>
      <c r="F3624" t="s">
        <v>149</v>
      </c>
      <c r="G3624" t="s">
        <v>12602</v>
      </c>
    </row>
    <row r="3625" spans="1:7" ht="44.25" customHeight="1">
      <c r="A3625" t="s">
        <v>1473</v>
      </c>
      <c r="B3625" t="s">
        <v>12603</v>
      </c>
      <c r="C3625" t="s">
        <v>136</v>
      </c>
      <c r="D3625" t="s">
        <v>2253</v>
      </c>
      <c r="E3625" t="s">
        <v>1432</v>
      </c>
      <c r="F3625" t="s">
        <v>149</v>
      </c>
      <c r="G3625" t="s">
        <v>12604</v>
      </c>
    </row>
    <row r="3626" spans="1:7" ht="44.25" customHeight="1">
      <c r="A3626" t="s">
        <v>977</v>
      </c>
      <c r="B3626" t="s">
        <v>12605</v>
      </c>
      <c r="C3626" t="s">
        <v>136</v>
      </c>
      <c r="D3626" t="s">
        <v>2257</v>
      </c>
      <c r="E3626" t="s">
        <v>2276</v>
      </c>
      <c r="F3626" t="s">
        <v>149</v>
      </c>
      <c r="G3626" t="s">
        <v>12606</v>
      </c>
    </row>
    <row r="3627" spans="1:7" ht="44.25" customHeight="1">
      <c r="A3627" t="s">
        <v>1081</v>
      </c>
      <c r="B3627" t="s">
        <v>12607</v>
      </c>
      <c r="C3627" t="s">
        <v>136</v>
      </c>
      <c r="D3627" t="s">
        <v>2257</v>
      </c>
      <c r="E3627" t="s">
        <v>2276</v>
      </c>
      <c r="F3627" t="s">
        <v>149</v>
      </c>
      <c r="G3627" t="s">
        <v>12608</v>
      </c>
    </row>
    <row r="3628" spans="1:7" ht="44.25" customHeight="1">
      <c r="A3628" t="s">
        <v>884</v>
      </c>
      <c r="B3628" t="s">
        <v>12609</v>
      </c>
      <c r="C3628" t="s">
        <v>136</v>
      </c>
      <c r="D3628" t="s">
        <v>79</v>
      </c>
      <c r="E3628" t="s">
        <v>4679</v>
      </c>
      <c r="F3628" t="s">
        <v>149</v>
      </c>
      <c r="G3628" t="s">
        <v>12610</v>
      </c>
    </row>
    <row r="3629" spans="1:7" ht="44.25" customHeight="1">
      <c r="A3629" t="s">
        <v>555</v>
      </c>
      <c r="B3629" t="s">
        <v>12611</v>
      </c>
      <c r="C3629" t="s">
        <v>136</v>
      </c>
      <c r="D3629" t="s">
        <v>2257</v>
      </c>
      <c r="E3629" t="s">
        <v>11343</v>
      </c>
      <c r="F3629" t="s">
        <v>149</v>
      </c>
      <c r="G3629" t="s">
        <v>12612</v>
      </c>
    </row>
    <row r="3630" spans="1:7" ht="44.25" customHeight="1">
      <c r="A3630" t="s">
        <v>12613</v>
      </c>
      <c r="B3630" t="s">
        <v>12614</v>
      </c>
      <c r="C3630" t="s">
        <v>136</v>
      </c>
      <c r="D3630" t="s">
        <v>79</v>
      </c>
      <c r="E3630" t="s">
        <v>5169</v>
      </c>
      <c r="F3630" t="s">
        <v>149</v>
      </c>
      <c r="G3630" t="s">
        <v>12615</v>
      </c>
    </row>
    <row r="3631" spans="1:7" ht="44.25" customHeight="1">
      <c r="A3631" t="s">
        <v>12616</v>
      </c>
      <c r="B3631" t="s">
        <v>12617</v>
      </c>
      <c r="C3631" t="s">
        <v>136</v>
      </c>
      <c r="D3631" t="s">
        <v>79</v>
      </c>
      <c r="E3631" t="s">
        <v>12618</v>
      </c>
      <c r="F3631" t="s">
        <v>149</v>
      </c>
      <c r="G3631" t="s">
        <v>12619</v>
      </c>
    </row>
    <row r="3632" spans="1:7" ht="44.25" customHeight="1">
      <c r="A3632" t="s">
        <v>12620</v>
      </c>
      <c r="B3632" t="s">
        <v>12621</v>
      </c>
      <c r="C3632" t="s">
        <v>136</v>
      </c>
      <c r="D3632" t="s">
        <v>79</v>
      </c>
      <c r="E3632" t="s">
        <v>12622</v>
      </c>
      <c r="F3632" t="s">
        <v>149</v>
      </c>
      <c r="G3632" t="s">
        <v>12623</v>
      </c>
    </row>
    <row r="3633" spans="1:7" ht="44.25" customHeight="1">
      <c r="A3633" t="s">
        <v>12624</v>
      </c>
      <c r="B3633" t="s">
        <v>12625</v>
      </c>
      <c r="C3633" t="s">
        <v>136</v>
      </c>
      <c r="D3633" t="s">
        <v>79</v>
      </c>
      <c r="E3633" t="s">
        <v>12626</v>
      </c>
      <c r="F3633" t="s">
        <v>149</v>
      </c>
      <c r="G3633" t="s">
        <v>12627</v>
      </c>
    </row>
    <row r="3634" spans="1:7" ht="44.25" customHeight="1">
      <c r="A3634" t="s">
        <v>12628</v>
      </c>
      <c r="B3634" t="s">
        <v>12629</v>
      </c>
      <c r="C3634" t="s">
        <v>136</v>
      </c>
      <c r="D3634" t="s">
        <v>2257</v>
      </c>
      <c r="E3634" t="s">
        <v>7376</v>
      </c>
      <c r="F3634" t="s">
        <v>149</v>
      </c>
      <c r="G3634" t="s">
        <v>12630</v>
      </c>
    </row>
    <row r="3635" spans="1:7" ht="44.25" customHeight="1">
      <c r="A3635" t="s">
        <v>12631</v>
      </c>
      <c r="B3635" t="s">
        <v>12632</v>
      </c>
      <c r="C3635" t="s">
        <v>136</v>
      </c>
      <c r="D3635" t="s">
        <v>2257</v>
      </c>
      <c r="E3635" t="s">
        <v>1607</v>
      </c>
      <c r="F3635" t="s">
        <v>149</v>
      </c>
      <c r="G3635" t="s">
        <v>12633</v>
      </c>
    </row>
    <row r="3636" spans="1:7" ht="44.25" customHeight="1">
      <c r="A3636" t="s">
        <v>12634</v>
      </c>
      <c r="B3636" t="s">
        <v>12635</v>
      </c>
      <c r="C3636" t="s">
        <v>136</v>
      </c>
      <c r="D3636" t="s">
        <v>2257</v>
      </c>
      <c r="E3636" t="s">
        <v>1607</v>
      </c>
      <c r="F3636" t="s">
        <v>149</v>
      </c>
      <c r="G3636" t="s">
        <v>12636</v>
      </c>
    </row>
    <row r="3637" spans="1:7" ht="44.25" customHeight="1">
      <c r="A3637" t="s">
        <v>12637</v>
      </c>
      <c r="B3637" t="s">
        <v>12638</v>
      </c>
      <c r="C3637" t="s">
        <v>136</v>
      </c>
      <c r="D3637" t="s">
        <v>2257</v>
      </c>
      <c r="E3637" t="s">
        <v>1607</v>
      </c>
      <c r="F3637" t="s">
        <v>149</v>
      </c>
      <c r="G3637" t="s">
        <v>12639</v>
      </c>
    </row>
    <row r="3638" spans="1:7" ht="44.25" customHeight="1">
      <c r="A3638" t="s">
        <v>12640</v>
      </c>
      <c r="B3638" t="s">
        <v>12641</v>
      </c>
      <c r="C3638" t="s">
        <v>136</v>
      </c>
      <c r="D3638" t="s">
        <v>2257</v>
      </c>
      <c r="E3638" t="s">
        <v>1607</v>
      </c>
      <c r="F3638" t="s">
        <v>149</v>
      </c>
      <c r="G3638" t="s">
        <v>12642</v>
      </c>
    </row>
    <row r="3639" spans="1:7" ht="44.25" customHeight="1">
      <c r="A3639" t="s">
        <v>12643</v>
      </c>
      <c r="B3639" t="s">
        <v>12644</v>
      </c>
      <c r="C3639" t="s">
        <v>136</v>
      </c>
      <c r="D3639" t="s">
        <v>79</v>
      </c>
      <c r="E3639" t="s">
        <v>3427</v>
      </c>
      <c r="F3639" t="s">
        <v>149</v>
      </c>
      <c r="G3639" t="s">
        <v>12645</v>
      </c>
    </row>
    <row r="3640" spans="1:7" ht="44.25" customHeight="1">
      <c r="A3640" t="s">
        <v>12646</v>
      </c>
      <c r="B3640" t="s">
        <v>12647</v>
      </c>
      <c r="C3640" t="s">
        <v>136</v>
      </c>
      <c r="D3640" t="s">
        <v>79</v>
      </c>
      <c r="E3640" t="s">
        <v>3546</v>
      </c>
      <c r="F3640" t="s">
        <v>149</v>
      </c>
      <c r="G3640" t="s">
        <v>12648</v>
      </c>
    </row>
    <row r="3641" spans="1:7" ht="44.25" customHeight="1">
      <c r="A3641" t="s">
        <v>12649</v>
      </c>
      <c r="B3641" t="s">
        <v>12650</v>
      </c>
      <c r="C3641" t="s">
        <v>136</v>
      </c>
      <c r="D3641" t="s">
        <v>79</v>
      </c>
      <c r="E3641" t="s">
        <v>12651</v>
      </c>
      <c r="F3641" t="s">
        <v>149</v>
      </c>
      <c r="G3641" t="s">
        <v>12652</v>
      </c>
    </row>
    <row r="3642" spans="1:7" ht="44.25" customHeight="1">
      <c r="A3642" t="s">
        <v>12653</v>
      </c>
      <c r="B3642" t="s">
        <v>12654</v>
      </c>
      <c r="C3642" t="s">
        <v>136</v>
      </c>
      <c r="D3642" t="s">
        <v>2253</v>
      </c>
      <c r="E3642" t="s">
        <v>1432</v>
      </c>
      <c r="F3642" t="s">
        <v>149</v>
      </c>
      <c r="G3642" t="s">
        <v>12655</v>
      </c>
    </row>
    <row r="3643" spans="1:7" ht="44.25" customHeight="1">
      <c r="A3643" t="s">
        <v>12656</v>
      </c>
      <c r="B3643" t="s">
        <v>12657</v>
      </c>
      <c r="C3643" t="s">
        <v>136</v>
      </c>
      <c r="D3643" t="s">
        <v>2253</v>
      </c>
      <c r="E3643" t="s">
        <v>10839</v>
      </c>
      <c r="F3643" t="s">
        <v>149</v>
      </c>
      <c r="G3643" t="s">
        <v>12658</v>
      </c>
    </row>
    <row r="3644" spans="1:7" ht="44.25" customHeight="1">
      <c r="A3644" t="s">
        <v>12659</v>
      </c>
      <c r="B3644" t="s">
        <v>12660</v>
      </c>
      <c r="C3644" t="s">
        <v>136</v>
      </c>
      <c r="D3644" t="s">
        <v>2253</v>
      </c>
      <c r="E3644" t="s">
        <v>1430</v>
      </c>
      <c r="F3644" t="s">
        <v>149</v>
      </c>
      <c r="G3644" t="s">
        <v>12661</v>
      </c>
    </row>
    <row r="3645" spans="1:7" ht="44.25" customHeight="1">
      <c r="A3645" t="s">
        <v>12662</v>
      </c>
      <c r="B3645" t="s">
        <v>12663</v>
      </c>
      <c r="C3645" t="s">
        <v>136</v>
      </c>
      <c r="D3645" t="s">
        <v>2257</v>
      </c>
      <c r="E3645" t="s">
        <v>2258</v>
      </c>
      <c r="F3645" t="s">
        <v>149</v>
      </c>
      <c r="G3645" t="s">
        <v>12664</v>
      </c>
    </row>
    <row r="3646" spans="1:7" ht="44.25" customHeight="1">
      <c r="A3646" t="s">
        <v>786</v>
      </c>
      <c r="B3646" t="s">
        <v>12665</v>
      </c>
      <c r="C3646" t="s">
        <v>136</v>
      </c>
      <c r="D3646" t="s">
        <v>2253</v>
      </c>
      <c r="E3646" t="s">
        <v>1432</v>
      </c>
      <c r="F3646" t="s">
        <v>149</v>
      </c>
      <c r="G3646" t="s">
        <v>12666</v>
      </c>
    </row>
    <row r="3647" spans="1:7" ht="44.25" customHeight="1">
      <c r="A3647" t="s">
        <v>958</v>
      </c>
      <c r="B3647" t="s">
        <v>12667</v>
      </c>
      <c r="C3647" t="s">
        <v>136</v>
      </c>
      <c r="D3647" t="s">
        <v>2257</v>
      </c>
      <c r="E3647" t="s">
        <v>2276</v>
      </c>
      <c r="F3647" t="s">
        <v>149</v>
      </c>
      <c r="G3647" t="s">
        <v>12668</v>
      </c>
    </row>
    <row r="3648" spans="1:7" ht="44.25" customHeight="1">
      <c r="A3648" t="s">
        <v>637</v>
      </c>
      <c r="B3648" t="s">
        <v>12669</v>
      </c>
      <c r="C3648" t="s">
        <v>136</v>
      </c>
      <c r="D3648" t="s">
        <v>79</v>
      </c>
      <c r="E3648" t="s">
        <v>4566</v>
      </c>
      <c r="F3648" t="s">
        <v>149</v>
      </c>
      <c r="G3648" t="s">
        <v>12670</v>
      </c>
    </row>
    <row r="3649" spans="1:7" ht="44.25" customHeight="1">
      <c r="A3649" t="s">
        <v>12671</v>
      </c>
      <c r="B3649" t="s">
        <v>12672</v>
      </c>
      <c r="C3649" t="s">
        <v>136</v>
      </c>
      <c r="D3649" t="s">
        <v>79</v>
      </c>
      <c r="E3649" t="s">
        <v>12673</v>
      </c>
      <c r="F3649" t="s">
        <v>149</v>
      </c>
      <c r="G3649" t="s">
        <v>12674</v>
      </c>
    </row>
    <row r="3650" spans="1:7" ht="44.25" customHeight="1">
      <c r="A3650" t="s">
        <v>12675</v>
      </c>
      <c r="B3650" t="s">
        <v>12676</v>
      </c>
      <c r="C3650" t="s">
        <v>136</v>
      </c>
      <c r="D3650" t="s">
        <v>79</v>
      </c>
      <c r="E3650" t="s">
        <v>12677</v>
      </c>
      <c r="F3650" t="s">
        <v>149</v>
      </c>
      <c r="G3650" t="s">
        <v>12678</v>
      </c>
    </row>
    <row r="3651" spans="1:7" ht="44.25" customHeight="1">
      <c r="A3651" t="s">
        <v>12679</v>
      </c>
      <c r="B3651" t="s">
        <v>12680</v>
      </c>
      <c r="C3651" t="s">
        <v>136</v>
      </c>
      <c r="D3651" t="s">
        <v>79</v>
      </c>
      <c r="E3651" t="s">
        <v>12681</v>
      </c>
      <c r="F3651" t="s">
        <v>149</v>
      </c>
      <c r="G3651" t="s">
        <v>12682</v>
      </c>
    </row>
    <row r="3652" spans="1:7" ht="44.25" customHeight="1">
      <c r="A3652" t="s">
        <v>12683</v>
      </c>
      <c r="B3652" t="s">
        <v>12684</v>
      </c>
      <c r="C3652" t="s">
        <v>136</v>
      </c>
      <c r="D3652" t="s">
        <v>79</v>
      </c>
      <c r="E3652" t="s">
        <v>12685</v>
      </c>
      <c r="F3652" t="s">
        <v>149</v>
      </c>
      <c r="G3652" t="s">
        <v>12686</v>
      </c>
    </row>
    <row r="3653" spans="1:7" ht="44.25" customHeight="1">
      <c r="A3653" t="s">
        <v>12687</v>
      </c>
      <c r="B3653" t="s">
        <v>12688</v>
      </c>
      <c r="C3653" t="s">
        <v>136</v>
      </c>
      <c r="D3653" t="s">
        <v>79</v>
      </c>
      <c r="E3653" t="s">
        <v>12689</v>
      </c>
      <c r="F3653" t="s">
        <v>149</v>
      </c>
      <c r="G3653" t="s">
        <v>12690</v>
      </c>
    </row>
    <row r="3654" spans="1:7" ht="44.25" customHeight="1">
      <c r="A3654" t="s">
        <v>12691</v>
      </c>
      <c r="B3654" t="s">
        <v>12692</v>
      </c>
      <c r="C3654" t="s">
        <v>136</v>
      </c>
      <c r="D3654" t="s">
        <v>79</v>
      </c>
      <c r="E3654" t="s">
        <v>12693</v>
      </c>
      <c r="F3654" t="s">
        <v>149</v>
      </c>
      <c r="G3654" t="s">
        <v>12694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2"/>
  <sheetViews>
    <sheetView workbookViewId="0">
      <selection activeCell="U23" sqref="U23"/>
    </sheetView>
  </sheetViews>
  <sheetFormatPr defaultColWidth="9" defaultRowHeight="14.5"/>
  <cols>
    <col min="1" max="1" width="16.7265625" style="22" bestFit="1" customWidth="1"/>
    <col min="2" max="16384" width="9" style="22"/>
  </cols>
  <sheetData>
    <row r="14" spans="1:3">
      <c r="A14" s="307" t="s">
        <v>1158</v>
      </c>
    </row>
    <row r="15" spans="1:3">
      <c r="A15" s="304" t="s">
        <v>1159</v>
      </c>
    </row>
    <row r="16" spans="1:3">
      <c r="A16" s="22" t="s">
        <v>1153</v>
      </c>
      <c r="C16" s="516">
        <f>COUNTIF(TradesEquity!V189:V1306,A16)</f>
        <v>8</v>
      </c>
    </row>
    <row r="17" spans="1:3">
      <c r="A17" s="22" t="s">
        <v>1155</v>
      </c>
      <c r="C17" s="516">
        <f>COUNTIF(TradesEquity!V191:V1308,A17)</f>
        <v>0</v>
      </c>
    </row>
    <row r="18" spans="1:3">
      <c r="A18" s="22" t="s">
        <v>1156</v>
      </c>
      <c r="C18" s="516">
        <f>COUNTIF(TradesEquity!V192:V1309,A18)</f>
        <v>28</v>
      </c>
    </row>
    <row r="19" spans="1:3">
      <c r="A19" s="22" t="s">
        <v>1094</v>
      </c>
      <c r="C19" s="516">
        <f>COUNTIF(TradesEquity!V193:V1310,A19)</f>
        <v>0</v>
      </c>
    </row>
    <row r="20" spans="1:3">
      <c r="A20" s="22" t="s">
        <v>1725</v>
      </c>
      <c r="C20" s="516">
        <f>COUNTIF(TradesEquity!V194:V1311,A20)</f>
        <v>211</v>
      </c>
    </row>
    <row r="21" spans="1:3">
      <c r="A21" s="22" t="s">
        <v>2173</v>
      </c>
      <c r="C21" s="516">
        <f>COUNTIF(TradesEquity!V195:V1312,A21)</f>
        <v>0</v>
      </c>
    </row>
    <row r="22" spans="1:3">
      <c r="A22" s="22" t="s">
        <v>12852</v>
      </c>
      <c r="C22" s="516">
        <f>COUNTIF(TradesEquity!V196:V1313,A22)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zoomScale="79" zoomScaleNormal="79" workbookViewId="0">
      <pane xSplit="2" ySplit="20" topLeftCell="C203" activePane="bottomRight" state="frozen"/>
      <selection pane="topRight" activeCell="C1" sqref="C1"/>
      <selection pane="bottomLeft" activeCell="A21" sqref="A21"/>
      <selection pane="bottomRight" activeCell="I26" sqref="I26"/>
    </sheetView>
  </sheetViews>
  <sheetFormatPr defaultColWidth="9" defaultRowHeight="14.5" outlineLevelRow="1"/>
  <cols>
    <col min="1" max="1" width="9.7265625" style="737" bestFit="1" customWidth="1"/>
    <col min="2" max="2" width="52.81640625" style="219" customWidth="1"/>
    <col min="3" max="3" width="32.54296875" style="218" customWidth="1"/>
    <col min="4" max="4" width="11" style="219" customWidth="1"/>
    <col min="5" max="5" width="12" style="219" customWidth="1"/>
    <col min="6" max="6" width="9" style="219"/>
    <col min="7" max="7" width="9" style="219" customWidth="1"/>
    <col min="8" max="10" width="9" style="219"/>
    <col min="11" max="11" width="13.81640625" style="219" bestFit="1" customWidth="1"/>
    <col min="12" max="12" width="9" style="219"/>
    <col min="13" max="13" width="18.54296875" style="219" customWidth="1"/>
    <col min="14" max="14" width="11.54296875" style="219" bestFit="1" customWidth="1"/>
    <col min="15" max="16384" width="9" style="219"/>
  </cols>
  <sheetData>
    <row r="1" spans="1:31" s="670" customFormat="1" ht="13">
      <c r="A1" s="734"/>
      <c r="G1" s="664"/>
      <c r="H1" s="664"/>
      <c r="I1" s="664"/>
      <c r="R1" s="664"/>
      <c r="S1" s="664"/>
      <c r="V1" s="664"/>
      <c r="W1" s="664"/>
      <c r="AE1" s="735"/>
    </row>
    <row r="2" spans="1:31" s="670" customFormat="1" ht="13">
      <c r="A2" s="736"/>
      <c r="B2" s="664"/>
      <c r="C2" s="664"/>
      <c r="G2" s="664"/>
      <c r="H2" s="664"/>
      <c r="I2" s="664"/>
      <c r="J2" s="664"/>
      <c r="R2" s="664"/>
      <c r="S2" s="664"/>
      <c r="V2" s="664"/>
      <c r="W2" s="664"/>
      <c r="AE2" s="735"/>
    </row>
    <row r="3" spans="1:31" s="670" customFormat="1" ht="13">
      <c r="A3" s="736"/>
      <c r="C3" s="664"/>
      <c r="G3" s="664"/>
      <c r="H3" s="664"/>
      <c r="I3" s="664"/>
      <c r="J3" s="664"/>
      <c r="R3" s="664"/>
      <c r="S3" s="664"/>
      <c r="V3" s="664"/>
      <c r="W3" s="664"/>
      <c r="AE3" s="735"/>
    </row>
    <row r="4" spans="1:31" s="670" customFormat="1" ht="13">
      <c r="A4" s="736"/>
      <c r="C4" s="664"/>
      <c r="G4" s="664"/>
      <c r="H4" s="664"/>
      <c r="I4" s="664"/>
      <c r="J4" s="664"/>
      <c r="R4" s="664"/>
      <c r="S4" s="664"/>
      <c r="V4" s="664"/>
      <c r="W4" s="664"/>
      <c r="AE4" s="735"/>
    </row>
    <row r="5" spans="1:31" s="670" customFormat="1" ht="13">
      <c r="A5" s="736"/>
      <c r="B5" s="664"/>
      <c r="C5" s="664"/>
      <c r="G5" s="664"/>
      <c r="H5" s="664"/>
      <c r="I5" s="664"/>
      <c r="J5" s="664"/>
      <c r="R5" s="664"/>
      <c r="S5" s="664"/>
      <c r="V5" s="664"/>
      <c r="W5" s="664"/>
      <c r="AE5" s="735"/>
    </row>
    <row r="8" spans="1:31">
      <c r="B8" s="774">
        <f ca="1">TODAY()</f>
        <v>44728</v>
      </c>
    </row>
    <row r="9" spans="1:31">
      <c r="B9" s="738" t="s">
        <v>137</v>
      </c>
      <c r="K9" s="240"/>
    </row>
    <row r="10" spans="1:31">
      <c r="H10" s="721" t="s">
        <v>1659</v>
      </c>
      <c r="I10" s="721"/>
      <c r="J10" s="721"/>
      <c r="K10" s="775">
        <v>20600704.987386901</v>
      </c>
      <c r="L10" s="739"/>
      <c r="M10" s="775">
        <v>29197747.502671201</v>
      </c>
    </row>
    <row r="12" spans="1:31" hidden="1"/>
    <row r="13" spans="1:31" hidden="1"/>
    <row r="14" spans="1:31" hidden="1"/>
    <row r="15" spans="1:31" hidden="1"/>
    <row r="18" spans="2:13" ht="17">
      <c r="B18" s="740"/>
      <c r="M18" s="775" t="s">
        <v>13102</v>
      </c>
    </row>
    <row r="19" spans="2:13" ht="15" thickBot="1">
      <c r="K19" s="1223" t="s">
        <v>13101</v>
      </c>
    </row>
    <row r="20" spans="2:13" ht="15" thickBot="1">
      <c r="B20" s="741" t="s">
        <v>12994</v>
      </c>
      <c r="C20" s="741" t="s">
        <v>13103</v>
      </c>
    </row>
    <row r="21" spans="2:13">
      <c r="B21" s="776" t="e">
        <f ca="1">_xll.BDP($C$20  &amp; " Equity", "ID_ISIN", "Fill", "")</f>
        <v>#NAME?</v>
      </c>
      <c r="C21" s="778" t="e">
        <f ca="1">+_xll.BDP(C20&amp;" Equity","SECURITY_NAME")</f>
        <v>#NAME?</v>
      </c>
      <c r="K21" s="742"/>
    </row>
    <row r="22" spans="2:13">
      <c r="C22" s="779" t="e">
        <f ca="1">IF(C23="GBp",_xll.BDP(C20 &amp; " Equity","PX_LAST")/100,_xll.BDP(C20 &amp; " Equity","PX_LAST"))</f>
        <v>#NAME?</v>
      </c>
    </row>
    <row r="23" spans="2:13">
      <c r="B23" s="219" t="s">
        <v>24</v>
      </c>
      <c r="C23" s="778" t="e">
        <f ca="1">_xll.BDP($C20 &amp; " Equity","Crncy")</f>
        <v>#NAME?</v>
      </c>
      <c r="D23" s="777">
        <f>NOW()</f>
        <v>44526.514342939816</v>
      </c>
    </row>
    <row r="24" spans="2:13">
      <c r="B24" s="724" t="s">
        <v>89</v>
      </c>
      <c r="C24" s="778" t="e">
        <f ca="1">("EUR"&amp;C23&amp;" Curncy")</f>
        <v>#NAME?</v>
      </c>
      <c r="L24" s="743"/>
    </row>
    <row r="25" spans="2:13">
      <c r="B25" s="724" t="s">
        <v>90</v>
      </c>
      <c r="C25" s="780" t="e">
        <f ca="1">IF(C24="EUREUR Curncy",1,_xll.BDP(C24,"PX LAST"))</f>
        <v>#NAME?</v>
      </c>
    </row>
    <row r="26" spans="2:13">
      <c r="B26" s="724" t="s">
        <v>21</v>
      </c>
      <c r="C26" s="780" t="e">
        <f ca="1">+eqt_priceLocal/eqt_crossRate</f>
        <v>#NAME?</v>
      </c>
    </row>
    <row r="28" spans="2:13" ht="15" thickBot="1"/>
    <row r="29" spans="2:13" ht="15" thickBot="1">
      <c r="B29" s="741" t="s">
        <v>91</v>
      </c>
      <c r="C29" s="327">
        <v>1293</v>
      </c>
    </row>
    <row r="30" spans="2:13">
      <c r="B30" s="218"/>
    </row>
    <row r="31" spans="2:13" ht="15" thickBot="1">
      <c r="B31" s="219" t="s">
        <v>92</v>
      </c>
      <c r="C31" s="781" t="e">
        <f ca="1">-(C22*C29)</f>
        <v>#NAME?</v>
      </c>
    </row>
    <row r="32" spans="2:13" ht="15" thickBot="1">
      <c r="B32" s="745" t="s">
        <v>155</v>
      </c>
      <c r="C32" s="782" t="e">
        <f ca="1">-C26*C29</f>
        <v>#NAME?</v>
      </c>
      <c r="D32" s="746"/>
    </row>
    <row r="33" spans="1:14" ht="12.75" customHeight="1" thickBot="1">
      <c r="B33" s="747"/>
      <c r="C33" s="748"/>
    </row>
    <row r="34" spans="1:14" ht="15" thickBot="1">
      <c r="A34" s="783" t="e">
        <f ca="1">IF(C34&gt;2%,_xludf.Alert(),"")</f>
        <v>#NAME?</v>
      </c>
      <c r="B34" s="750" t="s">
        <v>93</v>
      </c>
      <c r="C34" s="784" t="e">
        <f ca="1">-C32/$K$10</f>
        <v>#NAME?</v>
      </c>
      <c r="L34" s="751"/>
    </row>
    <row r="37" spans="1:14">
      <c r="B37" s="752" t="s">
        <v>1160</v>
      </c>
      <c r="C37" s="778" t="str">
        <f ca="1">IFERROR(MATCH(B21,Sanctioned_List!A:A,0),"OK")</f>
        <v>OK</v>
      </c>
    </row>
    <row r="38" spans="1:14" hidden="1"/>
    <row r="39" spans="1:14" hidden="1">
      <c r="B39" s="752"/>
    </row>
    <row r="40" spans="1:14" hidden="1">
      <c r="A40" s="749"/>
      <c r="C40" s="753"/>
    </row>
    <row r="41" spans="1:14" hidden="1">
      <c r="C41" s="754"/>
    </row>
    <row r="42" spans="1:14" hidden="1">
      <c r="C42" s="754"/>
    </row>
    <row r="43" spans="1:14">
      <c r="B43" s="752" t="s">
        <v>12993</v>
      </c>
      <c r="C43" s="785" t="str">
        <f ca="1">IFERROR(VLOOKUP(_xll.BDP(C20&amp; " Equity","Country_full_name"),'Geographical risk matrix'!B5:C100,2,FALSE),"N/A")</f>
        <v>N/A</v>
      </c>
      <c r="D43" s="650" t="str">
        <f ca="1">IF(C43="N/A","Alert!!!","")</f>
        <v>Alert!!!</v>
      </c>
    </row>
    <row r="44" spans="1:14">
      <c r="B44" s="752" t="s">
        <v>78</v>
      </c>
      <c r="C44" s="786" t="e">
        <f ca="1">eqt_cashOut/fundMktVal</f>
        <v>#NAME?</v>
      </c>
    </row>
    <row r="45" spans="1:14">
      <c r="B45" s="219" t="s">
        <v>95</v>
      </c>
      <c r="C45" s="787" t="e">
        <f ca="1">+PosAggregate!E165</f>
        <v>#NAME?</v>
      </c>
      <c r="E45" s="756"/>
    </row>
    <row r="46" spans="1:14">
      <c r="B46" s="726" t="s">
        <v>70</v>
      </c>
      <c r="C46" s="788" t="e">
        <f ca="1">+C45/K10</f>
        <v>#NAME?</v>
      </c>
      <c r="D46" s="240"/>
      <c r="E46" s="756"/>
      <c r="L46" s="751"/>
    </row>
    <row r="47" spans="1:14">
      <c r="B47" s="726" t="s">
        <v>71</v>
      </c>
      <c r="C47" s="788" t="e">
        <f ca="1">+C46-eqt_psn_percNAV</f>
        <v>#NAME?</v>
      </c>
      <c r="D47" s="240"/>
      <c r="E47" s="757"/>
      <c r="J47" s="737"/>
      <c r="L47" s="751"/>
    </row>
    <row r="48" spans="1:14">
      <c r="B48" s="758"/>
      <c r="J48" s="737"/>
      <c r="L48" s="751"/>
      <c r="N48" s="751"/>
    </row>
    <row r="49" spans="1:12">
      <c r="L49" s="751"/>
    </row>
    <row r="50" spans="1:12">
      <c r="B50" s="752" t="s">
        <v>101</v>
      </c>
      <c r="K50" s="737"/>
      <c r="L50" s="751"/>
    </row>
    <row r="51" spans="1:12">
      <c r="B51" s="219" t="s">
        <v>96</v>
      </c>
      <c r="C51" s="778" cm="1">
        <f t="array" ref="C51">MAX(IF(TradesEquity!$G$11:$G$879=C20,TradesEquity!$B$11:$B$879))</f>
        <v>0</v>
      </c>
      <c r="L51" s="751"/>
    </row>
    <row r="52" spans="1:12">
      <c r="B52" s="219" t="s">
        <v>63</v>
      </c>
      <c r="C52" s="789" t="str">
        <f>IFERROR(VLOOKUP(C20,PosAggregate!B13:AB145,11,FALSE),"0")</f>
        <v>0</v>
      </c>
      <c r="L52" s="751"/>
    </row>
    <row r="53" spans="1:12">
      <c r="B53" s="726" t="s">
        <v>111</v>
      </c>
      <c r="C53" s="788" t="e">
        <f ca="1">_xll.BDP(C20&amp; " Equity","CAST_PARENT_NAME")</f>
        <v>#NAME?</v>
      </c>
      <c r="L53" s="751"/>
    </row>
    <row r="54" spans="1:12" outlineLevel="1">
      <c r="B54" s="726" t="s">
        <v>112</v>
      </c>
      <c r="C54" s="788" t="str">
        <f ca="1">IFERROR(VLOOKUP(C53,PosAggregate!D13:D90,1,FALSE),"0")</f>
        <v>0</v>
      </c>
    </row>
    <row r="55" spans="1:12">
      <c r="B55" s="726" t="s">
        <v>113</v>
      </c>
      <c r="C55" s="790">
        <f ca="1">SUMIF(PosAggregate!D13:D87,'Pre-Check BUY'!C54,PosAggregate!K13:K87)</f>
        <v>0</v>
      </c>
      <c r="L55" s="751"/>
    </row>
    <row r="56" spans="1:12">
      <c r="C56" s="731"/>
      <c r="L56" s="751"/>
    </row>
    <row r="57" spans="1:12">
      <c r="A57" s="791" t="e">
        <f ca="1">IF(C57&gt;7%,_xludf.Alert(),"")</f>
        <v>#NAME?</v>
      </c>
      <c r="B57" s="219" t="s">
        <v>44</v>
      </c>
      <c r="C57" s="790" t="e">
        <f ca="1">+C34+C55</f>
        <v>#NAME?</v>
      </c>
      <c r="D57" s="240"/>
    </row>
    <row r="58" spans="1:12">
      <c r="B58" s="219" t="s">
        <v>99</v>
      </c>
      <c r="C58" s="790">
        <f>+PosAggregate!L175</f>
        <v>0.21721792715461735</v>
      </c>
      <c r="H58" s="731"/>
    </row>
    <row r="59" spans="1:12">
      <c r="A59" s="791" t="str">
        <f>IF(C59&gt;35%,_xludf.Alert(),"")</f>
        <v/>
      </c>
      <c r="B59" s="219" t="s">
        <v>100</v>
      </c>
      <c r="C59" s="790">
        <f>+H57+SUMIF(H56,"&gt;=5%",H56)</f>
        <v>0</v>
      </c>
    </row>
    <row r="61" spans="1:12">
      <c r="B61" s="752" t="s">
        <v>75</v>
      </c>
    </row>
    <row r="62" spans="1:12">
      <c r="B62" s="219" t="s">
        <v>76</v>
      </c>
      <c r="C62" s="792" t="e">
        <f ca="1">+PosAggregate!K161</f>
        <v>#NAME?</v>
      </c>
      <c r="D62" s="240"/>
    </row>
    <row r="63" spans="1:12">
      <c r="A63" s="791" t="e">
        <f ca="1">IF(C63&gt;55%,_xludf.Alert(),"")</f>
        <v>#NAME?</v>
      </c>
      <c r="B63" s="219" t="s">
        <v>77</v>
      </c>
      <c r="C63" s="792" t="e">
        <f ca="1">C62+C34</f>
        <v>#NAME?</v>
      </c>
      <c r="D63" s="240"/>
      <c r="L63" s="761"/>
    </row>
    <row r="64" spans="1:12">
      <c r="K64" s="761"/>
    </row>
    <row r="65" spans="1:5">
      <c r="B65" s="752" t="s">
        <v>39</v>
      </c>
    </row>
    <row r="66" spans="1:5">
      <c r="B66" s="219" t="s">
        <v>157</v>
      </c>
      <c r="C66" s="781" t="e">
        <f ca="1">_xll.BDP(C20 &amp; " Equity","Eqy_sh_out")</f>
        <v>#NAME?</v>
      </c>
    </row>
    <row r="67" spans="1:5">
      <c r="B67" s="219" t="s">
        <v>97</v>
      </c>
      <c r="C67" s="789">
        <f>C52+eqt_Quantity</f>
        <v>1293</v>
      </c>
    </row>
    <row r="68" spans="1:5">
      <c r="A68" s="791" t="e">
        <f ca="1">IF(C68&gt;9%,_xludf.Alert(),"")</f>
        <v>#NAME?</v>
      </c>
      <c r="B68" s="219" t="s">
        <v>98</v>
      </c>
      <c r="C68" s="786" t="str">
        <f ca="1">IFERROR((C67)/(C66*1000000),"")</f>
        <v/>
      </c>
      <c r="D68" s="240"/>
    </row>
    <row r="70" spans="1:5">
      <c r="B70" s="752" t="s">
        <v>83</v>
      </c>
    </row>
    <row r="71" spans="1:5">
      <c r="B71" s="219" t="s">
        <v>72</v>
      </c>
      <c r="C71" s="645" t="e">
        <f ca="1">_xll.BDP(C20 &amp; " Equity","Volume_Avg_30D")</f>
        <v>#NAME?</v>
      </c>
      <c r="E71" s="763">
        <v>0.33333333333333331</v>
      </c>
    </row>
    <row r="72" spans="1:5">
      <c r="B72" s="219" t="s">
        <v>73</v>
      </c>
      <c r="C72" s="645" t="e">
        <f ca="1">_xll.BDP(C20 &amp; " Equity","Volume_Avg_3M")</f>
        <v>#NAME?</v>
      </c>
      <c r="E72" s="763">
        <v>0.2</v>
      </c>
    </row>
    <row r="73" spans="1:5">
      <c r="B73" s="219" t="s">
        <v>74</v>
      </c>
      <c r="C73" s="116">
        <v>0.2</v>
      </c>
      <c r="E73" s="763">
        <v>0.14285714285714285</v>
      </c>
    </row>
    <row r="74" spans="1:5">
      <c r="B74" s="219" t="s">
        <v>43</v>
      </c>
      <c r="C74" s="779" t="e">
        <f ca="1">+C29/(C71*C73)</f>
        <v>#NAME?</v>
      </c>
      <c r="D74" s="764"/>
    </row>
    <row r="75" spans="1:5">
      <c r="B75" s="726"/>
      <c r="C75" s="793" t="str">
        <f>IFERROR(IF(AQ23&gt;1,"ONGOING",""),"")</f>
        <v/>
      </c>
    </row>
    <row r="76" spans="1:5" ht="15" thickBot="1"/>
    <row r="77" spans="1:5" ht="15" thickBot="1">
      <c r="B77" s="741" t="s">
        <v>33</v>
      </c>
      <c r="C77" s="114" t="s">
        <v>1156</v>
      </c>
    </row>
    <row r="78" spans="1:5">
      <c r="C78" s="794" t="str">
        <f>IF(C77&lt;&gt;"Not Specified","OK","")</f>
        <v>OK</v>
      </c>
    </row>
    <row r="89" spans="2:14" ht="15" thickBot="1"/>
    <row r="90" spans="2:14" ht="15" thickBot="1">
      <c r="B90" s="741" t="s">
        <v>69</v>
      </c>
      <c r="C90" s="673" t="s">
        <v>2242</v>
      </c>
      <c r="F90" s="766"/>
      <c r="H90" s="767"/>
      <c r="N90" s="756"/>
    </row>
    <row r="91" spans="2:14">
      <c r="B91" s="768" t="s">
        <v>1160</v>
      </c>
      <c r="C91" s="795" t="str">
        <f>IFERROR(MATCH(C90,Sanctioned_List!A:A,0),"OK")</f>
        <v>OK</v>
      </c>
    </row>
    <row r="93" spans="2:14">
      <c r="B93" s="219" t="s">
        <v>88</v>
      </c>
      <c r="C93" s="779" t="e">
        <f ca="1">_xll.BDP(C90 &amp; " ISIN","PX_LAST")</f>
        <v>#NAME?</v>
      </c>
      <c r="D93" s="769"/>
      <c r="E93" s="240"/>
    </row>
    <row r="94" spans="2:14">
      <c r="B94" s="219" t="s">
        <v>24</v>
      </c>
      <c r="C94" s="778" t="e">
        <f ca="1">_xll.BDP($C$90 &amp; " ISIN","Crncy")</f>
        <v>#NAME?</v>
      </c>
    </row>
    <row r="95" spans="2:14" outlineLevel="1">
      <c r="B95" s="724" t="s">
        <v>89</v>
      </c>
      <c r="C95" s="778" t="e">
        <f ca="1">("EUR"&amp;C94&amp; " Curncy")</f>
        <v>#NAME?</v>
      </c>
      <c r="G95" s="756"/>
    </row>
    <row r="96" spans="2:14">
      <c r="B96" s="724" t="s">
        <v>90</v>
      </c>
      <c r="C96" s="780" t="e">
        <f ca="1">IF(C94="EUR",1,IF(C94="GBp",(_xll.BDP(C95,"PX LAST")*100),_xll.BDP(C95,"PX LAST")))</f>
        <v>#NAME?</v>
      </c>
      <c r="G96" s="756"/>
    </row>
    <row r="97" spans="1:4">
      <c r="B97" s="724"/>
    </row>
    <row r="98" spans="1:4" ht="15" thickBot="1">
      <c r="B98" s="724" t="s">
        <v>102</v>
      </c>
      <c r="C98" s="645" t="e">
        <f ca="1">_xll.BDP(C90 &amp; " isin","MIN_PIECE")</f>
        <v>#NAME?</v>
      </c>
    </row>
    <row r="99" spans="1:4" ht="15" thickBot="1">
      <c r="B99" s="741" t="s">
        <v>91</v>
      </c>
      <c r="C99" s="115">
        <v>-300000</v>
      </c>
    </row>
    <row r="100" spans="1:4">
      <c r="B100" s="218"/>
    </row>
    <row r="101" spans="1:4">
      <c r="B101" s="219" t="s">
        <v>92</v>
      </c>
      <c r="C101" s="645" t="e">
        <f ca="1">-C99*C93/100</f>
        <v>#NAME?</v>
      </c>
    </row>
    <row r="102" spans="1:4">
      <c r="B102" s="219" t="s">
        <v>114</v>
      </c>
      <c r="C102" s="645" t="e">
        <f ca="1">_xll.BDP($C$90 &amp; " isin","DAYS_ACC")</f>
        <v>#NAME?</v>
      </c>
    </row>
    <row r="103" spans="1:4">
      <c r="B103" s="219" t="s">
        <v>115</v>
      </c>
      <c r="C103" s="646" t="e">
        <f ca="1">_xll.BDP($C$90 &amp; " isin","INT_ACC")</f>
        <v>#NAME?</v>
      </c>
    </row>
    <row r="104" spans="1:4" ht="15" thickBot="1">
      <c r="B104" s="219" t="s">
        <v>48</v>
      </c>
      <c r="C104" s="645" t="e">
        <f ca="1">-C99*C103/100</f>
        <v>#NAME?</v>
      </c>
    </row>
    <row r="105" spans="1:4" ht="15" thickBot="1">
      <c r="B105" s="745" t="s">
        <v>155</v>
      </c>
      <c r="C105" s="796" t="e">
        <f ca="1">+(C101+C104)/C96</f>
        <v>#NAME?</v>
      </c>
    </row>
    <row r="106" spans="1:4" ht="15" thickBot="1">
      <c r="B106" s="747"/>
      <c r="C106" s="748"/>
    </row>
    <row r="107" spans="1:4" ht="15" thickBot="1">
      <c r="A107" s="783" t="e">
        <f ca="1">+IF(C107&gt;2%,_xludf.Alert(),"")</f>
        <v>#NAME?</v>
      </c>
      <c r="B107" s="750" t="s">
        <v>93</v>
      </c>
      <c r="C107" s="797" t="e">
        <f ca="1">-C105/$K$10</f>
        <v>#NAME?</v>
      </c>
      <c r="D107" s="746"/>
    </row>
    <row r="108" spans="1:4">
      <c r="B108" s="758" t="s">
        <v>104</v>
      </c>
    </row>
    <row r="109" spans="1:4">
      <c r="C109" s="770"/>
    </row>
    <row r="110" spans="1:4">
      <c r="B110" s="752" t="s">
        <v>78</v>
      </c>
    </row>
    <row r="111" spans="1:4">
      <c r="B111" s="219" t="s">
        <v>95</v>
      </c>
      <c r="C111" s="787" t="e">
        <f ca="1">+PosAggregate!$V$155</f>
        <v>#NAME?</v>
      </c>
    </row>
    <row r="112" spans="1:4">
      <c r="B112" s="726" t="s">
        <v>70</v>
      </c>
      <c r="C112" s="788" t="e">
        <f ca="1">+C111/K10</f>
        <v>#NAME?</v>
      </c>
    </row>
    <row r="113" spans="1:3">
      <c r="B113" s="726" t="s">
        <v>71</v>
      </c>
      <c r="C113" s="798" t="e">
        <f ca="1">+C112-C107</f>
        <v>#NAME?</v>
      </c>
    </row>
    <row r="115" spans="1:3">
      <c r="B115" s="752" t="s">
        <v>1162</v>
      </c>
    </row>
    <row r="116" spans="1:3">
      <c r="B116" s="771" t="s">
        <v>1161</v>
      </c>
      <c r="C116" s="799">
        <f>SUMIF(PosAggregate!$C:$C,"Not Rated",PosAggregate!$K:$K)</f>
        <v>0</v>
      </c>
    </row>
    <row r="117" spans="1:3">
      <c r="B117" s="771" t="s">
        <v>1157</v>
      </c>
      <c r="C117" s="799">
        <f>SUMIF(PosAggregate!$B:$B,"Cocos and Convert",PosAggregate!$K:$K)</f>
        <v>0</v>
      </c>
    </row>
    <row r="119" spans="1:3">
      <c r="B119" s="752" t="s">
        <v>101</v>
      </c>
    </row>
    <row r="120" spans="1:3">
      <c r="B120" s="219" t="s">
        <v>96</v>
      </c>
      <c r="C120" s="778">
        <f t="array" ref="C120">MAX(IF(TradesBond!$C$11:$C$65=C90,TradesBond!$A$11:$A$65))</f>
        <v>44473</v>
      </c>
    </row>
    <row r="121" spans="1:3">
      <c r="B121" s="219" t="s">
        <v>63</v>
      </c>
      <c r="C121" s="645">
        <f>IFERROR(VLOOKUP(C90,PosAggregate!A88:AB141,12,FALSE),"0")</f>
        <v>0</v>
      </c>
    </row>
    <row r="122" spans="1:3">
      <c r="B122" s="726" t="s">
        <v>111</v>
      </c>
      <c r="C122" s="645" t="e">
        <f ca="1">_xll.BDP(C90&amp; " ISIN","CAST_PARENT_NAME")</f>
        <v>#NAME?</v>
      </c>
    </row>
    <row r="123" spans="1:3" outlineLevel="1">
      <c r="B123" s="726" t="s">
        <v>112</v>
      </c>
      <c r="C123" s="645" t="str">
        <f ca="1">IFERROR(VLOOKUP(C122,PosAggregate!D88:D141,1,FALSE),"")</f>
        <v/>
      </c>
    </row>
    <row r="124" spans="1:3">
      <c r="B124" s="726" t="s">
        <v>113</v>
      </c>
      <c r="C124" s="790" t="e">
        <f ca="1">SUMIF(PosAggregate!D88:D141,'Pre-Check BUY'!C123,PosAggregate!K88:K89)</f>
        <v>#NAME?</v>
      </c>
    </row>
    <row r="125" spans="1:3">
      <c r="C125" s="731"/>
    </row>
    <row r="126" spans="1:3">
      <c r="A126" s="800" t="e">
        <f ca="1">+IF(C126&gt;7%,_xludf.Alert(),"")</f>
        <v>#NAME?</v>
      </c>
      <c r="B126" s="219" t="s">
        <v>44</v>
      </c>
      <c r="C126" s="790" t="e">
        <f ca="1">+C107+C124</f>
        <v>#NAME?</v>
      </c>
    </row>
    <row r="127" spans="1:3">
      <c r="B127" s="219" t="s">
        <v>99</v>
      </c>
      <c r="C127" s="790">
        <f>+PosAggregate!BA6</f>
        <v>0</v>
      </c>
    </row>
    <row r="128" spans="1:3">
      <c r="A128" s="800" t="str">
        <f ca="1">+IF(C128&gt;35%,_xludf.Alert(),"")</f>
        <v/>
      </c>
      <c r="B128" s="219" t="s">
        <v>100</v>
      </c>
      <c r="C128" s="790">
        <f ca="1">+C127+SUMIF(C126,"&gt;=5%",C126)</f>
        <v>0</v>
      </c>
    </row>
    <row r="130" spans="1:4">
      <c r="B130" s="752" t="s">
        <v>84</v>
      </c>
    </row>
    <row r="131" spans="1:4">
      <c r="B131" s="219" t="s">
        <v>76</v>
      </c>
      <c r="C131" s="792" t="e">
        <f ca="1">+PosAggregate!K162</f>
        <v>#NAME?</v>
      </c>
    </row>
    <row r="132" spans="1:4">
      <c r="B132" s="219" t="s">
        <v>77</v>
      </c>
      <c r="C132" s="792" t="e">
        <f ca="1">+C131+C107</f>
        <v>#NAME?</v>
      </c>
      <c r="D132" s="801" t="e">
        <f ca="1">IF(C132&gt;9%,"alert","ok")</f>
        <v>#NAME?</v>
      </c>
    </row>
    <row r="133" spans="1:4">
      <c r="A133" s="800" t="str">
        <f>+IF(C133&lt;43%,_xludf.Alert(),"")</f>
        <v/>
      </c>
      <c r="B133" s="219" t="s">
        <v>105</v>
      </c>
      <c r="C133" s="760">
        <v>0.45</v>
      </c>
      <c r="D133" s="730" t="s">
        <v>1115</v>
      </c>
    </row>
    <row r="135" spans="1:4" ht="15.5" customHeight="1">
      <c r="B135" s="752" t="s">
        <v>39</v>
      </c>
    </row>
    <row r="136" spans="1:4" ht="13.5" customHeight="1">
      <c r="B136" s="772" t="s">
        <v>158</v>
      </c>
      <c r="C136" s="789" t="e">
        <f ca="1">_xll.BDP(C90 &amp; " isin","DDIS_AMT_OUTSTANDING_ISSUER_SUBS")*1000</f>
        <v>#NAME?</v>
      </c>
      <c r="D136" s="773"/>
    </row>
    <row r="137" spans="1:4">
      <c r="B137" s="219" t="s">
        <v>97</v>
      </c>
      <c r="C137" s="802">
        <f>+C99+C121</f>
        <v>-300000</v>
      </c>
    </row>
    <row r="138" spans="1:4">
      <c r="A138" s="800" t="e">
        <f ca="1">+IF(C138&gt;9%,_xludf.Alert(),"")</f>
        <v>#NAME?</v>
      </c>
      <c r="B138" s="219" t="s">
        <v>40</v>
      </c>
      <c r="C138" s="786" t="e">
        <f ca="1">(C137)/(C136*1000000)</f>
        <v>#NAME?</v>
      </c>
    </row>
    <row r="140" spans="1:4" ht="15" thickBot="1"/>
    <row r="141" spans="1:4" ht="15" thickBot="1">
      <c r="B141" s="741" t="s">
        <v>33</v>
      </c>
      <c r="C141" s="114" t="s">
        <v>1725</v>
      </c>
    </row>
    <row r="142" spans="1:4">
      <c r="C142" s="794" t="str">
        <f>IF(C141&lt;&gt;"Not Specified","OK","")</f>
        <v>OK</v>
      </c>
    </row>
    <row r="143" spans="1:4">
      <c r="C143" s="219"/>
    </row>
    <row r="149" spans="1:4">
      <c r="A149" s="759"/>
    </row>
    <row r="150" spans="1:4">
      <c r="A150" s="759"/>
    </row>
    <row r="151" spans="1:4">
      <c r="A151" s="759"/>
    </row>
    <row r="152" spans="1:4">
      <c r="A152" s="759"/>
    </row>
    <row r="153" spans="1:4">
      <c r="A153" s="759"/>
    </row>
    <row r="154" spans="1:4" ht="15" thickBot="1">
      <c r="A154" s="759"/>
    </row>
    <row r="155" spans="1:4" ht="15" thickBot="1">
      <c r="A155" s="759"/>
      <c r="B155" s="741" t="s">
        <v>69</v>
      </c>
      <c r="C155" s="114" t="s">
        <v>1179</v>
      </c>
    </row>
    <row r="156" spans="1:4">
      <c r="A156" s="759"/>
      <c r="B156" s="768" t="s">
        <v>1160</v>
      </c>
      <c r="C156" s="803" t="str">
        <f>IFERROR(MATCH(C155,Sanctioned_List!A:A,0),"OK")</f>
        <v>OK</v>
      </c>
    </row>
    <row r="157" spans="1:4">
      <c r="A157" s="759"/>
    </row>
    <row r="158" spans="1:4">
      <c r="A158" s="759"/>
      <c r="B158" s="219" t="s">
        <v>88</v>
      </c>
      <c r="C158" s="779" t="e">
        <f ca="1">_xll.BDP(C155 &amp; " ISIN","PX_LAST")</f>
        <v>#NAME?</v>
      </c>
      <c r="D158" s="769"/>
    </row>
    <row r="159" spans="1:4">
      <c r="A159" s="759"/>
      <c r="B159" s="219" t="s">
        <v>24</v>
      </c>
      <c r="C159" s="778" t="e">
        <f ca="1">_xll.BDP($C155 &amp; " ISIN","Crncy")</f>
        <v>#NAME?</v>
      </c>
    </row>
    <row r="160" spans="1:4">
      <c r="A160" s="759"/>
      <c r="B160" s="724" t="s">
        <v>89</v>
      </c>
      <c r="C160" s="778" t="e">
        <f ca="1">("EUR"&amp;C159&amp; " Curncy")</f>
        <v>#NAME?</v>
      </c>
    </row>
    <row r="161" spans="1:3">
      <c r="A161" s="759"/>
      <c r="B161" s="724" t="s">
        <v>90</v>
      </c>
      <c r="C161" s="780" t="e">
        <f ca="1">IF(C159="EUR",1,_xll.BDP(C160,"PX LAST"))</f>
        <v>#NAME?</v>
      </c>
    </row>
    <row r="162" spans="1:3">
      <c r="A162" s="759"/>
      <c r="B162" s="724"/>
    </row>
    <row r="163" spans="1:3" ht="15" thickBot="1">
      <c r="A163" s="759"/>
      <c r="B163" s="724"/>
      <c r="C163" s="744"/>
    </row>
    <row r="164" spans="1:3" ht="15" thickBot="1">
      <c r="A164" s="759"/>
      <c r="B164" s="741" t="s">
        <v>91</v>
      </c>
      <c r="C164" s="115">
        <v>5000</v>
      </c>
    </row>
    <row r="165" spans="1:3">
      <c r="A165" s="759"/>
      <c r="B165" s="218"/>
    </row>
    <row r="166" spans="1:3" ht="15" thickBot="1">
      <c r="A166" s="759"/>
      <c r="B166" s="219" t="s">
        <v>92</v>
      </c>
      <c r="C166" s="645" t="e">
        <f ca="1">-C158*C164</f>
        <v>#NAME?</v>
      </c>
    </row>
    <row r="167" spans="1:3" ht="15" thickBot="1">
      <c r="A167" s="759"/>
      <c r="B167" s="745" t="s">
        <v>155</v>
      </c>
      <c r="C167" s="796" t="e">
        <f ca="1">+C166/C161</f>
        <v>#NAME?</v>
      </c>
    </row>
    <row r="168" spans="1:3" ht="15" thickBot="1">
      <c r="A168" s="759"/>
      <c r="B168" s="747"/>
      <c r="C168" s="748"/>
    </row>
    <row r="169" spans="1:3" ht="15" thickBot="1">
      <c r="A169" s="800" t="e">
        <f ca="1">+IF(C169&gt;2%,_xludf.Alert(),"")</f>
        <v>#NAME?</v>
      </c>
      <c r="B169" s="750" t="s">
        <v>93</v>
      </c>
      <c r="C169" s="797" t="e">
        <f ca="1">-C167/$K$10</f>
        <v>#NAME?</v>
      </c>
    </row>
    <row r="170" spans="1:3">
      <c r="A170" s="759"/>
      <c r="B170" s="758" t="s">
        <v>94</v>
      </c>
      <c r="C170" s="804" t="str">
        <f>+IF(C109&gt;1%,Allarme(),"")</f>
        <v/>
      </c>
    </row>
    <row r="171" spans="1:3">
      <c r="A171" s="759"/>
      <c r="C171" s="770"/>
    </row>
    <row r="172" spans="1:3">
      <c r="A172" s="759"/>
    </row>
    <row r="173" spans="1:3">
      <c r="A173" s="759"/>
      <c r="B173" s="752" t="s">
        <v>78</v>
      </c>
    </row>
    <row r="174" spans="1:3">
      <c r="A174" s="759"/>
      <c r="B174" s="219" t="s">
        <v>95</v>
      </c>
      <c r="C174" s="787" t="e">
        <f ca="1">+PosAggregate!$V$155</f>
        <v>#NAME?</v>
      </c>
    </row>
    <row r="175" spans="1:3">
      <c r="A175" s="759"/>
      <c r="B175" s="726" t="s">
        <v>70</v>
      </c>
      <c r="C175" s="788" t="e">
        <f ca="1">+C174/K10</f>
        <v>#NAME?</v>
      </c>
    </row>
    <row r="176" spans="1:3">
      <c r="A176" s="759"/>
      <c r="B176" s="726" t="s">
        <v>71</v>
      </c>
      <c r="C176" s="798" t="e">
        <f ca="1">+C175-C169</f>
        <v>#NAME?</v>
      </c>
    </row>
    <row r="177" spans="1:3">
      <c r="A177" s="759"/>
      <c r="B177" s="758"/>
      <c r="C177" s="770"/>
    </row>
    <row r="178" spans="1:3">
      <c r="A178" s="759"/>
    </row>
    <row r="179" spans="1:3">
      <c r="A179" s="759"/>
      <c r="B179" s="752" t="s">
        <v>101</v>
      </c>
    </row>
    <row r="180" spans="1:3">
      <c r="A180" s="759"/>
      <c r="B180" s="219" t="s">
        <v>96</v>
      </c>
      <c r="C180" s="778">
        <f t="array" ref="C180">MAX(IF(TradesFundETF!$C$11:$C$91=C155,TradesFundETF!$A$11:$A$91))</f>
        <v>0</v>
      </c>
    </row>
    <row r="181" spans="1:3">
      <c r="A181" s="759"/>
      <c r="B181" s="219" t="s">
        <v>63</v>
      </c>
      <c r="C181" s="645" t="str">
        <f>IFERROR(VLOOKUP(C155,PosAggregate!A142:AB250,11,FALSE),"0")</f>
        <v>0</v>
      </c>
    </row>
    <row r="182" spans="1:3">
      <c r="A182" s="759"/>
      <c r="B182" s="219" t="s">
        <v>118</v>
      </c>
      <c r="C182" s="790" t="str">
        <f>IFERROR(VLOOKUP(C155,PosAggregate!A142:AB250,10,FALSE),"0%")</f>
        <v>0%</v>
      </c>
    </row>
    <row r="183" spans="1:3">
      <c r="A183" s="800" t="e">
        <f ca="1">+IF(C183&gt;7%,_xludf.Alert(),"")</f>
        <v>#NAME?</v>
      </c>
      <c r="B183" s="219" t="s">
        <v>44</v>
      </c>
      <c r="C183" s="790" t="e">
        <f ca="1">+C182+C169</f>
        <v>#NAME?</v>
      </c>
    </row>
    <row r="184" spans="1:3">
      <c r="A184" s="759"/>
      <c r="B184" s="219" t="s">
        <v>99</v>
      </c>
      <c r="C184" s="790">
        <f>+PosAggregate!BA6</f>
        <v>0</v>
      </c>
    </row>
    <row r="185" spans="1:3">
      <c r="A185" s="800" t="str">
        <f ca="1">+IF(C185&gt;35%,_xludf.Alert(),"")</f>
        <v/>
      </c>
      <c r="B185" s="219" t="s">
        <v>100</v>
      </c>
      <c r="C185" s="790">
        <f ca="1">+C184+SUMIF(C183,"&gt;=5%",C183)</f>
        <v>0</v>
      </c>
    </row>
    <row r="186" spans="1:3">
      <c r="A186" s="759"/>
    </row>
    <row r="187" spans="1:3">
      <c r="A187" s="759"/>
      <c r="B187" s="752" t="s">
        <v>103</v>
      </c>
    </row>
    <row r="188" spans="1:3">
      <c r="A188" s="759"/>
      <c r="B188" s="219" t="s">
        <v>76</v>
      </c>
      <c r="C188" s="792" t="e">
        <f ca="1">+PosAggregate!K163</f>
        <v>#NAME?</v>
      </c>
    </row>
    <row r="189" spans="1:3">
      <c r="A189" s="800" t="e">
        <f ca="1">+IF(C189&gt;8%,_xludf.Alert(),"")</f>
        <v>#NAME?</v>
      </c>
      <c r="B189" s="219" t="s">
        <v>77</v>
      </c>
      <c r="C189" s="792" t="e">
        <f ca="1">+C188+C169</f>
        <v>#NAME?</v>
      </c>
    </row>
    <row r="190" spans="1:3">
      <c r="A190" s="759"/>
    </row>
    <row r="191" spans="1:3">
      <c r="A191" s="759"/>
      <c r="B191" s="752" t="s">
        <v>108</v>
      </c>
    </row>
    <row r="192" spans="1:3">
      <c r="A192" s="759"/>
      <c r="B192" s="772" t="s">
        <v>27</v>
      </c>
      <c r="C192" s="778" t="e">
        <f ca="1">_xll.BDP($C$155 &amp; " ISIN","FUND_TOTAL_ASSETS_DT")</f>
        <v>#NAME?</v>
      </c>
    </row>
    <row r="193" spans="1:4">
      <c r="A193" s="759"/>
      <c r="B193" s="772" t="s">
        <v>107</v>
      </c>
      <c r="C193" s="802" t="e">
        <f ca="1">_xll.BDP($C$155 &amp; " ISIN","FUND_TOTAL_ASSETS")*1000000</f>
        <v>#NAME?</v>
      </c>
      <c r="D193" s="773"/>
    </row>
    <row r="194" spans="1:4">
      <c r="A194" s="800" t="e">
        <f ca="1">+IF(C194&gt;15%,_xludf.Alert(),"")</f>
        <v>#NAME?</v>
      </c>
      <c r="C194" s="805" t="e">
        <f ca="1">+(C183*K10)/C193</f>
        <v>#NAME?</v>
      </c>
    </row>
    <row r="195" spans="1:4" ht="15" thickBot="1">
      <c r="A195" s="770"/>
      <c r="C195" s="755"/>
    </row>
    <row r="196" spans="1:4" ht="15" thickBot="1">
      <c r="A196" s="759"/>
      <c r="B196" s="741" t="s">
        <v>33</v>
      </c>
      <c r="C196" s="114" t="s">
        <v>1154</v>
      </c>
      <c r="D196" s="794" t="str">
        <f>IF(C196&lt;&gt;"Not Specified","OK","")</f>
        <v>OK</v>
      </c>
    </row>
    <row r="197" spans="1:4">
      <c r="A197" s="759"/>
    </row>
    <row r="198" spans="1:4">
      <c r="A198" s="759"/>
    </row>
    <row r="199" spans="1:4">
      <c r="A199" s="759"/>
    </row>
    <row r="200" spans="1:4">
      <c r="A200" s="759"/>
    </row>
    <row r="201" spans="1:4">
      <c r="A201" s="759"/>
    </row>
    <row r="202" spans="1:4">
      <c r="A202" s="759"/>
    </row>
    <row r="203" spans="1:4">
      <c r="A203" s="759"/>
    </row>
    <row r="204" spans="1:4">
      <c r="A204" s="759"/>
    </row>
    <row r="205" spans="1:4">
      <c r="A205" s="759"/>
    </row>
    <row r="206" spans="1:4">
      <c r="A206" s="759"/>
    </row>
    <row r="207" spans="1:4">
      <c r="A207" s="759"/>
    </row>
    <row r="208" spans="1:4">
      <c r="A208" s="759"/>
    </row>
    <row r="209" spans="1:1">
      <c r="A209" s="759"/>
    </row>
    <row r="210" spans="1:1">
      <c r="A210" s="759"/>
    </row>
    <row r="211" spans="1:1">
      <c r="A211" s="759"/>
    </row>
    <row r="212" spans="1:1">
      <c r="A212" s="759"/>
    </row>
    <row r="213" spans="1:1">
      <c r="A213" s="759"/>
    </row>
    <row r="214" spans="1:1">
      <c r="A214" s="759"/>
    </row>
    <row r="215" spans="1:1">
      <c r="A215" s="759"/>
    </row>
    <row r="216" spans="1:1">
      <c r="A216" s="759"/>
    </row>
    <row r="217" spans="1:1">
      <c r="A217" s="759"/>
    </row>
    <row r="218" spans="1:1">
      <c r="A218" s="759"/>
    </row>
    <row r="219" spans="1:1">
      <c r="A219" s="759"/>
    </row>
    <row r="220" spans="1:1">
      <c r="A220" s="759"/>
    </row>
    <row r="221" spans="1:1">
      <c r="A221" s="759"/>
    </row>
    <row r="222" spans="1:1">
      <c r="A222" s="759"/>
    </row>
    <row r="223" spans="1:1">
      <c r="A223" s="759"/>
    </row>
    <row r="224" spans="1:1">
      <c r="A224" s="759"/>
    </row>
    <row r="225" spans="1:1">
      <c r="A225" s="759"/>
    </row>
    <row r="226" spans="1:1">
      <c r="A226" s="759"/>
    </row>
    <row r="227" spans="1:1">
      <c r="A227" s="759"/>
    </row>
    <row r="228" spans="1:1">
      <c r="A228" s="759"/>
    </row>
    <row r="229" spans="1:1">
      <c r="A229" s="759"/>
    </row>
    <row r="230" spans="1:1">
      <c r="A230" s="759"/>
    </row>
    <row r="231" spans="1:1">
      <c r="A231" s="759"/>
    </row>
    <row r="232" spans="1:1">
      <c r="A232" s="759"/>
    </row>
    <row r="233" spans="1:1">
      <c r="A233" s="759"/>
    </row>
    <row r="234" spans="1:1">
      <c r="A234" s="759"/>
    </row>
    <row r="235" spans="1:1">
      <c r="A235" s="759"/>
    </row>
    <row r="236" spans="1:1">
      <c r="A236" s="759"/>
    </row>
    <row r="237" spans="1:1">
      <c r="A237" s="759"/>
    </row>
    <row r="238" spans="1:1">
      <c r="A238" s="759"/>
    </row>
    <row r="239" spans="1:1">
      <c r="A239" s="759"/>
    </row>
    <row r="240" spans="1:1">
      <c r="A240" s="759"/>
    </row>
    <row r="241" spans="1:1">
      <c r="A241" s="759"/>
    </row>
    <row r="242" spans="1:1">
      <c r="A242" s="759"/>
    </row>
    <row r="243" spans="1:1">
      <c r="A243" s="759"/>
    </row>
    <row r="244" spans="1:1">
      <c r="A244" s="759"/>
    </row>
    <row r="245" spans="1:1">
      <c r="A245" s="759"/>
    </row>
    <row r="246" spans="1:1">
      <c r="A246" s="759"/>
    </row>
    <row r="247" spans="1:1">
      <c r="A247" s="759"/>
    </row>
    <row r="248" spans="1:1">
      <c r="A248" s="759"/>
    </row>
    <row r="249" spans="1:1">
      <c r="A249" s="759"/>
    </row>
    <row r="250" spans="1:1">
      <c r="A250" s="759"/>
    </row>
    <row r="251" spans="1:1">
      <c r="A251" s="759"/>
    </row>
    <row r="252" spans="1:1">
      <c r="A252" s="759"/>
    </row>
    <row r="253" spans="1:1">
      <c r="A253" s="759"/>
    </row>
    <row r="254" spans="1:1">
      <c r="A254" s="759"/>
    </row>
    <row r="255" spans="1:1">
      <c r="A255" s="759"/>
    </row>
    <row r="256" spans="1:1">
      <c r="A256" s="759"/>
    </row>
    <row r="257" spans="1:1">
      <c r="A257" s="759"/>
    </row>
    <row r="258" spans="1:1">
      <c r="A258" s="759"/>
    </row>
    <row r="259" spans="1:1">
      <c r="A259" s="759"/>
    </row>
    <row r="260" spans="1:1">
      <c r="A260" s="759"/>
    </row>
    <row r="261" spans="1:1">
      <c r="A261" s="759"/>
    </row>
    <row r="262" spans="1:1">
      <c r="A262" s="759"/>
    </row>
    <row r="263" spans="1:1">
      <c r="A263" s="759"/>
    </row>
    <row r="264" spans="1:1">
      <c r="A264" s="759"/>
    </row>
    <row r="265" spans="1:1">
      <c r="A265" s="759"/>
    </row>
    <row r="266" spans="1:1">
      <c r="A266" s="759"/>
    </row>
    <row r="267" spans="1:1">
      <c r="A267" s="759"/>
    </row>
    <row r="268" spans="1:1">
      <c r="A268" s="759"/>
    </row>
    <row r="269" spans="1:1">
      <c r="A269" s="759"/>
    </row>
    <row r="270" spans="1:1">
      <c r="A270" s="759"/>
    </row>
    <row r="271" spans="1:1">
      <c r="A271" s="759"/>
    </row>
    <row r="272" spans="1:1">
      <c r="A272" s="759"/>
    </row>
    <row r="273" spans="1:1">
      <c r="A273" s="759"/>
    </row>
    <row r="274" spans="1:1">
      <c r="A274" s="759"/>
    </row>
    <row r="275" spans="1:1">
      <c r="A275" s="759"/>
    </row>
    <row r="276" spans="1:1">
      <c r="A276" s="759"/>
    </row>
    <row r="277" spans="1:1">
      <c r="A277" s="759"/>
    </row>
    <row r="278" spans="1:1">
      <c r="A278" s="759"/>
    </row>
    <row r="279" spans="1:1">
      <c r="A279" s="759"/>
    </row>
    <row r="280" spans="1:1">
      <c r="A280" s="759"/>
    </row>
    <row r="281" spans="1:1">
      <c r="A281" s="759"/>
    </row>
    <row r="282" spans="1:1">
      <c r="A282" s="759"/>
    </row>
    <row r="283" spans="1:1">
      <c r="A283" s="759"/>
    </row>
    <row r="284" spans="1:1">
      <c r="A284" s="759"/>
    </row>
    <row r="285" spans="1:1">
      <c r="A285" s="759"/>
    </row>
    <row r="286" spans="1:1">
      <c r="A286" s="759"/>
    </row>
    <row r="287" spans="1:1">
      <c r="A287" s="759"/>
    </row>
    <row r="288" spans="1:1">
      <c r="A288" s="759"/>
    </row>
    <row r="289" spans="1:1">
      <c r="A289" s="759"/>
    </row>
    <row r="290" spans="1:1">
      <c r="A290" s="759"/>
    </row>
    <row r="291" spans="1:1">
      <c r="A291" s="759"/>
    </row>
    <row r="292" spans="1:1">
      <c r="A292" s="759"/>
    </row>
    <row r="293" spans="1:1">
      <c r="A293" s="759"/>
    </row>
    <row r="294" spans="1:1">
      <c r="A294" s="759"/>
    </row>
    <row r="295" spans="1:1">
      <c r="A295" s="759"/>
    </row>
    <row r="296" spans="1:1">
      <c r="A296" s="759"/>
    </row>
    <row r="297" spans="1:1">
      <c r="A297" s="759"/>
    </row>
    <row r="298" spans="1:1">
      <c r="A298" s="759"/>
    </row>
  </sheetData>
  <sheetProtection sheet="1" objects="1" scenarios="1"/>
  <conditionalFormatting sqref="D74">
    <cfRule type="iconSet" priority="41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3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2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1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0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29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28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7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6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5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4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3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2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1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0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414" priority="17" operator="notContains" text="OK">
      <formula>ISERROR(SEARCH("OK",C142))</formula>
    </cfRule>
    <cfRule type="containsText" dxfId="413" priority="18" operator="containsText" text="OK">
      <formula>NOT(ISERROR(SEARCH("OK",C142)))</formula>
    </cfRule>
  </conditionalFormatting>
  <conditionalFormatting sqref="C78">
    <cfRule type="notContainsText" dxfId="412" priority="15" operator="notContains" text="OK">
      <formula>ISERROR(SEARCH("OK",C78))</formula>
    </cfRule>
    <cfRule type="containsText" dxfId="411" priority="16" operator="containsText" text="OK">
      <formula>NOT(ISERROR(SEARCH("OK",C78)))</formula>
    </cfRule>
  </conditionalFormatting>
  <conditionalFormatting sqref="D196">
    <cfRule type="notContainsText" dxfId="410" priority="13" operator="notContains" text="OK">
      <formula>ISERROR(SEARCH("OK",D196))</formula>
    </cfRule>
    <cfRule type="containsText" dxfId="409" priority="14" operator="containsText" text="OK">
      <formula>NOT(ISERROR(SEARCH("OK",D196)))</formula>
    </cfRule>
  </conditionalFormatting>
  <conditionalFormatting sqref="C34">
    <cfRule type="iconSet" priority="147">
      <iconSet iconSet="3Symbols" reverse="1">
        <cfvo type="percent" val="0"/>
        <cfvo type="num" val="0.01"/>
        <cfvo type="num" val="0.02"/>
      </iconSet>
    </cfRule>
  </conditionalFormatting>
  <conditionalFormatting sqref="C54">
    <cfRule type="iconSet" priority="7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408" priority="4" operator="greaterThan">
      <formula>0.09</formula>
    </cfRule>
  </conditionalFormatting>
  <conditionalFormatting sqref="C43">
    <cfRule type="colorScale" priority="3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2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1">
      <iconSet iconSet="3Symbols" reverse="1">
        <cfvo type="percent" val="0"/>
        <cfvo type="num" val="0.35"/>
        <cfvo type="num" val="0.38"/>
      </iconSet>
    </cfRule>
  </conditionalFormatting>
  <dataValidations count="5">
    <dataValidation type="list" allowBlank="1" showInputMessage="1" showErrorMessage="1" sqref="C73" xr:uid="{0215540E-DCE5-49E4-827E-A4426C674986}">
      <formula1>$E$71:$E$73</formula1>
    </dataValidation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C34" xr:uid="{9D5877F3-1095-4673-A59B-4E83BCE029FB}"/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S377"/>
  <sheetViews>
    <sheetView topLeftCell="A16" workbookViewId="0">
      <selection activeCell="B20" sqref="B20"/>
    </sheetView>
  </sheetViews>
  <sheetFormatPr defaultColWidth="9" defaultRowHeight="14.5"/>
  <cols>
    <col min="1" max="1" width="9" style="219"/>
    <col min="2" max="2" width="37" style="219" bestFit="1" customWidth="1"/>
    <col min="3" max="3" width="15.7265625" style="218" customWidth="1"/>
    <col min="4" max="4" width="12.26953125" style="219" customWidth="1"/>
    <col min="5" max="10" width="9" style="219"/>
    <col min="11" max="11" width="20" style="219" customWidth="1"/>
    <col min="12" max="16384" width="9" style="219"/>
  </cols>
  <sheetData>
    <row r="7" spans="1:11">
      <c r="B7" s="776">
        <f ca="1">TODAY()</f>
        <v>44728</v>
      </c>
    </row>
    <row r="8" spans="1:11">
      <c r="B8" s="720" t="s">
        <v>138</v>
      </c>
    </row>
    <row r="9" spans="1:11">
      <c r="H9" s="721" t="s">
        <v>1760</v>
      </c>
      <c r="I9" s="721"/>
      <c r="J9" s="721"/>
      <c r="K9" s="1184" t="e">
        <f ca="1">+PosAggregate!V11</f>
        <v>#NAME?</v>
      </c>
    </row>
    <row r="11" spans="1:11" hidden="1"/>
    <row r="12" spans="1:11" hidden="1"/>
    <row r="13" spans="1:11" hidden="1"/>
    <row r="14" spans="1:11">
      <c r="A14" s="733"/>
    </row>
    <row r="15" spans="1:11">
      <c r="A15" s="733"/>
    </row>
    <row r="16" spans="1:11">
      <c r="A16" s="733"/>
    </row>
    <row r="17" spans="1:6" ht="17">
      <c r="A17" s="733"/>
      <c r="B17" s="740"/>
    </row>
    <row r="18" spans="1:6" ht="15" thickBot="1">
      <c r="A18" s="733"/>
    </row>
    <row r="19" spans="1:6" ht="15" thickBot="1">
      <c r="A19" s="733"/>
      <c r="B19" s="722" t="s">
        <v>245</v>
      </c>
      <c r="C19" s="722" t="s">
        <v>13108</v>
      </c>
    </row>
    <row r="20" spans="1:6">
      <c r="A20" s="733"/>
      <c r="B20" s="776" t="e">
        <f ca="1">_xll.BDP($C$19  &amp; " Equity", "ID_ISIN", "Fill", "")</f>
        <v>#NAME?</v>
      </c>
      <c r="C20" s="1185" t="e">
        <f ca="1">+_xll.BDP(C19 &amp; " Equity","SECURITY_NAME")</f>
        <v>#NAME?</v>
      </c>
    </row>
    <row r="21" spans="1:6">
      <c r="A21" s="733"/>
    </row>
    <row r="22" spans="1:6" ht="15" thickBot="1">
      <c r="A22" s="733"/>
      <c r="B22" s="723" t="s">
        <v>63</v>
      </c>
      <c r="C22" s="1186" t="e">
        <f>VLOOKUP(C19,PosAggregate!B12:AB145,11,FALSE)</f>
        <v>#N/A</v>
      </c>
    </row>
    <row r="23" spans="1:6" ht="15" thickBot="1">
      <c r="A23" s="733"/>
      <c r="B23" s="722" t="s">
        <v>64</v>
      </c>
      <c r="C23" s="1187" t="e">
        <f>-C24/C22</f>
        <v>#N/A</v>
      </c>
      <c r="D23" s="1188" t="e">
        <f>IF(AND(D24="OK",-C24&lt;=C22),"OK","STOP")</f>
        <v>#N/A</v>
      </c>
    </row>
    <row r="24" spans="1:6">
      <c r="A24" s="733"/>
      <c r="B24" s="723" t="s">
        <v>65</v>
      </c>
      <c r="C24" s="119">
        <v>-5000</v>
      </c>
      <c r="D24" s="1189" t="str">
        <f>IF(C24&gt;0,"PLEASE USE A NEGATIVE QUANTITY","OK")</f>
        <v>OK</v>
      </c>
    </row>
    <row r="25" spans="1:6">
      <c r="A25" s="733"/>
    </row>
    <row r="26" spans="1:6">
      <c r="A26" s="733"/>
    </row>
    <row r="27" spans="1:6">
      <c r="A27" s="733"/>
      <c r="B27" s="219" t="s">
        <v>66</v>
      </c>
      <c r="C27" s="780" t="e">
        <f ca="1">_xll.BDP(C19 &amp; " Equity","PX_LAST")</f>
        <v>#NAME?</v>
      </c>
      <c r="D27" s="769"/>
    </row>
    <row r="28" spans="1:6">
      <c r="A28" s="733"/>
      <c r="B28" s="219" t="s">
        <v>24</v>
      </c>
      <c r="C28" s="780" t="e">
        <f ca="1">_xll.BDP(C19 &amp; " Equity","Crncy")</f>
        <v>#NAME?</v>
      </c>
      <c r="D28" s="777">
        <f>NOW()</f>
        <v>44526.514343055554</v>
      </c>
      <c r="F28" s="240"/>
    </row>
    <row r="29" spans="1:6">
      <c r="A29" s="733"/>
      <c r="B29" s="724" t="s">
        <v>89</v>
      </c>
      <c r="C29" s="780" t="e">
        <f ca="1">("EUR"&amp;C28&amp; " Curncy")</f>
        <v>#NAME?</v>
      </c>
      <c r="D29" s="240"/>
    </row>
    <row r="30" spans="1:6">
      <c r="A30" s="733"/>
      <c r="B30" s="724" t="s">
        <v>90</v>
      </c>
      <c r="C30" s="780" t="e">
        <f ca="1">IF(C28="EUR",1,IF(C28="GBp",(_xll.BDP(C29,"PX LAST")*100),_xll.BDP(C29,"PX LAST")))</f>
        <v>#NAME?</v>
      </c>
    </row>
    <row r="31" spans="1:6" ht="17.25" customHeight="1">
      <c r="A31" s="733"/>
      <c r="B31" s="724" t="s">
        <v>21</v>
      </c>
      <c r="C31" s="1190" t="e">
        <f ca="1">C27/C30</f>
        <v>#NAME?</v>
      </c>
    </row>
    <row r="32" spans="1:6" ht="15.75" customHeight="1">
      <c r="A32" s="733"/>
      <c r="B32" s="724"/>
      <c r="C32" s="733"/>
    </row>
    <row r="33" spans="1:19" ht="15" thickBot="1">
      <c r="A33" s="733"/>
      <c r="B33" s="724" t="s">
        <v>1759</v>
      </c>
      <c r="C33" s="781" t="e">
        <f ca="1">-C27*C24</f>
        <v>#NAME?</v>
      </c>
    </row>
    <row r="34" spans="1:19" ht="15" thickBot="1">
      <c r="A34" s="733"/>
      <c r="B34" s="725" t="s">
        <v>156</v>
      </c>
      <c r="C34" s="1192" t="e">
        <f ca="1">-C31*C24</f>
        <v>#NAME?</v>
      </c>
      <c r="D34" s="240"/>
    </row>
    <row r="35" spans="1:19">
      <c r="A35" s="1191" t="e">
        <f ca="1">IF(C35&gt;2%,_xludf.Alert(),"")</f>
        <v>#NAME?</v>
      </c>
      <c r="B35" s="726" t="s">
        <v>68</v>
      </c>
      <c r="C35" s="788" t="str">
        <f ca="1">+IFERROR(C34/PosAggregate!V11,"0")</f>
        <v>0</v>
      </c>
    </row>
    <row r="36" spans="1:19">
      <c r="A36" s="733"/>
    </row>
    <row r="37" spans="1:19">
      <c r="A37" s="733"/>
    </row>
    <row r="38" spans="1:19">
      <c r="A38" s="733"/>
      <c r="B38" s="727" t="s">
        <v>78</v>
      </c>
      <c r="F38" s="771"/>
      <c r="G38" s="771"/>
      <c r="H38" s="771"/>
      <c r="I38" s="771"/>
      <c r="J38" s="771"/>
      <c r="K38" s="771"/>
      <c r="L38" s="771"/>
      <c r="M38" s="771"/>
      <c r="N38" s="771"/>
      <c r="O38" s="771"/>
      <c r="P38" s="771"/>
      <c r="Q38" s="771"/>
      <c r="R38" s="771"/>
      <c r="S38" s="771"/>
    </row>
    <row r="39" spans="1:19">
      <c r="A39" s="733"/>
      <c r="B39" s="219" t="s">
        <v>70</v>
      </c>
      <c r="C39" s="790" t="e">
        <f ca="1">+(PosAggregate!E164+PosAggregate!E165)/K9</f>
        <v>#NAME?</v>
      </c>
      <c r="F39" s="771"/>
      <c r="G39" s="771"/>
      <c r="H39" s="771"/>
      <c r="I39" s="771"/>
      <c r="J39" s="771"/>
      <c r="K39" s="771"/>
      <c r="L39" s="771"/>
      <c r="M39" s="771"/>
      <c r="N39" s="771"/>
      <c r="O39" s="771"/>
      <c r="P39" s="771"/>
      <c r="Q39" s="771"/>
      <c r="R39" s="771"/>
      <c r="S39" s="771"/>
    </row>
    <row r="40" spans="1:19">
      <c r="A40" s="1191" t="e">
        <f ca="1">IF(C40&gt;15%,_xludf.Alert(),"")</f>
        <v>#NAME?</v>
      </c>
      <c r="B40" s="219" t="s">
        <v>71</v>
      </c>
      <c r="C40" s="792" t="e">
        <f ca="1">+C39+C35</f>
        <v>#NAME?</v>
      </c>
      <c r="D40" s="1179"/>
      <c r="F40" s="771"/>
      <c r="G40" s="771"/>
      <c r="H40" s="771"/>
      <c r="I40" s="771"/>
      <c r="J40" s="771"/>
      <c r="K40" s="771"/>
      <c r="L40" s="771"/>
      <c r="M40" s="771"/>
      <c r="N40" s="771"/>
      <c r="O40" s="771"/>
      <c r="P40" s="771"/>
      <c r="Q40" s="771"/>
      <c r="R40" s="771"/>
      <c r="S40" s="771"/>
    </row>
    <row r="41" spans="1:19">
      <c r="A41" s="733"/>
      <c r="F41" s="771"/>
      <c r="G41" s="771"/>
      <c r="H41" s="771"/>
      <c r="I41" s="771"/>
      <c r="J41" s="771"/>
      <c r="K41" s="771"/>
      <c r="L41" s="771"/>
      <c r="M41" s="771"/>
      <c r="N41" s="771"/>
      <c r="O41" s="771"/>
      <c r="P41" s="771"/>
      <c r="Q41" s="771"/>
      <c r="R41" s="771"/>
      <c r="S41" s="771"/>
    </row>
    <row r="42" spans="1:19">
      <c r="A42" s="733"/>
      <c r="F42" s="771"/>
      <c r="G42" s="771"/>
      <c r="H42" s="771"/>
      <c r="I42" s="771"/>
      <c r="J42" s="771"/>
      <c r="K42" s="771"/>
      <c r="L42" s="771"/>
      <c r="M42" s="771"/>
      <c r="N42" s="771"/>
      <c r="O42" s="771"/>
      <c r="P42" s="771"/>
      <c r="Q42" s="771"/>
      <c r="R42" s="771"/>
      <c r="S42" s="771"/>
    </row>
    <row r="43" spans="1:19">
      <c r="A43" s="733"/>
      <c r="B43" s="727" t="s">
        <v>82</v>
      </c>
      <c r="F43" s="771"/>
      <c r="G43" s="771"/>
      <c r="H43" s="771"/>
      <c r="I43" s="771"/>
      <c r="J43" s="771"/>
      <c r="K43" s="771"/>
      <c r="L43" s="771"/>
      <c r="M43" s="771"/>
      <c r="N43" s="771"/>
      <c r="O43" s="771"/>
      <c r="P43" s="771"/>
      <c r="Q43" s="771"/>
      <c r="R43" s="771"/>
      <c r="S43" s="771"/>
    </row>
    <row r="44" spans="1:19">
      <c r="A44" s="733"/>
      <c r="B44" s="219" t="s">
        <v>86</v>
      </c>
      <c r="C44" s="778" t="e" cm="1">
        <f t="array" aca="1" ref="C44" ca="1">MAX(IF(TradesEquity!$E$11:$E$480='Pre-check SELL'!$B$20,TradesEquity!$B$11:$B$480))</f>
        <v>#NAME?</v>
      </c>
      <c r="D44" s="737"/>
      <c r="F44" s="771"/>
      <c r="G44" s="771"/>
      <c r="H44" s="771"/>
      <c r="I44" s="771"/>
      <c r="J44" s="771"/>
      <c r="K44" s="771"/>
      <c r="L44" s="771"/>
      <c r="M44" s="771"/>
      <c r="N44" s="771"/>
      <c r="O44" s="771"/>
      <c r="P44" s="771"/>
      <c r="Q44" s="771"/>
      <c r="R44" s="771"/>
      <c r="S44" s="771"/>
    </row>
    <row r="45" spans="1:19" ht="15.75" customHeight="1">
      <c r="A45" s="733"/>
      <c r="F45" s="771"/>
      <c r="G45" s="771"/>
      <c r="H45" s="771"/>
      <c r="I45" s="771"/>
      <c r="J45" s="771"/>
      <c r="K45" s="771"/>
      <c r="L45" s="771"/>
      <c r="M45" s="771"/>
      <c r="N45" s="771"/>
      <c r="O45" s="771"/>
      <c r="P45" s="771"/>
      <c r="Q45" s="771"/>
      <c r="R45" s="771"/>
      <c r="S45" s="771"/>
    </row>
    <row r="46" spans="1:19">
      <c r="A46" s="1191" t="str">
        <f>IF(C46="STOP",_xludf.Alert(),"")</f>
        <v/>
      </c>
      <c r="C46" s="1193" t="str">
        <f>IF((TODAY())=C44,"STOP","0")</f>
        <v>0</v>
      </c>
      <c r="F46" s="771"/>
      <c r="G46" s="771"/>
      <c r="H46" s="771"/>
      <c r="I46" s="771"/>
      <c r="J46" s="771"/>
      <c r="K46" s="771"/>
      <c r="L46" s="771"/>
      <c r="M46" s="771"/>
      <c r="N46" s="771"/>
      <c r="O46" s="771"/>
      <c r="P46" s="771"/>
      <c r="Q46" s="771"/>
      <c r="R46" s="771"/>
      <c r="S46" s="771"/>
    </row>
    <row r="47" spans="1:19">
      <c r="A47" s="733"/>
      <c r="F47" s="771"/>
      <c r="G47" s="771"/>
      <c r="H47" s="771"/>
      <c r="I47" s="771"/>
      <c r="J47" s="771"/>
      <c r="K47" s="771"/>
      <c r="L47" s="771"/>
      <c r="M47" s="771"/>
      <c r="N47" s="771"/>
      <c r="O47" s="771"/>
      <c r="P47" s="771"/>
      <c r="Q47" s="771"/>
      <c r="R47" s="771"/>
      <c r="S47" s="771"/>
    </row>
    <row r="48" spans="1:19">
      <c r="A48" s="733"/>
      <c r="F48" s="771"/>
      <c r="G48" s="771"/>
      <c r="H48" s="771"/>
      <c r="I48" s="771"/>
      <c r="J48" s="771"/>
      <c r="K48" s="771"/>
      <c r="L48" s="771"/>
      <c r="M48" s="771"/>
      <c r="N48" s="771"/>
      <c r="O48" s="771"/>
      <c r="P48" s="771"/>
      <c r="Q48" s="771"/>
      <c r="R48" s="771"/>
      <c r="S48" s="771"/>
    </row>
    <row r="49" spans="1:19">
      <c r="A49" s="733"/>
      <c r="B49" s="727" t="s">
        <v>83</v>
      </c>
      <c r="F49" s="771"/>
      <c r="G49" s="771"/>
      <c r="H49" s="771"/>
      <c r="I49" s="771"/>
      <c r="J49" s="771"/>
      <c r="K49" s="771"/>
      <c r="L49" s="771"/>
      <c r="M49" s="771"/>
      <c r="N49" s="771"/>
      <c r="O49" s="771"/>
      <c r="P49" s="771"/>
      <c r="Q49" s="771"/>
      <c r="R49" s="771"/>
      <c r="S49" s="771"/>
    </row>
    <row r="50" spans="1:19">
      <c r="A50" s="733"/>
      <c r="B50" s="219" t="s">
        <v>72</v>
      </c>
      <c r="C50" s="781" t="e">
        <f ca="1">_xll.BDP(C19 &amp; " Equity","Volume_Avg_30D")</f>
        <v>#NAME?</v>
      </c>
      <c r="F50" s="771"/>
      <c r="G50" s="771"/>
      <c r="H50" s="771"/>
      <c r="I50" s="771"/>
      <c r="J50" s="771"/>
      <c r="K50" s="771"/>
      <c r="L50" s="771"/>
      <c r="M50" s="771"/>
      <c r="N50" s="771"/>
      <c r="O50" s="771"/>
      <c r="P50" s="771"/>
      <c r="Q50" s="771"/>
      <c r="R50" s="771"/>
      <c r="S50" s="771"/>
    </row>
    <row r="51" spans="1:19">
      <c r="A51" s="733"/>
      <c r="B51" s="219" t="s">
        <v>73</v>
      </c>
      <c r="C51" s="781" t="e">
        <f ca="1">_xll.BDP(C19 &amp; " Equity","Volume_Avg_3M")</f>
        <v>#NAME?</v>
      </c>
      <c r="F51" s="771"/>
      <c r="G51" s="771"/>
      <c r="H51" s="771"/>
      <c r="I51" s="771"/>
      <c r="J51" s="771"/>
      <c r="K51" s="771"/>
      <c r="L51" s="771"/>
      <c r="M51" s="771"/>
      <c r="N51" s="771"/>
      <c r="O51" s="771"/>
      <c r="P51" s="771"/>
      <c r="Q51" s="771"/>
      <c r="R51" s="771"/>
      <c r="S51" s="771"/>
    </row>
    <row r="52" spans="1:19" ht="17.25" customHeight="1">
      <c r="A52" s="733"/>
      <c r="B52" s="219" t="s">
        <v>74</v>
      </c>
      <c r="C52" s="120">
        <v>0.2</v>
      </c>
      <c r="F52" s="771"/>
      <c r="G52" s="771"/>
      <c r="H52" s="771"/>
      <c r="I52" s="771"/>
      <c r="J52" s="771"/>
      <c r="K52" s="771"/>
      <c r="L52" s="771"/>
      <c r="M52" s="771"/>
      <c r="N52" s="771"/>
      <c r="O52" s="771"/>
      <c r="P52" s="771"/>
      <c r="Q52" s="771"/>
      <c r="R52" s="771"/>
      <c r="S52" s="771"/>
    </row>
    <row r="53" spans="1:19">
      <c r="A53" s="733"/>
      <c r="B53" s="219" t="s">
        <v>43</v>
      </c>
      <c r="C53" s="779" t="e">
        <f ca="1">-C24/(C50*C52)</f>
        <v>#NAME?</v>
      </c>
      <c r="D53" s="764"/>
      <c r="F53" s="771"/>
      <c r="G53" s="771"/>
      <c r="H53" s="771"/>
      <c r="I53" s="771"/>
      <c r="J53" s="771"/>
      <c r="K53" s="771"/>
      <c r="L53" s="771"/>
      <c r="M53" s="771"/>
      <c r="N53" s="771"/>
      <c r="O53" s="771"/>
      <c r="P53" s="771"/>
      <c r="Q53" s="771"/>
      <c r="R53" s="771"/>
      <c r="S53" s="771"/>
    </row>
    <row r="54" spans="1:19" ht="15" thickBot="1">
      <c r="A54" s="733"/>
      <c r="B54" s="726"/>
      <c r="C54" s="793" t="str">
        <f>IFERROR(IF(AQ28&gt;1,"ONGOING",""),"")</f>
        <v/>
      </c>
      <c r="F54" s="771"/>
      <c r="G54" s="771"/>
      <c r="H54" s="771"/>
      <c r="I54" s="771"/>
      <c r="J54" s="771"/>
      <c r="K54" s="771"/>
      <c r="L54" s="771"/>
      <c r="M54" s="771"/>
      <c r="N54" s="771"/>
      <c r="O54" s="771"/>
      <c r="P54" s="771"/>
      <c r="Q54" s="771"/>
      <c r="R54" s="771"/>
      <c r="S54" s="771"/>
    </row>
    <row r="55" spans="1:19" ht="15" thickBot="1">
      <c r="A55" s="733"/>
      <c r="B55" s="722" t="s">
        <v>33</v>
      </c>
      <c r="C55" s="117" t="s">
        <v>1725</v>
      </c>
      <c r="D55" s="794" t="str">
        <f>IF(C55&lt;&gt;"Not Specified","OK","")</f>
        <v>OK</v>
      </c>
      <c r="F55" s="771"/>
      <c r="G55" s="771"/>
      <c r="H55" s="771"/>
      <c r="I55" s="771"/>
      <c r="J55" s="771"/>
      <c r="K55" s="771"/>
      <c r="L55" s="771"/>
      <c r="M55" s="771"/>
      <c r="N55" s="771"/>
      <c r="O55" s="771"/>
      <c r="P55" s="771"/>
      <c r="Q55" s="771"/>
      <c r="R55" s="771"/>
      <c r="S55" s="771"/>
    </row>
    <row r="56" spans="1:19">
      <c r="A56" s="733"/>
      <c r="F56" s="771"/>
      <c r="G56" s="771"/>
      <c r="H56" s="771"/>
      <c r="I56" s="771"/>
      <c r="J56" s="771"/>
      <c r="K56" s="771"/>
      <c r="L56" s="771"/>
      <c r="M56" s="771"/>
      <c r="N56" s="771"/>
      <c r="O56" s="771"/>
      <c r="P56" s="771"/>
      <c r="Q56" s="771"/>
      <c r="R56" s="771"/>
      <c r="S56" s="771"/>
    </row>
    <row r="57" spans="1:19">
      <c r="A57" s="733"/>
    </row>
    <row r="58" spans="1:19" ht="19.5" customHeight="1">
      <c r="A58" s="733"/>
    </row>
    <row r="59" spans="1:19">
      <c r="A59" s="733"/>
    </row>
    <row r="60" spans="1:19" ht="30" customHeight="1">
      <c r="A60" s="733"/>
    </row>
    <row r="61" spans="1:19">
      <c r="A61" s="733"/>
    </row>
    <row r="62" spans="1:19">
      <c r="A62" s="733"/>
    </row>
    <row r="63" spans="1:19">
      <c r="A63" s="733"/>
    </row>
    <row r="64" spans="1:19">
      <c r="A64" s="733"/>
    </row>
    <row r="65" spans="1:4">
      <c r="A65" s="733"/>
    </row>
    <row r="66" spans="1:4">
      <c r="A66" s="733"/>
    </row>
    <row r="67" spans="1:4" ht="15" thickBot="1">
      <c r="A67" s="733"/>
    </row>
    <row r="68" spans="1:4" ht="15" thickBot="1">
      <c r="A68" s="733"/>
      <c r="B68" s="722" t="s">
        <v>69</v>
      </c>
      <c r="C68" s="673" t="s">
        <v>2241</v>
      </c>
    </row>
    <row r="69" spans="1:4">
      <c r="A69" s="733"/>
      <c r="C69" s="778" t="e">
        <f ca="1">_xll.BDP(C68 &amp; " ISIN","SECURITY_NAME")</f>
        <v>#NAME?</v>
      </c>
    </row>
    <row r="70" spans="1:4">
      <c r="A70" s="733"/>
    </row>
    <row r="71" spans="1:4">
      <c r="A71" s="733"/>
      <c r="B71" s="219" t="s">
        <v>63</v>
      </c>
      <c r="C71" s="627">
        <f>VLOOKUP(C68,PosAggregate!A88:AB277,12,FALSE)</f>
        <v>0</v>
      </c>
    </row>
    <row r="72" spans="1:4" ht="15" thickBot="1">
      <c r="A72" s="733"/>
    </row>
    <row r="73" spans="1:4" ht="15" thickBot="1">
      <c r="A73" s="733"/>
      <c r="B73" s="728" t="s">
        <v>64</v>
      </c>
      <c r="C73" s="118">
        <v>1</v>
      </c>
    </row>
    <row r="74" spans="1:4">
      <c r="A74" s="733"/>
      <c r="C74" s="1180"/>
    </row>
    <row r="75" spans="1:4">
      <c r="A75" s="733"/>
      <c r="B75" s="723" t="s">
        <v>106</v>
      </c>
      <c r="C75" s="1194">
        <f>-C71*C73</f>
        <v>0</v>
      </c>
    </row>
    <row r="76" spans="1:4" ht="3" customHeight="1">
      <c r="A76" s="733"/>
      <c r="C76" s="762"/>
    </row>
    <row r="77" spans="1:4">
      <c r="A77" s="733"/>
      <c r="B77" s="729" t="s">
        <v>85</v>
      </c>
      <c r="C77" s="1195" t="e">
        <f ca="1">_xll.BDP(C68 &amp; " ISIN","MIN_PIECE")</f>
        <v>#NAME?</v>
      </c>
      <c r="D77" s="773"/>
    </row>
    <row r="78" spans="1:4">
      <c r="A78" s="733"/>
      <c r="B78" s="726"/>
    </row>
    <row r="79" spans="1:4">
      <c r="A79" s="733"/>
    </row>
    <row r="80" spans="1:4">
      <c r="A80" s="733"/>
      <c r="B80" s="219" t="s">
        <v>66</v>
      </c>
      <c r="C80" s="1196" t="e">
        <f ca="1">_xll.BDP(C68 &amp; " ISIN","PX_LAST")</f>
        <v>#NAME?</v>
      </c>
      <c r="D80" s="769"/>
    </row>
    <row r="81" spans="1:5">
      <c r="A81" s="733"/>
      <c r="B81" s="219" t="s">
        <v>24</v>
      </c>
      <c r="C81" s="1196" t="e">
        <f ca="1">_xll.BDP(C68 &amp; " ISIN","Crncy")</f>
        <v>#NAME?</v>
      </c>
    </row>
    <row r="82" spans="1:5">
      <c r="A82" s="733"/>
      <c r="B82" s="724" t="s">
        <v>89</v>
      </c>
      <c r="C82" s="1196" t="e">
        <f ca="1">("EUR"&amp;C81&amp; " Curncy")</f>
        <v>#NAME?</v>
      </c>
    </row>
    <row r="83" spans="1:5">
      <c r="A83" s="733"/>
      <c r="B83" s="724" t="s">
        <v>90</v>
      </c>
      <c r="C83" s="1196" t="e">
        <f ca="1">IF(C81="EUR",1,IF(C81="GBp",(_xll.BDP(C82,"PX LAST")*100),_xll.BDP(C82,"PX LAST")))</f>
        <v>#NAME?</v>
      </c>
      <c r="E83" s="1181"/>
    </row>
    <row r="84" spans="1:5">
      <c r="A84" s="733"/>
      <c r="B84" s="219" t="s">
        <v>114</v>
      </c>
      <c r="C84" s="645" t="e">
        <f ca="1">_xll.BDP(C68 &amp; " ISIN","DAYS_ACC")</f>
        <v>#NAME?</v>
      </c>
      <c r="E84" s="1181"/>
    </row>
    <row r="85" spans="1:5">
      <c r="A85" s="733"/>
      <c r="B85" s="219" t="s">
        <v>115</v>
      </c>
      <c r="C85" s="646" t="e">
        <f ca="1">_xll.BDP(C68 &amp; " ISIN","DAYS_ACC")</f>
        <v>#NAME?</v>
      </c>
      <c r="E85" s="1181"/>
    </row>
    <row r="86" spans="1:5" ht="15" thickBot="1">
      <c r="A86" s="733"/>
      <c r="B86" s="219" t="s">
        <v>48</v>
      </c>
      <c r="C86" s="1197" t="e">
        <f ca="1">+C75*C85/100</f>
        <v>#NAME?</v>
      </c>
      <c r="E86" s="1181"/>
    </row>
    <row r="87" spans="1:5" ht="15" thickBot="1">
      <c r="A87" s="733"/>
      <c r="B87" s="725" t="s">
        <v>156</v>
      </c>
      <c r="C87" s="1192" t="e">
        <f ca="1">-C75*C80/C83/100+C86</f>
        <v>#NAME?</v>
      </c>
    </row>
    <row r="88" spans="1:5">
      <c r="A88" s="1191" t="e">
        <f ca="1">IF(C88&gt;2%,_xludf.Alert(),"")</f>
        <v>#NAME?</v>
      </c>
      <c r="B88" s="726" t="s">
        <v>68</v>
      </c>
      <c r="C88" s="788" t="e">
        <f ca="1">-C87/K9</f>
        <v>#NAME?</v>
      </c>
    </row>
    <row r="89" spans="1:5">
      <c r="A89" s="733"/>
    </row>
    <row r="90" spans="1:5">
      <c r="A90" s="733"/>
    </row>
    <row r="91" spans="1:5">
      <c r="A91" s="733"/>
      <c r="B91" s="727" t="s">
        <v>78</v>
      </c>
    </row>
    <row r="92" spans="1:5">
      <c r="A92" s="733"/>
      <c r="B92" s="219" t="s">
        <v>70</v>
      </c>
      <c r="C92" s="790">
        <f>PosAggregate!K242</f>
        <v>0</v>
      </c>
      <c r="D92" s="730" t="s">
        <v>1119</v>
      </c>
    </row>
    <row r="93" spans="1:5">
      <c r="A93" s="1191" t="e">
        <f ca="1">IF(C93&gt;15%,_xludf.Alert(),"")</f>
        <v>#NAME?</v>
      </c>
      <c r="B93" s="219" t="s">
        <v>71</v>
      </c>
      <c r="C93" s="792" t="e">
        <f ca="1">+C92+C88</f>
        <v>#NAME?</v>
      </c>
    </row>
    <row r="94" spans="1:5">
      <c r="C94" s="760"/>
    </row>
    <row r="95" spans="1:5">
      <c r="B95" s="727" t="s">
        <v>84</v>
      </c>
    </row>
    <row r="96" spans="1:5">
      <c r="B96" s="219" t="s">
        <v>76</v>
      </c>
      <c r="C96" s="790" t="e">
        <f ca="1">+PosAggregate!K162</f>
        <v>#NAME?</v>
      </c>
    </row>
    <row r="97" spans="1:4">
      <c r="A97" s="1182"/>
      <c r="B97" s="219" t="s">
        <v>77</v>
      </c>
      <c r="C97" s="790" t="e">
        <f ca="1">+C96-C88</f>
        <v>#NAME?</v>
      </c>
      <c r="D97" s="1183"/>
    </row>
    <row r="98" spans="1:4">
      <c r="A98" s="1191" t="str">
        <f>IF(C98&lt;43%,_xludf.Alert(),"")</f>
        <v/>
      </c>
      <c r="B98" s="219" t="s">
        <v>105</v>
      </c>
      <c r="C98" s="731">
        <v>0.45</v>
      </c>
      <c r="D98" s="732" t="s">
        <v>1120</v>
      </c>
    </row>
    <row r="99" spans="1:4">
      <c r="A99" s="733"/>
    </row>
    <row r="100" spans="1:4">
      <c r="A100" s="733"/>
      <c r="B100" s="727" t="s">
        <v>82</v>
      </c>
    </row>
    <row r="101" spans="1:4">
      <c r="A101" s="733"/>
      <c r="B101" s="219" t="s">
        <v>86</v>
      </c>
      <c r="C101" s="778">
        <f t="array" ref="C101">MAX(IF(TradesBond!D11:D65='Pre-check SELL'!$C$68,TradesBond!A11:A65))</f>
        <v>44491</v>
      </c>
    </row>
    <row r="102" spans="1:4">
      <c r="A102" s="1191" t="str">
        <f>IF(C102="STOP",_xludf.Alert(),"")</f>
        <v/>
      </c>
      <c r="C102" s="778" t="str">
        <f>IF((TODAY())=C101,"STOP","0")</f>
        <v>0</v>
      </c>
    </row>
    <row r="103" spans="1:4" ht="15" thickBot="1">
      <c r="A103" s="733"/>
    </row>
    <row r="104" spans="1:4" ht="15" thickBot="1">
      <c r="A104" s="733"/>
      <c r="B104" s="722" t="s">
        <v>33</v>
      </c>
      <c r="C104" s="117" t="s">
        <v>1153</v>
      </c>
      <c r="D104" s="794" t="str">
        <f>IF(C104&lt;&gt;"Not Specified","OK","")</f>
        <v>OK</v>
      </c>
    </row>
    <row r="105" spans="1:4">
      <c r="A105" s="733"/>
    </row>
    <row r="106" spans="1:4">
      <c r="A106" s="733"/>
    </row>
    <row r="107" spans="1:4">
      <c r="A107" s="733"/>
    </row>
    <row r="108" spans="1:4">
      <c r="A108" s="733"/>
    </row>
    <row r="109" spans="1:4">
      <c r="A109" s="733"/>
    </row>
    <row r="110" spans="1:4">
      <c r="A110" s="733"/>
    </row>
    <row r="111" spans="1:4">
      <c r="A111" s="733"/>
    </row>
    <row r="112" spans="1:4">
      <c r="A112" s="733"/>
    </row>
    <row r="113" spans="1:4">
      <c r="A113" s="733"/>
    </row>
    <row r="114" spans="1:4">
      <c r="A114" s="733"/>
    </row>
    <row r="115" spans="1:4" ht="15" thickBot="1">
      <c r="A115" s="733"/>
    </row>
    <row r="116" spans="1:4" ht="15" thickBot="1">
      <c r="A116" s="733"/>
      <c r="B116" s="722" t="s">
        <v>69</v>
      </c>
      <c r="C116" s="121"/>
    </row>
    <row r="117" spans="1:4">
      <c r="A117" s="733"/>
      <c r="C117" s="778" t="str">
        <f>_xll.BDP(C116 &amp; " ISIN","SECURITY_NAME")</f>
        <v>#N/A Invalid Security</v>
      </c>
    </row>
    <row r="118" spans="1:4">
      <c r="A118" s="733"/>
    </row>
    <row r="119" spans="1:4">
      <c r="A119" s="733"/>
      <c r="B119" s="219" t="s">
        <v>63</v>
      </c>
      <c r="C119" s="1198">
        <f>VLOOKUP(C116,PosAggregate!A142:AB300,12,FALSE)</f>
        <v>0</v>
      </c>
    </row>
    <row r="120" spans="1:4" ht="15" thickBot="1">
      <c r="A120" s="733"/>
    </row>
    <row r="121" spans="1:4" ht="15" thickBot="1">
      <c r="A121" s="733"/>
      <c r="B121" s="728" t="s">
        <v>64</v>
      </c>
      <c r="C121" s="118"/>
    </row>
    <row r="122" spans="1:4">
      <c r="A122" s="733"/>
      <c r="C122" s="1180"/>
    </row>
    <row r="123" spans="1:4">
      <c r="A123" s="733"/>
      <c r="B123" s="723" t="s">
        <v>65</v>
      </c>
      <c r="C123" s="1199">
        <f>-C119*C121</f>
        <v>0</v>
      </c>
    </row>
    <row r="124" spans="1:4">
      <c r="A124" s="733"/>
    </row>
    <row r="125" spans="1:4">
      <c r="A125" s="733"/>
      <c r="B125" s="219" t="s">
        <v>66</v>
      </c>
      <c r="C125" s="779" t="str">
        <f>_xll.BDP(C121 &amp; " ISIN","PX_LAST")</f>
        <v>#N/A Invalid Security</v>
      </c>
      <c r="D125" s="769"/>
    </row>
    <row r="126" spans="1:4">
      <c r="A126" s="733"/>
      <c r="B126" s="219" t="s">
        <v>24</v>
      </c>
      <c r="C126" s="778" t="str">
        <f>_xll.BDP($C121 &amp; " ISIN","Crncy")</f>
        <v>#N/A Invalid Security</v>
      </c>
    </row>
    <row r="127" spans="1:4">
      <c r="A127" s="733"/>
      <c r="B127" s="724" t="s">
        <v>89</v>
      </c>
      <c r="C127" s="733" t="s">
        <v>2</v>
      </c>
    </row>
    <row r="128" spans="1:4" ht="15" thickBot="1">
      <c r="A128" s="733"/>
      <c r="B128" s="724" t="s">
        <v>90</v>
      </c>
      <c r="C128" s="780" t="str">
        <f>IF(C126="EUR",1,IFERROR((_xll.TR($C$116,"TR.PriceClose(Curn=#1)",,,$C$126)/_xll.TR($C$116,"TR.PriceClose(Curn=#1)",,,$C$127)),""))</f>
        <v/>
      </c>
    </row>
    <row r="129" spans="1:4" ht="15" thickBot="1">
      <c r="A129" s="733"/>
      <c r="B129" s="725" t="s">
        <v>156</v>
      </c>
      <c r="C129" s="1192" t="e">
        <f>-C123*C125/C128</f>
        <v>#VALUE!</v>
      </c>
    </row>
    <row r="130" spans="1:4">
      <c r="A130" s="1191" t="e">
        <f ca="1">IF(C130&gt;2%,_xludf.Alert(),"")</f>
        <v>#VALUE!</v>
      </c>
      <c r="B130" s="726" t="s">
        <v>68</v>
      </c>
      <c r="C130" s="788" t="e">
        <f ca="1">+C129/K9</f>
        <v>#VALUE!</v>
      </c>
    </row>
    <row r="131" spans="1:4">
      <c r="A131" s="733"/>
    </row>
    <row r="132" spans="1:4">
      <c r="A132" s="733"/>
    </row>
    <row r="133" spans="1:4">
      <c r="A133" s="733"/>
      <c r="B133" s="727" t="s">
        <v>78</v>
      </c>
    </row>
    <row r="134" spans="1:4">
      <c r="A134" s="733"/>
      <c r="B134" s="219" t="s">
        <v>70</v>
      </c>
      <c r="C134" s="790" t="e">
        <f ca="1">+PosAggregate!K155</f>
        <v>#NAME?</v>
      </c>
    </row>
    <row r="135" spans="1:4">
      <c r="A135" s="1191" t="e">
        <f ca="1">IF(C135&gt;15%,_xludf.Alert(),"")</f>
        <v>#NAME?</v>
      </c>
      <c r="B135" s="219" t="s">
        <v>71</v>
      </c>
      <c r="C135" s="792" t="e">
        <f ca="1">+C134+C130</f>
        <v>#NAME?</v>
      </c>
      <c r="D135" s="1183"/>
    </row>
    <row r="136" spans="1:4">
      <c r="A136" s="1182"/>
      <c r="C136" s="760"/>
      <c r="D136" s="1183"/>
    </row>
    <row r="137" spans="1:4">
      <c r="A137" s="733"/>
      <c r="C137" s="760"/>
      <c r="D137" s="1183"/>
    </row>
    <row r="138" spans="1:4">
      <c r="A138" s="733"/>
      <c r="B138" s="727" t="s">
        <v>87</v>
      </c>
      <c r="D138" s="1183"/>
    </row>
    <row r="139" spans="1:4">
      <c r="A139" s="733"/>
      <c r="B139" s="219" t="s">
        <v>76</v>
      </c>
      <c r="C139" s="790" t="e">
        <f ca="1">+PosAggregate!K163</f>
        <v>#NAME?</v>
      </c>
      <c r="D139" s="1183"/>
    </row>
    <row r="140" spans="1:4">
      <c r="A140" s="733"/>
      <c r="B140" s="219" t="s">
        <v>77</v>
      </c>
      <c r="C140" s="790" t="e">
        <f ca="1">+C139-C130</f>
        <v>#NAME?</v>
      </c>
    </row>
    <row r="141" spans="1:4">
      <c r="A141" s="733"/>
    </row>
    <row r="142" spans="1:4">
      <c r="A142" s="733"/>
      <c r="B142" s="727" t="s">
        <v>82</v>
      </c>
    </row>
    <row r="143" spans="1:4">
      <c r="A143" s="733"/>
      <c r="B143" s="219" t="s">
        <v>86</v>
      </c>
      <c r="C143" s="778">
        <f t="array" ref="C143">MAX(IF(TradesFundETF!D11:D91='Pre-check SELL'!$C$116,TradesFundETF!A11:A91))</f>
        <v>0</v>
      </c>
    </row>
    <row r="144" spans="1:4">
      <c r="A144" s="1191" t="str">
        <f>IF(C144="STOP",_xludf.Alert(),"")</f>
        <v/>
      </c>
      <c r="C144" s="778" t="str">
        <f>IF((TODAY())=C143,"STOP","0")</f>
        <v>0</v>
      </c>
    </row>
    <row r="145" spans="1:4" ht="15" thickBot="1">
      <c r="A145" s="733"/>
    </row>
    <row r="146" spans="1:4" ht="15" thickBot="1">
      <c r="A146" s="733"/>
      <c r="B146" s="722" t="s">
        <v>33</v>
      </c>
      <c r="C146" s="117" t="s">
        <v>1154</v>
      </c>
      <c r="D146" s="794" t="str">
        <f>IF(C146&lt;&gt;"Not Specified","OK","")</f>
        <v>OK</v>
      </c>
    </row>
    <row r="147" spans="1:4">
      <c r="A147" s="733"/>
    </row>
    <row r="148" spans="1:4">
      <c r="A148" s="733"/>
    </row>
    <row r="149" spans="1:4">
      <c r="A149" s="733"/>
    </row>
    <row r="150" spans="1:4">
      <c r="A150" s="733"/>
    </row>
    <row r="151" spans="1:4">
      <c r="A151" s="733"/>
    </row>
    <row r="152" spans="1:4">
      <c r="A152" s="733"/>
    </row>
    <row r="153" spans="1:4">
      <c r="A153" s="733"/>
    </row>
    <row r="154" spans="1:4">
      <c r="A154" s="733"/>
    </row>
    <row r="155" spans="1:4">
      <c r="A155" s="733"/>
    </row>
    <row r="156" spans="1:4">
      <c r="A156" s="733"/>
    </row>
    <row r="157" spans="1:4">
      <c r="A157" s="733"/>
    </row>
    <row r="158" spans="1:4">
      <c r="A158" s="733"/>
    </row>
    <row r="159" spans="1:4">
      <c r="A159" s="733"/>
    </row>
    <row r="160" spans="1:4">
      <c r="A160" s="733"/>
    </row>
    <row r="161" spans="1:1">
      <c r="A161" s="733"/>
    </row>
    <row r="162" spans="1:1">
      <c r="A162" s="733"/>
    </row>
    <row r="163" spans="1:1">
      <c r="A163" s="733"/>
    </row>
    <row r="164" spans="1:1">
      <c r="A164" s="733"/>
    </row>
    <row r="165" spans="1:1">
      <c r="A165" s="733"/>
    </row>
    <row r="166" spans="1:1">
      <c r="A166" s="733"/>
    </row>
    <row r="167" spans="1:1">
      <c r="A167" s="733"/>
    </row>
    <row r="168" spans="1:1">
      <c r="A168" s="733"/>
    </row>
    <row r="169" spans="1:1">
      <c r="A169" s="733"/>
    </row>
    <row r="170" spans="1:1">
      <c r="A170" s="733"/>
    </row>
    <row r="171" spans="1:1">
      <c r="A171" s="733"/>
    </row>
    <row r="172" spans="1:1">
      <c r="A172" s="733"/>
    </row>
    <row r="173" spans="1:1">
      <c r="A173" s="733"/>
    </row>
    <row r="174" spans="1:1">
      <c r="A174" s="733"/>
    </row>
    <row r="175" spans="1:1">
      <c r="A175" s="733"/>
    </row>
    <row r="176" spans="1:1">
      <c r="A176" s="733"/>
    </row>
    <row r="177" spans="1:1">
      <c r="A177" s="733"/>
    </row>
    <row r="178" spans="1:1">
      <c r="A178" s="733"/>
    </row>
    <row r="179" spans="1:1">
      <c r="A179" s="733"/>
    </row>
    <row r="180" spans="1:1">
      <c r="A180" s="733"/>
    </row>
    <row r="181" spans="1:1">
      <c r="A181" s="733"/>
    </row>
    <row r="182" spans="1:1">
      <c r="A182" s="733"/>
    </row>
    <row r="183" spans="1:1">
      <c r="A183" s="733"/>
    </row>
    <row r="184" spans="1:1">
      <c r="A184" s="733"/>
    </row>
    <row r="185" spans="1:1">
      <c r="A185" s="733"/>
    </row>
    <row r="186" spans="1:1">
      <c r="A186" s="733"/>
    </row>
    <row r="187" spans="1:1">
      <c r="A187" s="733"/>
    </row>
    <row r="188" spans="1:1">
      <c r="A188" s="733"/>
    </row>
    <row r="189" spans="1:1">
      <c r="A189" s="733"/>
    </row>
    <row r="190" spans="1:1">
      <c r="A190" s="733"/>
    </row>
    <row r="191" spans="1:1">
      <c r="A191" s="733"/>
    </row>
    <row r="192" spans="1:1">
      <c r="A192" s="733"/>
    </row>
    <row r="193" spans="1:1">
      <c r="A193" s="733"/>
    </row>
    <row r="194" spans="1:1">
      <c r="A194" s="733"/>
    </row>
    <row r="195" spans="1:1">
      <c r="A195" s="733"/>
    </row>
    <row r="196" spans="1:1">
      <c r="A196" s="733"/>
    </row>
    <row r="197" spans="1:1">
      <c r="A197" s="733"/>
    </row>
    <row r="198" spans="1:1">
      <c r="A198" s="733"/>
    </row>
    <row r="199" spans="1:1">
      <c r="A199" s="733"/>
    </row>
    <row r="200" spans="1:1">
      <c r="A200" s="733"/>
    </row>
    <row r="201" spans="1:1">
      <c r="A201" s="733"/>
    </row>
    <row r="202" spans="1:1">
      <c r="A202" s="733"/>
    </row>
    <row r="203" spans="1:1">
      <c r="A203" s="733"/>
    </row>
    <row r="204" spans="1:1">
      <c r="A204" s="733"/>
    </row>
    <row r="205" spans="1:1">
      <c r="A205" s="733"/>
    </row>
    <row r="206" spans="1:1">
      <c r="A206" s="733"/>
    </row>
    <row r="207" spans="1:1">
      <c r="A207" s="733"/>
    </row>
    <row r="208" spans="1:1">
      <c r="A208" s="733"/>
    </row>
    <row r="209" spans="1:1">
      <c r="A209" s="733"/>
    </row>
    <row r="210" spans="1:1">
      <c r="A210" s="733"/>
    </row>
    <row r="211" spans="1:1">
      <c r="A211" s="733"/>
    </row>
    <row r="212" spans="1:1">
      <c r="A212" s="733"/>
    </row>
    <row r="213" spans="1:1">
      <c r="A213" s="733"/>
    </row>
    <row r="214" spans="1:1">
      <c r="A214" s="733"/>
    </row>
    <row r="215" spans="1:1">
      <c r="A215" s="733"/>
    </row>
    <row r="216" spans="1:1">
      <c r="A216" s="733"/>
    </row>
    <row r="217" spans="1:1">
      <c r="A217" s="733"/>
    </row>
    <row r="218" spans="1:1">
      <c r="A218" s="733"/>
    </row>
    <row r="219" spans="1:1">
      <c r="A219" s="733"/>
    </row>
    <row r="220" spans="1:1">
      <c r="A220" s="733"/>
    </row>
    <row r="221" spans="1:1">
      <c r="A221" s="733"/>
    </row>
    <row r="222" spans="1:1">
      <c r="A222" s="733"/>
    </row>
    <row r="223" spans="1:1">
      <c r="A223" s="733"/>
    </row>
    <row r="224" spans="1:1">
      <c r="A224" s="733"/>
    </row>
    <row r="225" spans="1:1">
      <c r="A225" s="733"/>
    </row>
    <row r="226" spans="1:1">
      <c r="A226" s="733"/>
    </row>
    <row r="227" spans="1:1">
      <c r="A227" s="733"/>
    </row>
    <row r="228" spans="1:1">
      <c r="A228" s="733"/>
    </row>
    <row r="229" spans="1:1">
      <c r="A229" s="733"/>
    </row>
    <row r="230" spans="1:1">
      <c r="A230" s="733"/>
    </row>
    <row r="231" spans="1:1">
      <c r="A231" s="733"/>
    </row>
    <row r="232" spans="1:1">
      <c r="A232" s="733"/>
    </row>
    <row r="233" spans="1:1">
      <c r="A233" s="733"/>
    </row>
    <row r="234" spans="1:1">
      <c r="A234" s="733"/>
    </row>
    <row r="235" spans="1:1">
      <c r="A235" s="733"/>
    </row>
    <row r="236" spans="1:1">
      <c r="A236" s="733"/>
    </row>
    <row r="237" spans="1:1">
      <c r="A237" s="733"/>
    </row>
    <row r="238" spans="1:1">
      <c r="A238" s="733"/>
    </row>
    <row r="239" spans="1:1">
      <c r="A239" s="733"/>
    </row>
    <row r="240" spans="1:1">
      <c r="A240" s="733"/>
    </row>
    <row r="241" spans="1:1">
      <c r="A241" s="733"/>
    </row>
    <row r="242" spans="1:1">
      <c r="A242" s="733"/>
    </row>
    <row r="243" spans="1:1">
      <c r="A243" s="733"/>
    </row>
    <row r="244" spans="1:1">
      <c r="A244" s="733"/>
    </row>
    <row r="245" spans="1:1">
      <c r="A245" s="733"/>
    </row>
    <row r="246" spans="1:1">
      <c r="A246" s="733"/>
    </row>
    <row r="247" spans="1:1">
      <c r="A247" s="733"/>
    </row>
    <row r="248" spans="1:1">
      <c r="A248" s="733"/>
    </row>
    <row r="249" spans="1:1">
      <c r="A249" s="733"/>
    </row>
    <row r="250" spans="1:1">
      <c r="A250" s="733"/>
    </row>
    <row r="251" spans="1:1">
      <c r="A251" s="733"/>
    </row>
    <row r="252" spans="1:1">
      <c r="A252" s="733"/>
    </row>
    <row r="253" spans="1:1">
      <c r="A253" s="733"/>
    </row>
    <row r="254" spans="1:1">
      <c r="A254" s="733"/>
    </row>
    <row r="255" spans="1:1">
      <c r="A255" s="733"/>
    </row>
    <row r="256" spans="1:1">
      <c r="A256" s="733"/>
    </row>
    <row r="257" spans="1:1">
      <c r="A257" s="733"/>
    </row>
    <row r="258" spans="1:1">
      <c r="A258" s="733"/>
    </row>
    <row r="259" spans="1:1">
      <c r="A259" s="733"/>
    </row>
    <row r="260" spans="1:1">
      <c r="A260" s="733"/>
    </row>
    <row r="261" spans="1:1">
      <c r="A261" s="733"/>
    </row>
    <row r="262" spans="1:1">
      <c r="A262" s="733"/>
    </row>
    <row r="263" spans="1:1">
      <c r="A263" s="733"/>
    </row>
    <row r="264" spans="1:1">
      <c r="A264" s="733"/>
    </row>
    <row r="265" spans="1:1">
      <c r="A265" s="733"/>
    </row>
    <row r="266" spans="1:1">
      <c r="A266" s="733"/>
    </row>
    <row r="267" spans="1:1">
      <c r="A267" s="733"/>
    </row>
    <row r="268" spans="1:1">
      <c r="A268" s="733"/>
    </row>
    <row r="269" spans="1:1">
      <c r="A269" s="733"/>
    </row>
    <row r="270" spans="1:1">
      <c r="A270" s="733"/>
    </row>
    <row r="271" spans="1:1">
      <c r="A271" s="733"/>
    </row>
    <row r="272" spans="1:1">
      <c r="A272" s="733"/>
    </row>
    <row r="273" spans="1:1">
      <c r="A273" s="733"/>
    </row>
    <row r="274" spans="1:1">
      <c r="A274" s="733"/>
    </row>
    <row r="275" spans="1:1">
      <c r="A275" s="733"/>
    </row>
    <row r="276" spans="1:1">
      <c r="A276" s="733"/>
    </row>
    <row r="277" spans="1:1">
      <c r="A277" s="733"/>
    </row>
    <row r="278" spans="1:1">
      <c r="A278" s="733"/>
    </row>
    <row r="279" spans="1:1">
      <c r="A279" s="733"/>
    </row>
    <row r="280" spans="1:1">
      <c r="A280" s="733"/>
    </row>
    <row r="281" spans="1:1">
      <c r="A281" s="733"/>
    </row>
    <row r="282" spans="1:1">
      <c r="A282" s="733"/>
    </row>
    <row r="283" spans="1:1">
      <c r="A283" s="733"/>
    </row>
    <row r="284" spans="1:1">
      <c r="A284" s="733"/>
    </row>
    <row r="285" spans="1:1">
      <c r="A285" s="733"/>
    </row>
    <row r="286" spans="1:1">
      <c r="A286" s="733"/>
    </row>
    <row r="287" spans="1:1">
      <c r="A287" s="733"/>
    </row>
    <row r="288" spans="1:1">
      <c r="A288" s="733"/>
    </row>
    <row r="289" spans="1:1">
      <c r="A289" s="733"/>
    </row>
    <row r="290" spans="1:1">
      <c r="A290" s="733"/>
    </row>
    <row r="291" spans="1:1">
      <c r="A291" s="733"/>
    </row>
    <row r="292" spans="1:1">
      <c r="A292" s="733"/>
    </row>
    <row r="293" spans="1:1">
      <c r="A293" s="733"/>
    </row>
    <row r="294" spans="1:1">
      <c r="A294" s="733"/>
    </row>
    <row r="295" spans="1:1">
      <c r="A295" s="733"/>
    </row>
    <row r="296" spans="1:1">
      <c r="A296" s="733"/>
    </row>
    <row r="297" spans="1:1">
      <c r="A297" s="733"/>
    </row>
    <row r="298" spans="1:1">
      <c r="A298" s="733"/>
    </row>
    <row r="299" spans="1:1">
      <c r="A299" s="733"/>
    </row>
    <row r="300" spans="1:1">
      <c r="A300" s="733"/>
    </row>
    <row r="301" spans="1:1">
      <c r="A301" s="733"/>
    </row>
    <row r="302" spans="1:1">
      <c r="A302" s="733"/>
    </row>
    <row r="303" spans="1:1">
      <c r="A303" s="733"/>
    </row>
    <row r="304" spans="1:1">
      <c r="A304" s="733"/>
    </row>
    <row r="305" spans="1:1">
      <c r="A305" s="733"/>
    </row>
    <row r="306" spans="1:1">
      <c r="A306" s="733"/>
    </row>
    <row r="307" spans="1:1">
      <c r="A307" s="733"/>
    </row>
    <row r="308" spans="1:1">
      <c r="A308" s="733"/>
    </row>
    <row r="309" spans="1:1">
      <c r="A309" s="733"/>
    </row>
    <row r="310" spans="1:1">
      <c r="A310" s="733"/>
    </row>
    <row r="311" spans="1:1">
      <c r="A311" s="733"/>
    </row>
    <row r="312" spans="1:1">
      <c r="A312" s="733"/>
    </row>
    <row r="313" spans="1:1">
      <c r="A313" s="733"/>
    </row>
    <row r="314" spans="1:1">
      <c r="A314" s="733"/>
    </row>
    <row r="315" spans="1:1">
      <c r="A315" s="733"/>
    </row>
    <row r="316" spans="1:1">
      <c r="A316" s="733"/>
    </row>
    <row r="317" spans="1:1">
      <c r="A317" s="733"/>
    </row>
    <row r="318" spans="1:1">
      <c r="A318" s="733"/>
    </row>
    <row r="319" spans="1:1">
      <c r="A319" s="733"/>
    </row>
    <row r="320" spans="1:1">
      <c r="A320" s="733"/>
    </row>
    <row r="321" spans="1:1">
      <c r="A321" s="733"/>
    </row>
    <row r="322" spans="1:1">
      <c r="A322" s="733"/>
    </row>
    <row r="323" spans="1:1">
      <c r="A323" s="733"/>
    </row>
    <row r="324" spans="1:1">
      <c r="A324" s="733"/>
    </row>
    <row r="325" spans="1:1">
      <c r="A325" s="733"/>
    </row>
    <row r="326" spans="1:1">
      <c r="A326" s="733"/>
    </row>
    <row r="327" spans="1:1">
      <c r="A327" s="733"/>
    </row>
    <row r="328" spans="1:1">
      <c r="A328" s="733"/>
    </row>
    <row r="329" spans="1:1">
      <c r="A329" s="733"/>
    </row>
    <row r="330" spans="1:1">
      <c r="A330" s="733"/>
    </row>
    <row r="331" spans="1:1">
      <c r="A331" s="733"/>
    </row>
    <row r="332" spans="1:1">
      <c r="A332" s="733"/>
    </row>
    <row r="333" spans="1:1">
      <c r="A333" s="733"/>
    </row>
    <row r="334" spans="1:1">
      <c r="A334" s="733"/>
    </row>
    <row r="335" spans="1:1">
      <c r="A335" s="733"/>
    </row>
    <row r="336" spans="1:1">
      <c r="A336" s="733"/>
    </row>
    <row r="337" spans="1:1">
      <c r="A337" s="733"/>
    </row>
    <row r="338" spans="1:1">
      <c r="A338" s="733"/>
    </row>
    <row r="339" spans="1:1">
      <c r="A339" s="733"/>
    </row>
    <row r="340" spans="1:1">
      <c r="A340" s="733"/>
    </row>
    <row r="341" spans="1:1">
      <c r="A341" s="733"/>
    </row>
    <row r="342" spans="1:1">
      <c r="A342" s="733"/>
    </row>
    <row r="343" spans="1:1">
      <c r="A343" s="733"/>
    </row>
    <row r="344" spans="1:1">
      <c r="A344" s="733"/>
    </row>
    <row r="345" spans="1:1">
      <c r="A345" s="733"/>
    </row>
    <row r="346" spans="1:1">
      <c r="A346" s="733"/>
    </row>
    <row r="347" spans="1:1">
      <c r="A347" s="733"/>
    </row>
    <row r="348" spans="1:1">
      <c r="A348" s="733"/>
    </row>
    <row r="349" spans="1:1">
      <c r="A349" s="733"/>
    </row>
    <row r="350" spans="1:1">
      <c r="A350" s="733"/>
    </row>
    <row r="351" spans="1:1">
      <c r="A351" s="733"/>
    </row>
    <row r="352" spans="1:1">
      <c r="A352" s="733"/>
    </row>
    <row r="353" spans="1:1">
      <c r="A353" s="733"/>
    </row>
    <row r="354" spans="1:1">
      <c r="A354" s="733"/>
    </row>
    <row r="355" spans="1:1">
      <c r="A355" s="733"/>
    </row>
    <row r="356" spans="1:1">
      <c r="A356" s="733"/>
    </row>
    <row r="357" spans="1:1">
      <c r="A357" s="733"/>
    </row>
    <row r="358" spans="1:1">
      <c r="A358" s="733"/>
    </row>
    <row r="359" spans="1:1">
      <c r="A359" s="733"/>
    </row>
    <row r="360" spans="1:1">
      <c r="A360" s="733"/>
    </row>
    <row r="361" spans="1:1">
      <c r="A361" s="733"/>
    </row>
    <row r="362" spans="1:1">
      <c r="A362" s="733"/>
    </row>
    <row r="363" spans="1:1">
      <c r="A363" s="733"/>
    </row>
    <row r="364" spans="1:1">
      <c r="A364" s="733"/>
    </row>
    <row r="365" spans="1:1">
      <c r="A365" s="733"/>
    </row>
    <row r="366" spans="1:1">
      <c r="A366" s="733"/>
    </row>
    <row r="367" spans="1:1">
      <c r="A367" s="733"/>
    </row>
    <row r="368" spans="1:1">
      <c r="A368" s="733"/>
    </row>
    <row r="369" spans="1:1">
      <c r="A369" s="733"/>
    </row>
    <row r="370" spans="1:1">
      <c r="A370" s="733"/>
    </row>
    <row r="371" spans="1:1">
      <c r="A371" s="733"/>
    </row>
    <row r="372" spans="1:1">
      <c r="A372" s="733"/>
    </row>
    <row r="373" spans="1:1">
      <c r="A373" s="733"/>
    </row>
    <row r="374" spans="1:1">
      <c r="A374" s="733"/>
    </row>
    <row r="375" spans="1:1">
      <c r="A375" s="733"/>
    </row>
    <row r="376" spans="1:1">
      <c r="A376" s="733"/>
    </row>
    <row r="377" spans="1:1">
      <c r="A377" s="733"/>
    </row>
  </sheetData>
  <sheetProtection sheet="1" objects="1" scenarios="1"/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407" priority="11" operator="notContains" text="OK">
      <formula>ISERROR(SEARCH("OK",D55))</formula>
    </cfRule>
    <cfRule type="containsText" dxfId="406" priority="12" operator="containsText" text="OK">
      <formula>NOT(ISERROR(SEARCH("OK",D55)))</formula>
    </cfRule>
  </conditionalFormatting>
  <conditionalFormatting sqref="D104">
    <cfRule type="notContainsText" dxfId="405" priority="9" operator="notContains" text="OK">
      <formula>ISERROR(SEARCH("OK",D104))</formula>
    </cfRule>
    <cfRule type="containsText" dxfId="404" priority="10" operator="containsText" text="OK">
      <formula>NOT(ISERROR(SEARCH("OK",D104)))</formula>
    </cfRule>
  </conditionalFormatting>
  <conditionalFormatting sqref="D146">
    <cfRule type="notContainsText" dxfId="403" priority="7" operator="notContains" text="OK">
      <formula>ISERROR(SEARCH("OK",D146))</formula>
    </cfRule>
    <cfRule type="containsText" dxfId="402" priority="8" operator="containsText" text="OK">
      <formula>NOT(ISERROR(SEARCH("OK",D146)))</formula>
    </cfRule>
  </conditionalFormatting>
  <conditionalFormatting sqref="D24">
    <cfRule type="containsText" dxfId="401" priority="6" operator="containsText" text="OK">
      <formula>NOT(ISERROR(SEARCH("OK",D24)))</formula>
    </cfRule>
  </conditionalFormatting>
  <dataValidations count="2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58EA7DF-036F-48E4-82FF-95A34B34BF06}">
          <x14:formula1>
            <xm:f>'Pre-Check BUY'!$E$71:$E$73</xm:f>
          </x14:formula1>
          <xm:sqref>C52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CD0ED-4077-45E5-A284-79CA4B7B640E}">
  <sheetPr codeName="Foglio15"/>
  <dimension ref="A1:A3"/>
  <sheetViews>
    <sheetView tabSelected="1" workbookViewId="0">
      <selection activeCell="D7" sqref="D7"/>
    </sheetView>
  </sheetViews>
  <sheetFormatPr defaultRowHeight="14.5"/>
  <sheetData>
    <row r="1" spans="1:1">
      <c r="A1" s="106" t="str">
        <f>Test_LateBinding('Pre-check SELL'!C24)</f>
        <v>{}</v>
      </c>
    </row>
    <row r="3" spans="1:1">
      <c r="A3" s="106">
        <f>Test2('Pre-check SELL'!C24)</f>
        <v>-10000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topLeftCell="E1" zoomScaleNormal="100" workbookViewId="0">
      <selection activeCell="J17" sqref="J17"/>
    </sheetView>
  </sheetViews>
  <sheetFormatPr defaultColWidth="9" defaultRowHeight="13" outlineLevelCol="1"/>
  <cols>
    <col min="1" max="1" width="12.54296875" style="701" customWidth="1"/>
    <col min="2" max="2" width="13.54296875" style="701" customWidth="1"/>
    <col min="3" max="3" width="12.81640625" style="701" hidden="1" customWidth="1" outlineLevel="1"/>
    <col min="4" max="4" width="15.26953125" style="701" customWidth="1" collapsed="1"/>
    <col min="5" max="5" width="14.26953125" style="827" customWidth="1"/>
    <col min="6" max="6" width="27.26953125" style="827" customWidth="1"/>
    <col min="7" max="7" width="25.81640625" style="827" bestFit="1" customWidth="1"/>
    <col min="8" max="8" width="9.26953125" style="827" bestFit="1" customWidth="1"/>
    <col min="9" max="9" width="12.7265625" style="827" bestFit="1" customWidth="1"/>
    <col min="10" max="10" width="18.81640625" style="827" customWidth="1"/>
    <col min="11" max="11" width="16.26953125" style="827" customWidth="1"/>
    <col min="12" max="12" width="11.81640625" style="827" customWidth="1"/>
    <col min="13" max="13" width="12.26953125" style="827" customWidth="1"/>
    <col min="14" max="14" width="12" style="827" bestFit="1" customWidth="1"/>
    <col min="15" max="15" width="18.54296875" style="827" customWidth="1"/>
    <col min="16" max="16" width="9" style="920" customWidth="1"/>
    <col min="17" max="17" width="18.26953125" style="827" customWidth="1"/>
    <col min="18" max="18" width="16" style="827" customWidth="1"/>
    <col min="19" max="19" width="12" style="701" customWidth="1"/>
    <col min="20" max="20" width="13" style="1173" customWidth="1"/>
    <col min="21" max="21" width="9" style="827"/>
    <col min="22" max="22" width="9" style="926"/>
    <col min="23" max="23" width="9" style="701"/>
    <col min="24" max="25" width="9.54296875" style="701" bestFit="1" customWidth="1"/>
    <col min="26" max="31" width="9" style="827"/>
    <col min="32" max="47" width="9" style="670"/>
    <col min="48" max="16384" width="9" style="827"/>
  </cols>
  <sheetData>
    <row r="1" spans="1:31" s="670" customFormat="1">
      <c r="A1" s="664"/>
      <c r="B1" s="664"/>
      <c r="D1" s="664"/>
      <c r="M1" s="664"/>
      <c r="N1" s="664"/>
      <c r="O1" s="664"/>
      <c r="P1" s="736"/>
      <c r="Q1" s="664"/>
      <c r="T1" s="1143"/>
      <c r="V1" s="736"/>
      <c r="W1" s="664"/>
      <c r="X1" s="664"/>
      <c r="Y1" s="664"/>
    </row>
    <row r="2" spans="1:31" s="670" customFormat="1">
      <c r="A2" s="664"/>
      <c r="B2" s="664"/>
      <c r="D2" s="664"/>
      <c r="M2" s="664"/>
      <c r="N2" s="664"/>
      <c r="O2" s="664"/>
      <c r="P2" s="736"/>
      <c r="Q2" s="664"/>
      <c r="T2" s="1143"/>
      <c r="V2" s="736"/>
      <c r="W2" s="664"/>
      <c r="X2" s="664"/>
      <c r="Y2" s="664"/>
    </row>
    <row r="3" spans="1:31" s="670" customFormat="1">
      <c r="A3" s="664"/>
      <c r="B3" s="664"/>
      <c r="D3" s="664"/>
      <c r="M3" s="664"/>
      <c r="N3" s="664"/>
      <c r="O3" s="664"/>
      <c r="P3" s="736"/>
      <c r="Q3" s="664"/>
      <c r="T3" s="1143"/>
      <c r="V3" s="736"/>
      <c r="W3" s="664"/>
      <c r="X3" s="664"/>
      <c r="Y3" s="664"/>
    </row>
    <row r="4" spans="1:31" s="670" customFormat="1">
      <c r="A4" s="664"/>
      <c r="B4" s="664"/>
      <c r="D4" s="664"/>
      <c r="M4" s="664"/>
      <c r="N4" s="664"/>
      <c r="O4" s="664"/>
      <c r="P4" s="736"/>
      <c r="Q4" s="664"/>
      <c r="T4" s="1143"/>
      <c r="V4" s="736"/>
      <c r="W4" s="664"/>
      <c r="X4" s="664"/>
      <c r="Y4" s="664"/>
    </row>
    <row r="5" spans="1:31" s="670" customFormat="1">
      <c r="A5" s="664"/>
      <c r="B5" s="664"/>
      <c r="D5" s="664"/>
      <c r="M5" s="664"/>
      <c r="N5" s="664"/>
      <c r="O5" s="664"/>
      <c r="P5" s="736"/>
      <c r="Q5" s="664"/>
      <c r="T5" s="1143"/>
      <c r="V5" s="736"/>
      <c r="W5" s="664"/>
      <c r="X5" s="664"/>
      <c r="Y5" s="664"/>
    </row>
    <row r="6" spans="1:31">
      <c r="A6" s="664"/>
      <c r="B6" s="664"/>
      <c r="C6" s="664"/>
      <c r="D6" s="664"/>
      <c r="E6" s="670"/>
      <c r="F6" s="670"/>
      <c r="G6" s="670"/>
      <c r="H6" s="670"/>
      <c r="I6" s="670"/>
      <c r="J6" s="670"/>
      <c r="K6" s="670"/>
      <c r="L6" s="670"/>
      <c r="M6" s="670"/>
      <c r="N6" s="670"/>
      <c r="O6" s="670"/>
      <c r="P6" s="734"/>
      <c r="Q6" s="670"/>
      <c r="R6" s="670"/>
      <c r="S6" s="664"/>
      <c r="T6" s="1143"/>
      <c r="U6" s="670"/>
      <c r="V6" s="736"/>
      <c r="W6" s="664"/>
      <c r="X6" s="664"/>
      <c r="Y6" s="664"/>
      <c r="Z6" s="670"/>
      <c r="AA6" s="670"/>
      <c r="AB6" s="670"/>
      <c r="AC6" s="670"/>
      <c r="AD6" s="670"/>
      <c r="AE6" s="670"/>
    </row>
    <row r="7" spans="1:31">
      <c r="A7" s="664"/>
      <c r="B7" s="664"/>
      <c r="C7" s="664"/>
      <c r="D7" s="664"/>
      <c r="E7" s="670"/>
      <c r="F7" s="670"/>
      <c r="G7" s="670"/>
      <c r="H7" s="670"/>
      <c r="I7" s="670"/>
      <c r="J7" s="670"/>
      <c r="K7" s="670"/>
      <c r="L7" s="670"/>
      <c r="M7" s="670"/>
      <c r="N7" s="670"/>
      <c r="O7" s="670"/>
      <c r="P7" s="734"/>
      <c r="Q7" s="670"/>
      <c r="R7" s="670"/>
      <c r="S7" s="664"/>
      <c r="T7" s="1143"/>
      <c r="U7" s="670"/>
      <c r="V7" s="736"/>
      <c r="W7" s="664"/>
      <c r="X7" s="664"/>
      <c r="Y7" s="664"/>
      <c r="Z7" s="670"/>
      <c r="AA7" s="670"/>
      <c r="AB7" s="670"/>
      <c r="AC7" s="670"/>
      <c r="AD7" s="670"/>
      <c r="AE7" s="670"/>
    </row>
    <row r="8" spans="1:31">
      <c r="A8" s="664"/>
      <c r="B8" s="664"/>
      <c r="C8" s="664"/>
      <c r="D8" s="664"/>
      <c r="E8" s="664"/>
      <c r="F8" s="670"/>
      <c r="G8" s="664"/>
      <c r="H8" s="664"/>
      <c r="I8" s="952"/>
      <c r="J8" s="664"/>
      <c r="K8" s="664"/>
      <c r="L8" s="664"/>
      <c r="M8" s="664"/>
      <c r="N8" s="664"/>
      <c r="O8" s="664"/>
      <c r="P8" s="736"/>
      <c r="Q8" s="664"/>
      <c r="R8" s="664"/>
      <c r="S8" s="664"/>
      <c r="T8" s="1144"/>
      <c r="U8" s="831"/>
      <c r="V8" s="1145"/>
      <c r="W8" s="831"/>
      <c r="X8" s="831"/>
      <c r="Y8" s="831"/>
      <c r="Z8" s="670"/>
      <c r="AA8" s="670"/>
      <c r="AB8" s="670"/>
      <c r="AC8" s="670"/>
      <c r="AD8" s="670"/>
      <c r="AE8" s="670"/>
    </row>
    <row r="9" spans="1:31">
      <c r="A9" s="664"/>
      <c r="B9" s="664"/>
      <c r="C9" s="841"/>
      <c r="D9" s="664"/>
      <c r="E9" s="664"/>
      <c r="F9" s="670"/>
      <c r="G9" s="664"/>
      <c r="H9" s="670"/>
      <c r="I9" s="1146"/>
      <c r="J9" s="1147"/>
      <c r="K9" s="670"/>
      <c r="L9" s="670"/>
      <c r="M9" s="670"/>
      <c r="N9" s="670"/>
      <c r="O9" s="670"/>
      <c r="P9" s="734"/>
      <c r="Q9" s="670"/>
      <c r="R9" s="1148"/>
      <c r="S9" s="664"/>
      <c r="T9" s="1144"/>
      <c r="U9" s="831"/>
      <c r="V9" s="736"/>
      <c r="W9" s="664"/>
      <c r="X9" s="664"/>
      <c r="Y9" s="664"/>
      <c r="Z9" s="670"/>
      <c r="AA9" s="670"/>
      <c r="AB9" s="670"/>
      <c r="AC9" s="670"/>
      <c r="AD9" s="670"/>
      <c r="AE9" s="670"/>
    </row>
    <row r="10" spans="1:31" ht="26">
      <c r="A10" s="1149" t="s">
        <v>27</v>
      </c>
      <c r="B10" s="938" t="s">
        <v>139</v>
      </c>
      <c r="C10" s="940" t="s">
        <v>166</v>
      </c>
      <c r="D10" s="941" t="s">
        <v>34</v>
      </c>
      <c r="E10" s="940" t="s">
        <v>45</v>
      </c>
      <c r="F10" s="1150" t="s">
        <v>80</v>
      </c>
      <c r="G10" s="940" t="s">
        <v>5</v>
      </c>
      <c r="H10" s="940" t="s">
        <v>20</v>
      </c>
      <c r="I10" s="1151" t="s">
        <v>36</v>
      </c>
      <c r="J10" s="940" t="s">
        <v>46</v>
      </c>
      <c r="K10" s="940" t="s">
        <v>120</v>
      </c>
      <c r="L10" s="940" t="s">
        <v>30</v>
      </c>
      <c r="M10" s="940" t="s">
        <v>31</v>
      </c>
      <c r="N10" s="940" t="s">
        <v>48</v>
      </c>
      <c r="O10" s="940" t="s">
        <v>119</v>
      </c>
      <c r="P10" s="1152" t="s">
        <v>25</v>
      </c>
      <c r="Q10" s="940" t="s">
        <v>47</v>
      </c>
      <c r="R10" s="1153" t="s">
        <v>32</v>
      </c>
      <c r="S10" s="1153" t="s">
        <v>33</v>
      </c>
      <c r="T10" s="943" t="s">
        <v>145</v>
      </c>
      <c r="U10" s="831"/>
      <c r="V10" s="1154" t="s">
        <v>37</v>
      </c>
      <c r="W10" s="1155" t="s">
        <v>38</v>
      </c>
      <c r="X10" s="1156" t="s">
        <v>49</v>
      </c>
      <c r="Y10" s="1155" t="s">
        <v>10</v>
      </c>
      <c r="Z10" s="670"/>
      <c r="AA10" s="670"/>
      <c r="AB10" s="670"/>
      <c r="AC10" s="670"/>
      <c r="AD10" s="670"/>
      <c r="AE10" s="670"/>
    </row>
    <row r="11" spans="1:31">
      <c r="A11" s="1157">
        <v>44208</v>
      </c>
      <c r="B11" s="1158" t="s">
        <v>137</v>
      </c>
      <c r="C11" s="1133" t="str">
        <f>IFERROR(VLOOKUP(D11,PosAggregate!$A$88:$A$142,1,FALSE),"")</f>
        <v>FR0013461274</v>
      </c>
      <c r="D11" s="1159" t="s">
        <v>2241</v>
      </c>
      <c r="E11" s="1133" t="str">
        <f t="shared" ref="E11:E59" si="0">IF(C11=D11,"YES","NO")</f>
        <v>YES</v>
      </c>
      <c r="F11" s="1174" t="e">
        <f ca="1">_xll.BDP(D11 &amp; " ISIN","SECURITY_NAME")</f>
        <v>#NAME?</v>
      </c>
      <c r="G11" s="1133" t="e">
        <f ca="1">_xll.BDP(D11 &amp; " ISIN","Crncy")</f>
        <v>#NAME?</v>
      </c>
      <c r="H11" s="1161">
        <v>97</v>
      </c>
      <c r="I11" s="1162">
        <v>300000</v>
      </c>
      <c r="J11" s="1176">
        <f t="shared" ref="J11:J51" si="1">-H11*I11/100</f>
        <v>-291000</v>
      </c>
      <c r="K11" s="1163"/>
      <c r="L11" s="950"/>
      <c r="M11" s="950"/>
      <c r="N11" s="1164"/>
      <c r="O11" s="1177">
        <f t="shared" ref="O11:O64" si="2">J11+K11+L11+N11</f>
        <v>-291000</v>
      </c>
      <c r="P11" s="1165">
        <v>1</v>
      </c>
      <c r="Q11" s="1178">
        <f t="shared" ref="Q11:Q52" si="3">+O11/P11</f>
        <v>-291000</v>
      </c>
      <c r="R11" s="1175">
        <f>A11+2</f>
        <v>44210</v>
      </c>
      <c r="S11" s="948" t="s">
        <v>1094</v>
      </c>
      <c r="T11" s="1167">
        <v>0.5444444444444444</v>
      </c>
      <c r="U11" s="831"/>
      <c r="V11" s="736"/>
      <c r="W11" s="1168"/>
      <c r="X11" s="1169"/>
      <c r="Y11" s="1169"/>
      <c r="Z11" s="670"/>
      <c r="AA11" s="670"/>
      <c r="AB11" s="670"/>
      <c r="AC11" s="670"/>
      <c r="AD11" s="670"/>
      <c r="AE11" s="670"/>
    </row>
    <row r="12" spans="1:31">
      <c r="A12" s="1157">
        <v>44208</v>
      </c>
      <c r="B12" s="1158" t="s">
        <v>137</v>
      </c>
      <c r="C12" s="1133" t="str">
        <f>IFERROR(VLOOKUP(D12,PosAggregate!$A$88:$A$142,1,FALSE),"")</f>
        <v>US345370CW84</v>
      </c>
      <c r="D12" s="1159" t="s">
        <v>2242</v>
      </c>
      <c r="E12" s="1133" t="str">
        <f t="shared" si="0"/>
        <v>YES</v>
      </c>
      <c r="F12" s="1174" t="e">
        <f ca="1">_xll.BDP(D12 &amp; " ISIN","SECURITY_NAME")</f>
        <v>#NAME?</v>
      </c>
      <c r="G12" s="1133" t="e">
        <f ca="1">_xll.BDP(D12 &amp; " ISIN","Crncy")</f>
        <v>#NAME?</v>
      </c>
      <c r="H12" s="1161">
        <v>122</v>
      </c>
      <c r="I12" s="1162">
        <v>300000</v>
      </c>
      <c r="J12" s="1176">
        <f t="shared" si="1"/>
        <v>-366000</v>
      </c>
      <c r="K12" s="1163"/>
      <c r="L12" s="950"/>
      <c r="M12" s="950"/>
      <c r="N12" s="1164"/>
      <c r="O12" s="1177">
        <f t="shared" si="2"/>
        <v>-366000</v>
      </c>
      <c r="P12" s="1165">
        <v>1.21</v>
      </c>
      <c r="Q12" s="1178">
        <f t="shared" si="3"/>
        <v>-302479.33884297521</v>
      </c>
      <c r="R12" s="1175">
        <f>A12+2</f>
        <v>44210</v>
      </c>
      <c r="S12" s="948" t="s">
        <v>1229</v>
      </c>
      <c r="T12" s="1167">
        <v>0.65625</v>
      </c>
      <c r="U12" s="831"/>
      <c r="V12" s="736"/>
      <c r="W12" s="1168"/>
      <c r="X12" s="1169"/>
      <c r="Y12" s="1169"/>
      <c r="Z12" s="670"/>
      <c r="AA12" s="670"/>
      <c r="AB12" s="670"/>
      <c r="AC12" s="670"/>
      <c r="AD12" s="670"/>
      <c r="AE12" s="670"/>
    </row>
    <row r="13" spans="1:31">
      <c r="A13" s="1157">
        <v>44473</v>
      </c>
      <c r="B13" s="1158" t="s">
        <v>138</v>
      </c>
      <c r="C13" s="1133" t="str">
        <f>IFERROR(VLOOKUP(D13,PosAggregate!$A$88:$A$142,1,FALSE),"")</f>
        <v>US345370CW84</v>
      </c>
      <c r="D13" s="1159" t="s">
        <v>2242</v>
      </c>
      <c r="E13" s="1133" t="str">
        <f t="shared" si="0"/>
        <v>YES</v>
      </c>
      <c r="F13" s="1174" t="e">
        <f t="shared" ref="F13:F65" ca="1" si="4">_xll.BDP(D13 &amp; " ISIN","SECURITY_NAME")</f>
        <v>#NAME?</v>
      </c>
      <c r="G13" s="1133" t="e">
        <f t="shared" ref="G13:G65" ca="1" si="5">_xll.BDP(D13 &amp; " ISIN","Crncy")</f>
        <v>#NAME?</v>
      </c>
      <c r="H13" s="1161">
        <v>120.32</v>
      </c>
      <c r="I13" s="1162">
        <v>-300000</v>
      </c>
      <c r="J13" s="1176">
        <f t="shared" si="1"/>
        <v>360960</v>
      </c>
      <c r="K13" s="1163"/>
      <c r="L13" s="950"/>
      <c r="M13" s="950"/>
      <c r="N13" s="1164">
        <v>12300</v>
      </c>
      <c r="O13" s="1177">
        <f>J13+K13+L13+N13</f>
        <v>373260</v>
      </c>
      <c r="P13" s="1165">
        <v>1.159</v>
      </c>
      <c r="Q13" s="1178">
        <f t="shared" si="3"/>
        <v>322053.49439171702</v>
      </c>
      <c r="R13" s="1166">
        <v>44475</v>
      </c>
      <c r="S13" s="948" t="s">
        <v>1229</v>
      </c>
      <c r="T13" s="1167">
        <v>0.47222222222222227</v>
      </c>
      <c r="U13" s="831"/>
      <c r="V13" s="736"/>
      <c r="W13" s="1168"/>
      <c r="X13" s="1169"/>
      <c r="Y13" s="1169"/>
      <c r="Z13" s="670"/>
      <c r="AA13" s="670"/>
      <c r="AB13" s="670"/>
      <c r="AC13" s="670"/>
      <c r="AD13" s="670"/>
      <c r="AE13" s="670"/>
    </row>
    <row r="14" spans="1:31">
      <c r="A14" s="1157">
        <v>44491</v>
      </c>
      <c r="B14" s="1158" t="s">
        <v>138</v>
      </c>
      <c r="C14" s="1133" t="str">
        <f>IFERROR(VLOOKUP(D14,PosAggregate!$A$88:$A$142,1,FALSE),"")</f>
        <v>FR0013461274</v>
      </c>
      <c r="D14" s="1159" t="s">
        <v>2241</v>
      </c>
      <c r="E14" s="1133" t="str">
        <f t="shared" si="0"/>
        <v>YES</v>
      </c>
      <c r="F14" s="1174" t="e">
        <f ca="1">_xll.BDP(D14 &amp; " ISIN","SECURITY_NAME")</f>
        <v>#NAME?</v>
      </c>
      <c r="G14" s="1133" t="e">
        <f t="shared" ca="1" si="5"/>
        <v>#NAME?</v>
      </c>
      <c r="H14" s="1161">
        <v>104.63</v>
      </c>
      <c r="I14" s="1162">
        <v>-300000</v>
      </c>
      <c r="J14" s="1176">
        <f>-H14*I14/100</f>
        <v>313890</v>
      </c>
      <c r="K14" s="1163"/>
      <c r="L14" s="950"/>
      <c r="M14" s="950"/>
      <c r="N14" s="1164">
        <v>4680</v>
      </c>
      <c r="O14" s="1177">
        <f>J14+K14+L14+N14</f>
        <v>318570</v>
      </c>
      <c r="P14" s="1165">
        <v>1</v>
      </c>
      <c r="Q14" s="1178">
        <f>+O14/P14</f>
        <v>318570</v>
      </c>
      <c r="R14" s="1166">
        <v>44495</v>
      </c>
      <c r="S14" s="948" t="s">
        <v>1229</v>
      </c>
      <c r="T14" s="1167"/>
      <c r="U14" s="831"/>
      <c r="V14" s="736"/>
      <c r="W14" s="1168"/>
      <c r="X14" s="1169"/>
      <c r="Y14" s="1169"/>
      <c r="Z14" s="670"/>
      <c r="AA14" s="670"/>
      <c r="AB14" s="670"/>
      <c r="AC14" s="670"/>
      <c r="AD14" s="670"/>
      <c r="AE14" s="670"/>
    </row>
    <row r="15" spans="1:31">
      <c r="A15" s="1157"/>
      <c r="B15" s="1158"/>
      <c r="C15" s="1133" t="str">
        <f>IFERROR(VLOOKUP(D15,PosAggregate!$A$88:$A$142,1,FALSE),"")</f>
        <v/>
      </c>
      <c r="D15" s="950"/>
      <c r="E15" s="1133" t="str">
        <f t="shared" si="0"/>
        <v>YES</v>
      </c>
      <c r="F15" s="1174" t="str">
        <f t="shared" si="4"/>
        <v>#N/A Invalid Security</v>
      </c>
      <c r="G15" s="1133" t="str">
        <f t="shared" si="5"/>
        <v>#N/A Invalid Security</v>
      </c>
      <c r="H15" s="1161"/>
      <c r="I15" s="1162"/>
      <c r="J15" s="1176">
        <f t="shared" si="1"/>
        <v>0</v>
      </c>
      <c r="K15" s="1163"/>
      <c r="L15" s="950"/>
      <c r="M15" s="950"/>
      <c r="N15" s="1164"/>
      <c r="O15" s="1177">
        <f t="shared" si="2"/>
        <v>0</v>
      </c>
      <c r="P15" s="1165"/>
      <c r="Q15" s="1178" t="e">
        <f t="shared" si="3"/>
        <v>#DIV/0!</v>
      </c>
      <c r="R15" s="978"/>
      <c r="S15" s="948"/>
      <c r="T15" s="1167"/>
      <c r="U15" s="831"/>
      <c r="V15" s="736"/>
      <c r="W15" s="1168"/>
      <c r="X15" s="1169"/>
      <c r="Y15" s="1169"/>
      <c r="Z15" s="670"/>
      <c r="AA15" s="670"/>
      <c r="AB15" s="670"/>
      <c r="AC15" s="670"/>
      <c r="AD15" s="670"/>
      <c r="AE15" s="670"/>
    </row>
    <row r="16" spans="1:31">
      <c r="A16" s="1157"/>
      <c r="B16" s="1158"/>
      <c r="C16" s="1133" t="str">
        <f>IFERROR(VLOOKUP(D16,PosAggregate!$A$88:$A$142,1,FALSE),"")</f>
        <v/>
      </c>
      <c r="D16" s="950"/>
      <c r="E16" s="1133" t="str">
        <f t="shared" si="0"/>
        <v>YES</v>
      </c>
      <c r="F16" s="1174" t="str">
        <f t="shared" si="4"/>
        <v>#N/A Invalid Security</v>
      </c>
      <c r="G16" s="1133" t="str">
        <f t="shared" si="5"/>
        <v>#N/A Invalid Security</v>
      </c>
      <c r="H16" s="1161"/>
      <c r="I16" s="1162"/>
      <c r="J16" s="1176">
        <f t="shared" si="1"/>
        <v>0</v>
      </c>
      <c r="K16" s="1163"/>
      <c r="L16" s="950"/>
      <c r="M16" s="950"/>
      <c r="N16" s="1164"/>
      <c r="O16" s="1177">
        <f t="shared" si="2"/>
        <v>0</v>
      </c>
      <c r="P16" s="1165"/>
      <c r="Q16" s="1178" t="e">
        <f t="shared" si="3"/>
        <v>#DIV/0!</v>
      </c>
      <c r="R16" s="978"/>
      <c r="S16" s="948"/>
      <c r="T16" s="1167"/>
      <c r="U16" s="831"/>
      <c r="V16" s="736"/>
      <c r="W16" s="1168"/>
      <c r="X16" s="1169"/>
      <c r="Y16" s="1169"/>
      <c r="Z16" s="670"/>
      <c r="AA16" s="670"/>
      <c r="AB16" s="670"/>
      <c r="AC16" s="670"/>
      <c r="AD16" s="670"/>
      <c r="AE16" s="670"/>
    </row>
    <row r="17" spans="1:31">
      <c r="A17" s="1157"/>
      <c r="B17" s="1158"/>
      <c r="C17" s="1133" t="str">
        <f>IFERROR(VLOOKUP(D17,PosAggregate!$A$88:$A$142,1,FALSE),"")</f>
        <v/>
      </c>
      <c r="D17" s="950"/>
      <c r="E17" s="1133" t="str">
        <f t="shared" si="0"/>
        <v>YES</v>
      </c>
      <c r="F17" s="1174" t="str">
        <f t="shared" si="4"/>
        <v>#N/A Invalid Security</v>
      </c>
      <c r="G17" s="1133" t="str">
        <f t="shared" si="5"/>
        <v>#N/A Invalid Security</v>
      </c>
      <c r="H17" s="1161"/>
      <c r="I17" s="1162"/>
      <c r="J17" s="1176">
        <f t="shared" si="1"/>
        <v>0</v>
      </c>
      <c r="K17" s="1163"/>
      <c r="L17" s="950"/>
      <c r="M17" s="950"/>
      <c r="N17" s="1164"/>
      <c r="O17" s="1177">
        <f t="shared" si="2"/>
        <v>0</v>
      </c>
      <c r="P17" s="1165"/>
      <c r="Q17" s="1178" t="e">
        <f t="shared" si="3"/>
        <v>#DIV/0!</v>
      </c>
      <c r="R17" s="978"/>
      <c r="S17" s="948"/>
      <c r="T17" s="1167"/>
      <c r="U17" s="831"/>
      <c r="V17" s="736"/>
      <c r="W17" s="1168"/>
      <c r="X17" s="1169"/>
      <c r="Y17" s="1169"/>
      <c r="Z17" s="670"/>
      <c r="AA17" s="670"/>
      <c r="AB17" s="670"/>
      <c r="AC17" s="670"/>
      <c r="AD17" s="670"/>
      <c r="AE17" s="670"/>
    </row>
    <row r="18" spans="1:31">
      <c r="A18" s="1157"/>
      <c r="B18" s="1158"/>
      <c r="C18" s="1133" t="str">
        <f>IFERROR(VLOOKUP(D18,PosAggregate!$A$88:$A$142,1,FALSE),"")</f>
        <v/>
      </c>
      <c r="D18" s="950"/>
      <c r="E18" s="1133" t="str">
        <f t="shared" si="0"/>
        <v>YES</v>
      </c>
      <c r="F18" s="1174" t="str">
        <f t="shared" si="4"/>
        <v>#N/A Invalid Security</v>
      </c>
      <c r="G18" s="1133" t="str">
        <f t="shared" si="5"/>
        <v>#N/A Invalid Security</v>
      </c>
      <c r="H18" s="1161"/>
      <c r="I18" s="1162"/>
      <c r="J18" s="1176">
        <f t="shared" si="1"/>
        <v>0</v>
      </c>
      <c r="K18" s="1163"/>
      <c r="L18" s="950"/>
      <c r="M18" s="950"/>
      <c r="N18" s="1164"/>
      <c r="O18" s="1177">
        <f t="shared" si="2"/>
        <v>0</v>
      </c>
      <c r="P18" s="1165"/>
      <c r="Q18" s="1178" t="e">
        <f t="shared" si="3"/>
        <v>#DIV/0!</v>
      </c>
      <c r="R18" s="978"/>
      <c r="S18" s="948"/>
      <c r="T18" s="1167"/>
      <c r="U18" s="831"/>
      <c r="V18" s="736"/>
      <c r="W18" s="1168"/>
      <c r="X18" s="1169"/>
      <c r="Y18" s="1169"/>
      <c r="Z18" s="670"/>
      <c r="AA18" s="670"/>
      <c r="AB18" s="670"/>
      <c r="AC18" s="670"/>
      <c r="AD18" s="670"/>
      <c r="AE18" s="670"/>
    </row>
    <row r="19" spans="1:31">
      <c r="A19" s="1157"/>
      <c r="B19" s="1158"/>
      <c r="C19" s="1133" t="str">
        <f>IFERROR(VLOOKUP(D19,PosAggregate!$A$88:$A$142,1,FALSE),"")</f>
        <v/>
      </c>
      <c r="D19" s="950"/>
      <c r="E19" s="1133" t="str">
        <f t="shared" si="0"/>
        <v>YES</v>
      </c>
      <c r="F19" s="1174" t="str">
        <f t="shared" si="4"/>
        <v>#N/A Invalid Security</v>
      </c>
      <c r="G19" s="1133" t="str">
        <f t="shared" si="5"/>
        <v>#N/A Invalid Security</v>
      </c>
      <c r="H19" s="1161"/>
      <c r="I19" s="1162"/>
      <c r="J19" s="1176">
        <f t="shared" si="1"/>
        <v>0</v>
      </c>
      <c r="K19" s="1163"/>
      <c r="L19" s="950"/>
      <c r="M19" s="950"/>
      <c r="N19" s="1164"/>
      <c r="O19" s="1177">
        <f t="shared" si="2"/>
        <v>0</v>
      </c>
      <c r="P19" s="1165"/>
      <c r="Q19" s="1178" t="e">
        <f t="shared" si="3"/>
        <v>#DIV/0!</v>
      </c>
      <c r="R19" s="978"/>
      <c r="S19" s="948"/>
      <c r="T19" s="1167"/>
      <c r="U19" s="831"/>
      <c r="V19" s="736"/>
      <c r="W19" s="1168"/>
      <c r="X19" s="1169"/>
      <c r="Y19" s="1169"/>
      <c r="Z19" s="670"/>
      <c r="AA19" s="670"/>
      <c r="AB19" s="670"/>
      <c r="AC19" s="670"/>
      <c r="AD19" s="670"/>
      <c r="AE19" s="670"/>
    </row>
    <row r="20" spans="1:31">
      <c r="A20" s="1157"/>
      <c r="B20" s="1158"/>
      <c r="C20" s="1133" t="str">
        <f>IFERROR(VLOOKUP(D20,PosAggregate!$A$88:$A$142,1,FALSE),"")</f>
        <v/>
      </c>
      <c r="D20" s="950"/>
      <c r="E20" s="1133" t="str">
        <f t="shared" si="0"/>
        <v>YES</v>
      </c>
      <c r="F20" s="1174" t="str">
        <f t="shared" si="4"/>
        <v>#N/A Invalid Security</v>
      </c>
      <c r="G20" s="1133" t="str">
        <f t="shared" si="5"/>
        <v>#N/A Invalid Security</v>
      </c>
      <c r="H20" s="1161"/>
      <c r="I20" s="1162"/>
      <c r="J20" s="1176">
        <f t="shared" si="1"/>
        <v>0</v>
      </c>
      <c r="K20" s="1163"/>
      <c r="L20" s="950"/>
      <c r="M20" s="950"/>
      <c r="N20" s="1164"/>
      <c r="O20" s="1177">
        <f t="shared" si="2"/>
        <v>0</v>
      </c>
      <c r="P20" s="1165"/>
      <c r="Q20" s="1178" t="e">
        <f t="shared" si="3"/>
        <v>#DIV/0!</v>
      </c>
      <c r="R20" s="978"/>
      <c r="S20" s="948"/>
      <c r="T20" s="1167"/>
      <c r="U20" s="831"/>
      <c r="V20" s="736"/>
      <c r="W20" s="1168"/>
      <c r="X20" s="1169"/>
      <c r="Y20" s="1169"/>
      <c r="Z20" s="670"/>
      <c r="AA20" s="670"/>
      <c r="AB20" s="670"/>
      <c r="AC20" s="670"/>
      <c r="AD20" s="670"/>
      <c r="AE20" s="670"/>
    </row>
    <row r="21" spans="1:31">
      <c r="A21" s="1157"/>
      <c r="B21" s="1158"/>
      <c r="C21" s="1133" t="str">
        <f>IFERROR(VLOOKUP(D21,PosAggregate!$A$88:$A$142,1,FALSE),"")</f>
        <v/>
      </c>
      <c r="D21" s="950"/>
      <c r="E21" s="1133" t="str">
        <f t="shared" si="0"/>
        <v>YES</v>
      </c>
      <c r="F21" s="1174" t="str">
        <f t="shared" si="4"/>
        <v>#N/A Invalid Security</v>
      </c>
      <c r="G21" s="1133" t="str">
        <f t="shared" si="5"/>
        <v>#N/A Invalid Security</v>
      </c>
      <c r="H21" s="1161"/>
      <c r="I21" s="1162"/>
      <c r="J21" s="1176">
        <f t="shared" si="1"/>
        <v>0</v>
      </c>
      <c r="K21" s="1163"/>
      <c r="L21" s="950"/>
      <c r="M21" s="950"/>
      <c r="N21" s="1164"/>
      <c r="O21" s="1177">
        <f t="shared" si="2"/>
        <v>0</v>
      </c>
      <c r="P21" s="1165"/>
      <c r="Q21" s="1178" t="e">
        <f t="shared" si="3"/>
        <v>#DIV/0!</v>
      </c>
      <c r="R21" s="978"/>
      <c r="S21" s="948"/>
      <c r="T21" s="1167"/>
      <c r="U21" s="831"/>
      <c r="V21" s="736"/>
      <c r="W21" s="1168"/>
      <c r="X21" s="1169"/>
      <c r="Y21" s="1169"/>
      <c r="Z21" s="670"/>
      <c r="AA21" s="670"/>
      <c r="AB21" s="670"/>
      <c r="AC21" s="670"/>
      <c r="AD21" s="670"/>
      <c r="AE21" s="670"/>
    </row>
    <row r="22" spans="1:31">
      <c r="A22" s="1157"/>
      <c r="B22" s="1158"/>
      <c r="C22" s="1133" t="str">
        <f>IFERROR(VLOOKUP(D22,PosAggregate!$A$88:$A$142,1,FALSE),"")</f>
        <v/>
      </c>
      <c r="D22" s="950"/>
      <c r="E22" s="1133" t="str">
        <f t="shared" si="0"/>
        <v>YES</v>
      </c>
      <c r="F22" s="1174" t="str">
        <f t="shared" si="4"/>
        <v>#N/A Invalid Security</v>
      </c>
      <c r="G22" s="1133" t="str">
        <f t="shared" si="5"/>
        <v>#N/A Invalid Security</v>
      </c>
      <c r="H22" s="1161"/>
      <c r="I22" s="1162"/>
      <c r="J22" s="1176">
        <f t="shared" si="1"/>
        <v>0</v>
      </c>
      <c r="K22" s="1163"/>
      <c r="L22" s="950"/>
      <c r="M22" s="950"/>
      <c r="N22" s="1164"/>
      <c r="O22" s="1177">
        <f t="shared" si="2"/>
        <v>0</v>
      </c>
      <c r="P22" s="1165"/>
      <c r="Q22" s="1178" t="e">
        <f t="shared" si="3"/>
        <v>#DIV/0!</v>
      </c>
      <c r="R22" s="978"/>
      <c r="S22" s="948"/>
      <c r="T22" s="1167"/>
      <c r="U22" s="831"/>
      <c r="V22" s="736"/>
      <c r="W22" s="1168"/>
      <c r="X22" s="1169"/>
      <c r="Y22" s="1169"/>
      <c r="Z22" s="670"/>
      <c r="AA22" s="670"/>
      <c r="AB22" s="670"/>
      <c r="AC22" s="670"/>
      <c r="AD22" s="670"/>
      <c r="AE22" s="670"/>
    </row>
    <row r="23" spans="1:31">
      <c r="A23" s="1157"/>
      <c r="B23" s="1158"/>
      <c r="C23" s="1133" t="str">
        <f>IFERROR(VLOOKUP(D23,PosAggregate!$A$88:$A$142,1,FALSE),"")</f>
        <v/>
      </c>
      <c r="D23" s="950"/>
      <c r="E23" s="1133" t="str">
        <f t="shared" si="0"/>
        <v>YES</v>
      </c>
      <c r="F23" s="1174" t="str">
        <f t="shared" si="4"/>
        <v>#N/A Invalid Security</v>
      </c>
      <c r="G23" s="1133" t="str">
        <f t="shared" si="5"/>
        <v>#N/A Invalid Security</v>
      </c>
      <c r="H23" s="1161"/>
      <c r="I23" s="1162"/>
      <c r="J23" s="1176">
        <f t="shared" si="1"/>
        <v>0</v>
      </c>
      <c r="K23" s="1163"/>
      <c r="L23" s="950"/>
      <c r="M23" s="950"/>
      <c r="N23" s="1164"/>
      <c r="O23" s="1177">
        <f t="shared" si="2"/>
        <v>0</v>
      </c>
      <c r="P23" s="1165"/>
      <c r="Q23" s="1178" t="e">
        <f t="shared" si="3"/>
        <v>#DIV/0!</v>
      </c>
      <c r="R23" s="978"/>
      <c r="S23" s="948"/>
      <c r="T23" s="1167"/>
      <c r="U23" s="831"/>
      <c r="V23" s="736"/>
      <c r="W23" s="1168"/>
      <c r="X23" s="1169"/>
      <c r="Y23" s="1169"/>
      <c r="Z23" s="670"/>
      <c r="AA23" s="670"/>
      <c r="AB23" s="670"/>
      <c r="AC23" s="670"/>
      <c r="AD23" s="670"/>
      <c r="AE23" s="670"/>
    </row>
    <row r="24" spans="1:31">
      <c r="A24" s="1157"/>
      <c r="B24" s="1158"/>
      <c r="C24" s="1133" t="str">
        <f>IFERROR(VLOOKUP(D24,PosAggregate!$A$88:$A$142,1,FALSE),"")</f>
        <v/>
      </c>
      <c r="D24" s="950"/>
      <c r="E24" s="1133" t="str">
        <f t="shared" si="0"/>
        <v>YES</v>
      </c>
      <c r="F24" s="1174" t="str">
        <f t="shared" si="4"/>
        <v>#N/A Invalid Security</v>
      </c>
      <c r="G24" s="1133" t="str">
        <f t="shared" si="5"/>
        <v>#N/A Invalid Security</v>
      </c>
      <c r="H24" s="1161"/>
      <c r="I24" s="1162"/>
      <c r="J24" s="1176">
        <f t="shared" si="1"/>
        <v>0</v>
      </c>
      <c r="K24" s="1163"/>
      <c r="L24" s="950"/>
      <c r="M24" s="950"/>
      <c r="N24" s="1164"/>
      <c r="O24" s="1177">
        <f t="shared" si="2"/>
        <v>0</v>
      </c>
      <c r="P24" s="1165"/>
      <c r="Q24" s="1178" t="e">
        <f t="shared" si="3"/>
        <v>#DIV/0!</v>
      </c>
      <c r="R24" s="978"/>
      <c r="S24" s="948"/>
      <c r="T24" s="1167"/>
      <c r="U24" s="831"/>
      <c r="V24" s="736"/>
      <c r="W24" s="1168"/>
      <c r="X24" s="1169"/>
      <c r="Y24" s="1169"/>
      <c r="Z24" s="670"/>
      <c r="AA24" s="670"/>
      <c r="AB24" s="670"/>
      <c r="AC24" s="670"/>
      <c r="AD24" s="670"/>
      <c r="AE24" s="670"/>
    </row>
    <row r="25" spans="1:31">
      <c r="A25" s="1157"/>
      <c r="B25" s="1158"/>
      <c r="C25" s="1133" t="str">
        <f>IFERROR(VLOOKUP(D25,PosAggregate!$A$88:$A$142,1,FALSE),"")</f>
        <v/>
      </c>
      <c r="D25" s="950"/>
      <c r="E25" s="1133" t="str">
        <f t="shared" si="0"/>
        <v>YES</v>
      </c>
      <c r="F25" s="1174" t="str">
        <f t="shared" si="4"/>
        <v>#N/A Invalid Security</v>
      </c>
      <c r="G25" s="1133" t="str">
        <f t="shared" si="5"/>
        <v>#N/A Invalid Security</v>
      </c>
      <c r="H25" s="1161"/>
      <c r="I25" s="1162"/>
      <c r="J25" s="1176">
        <f t="shared" si="1"/>
        <v>0</v>
      </c>
      <c r="K25" s="1163"/>
      <c r="L25" s="950"/>
      <c r="M25" s="950"/>
      <c r="N25" s="1164"/>
      <c r="O25" s="1177">
        <f t="shared" si="2"/>
        <v>0</v>
      </c>
      <c r="P25" s="1165"/>
      <c r="Q25" s="1178" t="e">
        <f t="shared" si="3"/>
        <v>#DIV/0!</v>
      </c>
      <c r="R25" s="978"/>
      <c r="S25" s="948"/>
      <c r="T25" s="1167"/>
      <c r="U25" s="831"/>
      <c r="V25" s="736"/>
      <c r="W25" s="1168"/>
      <c r="X25" s="1169"/>
      <c r="Y25" s="1169"/>
      <c r="Z25" s="670"/>
      <c r="AA25" s="670"/>
      <c r="AB25" s="670"/>
      <c r="AC25" s="670"/>
      <c r="AD25" s="670"/>
      <c r="AE25" s="670"/>
    </row>
    <row r="26" spans="1:31">
      <c r="A26" s="1157"/>
      <c r="B26" s="1158"/>
      <c r="C26" s="1133" t="str">
        <f>IFERROR(VLOOKUP(D26,PosAggregate!$A$88:$A$142,1,FALSE),"")</f>
        <v/>
      </c>
      <c r="D26" s="950"/>
      <c r="E26" s="1133" t="str">
        <f t="shared" si="0"/>
        <v>YES</v>
      </c>
      <c r="F26" s="1174" t="str">
        <f t="shared" si="4"/>
        <v>#N/A Invalid Security</v>
      </c>
      <c r="G26" s="1133" t="str">
        <f t="shared" si="5"/>
        <v>#N/A Invalid Security</v>
      </c>
      <c r="H26" s="1161"/>
      <c r="I26" s="1162"/>
      <c r="J26" s="1176">
        <f t="shared" si="1"/>
        <v>0</v>
      </c>
      <c r="K26" s="1163"/>
      <c r="L26" s="950"/>
      <c r="M26" s="950"/>
      <c r="N26" s="1164"/>
      <c r="O26" s="1177">
        <f t="shared" si="2"/>
        <v>0</v>
      </c>
      <c r="P26" s="1165"/>
      <c r="Q26" s="1178" t="e">
        <f t="shared" si="3"/>
        <v>#DIV/0!</v>
      </c>
      <c r="R26" s="978"/>
      <c r="S26" s="948"/>
      <c r="T26" s="1167"/>
      <c r="U26" s="831"/>
      <c r="V26" s="736"/>
      <c r="W26" s="1168"/>
      <c r="X26" s="1169"/>
      <c r="Y26" s="1169"/>
      <c r="Z26" s="670"/>
      <c r="AA26" s="670"/>
      <c r="AB26" s="670"/>
      <c r="AC26" s="670"/>
      <c r="AD26" s="670"/>
      <c r="AE26" s="670"/>
    </row>
    <row r="27" spans="1:31">
      <c r="A27" s="1157"/>
      <c r="B27" s="1158"/>
      <c r="C27" s="1133" t="str">
        <f>IFERROR(VLOOKUP(D27,PosAggregate!$A$88:$A$142,1,FALSE),"")</f>
        <v/>
      </c>
      <c r="D27" s="950"/>
      <c r="E27" s="1133" t="str">
        <f t="shared" si="0"/>
        <v>YES</v>
      </c>
      <c r="F27" s="1174" t="str">
        <f t="shared" si="4"/>
        <v>#N/A Invalid Security</v>
      </c>
      <c r="G27" s="1133" t="str">
        <f t="shared" si="5"/>
        <v>#N/A Invalid Security</v>
      </c>
      <c r="H27" s="1161"/>
      <c r="I27" s="1162"/>
      <c r="J27" s="1176">
        <f t="shared" si="1"/>
        <v>0</v>
      </c>
      <c r="K27" s="1163"/>
      <c r="L27" s="950"/>
      <c r="M27" s="950"/>
      <c r="N27" s="1164"/>
      <c r="O27" s="1177">
        <f t="shared" si="2"/>
        <v>0</v>
      </c>
      <c r="P27" s="1165"/>
      <c r="Q27" s="1178" t="e">
        <f t="shared" si="3"/>
        <v>#DIV/0!</v>
      </c>
      <c r="R27" s="978"/>
      <c r="S27" s="948"/>
      <c r="T27" s="1167"/>
      <c r="U27" s="831"/>
      <c r="V27" s="736"/>
      <c r="W27" s="1168"/>
      <c r="X27" s="1169"/>
      <c r="Y27" s="1169"/>
      <c r="Z27" s="670"/>
      <c r="AA27" s="670"/>
      <c r="AB27" s="670"/>
      <c r="AC27" s="670"/>
      <c r="AD27" s="670"/>
      <c r="AE27" s="670"/>
    </row>
    <row r="28" spans="1:31">
      <c r="A28" s="1157"/>
      <c r="B28" s="1158"/>
      <c r="C28" s="1133" t="str">
        <f>IFERROR(VLOOKUP(D28,PosAggregate!$A$88:$A$142,1,FALSE),"")</f>
        <v/>
      </c>
      <c r="D28" s="950"/>
      <c r="E28" s="1133" t="str">
        <f t="shared" si="0"/>
        <v>YES</v>
      </c>
      <c r="F28" s="1174" t="str">
        <f t="shared" si="4"/>
        <v>#N/A Invalid Security</v>
      </c>
      <c r="G28" s="1133" t="str">
        <f t="shared" si="5"/>
        <v>#N/A Invalid Security</v>
      </c>
      <c r="H28" s="1161"/>
      <c r="I28" s="1162"/>
      <c r="J28" s="1176">
        <f t="shared" si="1"/>
        <v>0</v>
      </c>
      <c r="K28" s="1163"/>
      <c r="L28" s="950"/>
      <c r="M28" s="950"/>
      <c r="N28" s="1164"/>
      <c r="O28" s="1177">
        <f t="shared" si="2"/>
        <v>0</v>
      </c>
      <c r="P28" s="1165"/>
      <c r="Q28" s="1178" t="e">
        <f t="shared" si="3"/>
        <v>#DIV/0!</v>
      </c>
      <c r="R28" s="978"/>
      <c r="S28" s="948"/>
      <c r="T28" s="1167"/>
      <c r="U28" s="831"/>
      <c r="V28" s="736"/>
      <c r="W28" s="1168"/>
      <c r="X28" s="1169"/>
      <c r="Y28" s="1169"/>
      <c r="Z28" s="670"/>
      <c r="AA28" s="670"/>
      <c r="AB28" s="670"/>
      <c r="AC28" s="670"/>
      <c r="AD28" s="670"/>
      <c r="AE28" s="670"/>
    </row>
    <row r="29" spans="1:31">
      <c r="A29" s="1157"/>
      <c r="B29" s="1158"/>
      <c r="C29" s="1133" t="str">
        <f>IFERROR(VLOOKUP(D29,PosAggregate!$A$88:$A$142,1,FALSE),"")</f>
        <v/>
      </c>
      <c r="D29" s="950"/>
      <c r="E29" s="1133" t="str">
        <f t="shared" si="0"/>
        <v>YES</v>
      </c>
      <c r="F29" s="1174" t="str">
        <f t="shared" si="4"/>
        <v>#N/A Invalid Security</v>
      </c>
      <c r="G29" s="1133" t="str">
        <f t="shared" si="5"/>
        <v>#N/A Invalid Security</v>
      </c>
      <c r="H29" s="1161"/>
      <c r="I29" s="1162"/>
      <c r="J29" s="1176">
        <f t="shared" si="1"/>
        <v>0</v>
      </c>
      <c r="K29" s="1163"/>
      <c r="L29" s="950"/>
      <c r="M29" s="950"/>
      <c r="N29" s="1164"/>
      <c r="O29" s="1177">
        <f t="shared" si="2"/>
        <v>0</v>
      </c>
      <c r="P29" s="1165"/>
      <c r="Q29" s="1178" t="e">
        <f t="shared" si="3"/>
        <v>#DIV/0!</v>
      </c>
      <c r="R29" s="978"/>
      <c r="S29" s="948"/>
      <c r="T29" s="1167"/>
      <c r="U29" s="831"/>
      <c r="V29" s="736"/>
      <c r="W29" s="1168"/>
      <c r="X29" s="1169"/>
      <c r="Y29" s="1169"/>
      <c r="Z29" s="670"/>
      <c r="AA29" s="670"/>
      <c r="AB29" s="670"/>
      <c r="AC29" s="670"/>
      <c r="AD29" s="670"/>
      <c r="AE29" s="670"/>
    </row>
    <row r="30" spans="1:31">
      <c r="A30" s="1157"/>
      <c r="B30" s="1158"/>
      <c r="C30" s="1133" t="str">
        <f>IFERROR(VLOOKUP(D30,PosAggregate!$A$88:$A$142,1,FALSE),"")</f>
        <v/>
      </c>
      <c r="D30" s="950"/>
      <c r="E30" s="1133" t="str">
        <f t="shared" si="0"/>
        <v>YES</v>
      </c>
      <c r="F30" s="1174" t="str">
        <f t="shared" si="4"/>
        <v>#N/A Invalid Security</v>
      </c>
      <c r="G30" s="1133" t="str">
        <f t="shared" si="5"/>
        <v>#N/A Invalid Security</v>
      </c>
      <c r="H30" s="1161"/>
      <c r="I30" s="1162"/>
      <c r="J30" s="1176">
        <f t="shared" si="1"/>
        <v>0</v>
      </c>
      <c r="K30" s="1163"/>
      <c r="L30" s="950"/>
      <c r="M30" s="950"/>
      <c r="N30" s="1164"/>
      <c r="O30" s="1177">
        <f t="shared" si="2"/>
        <v>0</v>
      </c>
      <c r="P30" s="1165"/>
      <c r="Q30" s="1178" t="e">
        <f t="shared" si="3"/>
        <v>#DIV/0!</v>
      </c>
      <c r="R30" s="978"/>
      <c r="S30" s="948"/>
      <c r="T30" s="1167"/>
      <c r="U30" s="831"/>
      <c r="V30" s="736"/>
      <c r="W30" s="1168"/>
      <c r="X30" s="1169"/>
      <c r="Y30" s="1169"/>
      <c r="Z30" s="670"/>
      <c r="AA30" s="670"/>
      <c r="AB30" s="670"/>
      <c r="AC30" s="670"/>
      <c r="AD30" s="670"/>
      <c r="AE30" s="670"/>
    </row>
    <row r="31" spans="1:31">
      <c r="A31" s="1157"/>
      <c r="B31" s="1158"/>
      <c r="C31" s="1133" t="str">
        <f>IFERROR(VLOOKUP(D31,PosAggregate!$A$88:$A$142,1,FALSE),"")</f>
        <v/>
      </c>
      <c r="D31" s="950"/>
      <c r="E31" s="1133" t="str">
        <f t="shared" si="0"/>
        <v>YES</v>
      </c>
      <c r="F31" s="1174" t="str">
        <f t="shared" si="4"/>
        <v>#N/A Invalid Security</v>
      </c>
      <c r="G31" s="1133" t="str">
        <f t="shared" si="5"/>
        <v>#N/A Invalid Security</v>
      </c>
      <c r="H31" s="1161"/>
      <c r="I31" s="1162"/>
      <c r="J31" s="1176">
        <f t="shared" si="1"/>
        <v>0</v>
      </c>
      <c r="K31" s="1163"/>
      <c r="L31" s="950"/>
      <c r="M31" s="950"/>
      <c r="N31" s="1164"/>
      <c r="O31" s="1177">
        <f t="shared" si="2"/>
        <v>0</v>
      </c>
      <c r="P31" s="1165"/>
      <c r="Q31" s="1178" t="e">
        <f t="shared" si="3"/>
        <v>#DIV/0!</v>
      </c>
      <c r="R31" s="978"/>
      <c r="S31" s="948"/>
      <c r="T31" s="1167"/>
      <c r="U31" s="831"/>
      <c r="V31" s="736"/>
      <c r="W31" s="1168"/>
      <c r="X31" s="1169"/>
      <c r="Y31" s="1169"/>
      <c r="Z31" s="670"/>
      <c r="AA31" s="670"/>
      <c r="AB31" s="670"/>
      <c r="AC31" s="670"/>
      <c r="AD31" s="670"/>
      <c r="AE31" s="670"/>
    </row>
    <row r="32" spans="1:31">
      <c r="A32" s="1157"/>
      <c r="B32" s="1158"/>
      <c r="C32" s="1133" t="str">
        <f>IFERROR(VLOOKUP(D32,PosAggregate!$A$88:$A$142,1,FALSE),"")</f>
        <v/>
      </c>
      <c r="D32" s="950"/>
      <c r="E32" s="1133" t="str">
        <f t="shared" si="0"/>
        <v>YES</v>
      </c>
      <c r="F32" s="1174" t="str">
        <f t="shared" si="4"/>
        <v>#N/A Invalid Security</v>
      </c>
      <c r="G32" s="1133" t="str">
        <f t="shared" si="5"/>
        <v>#N/A Invalid Security</v>
      </c>
      <c r="H32" s="1161"/>
      <c r="I32" s="1162"/>
      <c r="J32" s="1176">
        <f t="shared" si="1"/>
        <v>0</v>
      </c>
      <c r="K32" s="1163"/>
      <c r="L32" s="950"/>
      <c r="M32" s="950"/>
      <c r="N32" s="1164"/>
      <c r="O32" s="1177">
        <f t="shared" si="2"/>
        <v>0</v>
      </c>
      <c r="P32" s="1165"/>
      <c r="Q32" s="1178" t="e">
        <f t="shared" si="3"/>
        <v>#DIV/0!</v>
      </c>
      <c r="R32" s="978"/>
      <c r="S32" s="948"/>
      <c r="T32" s="1167"/>
      <c r="U32" s="831"/>
      <c r="V32" s="736"/>
      <c r="W32" s="1168"/>
      <c r="X32" s="1169"/>
      <c r="Y32" s="1169"/>
      <c r="Z32" s="670"/>
      <c r="AA32" s="670"/>
      <c r="AB32" s="670"/>
      <c r="AC32" s="670"/>
      <c r="AD32" s="670"/>
      <c r="AE32" s="670"/>
    </row>
    <row r="33" spans="1:31">
      <c r="A33" s="1157"/>
      <c r="B33" s="1158"/>
      <c r="C33" s="1133" t="str">
        <f>IFERROR(VLOOKUP(D33,PosAggregate!$A$88:$A$142,1,FALSE),"")</f>
        <v/>
      </c>
      <c r="D33" s="950"/>
      <c r="E33" s="1133" t="str">
        <f t="shared" si="0"/>
        <v>YES</v>
      </c>
      <c r="F33" s="1174" t="str">
        <f t="shared" si="4"/>
        <v>#N/A Invalid Security</v>
      </c>
      <c r="G33" s="1133" t="str">
        <f t="shared" si="5"/>
        <v>#N/A Invalid Security</v>
      </c>
      <c r="H33" s="1161"/>
      <c r="I33" s="1162"/>
      <c r="J33" s="1176">
        <f t="shared" si="1"/>
        <v>0</v>
      </c>
      <c r="K33" s="1163"/>
      <c r="L33" s="950"/>
      <c r="M33" s="950"/>
      <c r="N33" s="1164"/>
      <c r="O33" s="1177">
        <f t="shared" si="2"/>
        <v>0</v>
      </c>
      <c r="P33" s="1165"/>
      <c r="Q33" s="1178" t="e">
        <f t="shared" si="3"/>
        <v>#DIV/0!</v>
      </c>
      <c r="R33" s="978"/>
      <c r="S33" s="948"/>
      <c r="T33" s="1167"/>
      <c r="U33" s="831"/>
      <c r="V33" s="736"/>
      <c r="W33" s="1168"/>
      <c r="X33" s="1169"/>
      <c r="Y33" s="1169"/>
      <c r="Z33" s="670"/>
      <c r="AA33" s="670"/>
      <c r="AB33" s="670"/>
      <c r="AC33" s="670"/>
      <c r="AD33" s="670"/>
      <c r="AE33" s="670"/>
    </row>
    <row r="34" spans="1:31">
      <c r="A34" s="1157"/>
      <c r="B34" s="1158"/>
      <c r="C34" s="1133" t="str">
        <f>IFERROR(VLOOKUP(D34,PosAggregate!$A$88:$A$142,1,FALSE),"")</f>
        <v/>
      </c>
      <c r="D34" s="950"/>
      <c r="E34" s="1133" t="str">
        <f t="shared" si="0"/>
        <v>YES</v>
      </c>
      <c r="F34" s="1174" t="str">
        <f t="shared" si="4"/>
        <v>#N/A Invalid Security</v>
      </c>
      <c r="G34" s="1133" t="str">
        <f t="shared" si="5"/>
        <v>#N/A Invalid Security</v>
      </c>
      <c r="H34" s="1161"/>
      <c r="I34" s="1162"/>
      <c r="J34" s="1176">
        <f t="shared" si="1"/>
        <v>0</v>
      </c>
      <c r="K34" s="1163"/>
      <c r="L34" s="950"/>
      <c r="M34" s="950"/>
      <c r="N34" s="1164"/>
      <c r="O34" s="1177">
        <f t="shared" si="2"/>
        <v>0</v>
      </c>
      <c r="P34" s="1165"/>
      <c r="Q34" s="1178" t="e">
        <f t="shared" si="3"/>
        <v>#DIV/0!</v>
      </c>
      <c r="R34" s="978"/>
      <c r="S34" s="948"/>
      <c r="T34" s="1167"/>
      <c r="U34" s="831"/>
      <c r="V34" s="736"/>
      <c r="W34" s="1168"/>
      <c r="X34" s="1169"/>
      <c r="Y34" s="1169"/>
      <c r="Z34" s="670"/>
      <c r="AA34" s="670"/>
      <c r="AB34" s="670"/>
      <c r="AC34" s="670"/>
      <c r="AD34" s="670"/>
      <c r="AE34" s="670"/>
    </row>
    <row r="35" spans="1:31">
      <c r="A35" s="1157"/>
      <c r="B35" s="1158"/>
      <c r="C35" s="1133" t="str">
        <f>IFERROR(VLOOKUP(D35,PosAggregate!$A$88:$A$142,1,FALSE),"")</f>
        <v/>
      </c>
      <c r="D35" s="950"/>
      <c r="E35" s="1133" t="str">
        <f t="shared" si="0"/>
        <v>YES</v>
      </c>
      <c r="F35" s="1174" t="str">
        <f t="shared" si="4"/>
        <v>#N/A Invalid Security</v>
      </c>
      <c r="G35" s="1133" t="str">
        <f t="shared" si="5"/>
        <v>#N/A Invalid Security</v>
      </c>
      <c r="H35" s="1161"/>
      <c r="I35" s="1162"/>
      <c r="J35" s="1176">
        <f t="shared" si="1"/>
        <v>0</v>
      </c>
      <c r="K35" s="1163"/>
      <c r="L35" s="950"/>
      <c r="M35" s="950"/>
      <c r="N35" s="1164"/>
      <c r="O35" s="1177">
        <f t="shared" si="2"/>
        <v>0</v>
      </c>
      <c r="P35" s="1165"/>
      <c r="Q35" s="1178" t="e">
        <f t="shared" si="3"/>
        <v>#DIV/0!</v>
      </c>
      <c r="R35" s="978"/>
      <c r="S35" s="948"/>
      <c r="T35" s="1167"/>
      <c r="U35" s="831"/>
      <c r="V35" s="736"/>
      <c r="W35" s="1168"/>
      <c r="X35" s="1169"/>
      <c r="Y35" s="1169"/>
      <c r="Z35" s="670"/>
      <c r="AA35" s="670"/>
      <c r="AB35" s="670"/>
      <c r="AC35" s="670"/>
      <c r="AD35" s="670"/>
      <c r="AE35" s="670"/>
    </row>
    <row r="36" spans="1:31">
      <c r="A36" s="1157"/>
      <c r="B36" s="1158"/>
      <c r="C36" s="1133" t="str">
        <f>IFERROR(VLOOKUP(D36,PosAggregate!$A$88:$A$142,1,FALSE),"")</f>
        <v/>
      </c>
      <c r="D36" s="950"/>
      <c r="E36" s="1133" t="str">
        <f t="shared" si="0"/>
        <v>YES</v>
      </c>
      <c r="F36" s="1174" t="str">
        <f t="shared" si="4"/>
        <v>#N/A Invalid Security</v>
      </c>
      <c r="G36" s="1133" t="str">
        <f t="shared" si="5"/>
        <v>#N/A Invalid Security</v>
      </c>
      <c r="H36" s="1161"/>
      <c r="I36" s="1162"/>
      <c r="J36" s="1176">
        <f t="shared" si="1"/>
        <v>0</v>
      </c>
      <c r="K36" s="1163"/>
      <c r="L36" s="950"/>
      <c r="M36" s="950"/>
      <c r="N36" s="1164"/>
      <c r="O36" s="1177">
        <f t="shared" si="2"/>
        <v>0</v>
      </c>
      <c r="P36" s="1165"/>
      <c r="Q36" s="1178" t="e">
        <f t="shared" si="3"/>
        <v>#DIV/0!</v>
      </c>
      <c r="R36" s="978"/>
      <c r="S36" s="948"/>
      <c r="T36" s="1167"/>
      <c r="U36" s="831"/>
      <c r="V36" s="736"/>
      <c r="W36" s="1168"/>
      <c r="X36" s="1169"/>
      <c r="Y36" s="1169"/>
      <c r="Z36" s="670"/>
      <c r="AA36" s="670"/>
      <c r="AB36" s="670"/>
      <c r="AC36" s="670"/>
      <c r="AD36" s="670"/>
      <c r="AE36" s="670"/>
    </row>
    <row r="37" spans="1:31">
      <c r="A37" s="1157"/>
      <c r="B37" s="1158"/>
      <c r="C37" s="1133" t="str">
        <f>IFERROR(VLOOKUP(D37,PosAggregate!$A$88:$A$142,1,FALSE),"")</f>
        <v/>
      </c>
      <c r="D37" s="950"/>
      <c r="E37" s="1133" t="str">
        <f t="shared" si="0"/>
        <v>YES</v>
      </c>
      <c r="F37" s="1174" t="str">
        <f t="shared" si="4"/>
        <v>#N/A Invalid Security</v>
      </c>
      <c r="G37" s="1133" t="str">
        <f t="shared" si="5"/>
        <v>#N/A Invalid Security</v>
      </c>
      <c r="H37" s="1161"/>
      <c r="I37" s="1162"/>
      <c r="J37" s="1176">
        <f t="shared" si="1"/>
        <v>0</v>
      </c>
      <c r="K37" s="1163"/>
      <c r="L37" s="950"/>
      <c r="M37" s="950"/>
      <c r="N37" s="1164"/>
      <c r="O37" s="1177">
        <f t="shared" si="2"/>
        <v>0</v>
      </c>
      <c r="P37" s="1165"/>
      <c r="Q37" s="1178" t="e">
        <f t="shared" si="3"/>
        <v>#DIV/0!</v>
      </c>
      <c r="R37" s="978"/>
      <c r="S37" s="948"/>
      <c r="T37" s="1167"/>
      <c r="U37" s="831"/>
      <c r="V37" s="736"/>
      <c r="W37" s="1168"/>
      <c r="X37" s="1169"/>
      <c r="Y37" s="1169"/>
      <c r="Z37" s="670"/>
      <c r="AA37" s="670"/>
      <c r="AB37" s="670"/>
      <c r="AC37" s="670"/>
      <c r="AD37" s="670"/>
      <c r="AE37" s="670"/>
    </row>
    <row r="38" spans="1:31">
      <c r="A38" s="1157"/>
      <c r="B38" s="1158"/>
      <c r="C38" s="1133" t="str">
        <f>IFERROR(VLOOKUP(D38,PosAggregate!$A$88:$A$142,1,FALSE),"")</f>
        <v/>
      </c>
      <c r="D38" s="950"/>
      <c r="E38" s="1133" t="str">
        <f t="shared" si="0"/>
        <v>YES</v>
      </c>
      <c r="F38" s="1174" t="str">
        <f t="shared" si="4"/>
        <v>#N/A Invalid Security</v>
      </c>
      <c r="G38" s="1133" t="str">
        <f t="shared" si="5"/>
        <v>#N/A Invalid Security</v>
      </c>
      <c r="H38" s="1161"/>
      <c r="I38" s="1162"/>
      <c r="J38" s="1176">
        <f t="shared" si="1"/>
        <v>0</v>
      </c>
      <c r="K38" s="1163"/>
      <c r="L38" s="950"/>
      <c r="M38" s="950"/>
      <c r="N38" s="1164"/>
      <c r="O38" s="1177">
        <f t="shared" si="2"/>
        <v>0</v>
      </c>
      <c r="P38" s="1165"/>
      <c r="Q38" s="1178" t="e">
        <f t="shared" si="3"/>
        <v>#DIV/0!</v>
      </c>
      <c r="R38" s="978"/>
      <c r="S38" s="948"/>
      <c r="T38" s="1167"/>
      <c r="U38" s="831"/>
      <c r="V38" s="736"/>
      <c r="W38" s="1168"/>
      <c r="X38" s="1169"/>
      <c r="Y38" s="1169"/>
      <c r="Z38" s="670"/>
      <c r="AA38" s="670"/>
      <c r="AB38" s="670"/>
      <c r="AC38" s="670"/>
      <c r="AD38" s="670"/>
      <c r="AE38" s="670"/>
    </row>
    <row r="39" spans="1:31">
      <c r="A39" s="1157"/>
      <c r="B39" s="1158"/>
      <c r="C39" s="1133" t="str">
        <f>IFERROR(VLOOKUP(D39,PosAggregate!$A$88:$A$142,1,FALSE),"")</f>
        <v/>
      </c>
      <c r="D39" s="950"/>
      <c r="E39" s="1133" t="str">
        <f t="shared" si="0"/>
        <v>YES</v>
      </c>
      <c r="F39" s="1174" t="str">
        <f t="shared" si="4"/>
        <v>#N/A Invalid Security</v>
      </c>
      <c r="G39" s="1133" t="str">
        <f t="shared" si="5"/>
        <v>#N/A Invalid Security</v>
      </c>
      <c r="H39" s="1161"/>
      <c r="I39" s="1162"/>
      <c r="J39" s="1176">
        <f t="shared" si="1"/>
        <v>0</v>
      </c>
      <c r="K39" s="1163"/>
      <c r="L39" s="950"/>
      <c r="M39" s="950"/>
      <c r="N39" s="1164"/>
      <c r="O39" s="1177">
        <f t="shared" si="2"/>
        <v>0</v>
      </c>
      <c r="P39" s="1165"/>
      <c r="Q39" s="1178" t="e">
        <f t="shared" si="3"/>
        <v>#DIV/0!</v>
      </c>
      <c r="R39" s="978"/>
      <c r="S39" s="948"/>
      <c r="T39" s="1167"/>
      <c r="U39" s="831"/>
      <c r="V39" s="736"/>
      <c r="W39" s="1168"/>
      <c r="X39" s="1169"/>
      <c r="Y39" s="1169"/>
      <c r="Z39" s="670"/>
      <c r="AA39" s="670"/>
      <c r="AB39" s="670"/>
      <c r="AC39" s="670"/>
      <c r="AD39" s="670"/>
      <c r="AE39" s="670"/>
    </row>
    <row r="40" spans="1:31">
      <c r="A40" s="1157"/>
      <c r="B40" s="1158"/>
      <c r="C40" s="1133" t="str">
        <f>IFERROR(VLOOKUP(D40,PosAggregate!$A$88:$A$142,1,FALSE),"")</f>
        <v/>
      </c>
      <c r="D40" s="950"/>
      <c r="E40" s="1133" t="str">
        <f t="shared" si="0"/>
        <v>YES</v>
      </c>
      <c r="F40" s="1174" t="str">
        <f t="shared" si="4"/>
        <v>#N/A Invalid Security</v>
      </c>
      <c r="G40" s="1133" t="str">
        <f t="shared" si="5"/>
        <v>#N/A Invalid Security</v>
      </c>
      <c r="H40" s="1161"/>
      <c r="I40" s="1162"/>
      <c r="J40" s="1176">
        <f t="shared" si="1"/>
        <v>0</v>
      </c>
      <c r="K40" s="1163"/>
      <c r="L40" s="950"/>
      <c r="M40" s="950"/>
      <c r="N40" s="1164"/>
      <c r="O40" s="1177">
        <f t="shared" si="2"/>
        <v>0</v>
      </c>
      <c r="P40" s="1165"/>
      <c r="Q40" s="1178" t="e">
        <f t="shared" si="3"/>
        <v>#DIV/0!</v>
      </c>
      <c r="R40" s="978"/>
      <c r="S40" s="948"/>
      <c r="T40" s="1167"/>
      <c r="U40" s="831"/>
      <c r="V40" s="736"/>
      <c r="W40" s="1168"/>
      <c r="X40" s="1169"/>
      <c r="Y40" s="1169"/>
      <c r="Z40" s="670"/>
      <c r="AA40" s="670"/>
      <c r="AB40" s="670"/>
      <c r="AC40" s="670"/>
      <c r="AD40" s="670"/>
      <c r="AE40" s="670"/>
    </row>
    <row r="41" spans="1:31">
      <c r="A41" s="1157"/>
      <c r="B41" s="1158"/>
      <c r="C41" s="1133" t="str">
        <f>IFERROR(VLOOKUP(D41,PosAggregate!$A$88:$A$142,1,FALSE),"")</f>
        <v/>
      </c>
      <c r="D41" s="950"/>
      <c r="E41" s="1133" t="str">
        <f t="shared" si="0"/>
        <v>YES</v>
      </c>
      <c r="F41" s="1174" t="str">
        <f t="shared" si="4"/>
        <v>#N/A Invalid Security</v>
      </c>
      <c r="G41" s="1133" t="str">
        <f t="shared" si="5"/>
        <v>#N/A Invalid Security</v>
      </c>
      <c r="H41" s="1161"/>
      <c r="I41" s="1162"/>
      <c r="J41" s="1176">
        <f t="shared" si="1"/>
        <v>0</v>
      </c>
      <c r="K41" s="1163"/>
      <c r="L41" s="950"/>
      <c r="M41" s="950"/>
      <c r="N41" s="1164"/>
      <c r="O41" s="1177">
        <f t="shared" si="2"/>
        <v>0</v>
      </c>
      <c r="P41" s="1165"/>
      <c r="Q41" s="1178" t="e">
        <f t="shared" si="3"/>
        <v>#DIV/0!</v>
      </c>
      <c r="R41" s="978"/>
      <c r="S41" s="948"/>
      <c r="T41" s="1167"/>
      <c r="U41" s="831"/>
      <c r="V41" s="736"/>
      <c r="W41" s="1168"/>
      <c r="X41" s="1169"/>
      <c r="Y41" s="1169"/>
      <c r="Z41" s="670"/>
      <c r="AA41" s="670"/>
      <c r="AB41" s="670"/>
      <c r="AC41" s="670"/>
      <c r="AD41" s="670"/>
      <c r="AE41" s="670"/>
    </row>
    <row r="42" spans="1:31">
      <c r="A42" s="1157"/>
      <c r="B42" s="1158"/>
      <c r="C42" s="1133" t="str">
        <f>IFERROR(VLOOKUP(D42,PosAggregate!$A$88:$A$142,1,FALSE),"")</f>
        <v/>
      </c>
      <c r="D42" s="950"/>
      <c r="E42" s="1133" t="str">
        <f t="shared" si="0"/>
        <v>YES</v>
      </c>
      <c r="F42" s="1174" t="str">
        <f t="shared" si="4"/>
        <v>#N/A Invalid Security</v>
      </c>
      <c r="G42" s="1133" t="str">
        <f t="shared" si="5"/>
        <v>#N/A Invalid Security</v>
      </c>
      <c r="H42" s="1161"/>
      <c r="I42" s="1162"/>
      <c r="J42" s="1176">
        <f t="shared" si="1"/>
        <v>0</v>
      </c>
      <c r="K42" s="1163"/>
      <c r="L42" s="950"/>
      <c r="M42" s="950"/>
      <c r="N42" s="1164"/>
      <c r="O42" s="1177">
        <f t="shared" si="2"/>
        <v>0</v>
      </c>
      <c r="P42" s="1165"/>
      <c r="Q42" s="1178" t="e">
        <f t="shared" si="3"/>
        <v>#DIV/0!</v>
      </c>
      <c r="R42" s="978"/>
      <c r="S42" s="948"/>
      <c r="T42" s="1167"/>
      <c r="U42" s="831"/>
      <c r="V42" s="736"/>
      <c r="W42" s="1168"/>
      <c r="X42" s="1169"/>
      <c r="Y42" s="1169"/>
      <c r="Z42" s="670"/>
      <c r="AA42" s="670"/>
      <c r="AB42" s="670"/>
      <c r="AC42" s="670"/>
      <c r="AD42" s="670"/>
      <c r="AE42" s="670"/>
    </row>
    <row r="43" spans="1:31">
      <c r="A43" s="1157"/>
      <c r="B43" s="1158"/>
      <c r="C43" s="1133" t="str">
        <f>IFERROR(VLOOKUP(D43,PosAggregate!$A$88:$A$142,1,FALSE),"")</f>
        <v/>
      </c>
      <c r="D43" s="950"/>
      <c r="E43" s="1133" t="str">
        <f t="shared" si="0"/>
        <v>YES</v>
      </c>
      <c r="F43" s="1174" t="str">
        <f t="shared" si="4"/>
        <v>#N/A Invalid Security</v>
      </c>
      <c r="G43" s="1133" t="str">
        <f t="shared" si="5"/>
        <v>#N/A Invalid Security</v>
      </c>
      <c r="H43" s="1161"/>
      <c r="I43" s="1162"/>
      <c r="J43" s="1176">
        <f t="shared" si="1"/>
        <v>0</v>
      </c>
      <c r="K43" s="1163"/>
      <c r="L43" s="950"/>
      <c r="M43" s="950"/>
      <c r="N43" s="1164"/>
      <c r="O43" s="1177">
        <f t="shared" si="2"/>
        <v>0</v>
      </c>
      <c r="P43" s="1165"/>
      <c r="Q43" s="1178" t="e">
        <f t="shared" si="3"/>
        <v>#DIV/0!</v>
      </c>
      <c r="R43" s="978"/>
      <c r="S43" s="948"/>
      <c r="T43" s="1167"/>
      <c r="U43" s="831"/>
      <c r="V43" s="736"/>
      <c r="W43" s="1168"/>
      <c r="X43" s="1169"/>
      <c r="Y43" s="1169"/>
      <c r="Z43" s="670"/>
      <c r="AA43" s="670"/>
      <c r="AB43" s="670"/>
      <c r="AC43" s="670"/>
      <c r="AD43" s="670"/>
      <c r="AE43" s="670"/>
    </row>
    <row r="44" spans="1:31">
      <c r="A44" s="1157"/>
      <c r="B44" s="1158"/>
      <c r="C44" s="1133" t="str">
        <f>IFERROR(VLOOKUP(D44,PosAggregate!$A$88:$A$142,1,FALSE),"")</f>
        <v/>
      </c>
      <c r="D44" s="950"/>
      <c r="E44" s="1133" t="str">
        <f t="shared" si="0"/>
        <v>YES</v>
      </c>
      <c r="F44" s="1174" t="str">
        <f t="shared" si="4"/>
        <v>#N/A Invalid Security</v>
      </c>
      <c r="G44" s="1133" t="str">
        <f t="shared" si="5"/>
        <v>#N/A Invalid Security</v>
      </c>
      <c r="H44" s="1161"/>
      <c r="I44" s="1162"/>
      <c r="J44" s="1176">
        <f t="shared" si="1"/>
        <v>0</v>
      </c>
      <c r="K44" s="1163"/>
      <c r="L44" s="950"/>
      <c r="M44" s="950"/>
      <c r="N44" s="1164"/>
      <c r="O44" s="1177">
        <f t="shared" si="2"/>
        <v>0</v>
      </c>
      <c r="P44" s="1165"/>
      <c r="Q44" s="1178" t="e">
        <f t="shared" si="3"/>
        <v>#DIV/0!</v>
      </c>
      <c r="R44" s="978"/>
      <c r="S44" s="948"/>
      <c r="T44" s="1167"/>
      <c r="U44" s="831"/>
      <c r="V44" s="736"/>
      <c r="W44" s="1168"/>
      <c r="X44" s="1169"/>
      <c r="Y44" s="1169"/>
      <c r="Z44" s="670"/>
      <c r="AA44" s="670"/>
      <c r="AB44" s="670"/>
      <c r="AC44" s="670"/>
      <c r="AD44" s="670"/>
      <c r="AE44" s="670"/>
    </row>
    <row r="45" spans="1:31">
      <c r="A45" s="1157"/>
      <c r="B45" s="1158"/>
      <c r="C45" s="1133" t="str">
        <f>IFERROR(VLOOKUP(D45,PosAggregate!$A$88:$A$142,1,FALSE),"")</f>
        <v/>
      </c>
      <c r="D45" s="950"/>
      <c r="E45" s="1133" t="str">
        <f t="shared" si="0"/>
        <v>YES</v>
      </c>
      <c r="F45" s="1174" t="str">
        <f t="shared" si="4"/>
        <v>#N/A Invalid Security</v>
      </c>
      <c r="G45" s="1133" t="str">
        <f t="shared" si="5"/>
        <v>#N/A Invalid Security</v>
      </c>
      <c r="H45" s="1161"/>
      <c r="I45" s="1162"/>
      <c r="J45" s="1176">
        <f t="shared" si="1"/>
        <v>0</v>
      </c>
      <c r="K45" s="1163"/>
      <c r="L45" s="950"/>
      <c r="M45" s="950"/>
      <c r="N45" s="1164"/>
      <c r="O45" s="1177">
        <f t="shared" si="2"/>
        <v>0</v>
      </c>
      <c r="P45" s="1165"/>
      <c r="Q45" s="1178" t="e">
        <f t="shared" si="3"/>
        <v>#DIV/0!</v>
      </c>
      <c r="R45" s="978"/>
      <c r="S45" s="948"/>
      <c r="T45" s="1167"/>
      <c r="U45" s="831"/>
      <c r="V45" s="736"/>
      <c r="W45" s="1168"/>
      <c r="X45" s="1169"/>
      <c r="Y45" s="1169"/>
      <c r="Z45" s="670"/>
      <c r="AA45" s="670"/>
      <c r="AB45" s="670"/>
      <c r="AC45" s="670"/>
      <c r="AD45" s="670"/>
      <c r="AE45" s="670"/>
    </row>
    <row r="46" spans="1:31">
      <c r="A46" s="1157"/>
      <c r="B46" s="1158"/>
      <c r="C46" s="1133" t="str">
        <f>IFERROR(VLOOKUP(D46,PosAggregate!$A$88:$A$142,1,FALSE),"")</f>
        <v/>
      </c>
      <c r="D46" s="950"/>
      <c r="E46" s="1133" t="str">
        <f t="shared" si="0"/>
        <v>YES</v>
      </c>
      <c r="F46" s="1174" t="str">
        <f t="shared" si="4"/>
        <v>#N/A Invalid Security</v>
      </c>
      <c r="G46" s="1133" t="str">
        <f t="shared" si="5"/>
        <v>#N/A Invalid Security</v>
      </c>
      <c r="H46" s="1161"/>
      <c r="I46" s="1162"/>
      <c r="J46" s="1176">
        <f t="shared" si="1"/>
        <v>0</v>
      </c>
      <c r="K46" s="1163"/>
      <c r="L46" s="950"/>
      <c r="M46" s="950"/>
      <c r="N46" s="1164"/>
      <c r="O46" s="1177">
        <f t="shared" si="2"/>
        <v>0</v>
      </c>
      <c r="P46" s="1165"/>
      <c r="Q46" s="1178" t="e">
        <f t="shared" si="3"/>
        <v>#DIV/0!</v>
      </c>
      <c r="R46" s="978"/>
      <c r="S46" s="948"/>
      <c r="T46" s="1167"/>
      <c r="U46" s="831"/>
      <c r="V46" s="736"/>
      <c r="W46" s="1168"/>
      <c r="X46" s="1169"/>
      <c r="Y46" s="1169"/>
      <c r="Z46" s="670"/>
      <c r="AA46" s="670"/>
      <c r="AB46" s="670"/>
      <c r="AC46" s="670"/>
      <c r="AD46" s="670"/>
      <c r="AE46" s="670"/>
    </row>
    <row r="47" spans="1:31">
      <c r="A47" s="1157"/>
      <c r="B47" s="1158"/>
      <c r="C47" s="1133" t="str">
        <f>IFERROR(VLOOKUP(D47,PosAggregate!$A$88:$A$142,1,FALSE),"")</f>
        <v/>
      </c>
      <c r="D47" s="950"/>
      <c r="E47" s="1133" t="str">
        <f t="shared" si="0"/>
        <v>YES</v>
      </c>
      <c r="F47" s="1174" t="str">
        <f t="shared" si="4"/>
        <v>#N/A Invalid Security</v>
      </c>
      <c r="G47" s="1133" t="str">
        <f t="shared" si="5"/>
        <v>#N/A Invalid Security</v>
      </c>
      <c r="H47" s="1161"/>
      <c r="I47" s="1162"/>
      <c r="J47" s="1176">
        <f t="shared" si="1"/>
        <v>0</v>
      </c>
      <c r="K47" s="1163"/>
      <c r="L47" s="950"/>
      <c r="M47" s="950"/>
      <c r="N47" s="1164"/>
      <c r="O47" s="1177">
        <f t="shared" si="2"/>
        <v>0</v>
      </c>
      <c r="P47" s="1165"/>
      <c r="Q47" s="1178" t="e">
        <f t="shared" si="3"/>
        <v>#DIV/0!</v>
      </c>
      <c r="R47" s="978"/>
      <c r="S47" s="948"/>
      <c r="T47" s="1167"/>
      <c r="U47" s="831"/>
      <c r="V47" s="736"/>
      <c r="W47" s="1168"/>
      <c r="X47" s="1169"/>
      <c r="Y47" s="1169"/>
      <c r="Z47" s="670"/>
      <c r="AA47" s="670"/>
      <c r="AB47" s="670"/>
      <c r="AC47" s="670"/>
      <c r="AD47" s="670"/>
      <c r="AE47" s="670"/>
    </row>
    <row r="48" spans="1:31">
      <c r="A48" s="1157"/>
      <c r="B48" s="1158"/>
      <c r="C48" s="1133" t="str">
        <f>IFERROR(VLOOKUP(D48,PosAggregate!$A$88:$A$142,1,FALSE),"")</f>
        <v/>
      </c>
      <c r="D48" s="950"/>
      <c r="E48" s="1133" t="str">
        <f t="shared" si="0"/>
        <v>YES</v>
      </c>
      <c r="F48" s="1174" t="str">
        <f t="shared" si="4"/>
        <v>#N/A Invalid Security</v>
      </c>
      <c r="G48" s="1133" t="str">
        <f t="shared" si="5"/>
        <v>#N/A Invalid Security</v>
      </c>
      <c r="H48" s="1161"/>
      <c r="I48" s="1162"/>
      <c r="J48" s="1176">
        <f t="shared" si="1"/>
        <v>0</v>
      </c>
      <c r="K48" s="1163"/>
      <c r="L48" s="950"/>
      <c r="M48" s="950"/>
      <c r="N48" s="1164"/>
      <c r="O48" s="1177">
        <f t="shared" si="2"/>
        <v>0</v>
      </c>
      <c r="P48" s="1165"/>
      <c r="Q48" s="1178" t="e">
        <f t="shared" si="3"/>
        <v>#DIV/0!</v>
      </c>
      <c r="R48" s="978"/>
      <c r="S48" s="948"/>
      <c r="T48" s="1167"/>
      <c r="U48" s="831"/>
      <c r="V48" s="736"/>
      <c r="W48" s="1168"/>
      <c r="X48" s="1169"/>
      <c r="Y48" s="1169"/>
      <c r="Z48" s="670"/>
      <c r="AA48" s="670"/>
      <c r="AB48" s="670"/>
      <c r="AC48" s="670"/>
      <c r="AD48" s="670"/>
      <c r="AE48" s="670"/>
    </row>
    <row r="49" spans="1:31">
      <c r="A49" s="1157"/>
      <c r="B49" s="1158"/>
      <c r="C49" s="1133" t="str">
        <f>IFERROR(VLOOKUP(D49,PosAggregate!$A$88:$A$142,1,FALSE),"")</f>
        <v/>
      </c>
      <c r="D49" s="950"/>
      <c r="E49" s="1133" t="str">
        <f t="shared" si="0"/>
        <v>YES</v>
      </c>
      <c r="F49" s="1174" t="str">
        <f t="shared" si="4"/>
        <v>#N/A Invalid Security</v>
      </c>
      <c r="G49" s="1133" t="str">
        <f t="shared" si="5"/>
        <v>#N/A Invalid Security</v>
      </c>
      <c r="H49" s="1161"/>
      <c r="I49" s="1162"/>
      <c r="J49" s="1176">
        <f t="shared" si="1"/>
        <v>0</v>
      </c>
      <c r="K49" s="1163"/>
      <c r="L49" s="950"/>
      <c r="M49" s="950"/>
      <c r="N49" s="1164"/>
      <c r="O49" s="1177">
        <f t="shared" si="2"/>
        <v>0</v>
      </c>
      <c r="P49" s="1165"/>
      <c r="Q49" s="1178" t="e">
        <f t="shared" si="3"/>
        <v>#DIV/0!</v>
      </c>
      <c r="R49" s="978"/>
      <c r="S49" s="948"/>
      <c r="T49" s="1167"/>
      <c r="U49" s="831"/>
      <c r="V49" s="736"/>
      <c r="W49" s="1168"/>
      <c r="X49" s="1169"/>
      <c r="Y49" s="1169"/>
      <c r="Z49" s="670"/>
      <c r="AA49" s="670"/>
      <c r="AB49" s="670"/>
      <c r="AC49" s="670"/>
      <c r="AD49" s="670"/>
      <c r="AE49" s="670"/>
    </row>
    <row r="50" spans="1:31">
      <c r="A50" s="1170"/>
      <c r="B50" s="950"/>
      <c r="C50" s="1133" t="str">
        <f>IFERROR(VLOOKUP(D50,PosAggregate!$A$88:$A$142,1,FALSE),"")</f>
        <v/>
      </c>
      <c r="D50" s="950"/>
      <c r="E50" s="1133" t="str">
        <f t="shared" si="0"/>
        <v>YES</v>
      </c>
      <c r="F50" s="1174" t="str">
        <f t="shared" si="4"/>
        <v>#N/A Invalid Security</v>
      </c>
      <c r="G50" s="1133" t="str">
        <f t="shared" si="5"/>
        <v>#N/A Invalid Security</v>
      </c>
      <c r="H50" s="1160"/>
      <c r="I50" s="1160"/>
      <c r="J50" s="1176">
        <f t="shared" si="1"/>
        <v>0</v>
      </c>
      <c r="K50" s="1160"/>
      <c r="L50" s="1160"/>
      <c r="M50" s="1160"/>
      <c r="N50" s="1160"/>
      <c r="O50" s="1177">
        <f t="shared" si="2"/>
        <v>0</v>
      </c>
      <c r="P50" s="1171"/>
      <c r="Q50" s="1178" t="e">
        <f t="shared" si="3"/>
        <v>#DIV/0!</v>
      </c>
      <c r="R50" s="1160"/>
      <c r="S50" s="948"/>
      <c r="T50" s="1172"/>
      <c r="U50" s="670"/>
      <c r="V50" s="736"/>
      <c r="W50" s="1168"/>
      <c r="X50" s="1169"/>
      <c r="Y50" s="1169"/>
      <c r="Z50" s="670"/>
      <c r="AA50" s="670"/>
      <c r="AB50" s="670"/>
      <c r="AC50" s="670"/>
      <c r="AD50" s="670"/>
      <c r="AE50" s="670"/>
    </row>
    <row r="51" spans="1:31">
      <c r="A51" s="1170"/>
      <c r="B51" s="950"/>
      <c r="C51" s="1133" t="str">
        <f>IFERROR(VLOOKUP(D51,PosAggregate!$A$88:$A$142,1,FALSE),"")</f>
        <v/>
      </c>
      <c r="D51" s="950"/>
      <c r="E51" s="1133" t="str">
        <f t="shared" si="0"/>
        <v>YES</v>
      </c>
      <c r="F51" s="1174" t="str">
        <f t="shared" si="4"/>
        <v>#N/A Invalid Security</v>
      </c>
      <c r="G51" s="1133" t="str">
        <f t="shared" si="5"/>
        <v>#N/A Invalid Security</v>
      </c>
      <c r="H51" s="1160"/>
      <c r="I51" s="1160"/>
      <c r="J51" s="1176">
        <f t="shared" si="1"/>
        <v>0</v>
      </c>
      <c r="K51" s="1160"/>
      <c r="L51" s="1160"/>
      <c r="M51" s="1160"/>
      <c r="N51" s="1160"/>
      <c r="O51" s="1177">
        <f t="shared" si="2"/>
        <v>0</v>
      </c>
      <c r="P51" s="1171"/>
      <c r="Q51" s="1178" t="e">
        <f t="shared" si="3"/>
        <v>#DIV/0!</v>
      </c>
      <c r="R51" s="1160"/>
      <c r="S51" s="948"/>
      <c r="T51" s="1172"/>
      <c r="U51" s="670"/>
      <c r="V51" s="736"/>
      <c r="W51" s="1168"/>
      <c r="X51" s="1169"/>
      <c r="Y51" s="1169"/>
      <c r="Z51" s="670"/>
      <c r="AA51" s="670"/>
      <c r="AB51" s="670"/>
      <c r="AC51" s="670"/>
      <c r="AD51" s="670"/>
      <c r="AE51" s="670"/>
    </row>
    <row r="52" spans="1:31">
      <c r="A52" s="1170"/>
      <c r="B52" s="950"/>
      <c r="C52" s="1133" t="str">
        <f>IFERROR(VLOOKUP(D52,PosAggregate!$A$88:$A$142,1,FALSE),"")</f>
        <v/>
      </c>
      <c r="D52" s="950"/>
      <c r="E52" s="1133" t="str">
        <f t="shared" si="0"/>
        <v>YES</v>
      </c>
      <c r="F52" s="1174" t="str">
        <f t="shared" si="4"/>
        <v>#N/A Invalid Security</v>
      </c>
      <c r="G52" s="1133" t="str">
        <f t="shared" si="5"/>
        <v>#N/A Invalid Security</v>
      </c>
      <c r="H52" s="1160"/>
      <c r="I52" s="1160"/>
      <c r="J52" s="1176">
        <f t="shared" ref="J52:J65" si="6">-H52*I52/100</f>
        <v>0</v>
      </c>
      <c r="K52" s="1160"/>
      <c r="L52" s="1160"/>
      <c r="M52" s="1160"/>
      <c r="N52" s="1160"/>
      <c r="O52" s="1177">
        <f t="shared" si="2"/>
        <v>0</v>
      </c>
      <c r="P52" s="1171"/>
      <c r="Q52" s="1178" t="e">
        <f t="shared" si="3"/>
        <v>#DIV/0!</v>
      </c>
      <c r="R52" s="1160"/>
      <c r="S52" s="948"/>
      <c r="T52" s="1172"/>
      <c r="U52" s="670"/>
      <c r="V52" s="736"/>
      <c r="W52" s="1168"/>
      <c r="X52" s="1169"/>
      <c r="Y52" s="1169"/>
      <c r="Z52" s="670"/>
      <c r="AA52" s="670"/>
      <c r="AB52" s="670"/>
      <c r="AC52" s="670"/>
      <c r="AD52" s="670"/>
      <c r="AE52" s="670"/>
    </row>
    <row r="53" spans="1:31">
      <c r="A53" s="1170"/>
      <c r="B53" s="950"/>
      <c r="C53" s="1133" t="str">
        <f>IFERROR(VLOOKUP(D53,PosAggregate!$A$88:$A$142,1,FALSE),"")</f>
        <v/>
      </c>
      <c r="D53" s="950"/>
      <c r="E53" s="1133" t="str">
        <f t="shared" si="0"/>
        <v>YES</v>
      </c>
      <c r="F53" s="1174" t="str">
        <f t="shared" si="4"/>
        <v>#N/A Invalid Security</v>
      </c>
      <c r="G53" s="1133" t="str">
        <f t="shared" si="5"/>
        <v>#N/A Invalid Security</v>
      </c>
      <c r="H53" s="1160"/>
      <c r="I53" s="1160"/>
      <c r="J53" s="1176">
        <f t="shared" si="6"/>
        <v>0</v>
      </c>
      <c r="K53" s="1160"/>
      <c r="L53" s="1160"/>
      <c r="M53" s="1160"/>
      <c r="N53" s="1160"/>
      <c r="O53" s="1177">
        <f t="shared" si="2"/>
        <v>0</v>
      </c>
      <c r="P53" s="1171"/>
      <c r="Q53" s="1178" t="e">
        <f t="shared" ref="Q53:Q65" si="7">+O53/P53</f>
        <v>#DIV/0!</v>
      </c>
      <c r="R53" s="1160"/>
      <c r="S53" s="948"/>
      <c r="T53" s="1172"/>
      <c r="U53" s="670"/>
      <c r="V53" s="736"/>
      <c r="W53" s="1168"/>
      <c r="X53" s="1169"/>
      <c r="Y53" s="1169"/>
      <c r="Z53" s="670"/>
      <c r="AA53" s="670"/>
      <c r="AB53" s="670"/>
      <c r="AC53" s="670"/>
      <c r="AD53" s="670"/>
      <c r="AE53" s="670"/>
    </row>
    <row r="54" spans="1:31">
      <c r="A54" s="1170"/>
      <c r="B54" s="950"/>
      <c r="C54" s="1133" t="str">
        <f>IFERROR(VLOOKUP(D54,PosAggregate!$A$88:$A$142,1,FALSE),"")</f>
        <v/>
      </c>
      <c r="D54" s="950"/>
      <c r="E54" s="1133" t="str">
        <f t="shared" si="0"/>
        <v>YES</v>
      </c>
      <c r="F54" s="1174" t="str">
        <f t="shared" si="4"/>
        <v>#N/A Invalid Security</v>
      </c>
      <c r="G54" s="1133" t="str">
        <f t="shared" si="5"/>
        <v>#N/A Invalid Security</v>
      </c>
      <c r="H54" s="1160"/>
      <c r="I54" s="1160"/>
      <c r="J54" s="1176">
        <f t="shared" si="6"/>
        <v>0</v>
      </c>
      <c r="K54" s="1160"/>
      <c r="L54" s="1160"/>
      <c r="M54" s="1160"/>
      <c r="N54" s="1160"/>
      <c r="O54" s="1177">
        <f t="shared" si="2"/>
        <v>0</v>
      </c>
      <c r="P54" s="1171"/>
      <c r="Q54" s="1178" t="e">
        <f t="shared" si="7"/>
        <v>#DIV/0!</v>
      </c>
      <c r="R54" s="1160"/>
      <c r="S54" s="948"/>
      <c r="T54" s="1172"/>
      <c r="U54" s="670"/>
      <c r="V54" s="736"/>
      <c r="W54" s="1168"/>
      <c r="X54" s="1169"/>
      <c r="Y54" s="1169"/>
      <c r="Z54" s="670"/>
      <c r="AA54" s="670"/>
      <c r="AB54" s="670"/>
      <c r="AC54" s="670"/>
      <c r="AD54" s="670"/>
      <c r="AE54" s="670"/>
    </row>
    <row r="55" spans="1:31">
      <c r="A55" s="1170"/>
      <c r="B55" s="950"/>
      <c r="C55" s="1133" t="str">
        <f>IFERROR(VLOOKUP(D55,PosAggregate!$A$88:$A$142,1,FALSE),"")</f>
        <v/>
      </c>
      <c r="D55" s="950"/>
      <c r="E55" s="1133" t="str">
        <f t="shared" si="0"/>
        <v>YES</v>
      </c>
      <c r="F55" s="1174" t="str">
        <f t="shared" si="4"/>
        <v>#N/A Invalid Security</v>
      </c>
      <c r="G55" s="1133" t="str">
        <f t="shared" si="5"/>
        <v>#N/A Invalid Security</v>
      </c>
      <c r="H55" s="1160"/>
      <c r="I55" s="1160"/>
      <c r="J55" s="1176">
        <f t="shared" si="6"/>
        <v>0</v>
      </c>
      <c r="K55" s="1160"/>
      <c r="L55" s="1160"/>
      <c r="M55" s="1160"/>
      <c r="N55" s="1160"/>
      <c r="O55" s="1177">
        <f t="shared" si="2"/>
        <v>0</v>
      </c>
      <c r="P55" s="1171"/>
      <c r="Q55" s="1178" t="e">
        <f t="shared" si="7"/>
        <v>#DIV/0!</v>
      </c>
      <c r="R55" s="1160"/>
      <c r="S55" s="948"/>
      <c r="T55" s="1172"/>
      <c r="U55" s="670"/>
      <c r="V55" s="736"/>
      <c r="W55" s="1168"/>
      <c r="X55" s="1169"/>
      <c r="Y55" s="1169"/>
      <c r="Z55" s="670"/>
      <c r="AA55" s="670"/>
      <c r="AB55" s="670"/>
      <c r="AC55" s="670"/>
      <c r="AD55" s="670"/>
      <c r="AE55" s="670"/>
    </row>
    <row r="56" spans="1:31">
      <c r="A56" s="1170"/>
      <c r="B56" s="950"/>
      <c r="C56" s="1133" t="str">
        <f>IFERROR(VLOOKUP(D56,PosAggregate!$A$88:$A$142,1,FALSE),"")</f>
        <v/>
      </c>
      <c r="D56" s="950"/>
      <c r="E56" s="1133" t="str">
        <f t="shared" si="0"/>
        <v>YES</v>
      </c>
      <c r="F56" s="1174" t="str">
        <f t="shared" si="4"/>
        <v>#N/A Invalid Security</v>
      </c>
      <c r="G56" s="1133" t="str">
        <f t="shared" si="5"/>
        <v>#N/A Invalid Security</v>
      </c>
      <c r="H56" s="1160"/>
      <c r="I56" s="1160"/>
      <c r="J56" s="1176">
        <f t="shared" si="6"/>
        <v>0</v>
      </c>
      <c r="K56" s="1160"/>
      <c r="L56" s="1160"/>
      <c r="M56" s="1160"/>
      <c r="N56" s="1160"/>
      <c r="O56" s="1177">
        <f t="shared" si="2"/>
        <v>0</v>
      </c>
      <c r="P56" s="1171"/>
      <c r="Q56" s="1178" t="e">
        <f t="shared" si="7"/>
        <v>#DIV/0!</v>
      </c>
      <c r="R56" s="1160"/>
      <c r="S56" s="948"/>
      <c r="T56" s="1172"/>
      <c r="U56" s="670"/>
      <c r="V56" s="736"/>
      <c r="W56" s="1168"/>
      <c r="X56" s="1169"/>
      <c r="Y56" s="1169"/>
      <c r="Z56" s="670"/>
      <c r="AA56" s="670"/>
      <c r="AB56" s="670"/>
      <c r="AC56" s="670"/>
      <c r="AD56" s="670"/>
      <c r="AE56" s="670"/>
    </row>
    <row r="57" spans="1:31">
      <c r="A57" s="1170"/>
      <c r="B57" s="950"/>
      <c r="C57" s="1133" t="str">
        <f>IFERROR(VLOOKUP(D57,PosAggregate!$A$88:$A$142,1,FALSE),"")</f>
        <v/>
      </c>
      <c r="D57" s="950"/>
      <c r="E57" s="1133" t="str">
        <f t="shared" si="0"/>
        <v>YES</v>
      </c>
      <c r="F57" s="1174" t="str">
        <f t="shared" si="4"/>
        <v>#N/A Invalid Security</v>
      </c>
      <c r="G57" s="1133" t="str">
        <f t="shared" si="5"/>
        <v>#N/A Invalid Security</v>
      </c>
      <c r="H57" s="1160"/>
      <c r="I57" s="1160"/>
      <c r="J57" s="1176">
        <f t="shared" si="6"/>
        <v>0</v>
      </c>
      <c r="K57" s="1160"/>
      <c r="L57" s="1160"/>
      <c r="M57" s="1160"/>
      <c r="N57" s="1160"/>
      <c r="O57" s="1177">
        <f t="shared" si="2"/>
        <v>0</v>
      </c>
      <c r="P57" s="1171"/>
      <c r="Q57" s="1178" t="e">
        <f t="shared" si="7"/>
        <v>#DIV/0!</v>
      </c>
      <c r="R57" s="1160"/>
      <c r="S57" s="948"/>
      <c r="T57" s="1172"/>
      <c r="U57" s="670"/>
      <c r="V57" s="736"/>
      <c r="W57" s="1168"/>
      <c r="X57" s="1169"/>
      <c r="Y57" s="1169"/>
      <c r="Z57" s="670"/>
      <c r="AA57" s="670"/>
      <c r="AB57" s="670"/>
      <c r="AC57" s="670"/>
      <c r="AD57" s="670"/>
      <c r="AE57" s="670"/>
    </row>
    <row r="58" spans="1:31">
      <c r="A58" s="1170"/>
      <c r="B58" s="950"/>
      <c r="C58" s="1133" t="str">
        <f>IFERROR(VLOOKUP(D58,PosAggregate!$A$88:$A$142,1,FALSE),"")</f>
        <v/>
      </c>
      <c r="D58" s="950"/>
      <c r="E58" s="1133" t="str">
        <f t="shared" si="0"/>
        <v>YES</v>
      </c>
      <c r="F58" s="1174" t="str">
        <f t="shared" si="4"/>
        <v>#N/A Invalid Security</v>
      </c>
      <c r="G58" s="1133" t="str">
        <f t="shared" si="5"/>
        <v>#N/A Invalid Security</v>
      </c>
      <c r="H58" s="1160"/>
      <c r="I58" s="1160"/>
      <c r="J58" s="1176">
        <f t="shared" si="6"/>
        <v>0</v>
      </c>
      <c r="K58" s="1160"/>
      <c r="L58" s="1160"/>
      <c r="M58" s="1160"/>
      <c r="N58" s="1160"/>
      <c r="O58" s="1177">
        <f t="shared" si="2"/>
        <v>0</v>
      </c>
      <c r="P58" s="1171"/>
      <c r="Q58" s="1178" t="e">
        <f t="shared" si="7"/>
        <v>#DIV/0!</v>
      </c>
      <c r="R58" s="1160"/>
      <c r="S58" s="948"/>
      <c r="T58" s="1172"/>
      <c r="U58" s="670"/>
      <c r="V58" s="736"/>
      <c r="W58" s="1168"/>
      <c r="X58" s="1169"/>
      <c r="Y58" s="1169"/>
      <c r="Z58" s="670"/>
      <c r="AA58" s="670"/>
      <c r="AB58" s="670"/>
      <c r="AC58" s="670"/>
      <c r="AD58" s="670"/>
      <c r="AE58" s="670"/>
    </row>
    <row r="59" spans="1:31">
      <c r="A59" s="1170"/>
      <c r="B59" s="950"/>
      <c r="C59" s="1133" t="str">
        <f>IFERROR(VLOOKUP(D59,PosAggregate!$A$88:$A$142,1,FALSE),"")</f>
        <v/>
      </c>
      <c r="D59" s="950"/>
      <c r="E59" s="1133" t="str">
        <f t="shared" si="0"/>
        <v>YES</v>
      </c>
      <c r="F59" s="1174" t="str">
        <f t="shared" si="4"/>
        <v>#N/A Invalid Security</v>
      </c>
      <c r="G59" s="1133" t="str">
        <f t="shared" si="5"/>
        <v>#N/A Invalid Security</v>
      </c>
      <c r="H59" s="1160"/>
      <c r="I59" s="1160"/>
      <c r="J59" s="1176">
        <f t="shared" si="6"/>
        <v>0</v>
      </c>
      <c r="K59" s="1160"/>
      <c r="L59" s="1160"/>
      <c r="M59" s="1160"/>
      <c r="N59" s="1160"/>
      <c r="O59" s="1177">
        <f t="shared" si="2"/>
        <v>0</v>
      </c>
      <c r="P59" s="1171"/>
      <c r="Q59" s="1178" t="e">
        <f t="shared" si="7"/>
        <v>#DIV/0!</v>
      </c>
      <c r="R59" s="1160"/>
      <c r="S59" s="948"/>
      <c r="T59" s="1172"/>
      <c r="U59" s="670"/>
      <c r="V59" s="736"/>
      <c r="W59" s="1168"/>
      <c r="X59" s="1169"/>
      <c r="Y59" s="1169"/>
      <c r="Z59" s="670"/>
      <c r="AA59" s="670"/>
      <c r="AB59" s="670"/>
      <c r="AC59" s="670"/>
      <c r="AD59" s="670"/>
      <c r="AE59" s="670"/>
    </row>
    <row r="60" spans="1:31">
      <c r="A60" s="1170"/>
      <c r="B60" s="950"/>
      <c r="C60" s="1133" t="str">
        <f>IFERROR(VLOOKUP(D60,PosAggregate!$A$88:$A$142,1,FALSE),"")</f>
        <v/>
      </c>
      <c r="D60" s="950"/>
      <c r="E60" s="1133" t="str">
        <f t="shared" ref="E60:E65" si="8">IF(C60=D60,"YES","NO")</f>
        <v>YES</v>
      </c>
      <c r="F60" s="1174" t="str">
        <f t="shared" si="4"/>
        <v>#N/A Invalid Security</v>
      </c>
      <c r="G60" s="1133" t="str">
        <f t="shared" si="5"/>
        <v>#N/A Invalid Security</v>
      </c>
      <c r="H60" s="1160"/>
      <c r="I60" s="1160"/>
      <c r="J60" s="1176">
        <f t="shared" si="6"/>
        <v>0</v>
      </c>
      <c r="K60" s="1160"/>
      <c r="L60" s="1160"/>
      <c r="M60" s="1160"/>
      <c r="N60" s="1160"/>
      <c r="O60" s="1177">
        <f t="shared" si="2"/>
        <v>0</v>
      </c>
      <c r="P60" s="1171"/>
      <c r="Q60" s="1178" t="e">
        <f t="shared" si="7"/>
        <v>#DIV/0!</v>
      </c>
      <c r="R60" s="1160"/>
      <c r="S60" s="948"/>
      <c r="T60" s="1172"/>
      <c r="U60" s="670"/>
      <c r="V60" s="736"/>
      <c r="W60" s="1168"/>
      <c r="X60" s="1169"/>
      <c r="Y60" s="1169"/>
      <c r="Z60" s="670"/>
      <c r="AA60" s="670"/>
      <c r="AB60" s="670"/>
      <c r="AC60" s="670"/>
      <c r="AD60" s="670"/>
      <c r="AE60" s="670"/>
    </row>
    <row r="61" spans="1:31">
      <c r="A61" s="1170"/>
      <c r="B61" s="950"/>
      <c r="C61" s="1133" t="str">
        <f>IFERROR(VLOOKUP(D61,PosAggregate!$A$88:$A$142,1,FALSE),"")</f>
        <v/>
      </c>
      <c r="D61" s="950"/>
      <c r="E61" s="1133" t="str">
        <f t="shared" si="8"/>
        <v>YES</v>
      </c>
      <c r="F61" s="1174" t="str">
        <f t="shared" si="4"/>
        <v>#N/A Invalid Security</v>
      </c>
      <c r="G61" s="1133" t="str">
        <f t="shared" si="5"/>
        <v>#N/A Invalid Security</v>
      </c>
      <c r="H61" s="1160"/>
      <c r="I61" s="1160"/>
      <c r="J61" s="1176">
        <f t="shared" si="6"/>
        <v>0</v>
      </c>
      <c r="K61" s="1160"/>
      <c r="L61" s="1160"/>
      <c r="M61" s="1160"/>
      <c r="N61" s="1160"/>
      <c r="O61" s="1177">
        <f t="shared" si="2"/>
        <v>0</v>
      </c>
      <c r="P61" s="1171"/>
      <c r="Q61" s="1178" t="e">
        <f t="shared" si="7"/>
        <v>#DIV/0!</v>
      </c>
      <c r="R61" s="1160"/>
      <c r="S61" s="948"/>
      <c r="T61" s="1172"/>
      <c r="U61" s="670"/>
      <c r="V61" s="736"/>
      <c r="W61" s="1168"/>
      <c r="X61" s="1169"/>
      <c r="Y61" s="1169"/>
      <c r="Z61" s="670"/>
      <c r="AA61" s="670"/>
      <c r="AB61" s="670"/>
      <c r="AC61" s="670"/>
      <c r="AD61" s="670"/>
      <c r="AE61" s="670"/>
    </row>
    <row r="62" spans="1:31">
      <c r="A62" s="1170"/>
      <c r="B62" s="950"/>
      <c r="C62" s="1133" t="str">
        <f>IFERROR(VLOOKUP(D62,PosAggregate!$A$88:$A$142,1,FALSE),"")</f>
        <v/>
      </c>
      <c r="D62" s="950"/>
      <c r="E62" s="1133" t="str">
        <f t="shared" si="8"/>
        <v>YES</v>
      </c>
      <c r="F62" s="1174" t="str">
        <f t="shared" si="4"/>
        <v>#N/A Invalid Security</v>
      </c>
      <c r="G62" s="1133" t="str">
        <f t="shared" si="5"/>
        <v>#N/A Invalid Security</v>
      </c>
      <c r="H62" s="1160"/>
      <c r="I62" s="1160"/>
      <c r="J62" s="1176">
        <f t="shared" si="6"/>
        <v>0</v>
      </c>
      <c r="K62" s="1160"/>
      <c r="L62" s="1160"/>
      <c r="M62" s="1160"/>
      <c r="N62" s="1160"/>
      <c r="O62" s="1177">
        <f t="shared" si="2"/>
        <v>0</v>
      </c>
      <c r="P62" s="1171"/>
      <c r="Q62" s="1178" t="e">
        <f t="shared" si="7"/>
        <v>#DIV/0!</v>
      </c>
      <c r="R62" s="1160"/>
      <c r="S62" s="948"/>
      <c r="T62" s="1172"/>
      <c r="U62" s="670"/>
      <c r="V62" s="736"/>
      <c r="W62" s="1168"/>
      <c r="X62" s="1169"/>
      <c r="Y62" s="1169"/>
      <c r="Z62" s="670"/>
      <c r="AA62" s="670"/>
      <c r="AB62" s="670"/>
      <c r="AC62" s="670"/>
      <c r="AD62" s="670"/>
      <c r="AE62" s="670"/>
    </row>
    <row r="63" spans="1:31">
      <c r="A63" s="1170"/>
      <c r="B63" s="950"/>
      <c r="C63" s="1133" t="str">
        <f>IFERROR(VLOOKUP(D63,PosAggregate!$A$88:$A$142,1,FALSE),"")</f>
        <v/>
      </c>
      <c r="D63" s="950"/>
      <c r="E63" s="1133" t="str">
        <f t="shared" si="8"/>
        <v>YES</v>
      </c>
      <c r="F63" s="1174" t="str">
        <f t="shared" si="4"/>
        <v>#N/A Invalid Security</v>
      </c>
      <c r="G63" s="1133" t="str">
        <f t="shared" si="5"/>
        <v>#N/A Invalid Security</v>
      </c>
      <c r="H63" s="1160"/>
      <c r="I63" s="1160"/>
      <c r="J63" s="1176">
        <f t="shared" si="6"/>
        <v>0</v>
      </c>
      <c r="K63" s="1160"/>
      <c r="L63" s="1160"/>
      <c r="M63" s="1160"/>
      <c r="N63" s="1160"/>
      <c r="O63" s="1177">
        <f t="shared" si="2"/>
        <v>0</v>
      </c>
      <c r="P63" s="1171"/>
      <c r="Q63" s="1178" t="e">
        <f t="shared" si="7"/>
        <v>#DIV/0!</v>
      </c>
      <c r="R63" s="1160"/>
      <c r="S63" s="948"/>
      <c r="T63" s="1172"/>
      <c r="U63" s="670"/>
      <c r="V63" s="736"/>
      <c r="W63" s="1168"/>
      <c r="X63" s="1169"/>
      <c r="Y63" s="1169"/>
      <c r="Z63" s="670"/>
      <c r="AA63" s="670"/>
      <c r="AB63" s="670"/>
      <c r="AC63" s="670"/>
      <c r="AD63" s="670"/>
      <c r="AE63" s="670"/>
    </row>
    <row r="64" spans="1:31">
      <c r="A64" s="1170"/>
      <c r="B64" s="950"/>
      <c r="C64" s="1133" t="str">
        <f>IFERROR(VLOOKUP(D64,PosAggregate!$A$88:$A$142,1,FALSE),"")</f>
        <v/>
      </c>
      <c r="D64" s="950"/>
      <c r="E64" s="1133" t="str">
        <f t="shared" si="8"/>
        <v>YES</v>
      </c>
      <c r="F64" s="1174" t="str">
        <f t="shared" si="4"/>
        <v>#N/A Invalid Security</v>
      </c>
      <c r="G64" s="1133" t="str">
        <f t="shared" si="5"/>
        <v>#N/A Invalid Security</v>
      </c>
      <c r="H64" s="1160"/>
      <c r="I64" s="1160"/>
      <c r="J64" s="1176">
        <f t="shared" si="6"/>
        <v>0</v>
      </c>
      <c r="K64" s="1160"/>
      <c r="L64" s="1160"/>
      <c r="M64" s="1160"/>
      <c r="N64" s="1160"/>
      <c r="O64" s="1177">
        <f t="shared" si="2"/>
        <v>0</v>
      </c>
      <c r="P64" s="1171"/>
      <c r="Q64" s="1178" t="e">
        <f t="shared" si="7"/>
        <v>#DIV/0!</v>
      </c>
      <c r="R64" s="1160"/>
      <c r="S64" s="948"/>
      <c r="T64" s="1172"/>
      <c r="U64" s="670"/>
      <c r="V64" s="736"/>
      <c r="W64" s="1168"/>
      <c r="X64" s="1169"/>
      <c r="Y64" s="1169"/>
      <c r="Z64" s="670"/>
      <c r="AA64" s="670"/>
      <c r="AB64" s="670"/>
      <c r="AC64" s="670"/>
      <c r="AD64" s="670"/>
      <c r="AE64" s="670"/>
    </row>
    <row r="65" spans="1:31">
      <c r="A65" s="1170"/>
      <c r="B65" s="950"/>
      <c r="C65" s="1133" t="str">
        <f>IFERROR(VLOOKUP(D65,PosAggregate!$A$88:$A$142,1,FALSE),"")</f>
        <v/>
      </c>
      <c r="D65" s="950"/>
      <c r="E65" s="1133" t="str">
        <f t="shared" si="8"/>
        <v>YES</v>
      </c>
      <c r="F65" s="1174" t="str">
        <f t="shared" si="4"/>
        <v>#N/A Invalid Security</v>
      </c>
      <c r="G65" s="1133" t="str">
        <f t="shared" si="5"/>
        <v>#N/A Invalid Security</v>
      </c>
      <c r="H65" s="1160"/>
      <c r="I65" s="1160"/>
      <c r="J65" s="1176">
        <f t="shared" si="6"/>
        <v>0</v>
      </c>
      <c r="K65" s="1160"/>
      <c r="L65" s="1160"/>
      <c r="M65" s="1160"/>
      <c r="N65" s="1160"/>
      <c r="O65" s="1177">
        <f>J65+K65+L65+N65</f>
        <v>0</v>
      </c>
      <c r="P65" s="1171"/>
      <c r="Q65" s="1178" t="e">
        <f t="shared" si="7"/>
        <v>#DIV/0!</v>
      </c>
      <c r="R65" s="1160"/>
      <c r="S65" s="948"/>
      <c r="T65" s="1172"/>
      <c r="U65" s="670"/>
      <c r="V65" s="736"/>
      <c r="W65" s="1168"/>
      <c r="X65" s="1169"/>
      <c r="Y65" s="1169"/>
      <c r="Z65" s="670"/>
      <c r="AA65" s="670"/>
      <c r="AB65" s="670"/>
      <c r="AC65" s="670"/>
      <c r="AD65" s="670"/>
      <c r="AE65" s="670"/>
    </row>
  </sheetData>
  <sheetProtection sheet="1" objects="1" scenarios="1"/>
  <conditionalFormatting sqref="E11:U11 A15:E64 H24:U64 E12:Q12 F13:G65 A11:C14 E13:E14 H13:Q23 R12:U23">
    <cfRule type="expression" dxfId="400" priority="3">
      <formula>$B11="SELL"</formula>
    </cfRule>
  </conditionalFormatting>
  <conditionalFormatting sqref="A65:E65 H65:U65">
    <cfRule type="expression" dxfId="399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7"/>
  <sheetViews>
    <sheetView topLeftCell="A525" zoomScale="84" zoomScaleNormal="84" workbookViewId="0">
      <selection activeCell="E549" sqref="E549"/>
    </sheetView>
  </sheetViews>
  <sheetFormatPr defaultColWidth="9" defaultRowHeight="13" outlineLevelCol="1"/>
  <cols>
    <col min="1" max="1" width="14.1796875" style="827" customWidth="1"/>
    <col min="2" max="2" width="14.81640625" style="998" customWidth="1"/>
    <col min="3" max="3" width="11.26953125" style="998" bestFit="1" customWidth="1"/>
    <col min="4" max="4" width="17.1796875" style="827" customWidth="1" outlineLevel="1"/>
    <col min="5" max="5" width="14" style="827" customWidth="1" outlineLevel="1"/>
    <col min="6" max="6" width="9.7265625" style="701" bestFit="1" customWidth="1"/>
    <col min="7" max="7" width="10.26953125" style="701" bestFit="1" customWidth="1"/>
    <col min="8" max="8" width="9.54296875" style="827" customWidth="1"/>
    <col min="9" max="9" width="39.54296875" style="827" bestFit="1" customWidth="1"/>
    <col min="10" max="10" width="17.26953125" style="827" bestFit="1" customWidth="1"/>
    <col min="11" max="11" width="13.54296875" style="827" bestFit="1" customWidth="1"/>
    <col min="12" max="12" width="4" style="1002" hidden="1" customWidth="1" outlineLevel="1"/>
    <col min="13" max="13" width="32.81640625" style="827" customWidth="1" collapsed="1"/>
    <col min="14" max="14" width="16.81640625" style="827" bestFit="1" customWidth="1"/>
    <col min="15" max="15" width="14" style="827" bestFit="1" customWidth="1"/>
    <col min="16" max="16" width="10" style="827" bestFit="1" customWidth="1"/>
    <col min="17" max="17" width="8" style="827" bestFit="1" customWidth="1"/>
    <col min="18" max="18" width="16.54296875" style="827" bestFit="1" customWidth="1"/>
    <col min="19" max="19" width="10" style="701" customWidth="1"/>
    <col min="20" max="20" width="12" style="827" bestFit="1" customWidth="1"/>
    <col min="21" max="21" width="10" style="827" bestFit="1" customWidth="1"/>
    <col min="22" max="22" width="14.7265625" style="701" bestFit="1" customWidth="1"/>
    <col min="23" max="23" width="10.81640625" style="1031" bestFit="1" customWidth="1"/>
    <col min="24" max="24" width="7" style="932" bestFit="1" customWidth="1"/>
    <col min="25" max="26" width="12.26953125" style="827" bestFit="1" customWidth="1"/>
    <col min="27" max="27" width="9.36328125" style="827" customWidth="1"/>
    <col min="28" max="28" width="18.26953125" style="827" customWidth="1"/>
    <col min="29" max="29" width="18.7265625" style="827" bestFit="1" customWidth="1"/>
    <col min="30" max="30" width="14" style="827" bestFit="1" customWidth="1"/>
    <col min="31" max="31" width="24" style="827" bestFit="1" customWidth="1"/>
    <col min="32" max="32" width="8.26953125" style="827" bestFit="1" customWidth="1"/>
    <col min="33" max="33" width="28.7265625" style="827" bestFit="1" customWidth="1"/>
    <col min="34" max="34" width="29" style="827" bestFit="1" customWidth="1"/>
    <col min="35" max="35" width="32" style="827" bestFit="1" customWidth="1"/>
    <col min="36" max="36" width="26" style="827" bestFit="1" customWidth="1"/>
    <col min="37" max="37" width="22" style="827" bestFit="1" customWidth="1"/>
    <col min="38" max="38" width="19.26953125" style="827" bestFit="1" customWidth="1"/>
    <col min="39" max="39" width="20.26953125" style="827" bestFit="1" customWidth="1"/>
    <col min="40" max="40" width="13.7265625" style="827" bestFit="1" customWidth="1"/>
    <col min="41" max="41" width="9.54296875" style="827" bestFit="1" customWidth="1"/>
    <col min="42" max="42" width="12.81640625" style="827" bestFit="1" customWidth="1"/>
    <col min="43" max="16384" width="9" style="827"/>
  </cols>
  <sheetData>
    <row r="1" spans="1:55" s="670" customFormat="1">
      <c r="B1" s="927"/>
      <c r="C1" s="927"/>
      <c r="F1" s="664"/>
      <c r="G1" s="664"/>
      <c r="H1" s="664"/>
      <c r="L1" s="928"/>
      <c r="N1" s="664"/>
      <c r="O1" s="664"/>
      <c r="P1" s="664"/>
      <c r="Q1" s="664"/>
      <c r="R1" s="664"/>
      <c r="S1" s="664"/>
      <c r="T1" s="664"/>
      <c r="U1" s="664"/>
      <c r="V1" s="664"/>
      <c r="W1" s="929"/>
      <c r="X1" s="930"/>
      <c r="AA1" s="735"/>
      <c r="AB1" s="735"/>
      <c r="AJ1" s="931"/>
      <c r="AK1" s="931"/>
      <c r="AL1" s="927"/>
      <c r="AM1" s="927"/>
      <c r="AN1" s="927"/>
      <c r="AO1" s="927"/>
      <c r="AP1" s="927"/>
      <c r="AQ1" s="927"/>
      <c r="AR1" s="927"/>
      <c r="AS1" s="927"/>
      <c r="AT1" s="927"/>
      <c r="AU1" s="927"/>
      <c r="AV1" s="927"/>
      <c r="AW1" s="927"/>
      <c r="AX1" s="927"/>
      <c r="AY1" s="931"/>
      <c r="AZ1" s="931"/>
      <c r="BA1" s="931"/>
      <c r="BB1" s="931"/>
      <c r="BC1" s="931"/>
    </row>
    <row r="2" spans="1:55" s="670" customFormat="1">
      <c r="B2" s="927"/>
      <c r="C2" s="927"/>
      <c r="F2" s="664"/>
      <c r="G2" s="664"/>
      <c r="H2" s="664"/>
      <c r="L2" s="928"/>
      <c r="N2" s="664"/>
      <c r="O2" s="664"/>
      <c r="P2" s="664"/>
      <c r="Q2" s="664"/>
      <c r="R2" s="664"/>
      <c r="S2" s="664"/>
      <c r="T2" s="664"/>
      <c r="U2" s="664"/>
      <c r="V2" s="664"/>
      <c r="W2" s="929"/>
      <c r="X2" s="930"/>
      <c r="AA2" s="735"/>
      <c r="AB2" s="735"/>
      <c r="AJ2" s="931"/>
      <c r="AK2" s="931"/>
      <c r="AL2" s="927"/>
      <c r="AM2" s="927"/>
      <c r="AN2" s="927"/>
      <c r="AO2" s="927"/>
      <c r="AP2" s="927"/>
      <c r="AQ2" s="927"/>
      <c r="AR2" s="927"/>
      <c r="AS2" s="927"/>
      <c r="AT2" s="927"/>
      <c r="AU2" s="927"/>
      <c r="AV2" s="927"/>
      <c r="AW2" s="927"/>
      <c r="AX2" s="927"/>
      <c r="AY2" s="931"/>
      <c r="AZ2" s="931"/>
      <c r="BA2" s="931"/>
      <c r="BB2" s="931"/>
      <c r="BC2" s="931"/>
    </row>
    <row r="3" spans="1:55" s="670" customFormat="1">
      <c r="B3" s="927"/>
      <c r="C3" s="927"/>
      <c r="F3" s="664"/>
      <c r="G3" s="664"/>
      <c r="H3" s="664"/>
      <c r="L3" s="928"/>
      <c r="N3" s="664"/>
      <c r="O3" s="664"/>
      <c r="P3" s="664"/>
      <c r="Q3" s="664"/>
      <c r="R3" s="664"/>
      <c r="S3" s="664"/>
      <c r="T3" s="664"/>
      <c r="U3" s="1088">
        <f>57700+22000</f>
        <v>79700</v>
      </c>
      <c r="V3" s="664"/>
      <c r="W3" s="929"/>
      <c r="X3" s="930"/>
      <c r="AA3" s="735"/>
      <c r="AB3" s="735"/>
      <c r="AJ3" s="931"/>
      <c r="AK3" s="931"/>
      <c r="AL3" s="927"/>
      <c r="AM3" s="927"/>
      <c r="AN3" s="927"/>
      <c r="AO3" s="927"/>
      <c r="AP3" s="927"/>
      <c r="AQ3" s="927"/>
      <c r="AR3" s="927"/>
      <c r="AS3" s="927"/>
      <c r="AT3" s="927"/>
      <c r="AU3" s="927"/>
      <c r="AV3" s="927"/>
      <c r="AW3" s="927"/>
      <c r="AX3" s="927"/>
      <c r="AY3" s="931"/>
      <c r="AZ3" s="931"/>
      <c r="BA3" s="931"/>
      <c r="BB3" s="931"/>
      <c r="BC3" s="931"/>
    </row>
    <row r="4" spans="1:55" s="670" customFormat="1">
      <c r="B4" s="927"/>
      <c r="C4" s="927"/>
      <c r="F4" s="664"/>
      <c r="G4" s="664"/>
      <c r="H4" s="664"/>
      <c r="L4" s="928"/>
      <c r="N4" s="664"/>
      <c r="O4" s="664"/>
      <c r="P4" s="664"/>
      <c r="Q4" s="664"/>
      <c r="R4" s="664"/>
      <c r="S4" s="664"/>
      <c r="T4" s="664"/>
      <c r="U4" s="664"/>
      <c r="V4" s="664"/>
      <c r="W4" s="929"/>
      <c r="X4" s="930"/>
      <c r="AA4" s="735"/>
      <c r="AB4" s="735"/>
      <c r="AJ4" s="931"/>
      <c r="AK4" s="931"/>
      <c r="AL4" s="927"/>
      <c r="AM4" s="927"/>
      <c r="AN4" s="927"/>
      <c r="AO4" s="927"/>
      <c r="AP4" s="927"/>
      <c r="AQ4" s="927"/>
      <c r="AR4" s="927"/>
      <c r="AS4" s="927"/>
      <c r="AT4" s="927"/>
      <c r="AU4" s="927"/>
      <c r="AV4" s="927"/>
      <c r="AW4" s="927"/>
      <c r="AX4" s="927"/>
      <c r="AY4" s="931"/>
      <c r="AZ4" s="931"/>
      <c r="BA4" s="931"/>
      <c r="BB4" s="931"/>
      <c r="BC4" s="931"/>
    </row>
    <row r="5" spans="1:55" s="670" customFormat="1">
      <c r="B5" s="927"/>
      <c r="C5" s="927"/>
      <c r="F5" s="664"/>
      <c r="G5" s="664"/>
      <c r="H5" s="664"/>
      <c r="L5" s="928"/>
      <c r="N5" s="664"/>
      <c r="O5" s="664"/>
      <c r="P5" s="664"/>
      <c r="Q5" s="664"/>
      <c r="R5" s="664"/>
      <c r="S5" s="664"/>
      <c r="T5" s="664"/>
      <c r="U5" s="664"/>
      <c r="V5" s="664"/>
      <c r="W5" s="929"/>
      <c r="X5" s="930"/>
      <c r="AA5" s="735"/>
      <c r="AB5" s="735"/>
      <c r="AJ5" s="931"/>
      <c r="AK5" s="931"/>
      <c r="AL5" s="927"/>
      <c r="AM5" s="927"/>
      <c r="AN5" s="927"/>
      <c r="AO5" s="927"/>
      <c r="AP5" s="927"/>
      <c r="AQ5" s="927"/>
      <c r="AR5" s="927"/>
      <c r="AS5" s="927"/>
      <c r="AT5" s="927"/>
      <c r="AU5" s="927"/>
      <c r="AV5" s="927"/>
      <c r="AW5" s="927"/>
      <c r="AX5" s="927"/>
      <c r="AY5" s="931"/>
      <c r="AZ5" s="931"/>
      <c r="BA5" s="931"/>
      <c r="BB5" s="931"/>
      <c r="BC5" s="931"/>
    </row>
    <row r="6" spans="1:55" s="670" customFormat="1">
      <c r="B6" s="927"/>
      <c r="C6" s="927"/>
      <c r="F6" s="664"/>
      <c r="G6" s="664"/>
      <c r="L6" s="928"/>
      <c r="S6" s="664"/>
      <c r="V6" s="664"/>
      <c r="W6" s="929"/>
      <c r="X6" s="932"/>
    </row>
    <row r="7" spans="1:55">
      <c r="B7" s="927"/>
      <c r="C7" s="927"/>
      <c r="D7" s="670"/>
      <c r="E7" s="670"/>
      <c r="F7" s="664"/>
      <c r="G7" s="664"/>
      <c r="H7" s="670"/>
      <c r="I7" s="670"/>
      <c r="J7" s="670"/>
      <c r="K7" s="670"/>
      <c r="L7" s="928"/>
      <c r="M7" s="670"/>
      <c r="N7" s="670"/>
      <c r="O7" s="670"/>
      <c r="P7" s="670"/>
      <c r="Q7" s="670"/>
      <c r="R7" s="670"/>
      <c r="S7" s="664"/>
      <c r="T7" s="670"/>
      <c r="U7" s="670"/>
      <c r="V7" s="664"/>
      <c r="W7" s="929"/>
      <c r="Y7" s="670"/>
      <c r="Z7" s="670"/>
      <c r="AA7" s="670"/>
      <c r="AB7" s="670"/>
      <c r="AC7" s="670"/>
      <c r="AD7" s="670"/>
      <c r="AE7" s="670"/>
      <c r="AF7" s="670"/>
      <c r="AG7" s="670"/>
      <c r="AH7" s="670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</row>
    <row r="8" spans="1:55">
      <c r="B8" s="927"/>
      <c r="C8" s="927"/>
      <c r="D8" s="738"/>
      <c r="E8" s="738"/>
      <c r="F8" s="664"/>
      <c r="G8" s="664"/>
      <c r="H8" s="670"/>
      <c r="I8" s="670"/>
      <c r="J8" s="670"/>
      <c r="K8" s="670"/>
      <c r="L8" s="928"/>
      <c r="M8" s="670"/>
      <c r="N8" s="670"/>
      <c r="O8" s="670"/>
      <c r="P8" s="670"/>
      <c r="Q8" s="670"/>
      <c r="R8" s="670"/>
      <c r="S8" s="664"/>
      <c r="T8" s="670"/>
      <c r="U8" s="670"/>
      <c r="V8" s="664"/>
      <c r="W8" s="929"/>
      <c r="Y8" s="670"/>
      <c r="Z8" s="670"/>
      <c r="AA8" s="670"/>
      <c r="AB8" s="670"/>
      <c r="AC8" s="670"/>
      <c r="AD8" s="670"/>
      <c r="AE8" s="670"/>
      <c r="AF8" s="670"/>
      <c r="AG8" s="670"/>
      <c r="AH8" s="670"/>
      <c r="AI8" s="670"/>
      <c r="AJ8" s="670"/>
      <c r="AK8" s="670"/>
      <c r="AL8" s="670"/>
      <c r="AM8" s="670"/>
      <c r="AN8" s="670"/>
      <c r="AO8" s="670"/>
      <c r="AP8" s="670"/>
      <c r="AQ8" s="670"/>
      <c r="AR8" s="670"/>
      <c r="AS8" s="670"/>
    </row>
    <row r="9" spans="1:55" s="690" customFormat="1">
      <c r="B9" s="933"/>
      <c r="C9" s="933"/>
      <c r="F9" s="667"/>
      <c r="G9" s="667"/>
      <c r="L9" s="934"/>
      <c r="M9" s="935"/>
      <c r="S9" s="667"/>
      <c r="V9" s="667"/>
      <c r="W9" s="936"/>
      <c r="X9" s="932"/>
    </row>
    <row r="10" spans="1:55" ht="39">
      <c r="A10" s="937" t="s">
        <v>1977</v>
      </c>
      <c r="B10" s="937" t="s">
        <v>27</v>
      </c>
      <c r="C10" s="938" t="s">
        <v>139</v>
      </c>
      <c r="D10" s="939" t="s">
        <v>164</v>
      </c>
      <c r="E10" s="939" t="s">
        <v>163</v>
      </c>
      <c r="F10" s="940" t="s">
        <v>45</v>
      </c>
      <c r="G10" s="941" t="s">
        <v>28</v>
      </c>
      <c r="H10" s="941" t="s">
        <v>151</v>
      </c>
      <c r="I10" s="940" t="s">
        <v>162</v>
      </c>
      <c r="J10" s="940" t="s">
        <v>5</v>
      </c>
      <c r="K10" s="941" t="s">
        <v>41</v>
      </c>
      <c r="L10" s="942" t="s">
        <v>165</v>
      </c>
      <c r="M10" s="941" t="s">
        <v>11</v>
      </c>
      <c r="N10" s="941" t="s">
        <v>46</v>
      </c>
      <c r="O10" s="940" t="s">
        <v>29</v>
      </c>
      <c r="P10" s="940" t="s">
        <v>30</v>
      </c>
      <c r="Q10" s="940" t="s">
        <v>1152</v>
      </c>
      <c r="R10" s="940" t="s">
        <v>119</v>
      </c>
      <c r="S10" s="941" t="s">
        <v>35</v>
      </c>
      <c r="T10" s="940" t="s">
        <v>47</v>
      </c>
      <c r="U10" s="940" t="s">
        <v>32</v>
      </c>
      <c r="V10" s="940" t="s">
        <v>33</v>
      </c>
      <c r="W10" s="943" t="s">
        <v>145</v>
      </c>
      <c r="X10" s="944" t="s">
        <v>1728</v>
      </c>
      <c r="Y10" s="943" t="s">
        <v>1974</v>
      </c>
      <c r="Z10" s="943" t="s">
        <v>1975</v>
      </c>
      <c r="AA10" s="943" t="s">
        <v>1976</v>
      </c>
      <c r="AB10" s="945" t="s">
        <v>1319</v>
      </c>
      <c r="AC10" s="946" t="s">
        <v>1849</v>
      </c>
      <c r="AD10" s="946" t="s">
        <v>1767</v>
      </c>
      <c r="AE10" s="946" t="s">
        <v>1850</v>
      </c>
      <c r="AF10" s="946" t="s">
        <v>1851</v>
      </c>
      <c r="AG10" s="946" t="s">
        <v>1852</v>
      </c>
      <c r="AH10" s="946" t="s">
        <v>1853</v>
      </c>
      <c r="AI10" s="946" t="s">
        <v>1854</v>
      </c>
      <c r="AJ10" s="946" t="s">
        <v>1855</v>
      </c>
      <c r="AK10" s="946" t="s">
        <v>1856</v>
      </c>
      <c r="AL10" s="946" t="s">
        <v>1857</v>
      </c>
      <c r="AM10" s="946" t="s">
        <v>1858</v>
      </c>
      <c r="AN10" s="946" t="s">
        <v>1859</v>
      </c>
      <c r="AO10" s="946" t="s">
        <v>1860</v>
      </c>
      <c r="AP10" s="946" t="s">
        <v>1861</v>
      </c>
      <c r="AQ10" s="670"/>
      <c r="AR10" s="670"/>
      <c r="AS10" s="670"/>
    </row>
    <row r="11" spans="1:55" ht="14">
      <c r="A11" s="920">
        <v>201900011</v>
      </c>
      <c r="B11" s="947">
        <v>43623</v>
      </c>
      <c r="C11" s="947" t="s">
        <v>137</v>
      </c>
      <c r="D11" s="1106" t="str">
        <f>IFERROR(VLOOKUP(G11,PosAggregate!$B$13:$B$87,1,FALSE),"")</f>
        <v/>
      </c>
      <c r="E11" s="880" t="s">
        <v>1232</v>
      </c>
      <c r="F11" s="1132" t="str">
        <f>IF(D11=G11,"YES","")</f>
        <v/>
      </c>
      <c r="G11" s="664" t="s">
        <v>1180</v>
      </c>
      <c r="H11" s="664"/>
      <c r="I11" s="949" t="s">
        <v>1122</v>
      </c>
      <c r="J11" s="950" t="s">
        <v>125</v>
      </c>
      <c r="K11" s="855">
        <v>875.1</v>
      </c>
      <c r="L11" s="951"/>
      <c r="M11" s="952">
        <v>30000</v>
      </c>
      <c r="N11" s="1092">
        <f t="shared" ref="N11:N25" si="0">-K11*M11</f>
        <v>-26253000</v>
      </c>
      <c r="O11" s="952">
        <v>-21002</v>
      </c>
      <c r="P11" s="952"/>
      <c r="Q11" s="952"/>
      <c r="R11" s="1096">
        <f t="shared" ref="R11:R25" si="1">SUM(N11:Q11)</f>
        <v>-26274002</v>
      </c>
      <c r="S11" s="855">
        <v>122.57940239991835</v>
      </c>
      <c r="T11" s="1101">
        <f>+R11/S11</f>
        <v>-214342.71570586073</v>
      </c>
      <c r="U11" s="956">
        <v>43629</v>
      </c>
      <c r="V11" s="948" t="s">
        <v>1229</v>
      </c>
      <c r="W11" s="957">
        <v>43623.68822916667</v>
      </c>
      <c r="X11" s="1089">
        <f t="shared" ref="X11:X34" si="2">+O11/N11*100</f>
        <v>7.9998476364605942E-2</v>
      </c>
      <c r="Y11" s="1090" t="str">
        <f>VLOOKUP(V11,'bic broker'!$A$1:$B$14,2,FALSE)</f>
        <v>EMSIITM1XXX</v>
      </c>
      <c r="Z11" s="1090" t="str">
        <f>VLOOKUP(AA11,'place of settlement'!A:C,2,FALSE)</f>
        <v>JJSDJPJTXXX</v>
      </c>
      <c r="AA11" s="1090" t="str">
        <f>LEFT(E11,2)</f>
        <v>JP</v>
      </c>
      <c r="AB11" s="1090" t="str">
        <f>CONCATENATE(V11,AA11)</f>
        <v>EquitaJP</v>
      </c>
      <c r="AC11" s="1090" t="str">
        <f>VLOOKUP($AB11,sample!$1:$1048576,2,FALSE)</f>
        <v>BCITITMMXXX</v>
      </c>
      <c r="AD11" s="1090" t="str">
        <f>VLOOKUP($AB11,sample!$1:$1048576,3,FALSE)</f>
        <v>JJSDJPJTXXX</v>
      </c>
      <c r="AE11" s="1091">
        <f>VLOOKUP($AB11,sample!$1:$1048576,4,FALSE)</f>
        <v>100502629</v>
      </c>
      <c r="AF11" s="1090" t="str">
        <f>VLOOKUP($AB11,sample!$1:$1048576,5,FALSE)</f>
        <v>N</v>
      </c>
      <c r="AL11" s="1091" t="str">
        <f>VLOOKUP($AB11,sample!$1:$1048576,11,FALSE)</f>
        <v xml:space="preserve">        </v>
      </c>
      <c r="AM11" s="1091" t="str">
        <f>VLOOKUP($AB11,sample!$1:$1048576,12,FALSE)</f>
        <v xml:space="preserve">        </v>
      </c>
      <c r="AN11" s="1091" t="str">
        <f>VLOOKUP($AB11,sample!$1:$1048576,13,FALSE)</f>
        <v>BOTKJPJTXXX</v>
      </c>
      <c r="AP11" s="1111"/>
    </row>
    <row r="12" spans="1:55" ht="14">
      <c r="A12" s="920">
        <v>201900012</v>
      </c>
      <c r="B12" s="947">
        <v>43623</v>
      </c>
      <c r="C12" s="947" t="s">
        <v>137</v>
      </c>
      <c r="D12" s="1106" t="str">
        <f>IFERROR(VLOOKUP(G12,PosAggregate!$B$13:$B$87,1,FALSE),"")</f>
        <v/>
      </c>
      <c r="E12" s="880" t="s">
        <v>1233</v>
      </c>
      <c r="F12" s="1132" t="str">
        <f t="shared" ref="F12:F75" si="3">IF(D12=G12,"YES","")</f>
        <v/>
      </c>
      <c r="G12" s="664" t="s">
        <v>1181</v>
      </c>
      <c r="H12" s="664"/>
      <c r="I12" s="950" t="s">
        <v>1131</v>
      </c>
      <c r="J12" s="950" t="s">
        <v>125</v>
      </c>
      <c r="K12" s="855">
        <v>2923.5</v>
      </c>
      <c r="L12" s="951"/>
      <c r="M12" s="952">
        <v>6000</v>
      </c>
      <c r="N12" s="1092">
        <f t="shared" si="0"/>
        <v>-17541000</v>
      </c>
      <c r="O12" s="952">
        <v>-14033</v>
      </c>
      <c r="P12" s="952"/>
      <c r="Q12" s="952"/>
      <c r="R12" s="1096">
        <f t="shared" si="1"/>
        <v>-17555033</v>
      </c>
      <c r="S12" s="855">
        <v>122.57940239991861</v>
      </c>
      <c r="T12" s="1101">
        <f t="shared" ref="T12:T34" si="4">+R12/S12</f>
        <v>-143213.56326021423</v>
      </c>
      <c r="U12" s="956">
        <v>43629</v>
      </c>
      <c r="V12" s="948" t="s">
        <v>1229</v>
      </c>
      <c r="W12" s="957">
        <v>43623.689768518518</v>
      </c>
      <c r="X12" s="1089">
        <f t="shared" si="2"/>
        <v>8.0001140185850292E-2</v>
      </c>
      <c r="Y12" s="1090" t="str">
        <f>VLOOKUP(V12,'bic broker'!$A$1:$B$14,2,FALSE)</f>
        <v>EMSIITM1XXX</v>
      </c>
      <c r="Z12" s="1090" t="str">
        <f>VLOOKUP(AA12,'place of settlement'!A:C,2,FALSE)</f>
        <v>JJSDJPJTXXX</v>
      </c>
      <c r="AA12" s="1090" t="str">
        <f t="shared" ref="AA12:AA34" si="5">LEFT(E12,2)</f>
        <v>JP</v>
      </c>
      <c r="AB12" s="1090" t="str">
        <f t="shared" ref="AB12:AB34" si="6">CONCATENATE(V12,AA12)</f>
        <v>EquitaJP</v>
      </c>
      <c r="AC12" s="1090" t="str">
        <f>VLOOKUP(AB12,sample!$1:$1048576,2,FALSE)</f>
        <v>BCITITMMXXX</v>
      </c>
      <c r="AD12" s="1090" t="str">
        <f>VLOOKUP($AB12,sample!$1:$1048576,3,FALSE)</f>
        <v>JJSDJPJTXXX</v>
      </c>
      <c r="AE12" s="1091">
        <f>VLOOKUP($AB12,sample!$1:$1048576,4,FALSE)</f>
        <v>100502629</v>
      </c>
      <c r="AF12" s="1090" t="str">
        <f>VLOOKUP($AB12,sample!$1:$1048576,5,FALSE)</f>
        <v>N</v>
      </c>
      <c r="AL12" s="1091" t="str">
        <f>VLOOKUP($AB12,sample!$1:$1048576,11,FALSE)</f>
        <v xml:space="preserve">        </v>
      </c>
      <c r="AM12" s="1091" t="str">
        <f>VLOOKUP($AB12,sample!$1:$1048576,12,FALSE)</f>
        <v xml:space="preserve">        </v>
      </c>
      <c r="AN12" s="1091" t="str">
        <f>VLOOKUP($AB12,sample!$1:$1048576,13,FALSE)</f>
        <v>BOTKJPJTXXX</v>
      </c>
      <c r="AP12" s="1111"/>
    </row>
    <row r="13" spans="1:55" ht="14">
      <c r="A13" s="920">
        <v>201900013</v>
      </c>
      <c r="B13" s="947">
        <v>43623</v>
      </c>
      <c r="C13" s="947" t="s">
        <v>137</v>
      </c>
      <c r="D13" s="1106" t="str">
        <f>IFERROR(VLOOKUP(G13,PosAggregate!$B$13:$B$87,1,FALSE),"")</f>
        <v/>
      </c>
      <c r="E13" s="880" t="s">
        <v>1234</v>
      </c>
      <c r="F13" s="1132" t="str">
        <f t="shared" si="3"/>
        <v/>
      </c>
      <c r="G13" s="664" t="s">
        <v>1182</v>
      </c>
      <c r="H13" s="664"/>
      <c r="I13" s="950" t="s">
        <v>1184</v>
      </c>
      <c r="J13" s="950" t="s">
        <v>125</v>
      </c>
      <c r="K13" s="855">
        <v>872.15</v>
      </c>
      <c r="L13" s="951"/>
      <c r="M13" s="952">
        <v>6000</v>
      </c>
      <c r="N13" s="1092">
        <f t="shared" si="0"/>
        <v>-5232900</v>
      </c>
      <c r="O13" s="952">
        <v>-4186</v>
      </c>
      <c r="P13" s="952"/>
      <c r="Q13" s="952"/>
      <c r="R13" s="1096">
        <f t="shared" si="1"/>
        <v>-5237086</v>
      </c>
      <c r="S13" s="855">
        <v>122.57940239991845</v>
      </c>
      <c r="T13" s="1101">
        <f t="shared" si="4"/>
        <v>-42724.02946552042</v>
      </c>
      <c r="U13" s="956">
        <v>43629</v>
      </c>
      <c r="V13" s="948" t="s">
        <v>1229</v>
      </c>
      <c r="W13" s="957">
        <v>43623.690949074073</v>
      </c>
      <c r="X13" s="1089">
        <f t="shared" si="2"/>
        <v>7.999388484396798E-2</v>
      </c>
      <c r="Y13" s="1090" t="str">
        <f>VLOOKUP(V13,'bic broker'!$A$1:$B$14,2,FALSE)</f>
        <v>EMSIITM1XXX</v>
      </c>
      <c r="Z13" s="1090" t="str">
        <f>VLOOKUP(AA13,'place of settlement'!A:C,2,FALSE)</f>
        <v>JJSDJPJTXXX</v>
      </c>
      <c r="AA13" s="1090" t="str">
        <f t="shared" si="5"/>
        <v>JP</v>
      </c>
      <c r="AB13" s="1090" t="str">
        <f t="shared" si="6"/>
        <v>EquitaJP</v>
      </c>
      <c r="AC13" s="1090" t="str">
        <f>VLOOKUP(AB13,sample!$1:$1048576,2,FALSE)</f>
        <v>BCITITMMXXX</v>
      </c>
      <c r="AD13" s="1090" t="str">
        <f>VLOOKUP($AB13,sample!$1:$1048576,3,FALSE)</f>
        <v>JJSDJPJTXXX</v>
      </c>
      <c r="AE13" s="1091">
        <f>VLOOKUP($AB13,sample!$1:$1048576,4,FALSE)</f>
        <v>100502629</v>
      </c>
      <c r="AF13" s="1090" t="str">
        <f>VLOOKUP($AB13,sample!$1:$1048576,5,FALSE)</f>
        <v>N</v>
      </c>
      <c r="AL13" s="1091" t="str">
        <f>VLOOKUP($AB13,sample!$1:$1048576,11,FALSE)</f>
        <v xml:space="preserve">        </v>
      </c>
      <c r="AM13" s="1091" t="str">
        <f>VLOOKUP($AB13,sample!$1:$1048576,12,FALSE)</f>
        <v xml:space="preserve">        </v>
      </c>
      <c r="AN13" s="1091" t="str">
        <f>VLOOKUP($AB13,sample!$1:$1048576,13,FALSE)</f>
        <v>BOTKJPJTXXX</v>
      </c>
      <c r="AP13" s="1111"/>
    </row>
    <row r="14" spans="1:55" ht="14">
      <c r="A14" s="920">
        <v>201900014</v>
      </c>
      <c r="B14" s="947">
        <v>43623</v>
      </c>
      <c r="C14" s="947" t="s">
        <v>137</v>
      </c>
      <c r="D14" s="1106" t="str">
        <f>IFERROR(VLOOKUP(G14,PosAggregate!$B$13:$B$87,1,FALSE),"")</f>
        <v/>
      </c>
      <c r="E14" s="880" t="s">
        <v>1235</v>
      </c>
      <c r="F14" s="1132" t="str">
        <f t="shared" si="3"/>
        <v/>
      </c>
      <c r="G14" s="664" t="s">
        <v>1183</v>
      </c>
      <c r="H14" s="664"/>
      <c r="I14" s="950" t="s">
        <v>1127</v>
      </c>
      <c r="J14" s="950" t="s">
        <v>125</v>
      </c>
      <c r="K14" s="855">
        <v>1850.7617</v>
      </c>
      <c r="L14" s="951"/>
      <c r="M14" s="952">
        <v>6000</v>
      </c>
      <c r="N14" s="1092">
        <f t="shared" si="0"/>
        <v>-11104570.199999999</v>
      </c>
      <c r="O14" s="952">
        <v>-8884</v>
      </c>
      <c r="P14" s="952"/>
      <c r="Q14" s="952"/>
      <c r="R14" s="1096">
        <f t="shared" si="1"/>
        <v>-11113454.199999999</v>
      </c>
      <c r="S14" s="855">
        <v>122.57940239991872</v>
      </c>
      <c r="T14" s="1101">
        <f t="shared" si="4"/>
        <v>-90663.308699630012</v>
      </c>
      <c r="U14" s="956">
        <v>43629</v>
      </c>
      <c r="V14" s="948" t="s">
        <v>1229</v>
      </c>
      <c r="W14" s="957">
        <v>43623.69122685185</v>
      </c>
      <c r="X14" s="1089">
        <f t="shared" si="2"/>
        <v>8.0003096382784814E-2</v>
      </c>
      <c r="Y14" s="1090" t="str">
        <f>VLOOKUP(V14,'bic broker'!$A$1:$B$14,2,FALSE)</f>
        <v>EMSIITM1XXX</v>
      </c>
      <c r="Z14" s="1090" t="str">
        <f>VLOOKUP(AA14,'place of settlement'!A:C,2,FALSE)</f>
        <v>JJSDJPJTXXX</v>
      </c>
      <c r="AA14" s="1090" t="str">
        <f t="shared" si="5"/>
        <v>JP</v>
      </c>
      <c r="AB14" s="1090" t="str">
        <f t="shared" si="6"/>
        <v>EquitaJP</v>
      </c>
      <c r="AC14" s="1090" t="str">
        <f>VLOOKUP(AB14,sample!$1:$1048576,2,FALSE)</f>
        <v>BCITITMMXXX</v>
      </c>
      <c r="AD14" s="1090" t="str">
        <f>VLOOKUP($AB14,sample!$1:$1048576,3,FALSE)</f>
        <v>JJSDJPJTXXX</v>
      </c>
      <c r="AE14" s="1091">
        <f>VLOOKUP($AB14,sample!$1:$1048576,4,FALSE)</f>
        <v>100502629</v>
      </c>
      <c r="AF14" s="1090" t="str">
        <f>VLOOKUP($AB14,sample!$1:$1048576,5,FALSE)</f>
        <v>N</v>
      </c>
      <c r="AL14" s="1091" t="str">
        <f>VLOOKUP($AB14,sample!$1:$1048576,11,FALSE)</f>
        <v xml:space="preserve">        </v>
      </c>
      <c r="AM14" s="1091" t="str">
        <f>VLOOKUP($AB14,sample!$1:$1048576,12,FALSE)</f>
        <v xml:space="preserve">        </v>
      </c>
      <c r="AN14" s="1091" t="str">
        <f>VLOOKUP($AB14,sample!$1:$1048576,13,FALSE)</f>
        <v>BOTKJPJTXXX</v>
      </c>
      <c r="AP14" s="1111"/>
    </row>
    <row r="15" spans="1:55" ht="14">
      <c r="A15" s="920">
        <v>201900015</v>
      </c>
      <c r="B15" s="947">
        <v>43623</v>
      </c>
      <c r="C15" s="947" t="s">
        <v>137</v>
      </c>
      <c r="D15" s="1106" t="str">
        <f>IFERROR(VLOOKUP(G15,PosAggregate!$B$13:$B$87,1,FALSE),"")</f>
        <v/>
      </c>
      <c r="E15" s="880" t="s">
        <v>1236</v>
      </c>
      <c r="F15" s="1132" t="str">
        <f t="shared" si="3"/>
        <v/>
      </c>
      <c r="G15" s="664" t="s">
        <v>1185</v>
      </c>
      <c r="H15" s="664"/>
      <c r="I15" s="950" t="s">
        <v>1126</v>
      </c>
      <c r="J15" s="950" t="s">
        <v>125</v>
      </c>
      <c r="K15" s="855">
        <v>2213.4</v>
      </c>
      <c r="L15" s="951"/>
      <c r="M15" s="952">
        <v>1000</v>
      </c>
      <c r="N15" s="1092">
        <f t="shared" si="0"/>
        <v>-2213400</v>
      </c>
      <c r="O15" s="952">
        <v>-1771</v>
      </c>
      <c r="P15" s="952"/>
      <c r="Q15" s="952"/>
      <c r="R15" s="1096">
        <f t="shared" si="1"/>
        <v>-2215171</v>
      </c>
      <c r="S15" s="855">
        <v>122.57940239991831</v>
      </c>
      <c r="T15" s="1101">
        <f t="shared" si="4"/>
        <v>-18071.315054816063</v>
      </c>
      <c r="U15" s="956">
        <v>43629</v>
      </c>
      <c r="V15" s="948" t="s">
        <v>1229</v>
      </c>
      <c r="W15" s="957">
        <v>43623.692141203705</v>
      </c>
      <c r="X15" s="1089">
        <f t="shared" si="2"/>
        <v>8.0012650221378878E-2</v>
      </c>
      <c r="Y15" s="1090" t="str">
        <f>VLOOKUP(V15,'bic broker'!$A$1:$B$14,2,FALSE)</f>
        <v>EMSIITM1XXX</v>
      </c>
      <c r="Z15" s="1090" t="str">
        <f>VLOOKUP(AA15,'place of settlement'!A:C,2,FALSE)</f>
        <v>JJSDJPJTXXX</v>
      </c>
      <c r="AA15" s="1090" t="str">
        <f t="shared" si="5"/>
        <v>JP</v>
      </c>
      <c r="AB15" s="1090" t="str">
        <f t="shared" si="6"/>
        <v>EquitaJP</v>
      </c>
      <c r="AC15" s="1090" t="str">
        <f>VLOOKUP(AB15,sample!$1:$1048576,2,FALSE)</f>
        <v>BCITITMMXXX</v>
      </c>
      <c r="AD15" s="1090" t="str">
        <f>VLOOKUP($AB15,sample!$1:$1048576,3,FALSE)</f>
        <v>JJSDJPJTXXX</v>
      </c>
      <c r="AE15" s="1091">
        <f>VLOOKUP($AB15,sample!$1:$1048576,4,FALSE)</f>
        <v>100502629</v>
      </c>
      <c r="AF15" s="1090" t="str">
        <f>VLOOKUP($AB15,sample!$1:$1048576,5,FALSE)</f>
        <v>N</v>
      </c>
      <c r="AL15" s="1091" t="str">
        <f>VLOOKUP($AB15,sample!$1:$1048576,11,FALSE)</f>
        <v xml:space="preserve">        </v>
      </c>
      <c r="AM15" s="1091" t="str">
        <f>VLOOKUP($AB15,sample!$1:$1048576,12,FALSE)</f>
        <v xml:space="preserve">        </v>
      </c>
      <c r="AN15" s="1091" t="str">
        <f>VLOOKUP($AB15,sample!$1:$1048576,13,FALSE)</f>
        <v>BOTKJPJTXXX</v>
      </c>
      <c r="AP15" s="1111"/>
    </row>
    <row r="16" spans="1:55" ht="14">
      <c r="A16" s="920">
        <v>201900016</v>
      </c>
      <c r="B16" s="947">
        <v>43623</v>
      </c>
      <c r="C16" s="947" t="s">
        <v>137</v>
      </c>
      <c r="D16" s="1106" t="str">
        <f>IFERROR(VLOOKUP(G16,PosAggregate!$B$13:$B$87,1,FALSE),"")</f>
        <v/>
      </c>
      <c r="E16" s="880" t="s">
        <v>1237</v>
      </c>
      <c r="F16" s="1132" t="str">
        <f t="shared" si="3"/>
        <v/>
      </c>
      <c r="G16" s="664" t="s">
        <v>1186</v>
      </c>
      <c r="H16" s="664"/>
      <c r="I16" s="950" t="s">
        <v>1132</v>
      </c>
      <c r="J16" s="950" t="s">
        <v>125</v>
      </c>
      <c r="K16" s="855">
        <v>3205</v>
      </c>
      <c r="L16" s="951"/>
      <c r="M16" s="952">
        <v>4000</v>
      </c>
      <c r="N16" s="1092">
        <f t="shared" si="0"/>
        <v>-12820000</v>
      </c>
      <c r="O16" s="952">
        <v>-10256</v>
      </c>
      <c r="P16" s="952"/>
      <c r="Q16" s="952"/>
      <c r="R16" s="1096">
        <f t="shared" si="1"/>
        <v>-12830256</v>
      </c>
      <c r="S16" s="855">
        <v>122.57940239991841</v>
      </c>
      <c r="T16" s="1101">
        <f t="shared" si="4"/>
        <v>-104668.93906156407</v>
      </c>
      <c r="U16" s="956">
        <v>43629</v>
      </c>
      <c r="V16" s="948" t="s">
        <v>1229</v>
      </c>
      <c r="W16" s="957">
        <v>43623.693124999998</v>
      </c>
      <c r="X16" s="1089">
        <f t="shared" si="2"/>
        <v>0.08</v>
      </c>
      <c r="Y16" s="1090" t="str">
        <f>VLOOKUP(V16,'bic broker'!$A$1:$B$14,2,FALSE)</f>
        <v>EMSIITM1XXX</v>
      </c>
      <c r="Z16" s="1090" t="str">
        <f>VLOOKUP(AA16,'place of settlement'!A:C,2,FALSE)</f>
        <v>JJSDJPJTXXX</v>
      </c>
      <c r="AA16" s="1090" t="str">
        <f t="shared" si="5"/>
        <v>JP</v>
      </c>
      <c r="AB16" s="1090" t="str">
        <f t="shared" si="6"/>
        <v>EquitaJP</v>
      </c>
      <c r="AC16" s="1090" t="str">
        <f>VLOOKUP(AB16,sample!$1:$1048576,2,FALSE)</f>
        <v>BCITITMMXXX</v>
      </c>
      <c r="AD16" s="1090" t="str">
        <f>VLOOKUP($AB16,sample!$1:$1048576,3,FALSE)</f>
        <v>JJSDJPJTXXX</v>
      </c>
      <c r="AE16" s="1091">
        <f>VLOOKUP($AB16,sample!$1:$1048576,4,FALSE)</f>
        <v>100502629</v>
      </c>
      <c r="AF16" s="1090" t="str">
        <f>VLOOKUP($AB16,sample!$1:$1048576,5,FALSE)</f>
        <v>N</v>
      </c>
      <c r="AL16" s="1091" t="str">
        <f>VLOOKUP($AB16,sample!$1:$1048576,11,FALSE)</f>
        <v xml:space="preserve">        </v>
      </c>
      <c r="AM16" s="1091" t="str">
        <f>VLOOKUP($AB16,sample!$1:$1048576,12,FALSE)</f>
        <v xml:space="preserve">        </v>
      </c>
      <c r="AN16" s="1091" t="str">
        <f>VLOOKUP($AB16,sample!$1:$1048576,13,FALSE)</f>
        <v>BOTKJPJTXXX</v>
      </c>
      <c r="AP16" s="1111"/>
    </row>
    <row r="17" spans="1:42" ht="14">
      <c r="A17" s="920">
        <v>201900017</v>
      </c>
      <c r="B17" s="947">
        <v>43623</v>
      </c>
      <c r="C17" s="947" t="s">
        <v>137</v>
      </c>
      <c r="D17" s="1106" t="str">
        <f>IFERROR(VLOOKUP(G17,PosAggregate!$B$13:$B$87,1,FALSE),"")</f>
        <v/>
      </c>
      <c r="E17" s="880" t="s">
        <v>1238</v>
      </c>
      <c r="F17" s="1132" t="str">
        <f t="shared" si="3"/>
        <v/>
      </c>
      <c r="G17" s="664" t="s">
        <v>1187</v>
      </c>
      <c r="H17" s="664"/>
      <c r="I17" s="950" t="s">
        <v>1138</v>
      </c>
      <c r="J17" s="950" t="s">
        <v>125</v>
      </c>
      <c r="K17" s="855">
        <v>1139</v>
      </c>
      <c r="L17" s="951"/>
      <c r="M17" s="952">
        <v>8000</v>
      </c>
      <c r="N17" s="1092">
        <f t="shared" si="0"/>
        <v>-9112000</v>
      </c>
      <c r="O17" s="952">
        <v>-7290</v>
      </c>
      <c r="P17" s="952"/>
      <c r="Q17" s="952"/>
      <c r="R17" s="1096">
        <f t="shared" si="1"/>
        <v>-9119290</v>
      </c>
      <c r="S17" s="855">
        <v>122.57940239991842</v>
      </c>
      <c r="T17" s="1101">
        <f t="shared" si="4"/>
        <v>-74394.962134405621</v>
      </c>
      <c r="U17" s="956">
        <v>43629</v>
      </c>
      <c r="V17" s="948" t="s">
        <v>1229</v>
      </c>
      <c r="W17" s="957">
        <v>43623.694849537038</v>
      </c>
      <c r="X17" s="1089">
        <f t="shared" si="2"/>
        <v>8.0004389815627741E-2</v>
      </c>
      <c r="Y17" s="1090" t="str">
        <f>VLOOKUP(V17,'bic broker'!$A$1:$B$14,2,FALSE)</f>
        <v>EMSIITM1XXX</v>
      </c>
      <c r="Z17" s="1090" t="str">
        <f>VLOOKUP(AA17,'place of settlement'!A:C,2,FALSE)</f>
        <v>JJSDJPJTXXX</v>
      </c>
      <c r="AA17" s="1090" t="str">
        <f t="shared" si="5"/>
        <v>JP</v>
      </c>
      <c r="AB17" s="1090" t="str">
        <f t="shared" si="6"/>
        <v>EquitaJP</v>
      </c>
      <c r="AC17" s="1090" t="str">
        <f>VLOOKUP(AB17,sample!$1:$1048576,2,FALSE)</f>
        <v>BCITITMMXXX</v>
      </c>
      <c r="AD17" s="1090" t="str">
        <f>VLOOKUP($AB17,sample!$1:$1048576,3,FALSE)</f>
        <v>JJSDJPJTXXX</v>
      </c>
      <c r="AE17" s="1091">
        <f>VLOOKUP($AB17,sample!$1:$1048576,4,FALSE)</f>
        <v>100502629</v>
      </c>
      <c r="AF17" s="1090" t="str">
        <f>VLOOKUP($AB17,sample!$1:$1048576,5,FALSE)</f>
        <v>N</v>
      </c>
      <c r="AL17" s="1091" t="str">
        <f>VLOOKUP($AB17,sample!$1:$1048576,11,FALSE)</f>
        <v xml:space="preserve">        </v>
      </c>
      <c r="AM17" s="1091" t="str">
        <f>VLOOKUP($AB17,sample!$1:$1048576,12,FALSE)</f>
        <v xml:space="preserve">        </v>
      </c>
      <c r="AN17" s="1091" t="str">
        <f>VLOOKUP($AB17,sample!$1:$1048576,13,FALSE)</f>
        <v>BOTKJPJTXXX</v>
      </c>
      <c r="AP17" s="1111"/>
    </row>
    <row r="18" spans="1:42" ht="14">
      <c r="A18" s="920">
        <v>201900018</v>
      </c>
      <c r="B18" s="947">
        <v>43623</v>
      </c>
      <c r="C18" s="947" t="s">
        <v>137</v>
      </c>
      <c r="D18" s="1106" t="str">
        <f>IFERROR(VLOOKUP(G18,PosAggregate!$B$13:$B$87,1,FALSE),"")</f>
        <v/>
      </c>
      <c r="E18" s="880" t="s">
        <v>1239</v>
      </c>
      <c r="F18" s="1132" t="str">
        <f t="shared" si="3"/>
        <v/>
      </c>
      <c r="G18" s="664" t="s">
        <v>1188</v>
      </c>
      <c r="H18" s="664"/>
      <c r="I18" s="950" t="s">
        <v>1128</v>
      </c>
      <c r="J18" s="950" t="s">
        <v>125</v>
      </c>
      <c r="K18" s="855">
        <v>4152.2222000000002</v>
      </c>
      <c r="L18" s="951"/>
      <c r="M18" s="952">
        <v>2700</v>
      </c>
      <c r="N18" s="1092">
        <f t="shared" si="0"/>
        <v>-11210999.940000001</v>
      </c>
      <c r="O18" s="952">
        <v>-8969</v>
      </c>
      <c r="P18" s="952"/>
      <c r="Q18" s="952"/>
      <c r="R18" s="1096">
        <f t="shared" si="1"/>
        <v>-11219968.940000001</v>
      </c>
      <c r="S18" s="855">
        <v>122.57940239991856</v>
      </c>
      <c r="T18" s="1101">
        <f t="shared" si="4"/>
        <v>-91532.253546110092</v>
      </c>
      <c r="U18" s="956">
        <v>43629</v>
      </c>
      <c r="V18" s="948" t="s">
        <v>1229</v>
      </c>
      <c r="W18" s="957">
        <v>43623.696203703701</v>
      </c>
      <c r="X18" s="1089">
        <f t="shared" si="2"/>
        <v>8.0001784390340461E-2</v>
      </c>
      <c r="Y18" s="1090" t="str">
        <f>VLOOKUP(V18,'bic broker'!$A$1:$B$14,2,FALSE)</f>
        <v>EMSIITM1XXX</v>
      </c>
      <c r="Z18" s="1090" t="str">
        <f>VLOOKUP(AA18,'place of settlement'!A:C,2,FALSE)</f>
        <v>JJSDJPJTXXX</v>
      </c>
      <c r="AA18" s="1090" t="str">
        <f t="shared" si="5"/>
        <v>JP</v>
      </c>
      <c r="AB18" s="1090" t="str">
        <f t="shared" si="6"/>
        <v>EquitaJP</v>
      </c>
      <c r="AC18" s="1090" t="str">
        <f>VLOOKUP(AB18,sample!$1:$1048576,2,FALSE)</f>
        <v>BCITITMMXXX</v>
      </c>
      <c r="AD18" s="1090" t="str">
        <f>VLOOKUP($AB18,sample!$1:$1048576,3,FALSE)</f>
        <v>JJSDJPJTXXX</v>
      </c>
      <c r="AE18" s="1091">
        <f>VLOOKUP($AB18,sample!$1:$1048576,4,FALSE)</f>
        <v>100502629</v>
      </c>
      <c r="AF18" s="1090" t="str">
        <f>VLOOKUP($AB18,sample!$1:$1048576,5,FALSE)</f>
        <v>N</v>
      </c>
      <c r="AL18" s="1091" t="str">
        <f>VLOOKUP($AB18,sample!$1:$1048576,11,FALSE)</f>
        <v xml:space="preserve">        </v>
      </c>
      <c r="AM18" s="1091" t="str">
        <f>VLOOKUP($AB18,sample!$1:$1048576,12,FALSE)</f>
        <v xml:space="preserve">        </v>
      </c>
      <c r="AN18" s="1091" t="str">
        <f>VLOOKUP($AB18,sample!$1:$1048576,13,FALSE)</f>
        <v>BOTKJPJTXXX</v>
      </c>
      <c r="AP18" s="1111"/>
    </row>
    <row r="19" spans="1:42" ht="14">
      <c r="A19" s="920">
        <v>201900019</v>
      </c>
      <c r="B19" s="947">
        <v>43623</v>
      </c>
      <c r="C19" s="947" t="s">
        <v>137</v>
      </c>
      <c r="D19" s="1106" t="str">
        <f>IFERROR(VLOOKUP(G19,PosAggregate!$B$13:$B$87,1,FALSE),"")</f>
        <v/>
      </c>
      <c r="E19" s="880" t="s">
        <v>1240</v>
      </c>
      <c r="F19" s="1132" t="str">
        <f t="shared" si="3"/>
        <v/>
      </c>
      <c r="G19" s="664" t="s">
        <v>1189</v>
      </c>
      <c r="H19" s="664"/>
      <c r="I19" s="950" t="s">
        <v>1124</v>
      </c>
      <c r="J19" s="950" t="s">
        <v>125</v>
      </c>
      <c r="K19" s="855">
        <v>2120.5556000000001</v>
      </c>
      <c r="L19" s="951"/>
      <c r="M19" s="952">
        <v>5400</v>
      </c>
      <c r="N19" s="1092">
        <f t="shared" si="0"/>
        <v>-11451000.24</v>
      </c>
      <c r="O19" s="952">
        <v>-9161</v>
      </c>
      <c r="P19" s="952"/>
      <c r="Q19" s="952"/>
      <c r="R19" s="1096">
        <f t="shared" si="1"/>
        <v>-11460161.24</v>
      </c>
      <c r="S19" s="855">
        <v>122.57940239991832</v>
      </c>
      <c r="T19" s="1101">
        <f t="shared" si="4"/>
        <v>-93491.736911972708</v>
      </c>
      <c r="U19" s="956">
        <v>43629</v>
      </c>
      <c r="V19" s="948" t="s">
        <v>1229</v>
      </c>
      <c r="W19" s="959">
        <v>43623.697118055556</v>
      </c>
      <c r="X19" s="1089">
        <f t="shared" si="2"/>
        <v>8.0001744895605728E-2</v>
      </c>
      <c r="Y19" s="1090" t="str">
        <f>VLOOKUP(V19,'bic broker'!$A$1:$B$14,2,FALSE)</f>
        <v>EMSIITM1XXX</v>
      </c>
      <c r="Z19" s="1090" t="str">
        <f>VLOOKUP(AA19,'place of settlement'!A:C,2,FALSE)</f>
        <v>JJSDJPJTXXX</v>
      </c>
      <c r="AA19" s="1090" t="str">
        <f t="shared" si="5"/>
        <v>JP</v>
      </c>
      <c r="AB19" s="1090" t="str">
        <f t="shared" si="6"/>
        <v>EquitaJP</v>
      </c>
      <c r="AC19" s="1090" t="str">
        <f>VLOOKUP(AB19,sample!$1:$1048576,2,FALSE)</f>
        <v>BCITITMMXXX</v>
      </c>
      <c r="AD19" s="1090" t="str">
        <f>VLOOKUP($AB19,sample!$1:$1048576,3,FALSE)</f>
        <v>JJSDJPJTXXX</v>
      </c>
      <c r="AE19" s="1091">
        <f>VLOOKUP($AB19,sample!$1:$1048576,4,FALSE)</f>
        <v>100502629</v>
      </c>
      <c r="AF19" s="1090" t="str">
        <f>VLOOKUP($AB19,sample!$1:$1048576,5,FALSE)</f>
        <v>N</v>
      </c>
      <c r="AL19" s="1091" t="str">
        <f>VLOOKUP($AB19,sample!$1:$1048576,11,FALSE)</f>
        <v xml:space="preserve">        </v>
      </c>
      <c r="AM19" s="1091" t="str">
        <f>VLOOKUP($AB19,sample!$1:$1048576,12,FALSE)</f>
        <v xml:space="preserve">        </v>
      </c>
      <c r="AN19" s="1091" t="str">
        <f>VLOOKUP($AB19,sample!$1:$1048576,13,FALSE)</f>
        <v>BOTKJPJTXXX</v>
      </c>
      <c r="AP19" s="1111"/>
    </row>
    <row r="20" spans="1:42" ht="14">
      <c r="A20" s="920">
        <v>201900020</v>
      </c>
      <c r="B20" s="947">
        <v>43623</v>
      </c>
      <c r="C20" s="947" t="s">
        <v>137</v>
      </c>
      <c r="D20" s="1106" t="str">
        <f>IFERROR(VLOOKUP(G20,PosAggregate!$B$13:$B$87,1,FALSE),"")</f>
        <v/>
      </c>
      <c r="E20" s="880" t="s">
        <v>1241</v>
      </c>
      <c r="F20" s="1132" t="str">
        <f t="shared" si="3"/>
        <v/>
      </c>
      <c r="G20" s="664" t="s">
        <v>1190</v>
      </c>
      <c r="H20" s="664"/>
      <c r="I20" s="950" t="s">
        <v>1147</v>
      </c>
      <c r="J20" s="950" t="s">
        <v>125</v>
      </c>
      <c r="K20" s="855">
        <v>2386.0587999999998</v>
      </c>
      <c r="L20" s="951"/>
      <c r="M20" s="952">
        <v>1700</v>
      </c>
      <c r="N20" s="1092">
        <f t="shared" si="0"/>
        <v>-4056299.9599999995</v>
      </c>
      <c r="O20" s="952">
        <v>-3245</v>
      </c>
      <c r="P20" s="952"/>
      <c r="Q20" s="952"/>
      <c r="R20" s="1096">
        <f t="shared" si="1"/>
        <v>-4059544.9599999995</v>
      </c>
      <c r="S20" s="855">
        <v>122.57940239991858</v>
      </c>
      <c r="T20" s="1101">
        <f t="shared" si="4"/>
        <v>-33117.676220639623</v>
      </c>
      <c r="U20" s="956">
        <v>43629</v>
      </c>
      <c r="V20" s="948" t="s">
        <v>1229</v>
      </c>
      <c r="W20" s="959">
        <v>43623.698425925926</v>
      </c>
      <c r="X20" s="1089">
        <f t="shared" si="2"/>
        <v>7.9999014668530599E-2</v>
      </c>
      <c r="Y20" s="1090" t="str">
        <f>VLOOKUP(V20,'bic broker'!$A$1:$B$14,2,FALSE)</f>
        <v>EMSIITM1XXX</v>
      </c>
      <c r="Z20" s="1090" t="str">
        <f>VLOOKUP(AA20,'place of settlement'!A:C,2,FALSE)</f>
        <v>JJSDJPJTXXX</v>
      </c>
      <c r="AA20" s="1090" t="str">
        <f t="shared" si="5"/>
        <v>JP</v>
      </c>
      <c r="AB20" s="1090" t="str">
        <f t="shared" si="6"/>
        <v>EquitaJP</v>
      </c>
      <c r="AC20" s="1090" t="str">
        <f>VLOOKUP(AB20,sample!$1:$1048576,2,FALSE)</f>
        <v>BCITITMMXXX</v>
      </c>
      <c r="AD20" s="1090" t="str">
        <f>VLOOKUP($AB20,sample!$1:$1048576,3,FALSE)</f>
        <v>JJSDJPJTXXX</v>
      </c>
      <c r="AE20" s="1091">
        <f>VLOOKUP($AB20,sample!$1:$1048576,4,FALSE)</f>
        <v>100502629</v>
      </c>
      <c r="AF20" s="1090" t="str">
        <f>VLOOKUP($AB20,sample!$1:$1048576,5,FALSE)</f>
        <v>N</v>
      </c>
      <c r="AL20" s="1091" t="str">
        <f>VLOOKUP($AB20,sample!$1:$1048576,11,FALSE)</f>
        <v xml:space="preserve">        </v>
      </c>
      <c r="AM20" s="1091" t="str">
        <f>VLOOKUP($AB20,sample!$1:$1048576,12,FALSE)</f>
        <v xml:space="preserve">        </v>
      </c>
      <c r="AN20" s="1091" t="str">
        <f>VLOOKUP($AB20,sample!$1:$1048576,13,FALSE)</f>
        <v>BOTKJPJTXXX</v>
      </c>
      <c r="AP20" s="1111"/>
    </row>
    <row r="21" spans="1:42" ht="14">
      <c r="A21" s="920">
        <v>201900021</v>
      </c>
      <c r="B21" s="947">
        <v>43623</v>
      </c>
      <c r="C21" s="947" t="s">
        <v>137</v>
      </c>
      <c r="D21" s="1106" t="str">
        <f>IFERROR(VLOOKUP(G21,PosAggregate!$B$13:$B$87,1,FALSE),"")</f>
        <v/>
      </c>
      <c r="E21" s="880" t="s">
        <v>1242</v>
      </c>
      <c r="F21" s="1132" t="str">
        <f t="shared" si="3"/>
        <v/>
      </c>
      <c r="G21" s="664" t="s">
        <v>1191</v>
      </c>
      <c r="H21" s="664"/>
      <c r="I21" s="950" t="s">
        <v>1129</v>
      </c>
      <c r="J21" s="950" t="s">
        <v>125</v>
      </c>
      <c r="K21" s="855">
        <v>487.02109999999999</v>
      </c>
      <c r="L21" s="951"/>
      <c r="M21" s="952">
        <v>38000</v>
      </c>
      <c r="N21" s="1092">
        <f t="shared" si="0"/>
        <v>-18506801.800000001</v>
      </c>
      <c r="O21" s="952">
        <v>-14805</v>
      </c>
      <c r="P21" s="952"/>
      <c r="Q21" s="952"/>
      <c r="R21" s="1096">
        <f t="shared" si="1"/>
        <v>-18521606.800000001</v>
      </c>
      <c r="S21" s="855">
        <v>122.57940239991829</v>
      </c>
      <c r="T21" s="1101">
        <f t="shared" si="4"/>
        <v>-151098.85051954165</v>
      </c>
      <c r="U21" s="956">
        <v>43629</v>
      </c>
      <c r="V21" s="948" t="s">
        <v>1229</v>
      </c>
      <c r="W21" s="959">
        <v>43623.699282407404</v>
      </c>
      <c r="X21" s="1089">
        <f t="shared" si="2"/>
        <v>7.999761471482339E-2</v>
      </c>
      <c r="Y21" s="1090" t="str">
        <f>VLOOKUP(V21,'bic broker'!$A$1:$B$14,2,FALSE)</f>
        <v>EMSIITM1XXX</v>
      </c>
      <c r="Z21" s="1090" t="str">
        <f>VLOOKUP(AA21,'place of settlement'!A:C,2,FALSE)</f>
        <v>JJSDJPJTXXX</v>
      </c>
      <c r="AA21" s="1090" t="str">
        <f t="shared" si="5"/>
        <v>JP</v>
      </c>
      <c r="AB21" s="1090" t="str">
        <f t="shared" si="6"/>
        <v>EquitaJP</v>
      </c>
      <c r="AC21" s="1090" t="str">
        <f>VLOOKUP(AB21,sample!$1:$1048576,2,FALSE)</f>
        <v>BCITITMMXXX</v>
      </c>
      <c r="AD21" s="1090" t="str">
        <f>VLOOKUP($AB21,sample!$1:$1048576,3,FALSE)</f>
        <v>JJSDJPJTXXX</v>
      </c>
      <c r="AE21" s="1091">
        <f>VLOOKUP($AB21,sample!$1:$1048576,4,FALSE)</f>
        <v>100502629</v>
      </c>
      <c r="AF21" s="1090" t="str">
        <f>VLOOKUP($AB21,sample!$1:$1048576,5,FALSE)</f>
        <v>N</v>
      </c>
      <c r="AL21" s="1091" t="str">
        <f>VLOOKUP($AB21,sample!$1:$1048576,11,FALSE)</f>
        <v xml:space="preserve">        </v>
      </c>
      <c r="AM21" s="1091" t="str">
        <f>VLOOKUP($AB21,sample!$1:$1048576,12,FALSE)</f>
        <v xml:space="preserve">        </v>
      </c>
      <c r="AN21" s="1091" t="str">
        <f>VLOOKUP($AB21,sample!$1:$1048576,13,FALSE)</f>
        <v>BOTKJPJTXXX</v>
      </c>
      <c r="AP21" s="1111"/>
    </row>
    <row r="22" spans="1:42" ht="14">
      <c r="A22" s="920">
        <v>201900022</v>
      </c>
      <c r="B22" s="947">
        <v>43623</v>
      </c>
      <c r="C22" s="947" t="s">
        <v>137</v>
      </c>
      <c r="D22" s="1106" t="str">
        <f>IFERROR(VLOOKUP(G22,PosAggregate!$B$13:$B$87,1,FALSE),"")</f>
        <v/>
      </c>
      <c r="E22" s="880" t="s">
        <v>1243</v>
      </c>
      <c r="F22" s="1132" t="str">
        <f t="shared" si="3"/>
        <v/>
      </c>
      <c r="G22" s="664" t="s">
        <v>1192</v>
      </c>
      <c r="H22" s="664"/>
      <c r="I22" s="950" t="s">
        <v>1144</v>
      </c>
      <c r="J22" s="950" t="s">
        <v>125</v>
      </c>
      <c r="K22" s="855">
        <v>1815.1889000000001</v>
      </c>
      <c r="L22" s="951"/>
      <c r="M22" s="952">
        <v>9000</v>
      </c>
      <c r="N22" s="1092">
        <f t="shared" si="0"/>
        <v>-16336700.100000001</v>
      </c>
      <c r="O22" s="952">
        <v>-13069</v>
      </c>
      <c r="P22" s="952"/>
      <c r="Q22" s="952"/>
      <c r="R22" s="1096">
        <f t="shared" si="1"/>
        <v>-16349769.100000001</v>
      </c>
      <c r="S22" s="855">
        <v>122.57940239991881</v>
      </c>
      <c r="T22" s="1101">
        <f t="shared" si="4"/>
        <v>-133381.04754874241</v>
      </c>
      <c r="U22" s="956">
        <v>43629</v>
      </c>
      <c r="V22" s="948" t="s">
        <v>1229</v>
      </c>
      <c r="W22" s="959">
        <v>43623.700185185182</v>
      </c>
      <c r="X22" s="1089">
        <f t="shared" si="2"/>
        <v>7.9997795882902928E-2</v>
      </c>
      <c r="Y22" s="1090" t="str">
        <f>VLOOKUP(V22,'bic broker'!$A$1:$B$14,2,FALSE)</f>
        <v>EMSIITM1XXX</v>
      </c>
      <c r="Z22" s="1090" t="str">
        <f>VLOOKUP(AA22,'place of settlement'!A:C,2,FALSE)</f>
        <v>JJSDJPJTXXX</v>
      </c>
      <c r="AA22" s="1090" t="str">
        <f t="shared" si="5"/>
        <v>JP</v>
      </c>
      <c r="AB22" s="1090" t="str">
        <f t="shared" si="6"/>
        <v>EquitaJP</v>
      </c>
      <c r="AC22" s="1090" t="str">
        <f>VLOOKUP(AB22,sample!$1:$1048576,2,FALSE)</f>
        <v>BCITITMMXXX</v>
      </c>
      <c r="AD22" s="1090" t="str">
        <f>VLOOKUP($AB22,sample!$1:$1048576,3,FALSE)</f>
        <v>JJSDJPJTXXX</v>
      </c>
      <c r="AE22" s="1091">
        <f>VLOOKUP($AB22,sample!$1:$1048576,4,FALSE)</f>
        <v>100502629</v>
      </c>
      <c r="AF22" s="1090" t="str">
        <f>VLOOKUP($AB22,sample!$1:$1048576,5,FALSE)</f>
        <v>N</v>
      </c>
      <c r="AL22" s="1091" t="str">
        <f>VLOOKUP($AB22,sample!$1:$1048576,11,FALSE)</f>
        <v xml:space="preserve">        </v>
      </c>
      <c r="AM22" s="1091" t="str">
        <f>VLOOKUP($AB22,sample!$1:$1048576,12,FALSE)</f>
        <v xml:space="preserve">        </v>
      </c>
      <c r="AN22" s="1091" t="str">
        <f>VLOOKUP($AB22,sample!$1:$1048576,13,FALSE)</f>
        <v>BOTKJPJTXXX</v>
      </c>
      <c r="AP22" s="1111"/>
    </row>
    <row r="23" spans="1:42" ht="14">
      <c r="A23" s="920">
        <v>201900023</v>
      </c>
      <c r="B23" s="947">
        <v>43623</v>
      </c>
      <c r="C23" s="947" t="s">
        <v>137</v>
      </c>
      <c r="D23" s="1106" t="str">
        <f>IFERROR(VLOOKUP(G23,PosAggregate!$B$13:$B$87,1,FALSE),"")</f>
        <v/>
      </c>
      <c r="E23" s="880" t="s">
        <v>1244</v>
      </c>
      <c r="F23" s="1132" t="str">
        <f t="shared" si="3"/>
        <v/>
      </c>
      <c r="G23" s="664" t="s">
        <v>1193</v>
      </c>
      <c r="H23" s="664"/>
      <c r="I23" s="950" t="s">
        <v>1134</v>
      </c>
      <c r="J23" s="950" t="s">
        <v>125</v>
      </c>
      <c r="K23" s="855">
        <v>1252.8975</v>
      </c>
      <c r="L23" s="951"/>
      <c r="M23" s="952">
        <v>4000</v>
      </c>
      <c r="N23" s="1092">
        <f t="shared" si="0"/>
        <v>-5011590</v>
      </c>
      <c r="O23" s="952">
        <v>-4009</v>
      </c>
      <c r="P23" s="952"/>
      <c r="Q23" s="952"/>
      <c r="R23" s="1096">
        <f t="shared" si="1"/>
        <v>-5015599</v>
      </c>
      <c r="S23" s="855">
        <v>122.57940239991837</v>
      </c>
      <c r="T23" s="1101">
        <f t="shared" si="4"/>
        <v>-40917.143515159936</v>
      </c>
      <c r="U23" s="956">
        <v>43629</v>
      </c>
      <c r="V23" s="948" t="s">
        <v>1229</v>
      </c>
      <c r="W23" s="959">
        <v>43623.701701388891</v>
      </c>
      <c r="X23" s="1089">
        <f t="shared" si="2"/>
        <v>7.9994572580757803E-2</v>
      </c>
      <c r="Y23" s="1090" t="str">
        <f>VLOOKUP(V23,'bic broker'!$A$1:$B$14,2,FALSE)</f>
        <v>EMSIITM1XXX</v>
      </c>
      <c r="Z23" s="1090" t="str">
        <f>VLOOKUP(AA23,'place of settlement'!A:C,2,FALSE)</f>
        <v>JJSDJPJTXXX</v>
      </c>
      <c r="AA23" s="1090" t="str">
        <f t="shared" si="5"/>
        <v>JP</v>
      </c>
      <c r="AB23" s="1090" t="str">
        <f t="shared" si="6"/>
        <v>EquitaJP</v>
      </c>
      <c r="AC23" s="1090" t="str">
        <f>VLOOKUP(AB23,sample!$1:$1048576,2,FALSE)</f>
        <v>BCITITMMXXX</v>
      </c>
      <c r="AD23" s="1090" t="str">
        <f>VLOOKUP($AB23,sample!$1:$1048576,3,FALSE)</f>
        <v>JJSDJPJTXXX</v>
      </c>
      <c r="AE23" s="1091">
        <f>VLOOKUP($AB23,sample!$1:$1048576,4,FALSE)</f>
        <v>100502629</v>
      </c>
      <c r="AF23" s="1090" t="str">
        <f>VLOOKUP($AB23,sample!$1:$1048576,5,FALSE)</f>
        <v>N</v>
      </c>
      <c r="AL23" s="1091" t="str">
        <f>VLOOKUP($AB23,sample!$1:$1048576,11,FALSE)</f>
        <v xml:space="preserve">        </v>
      </c>
      <c r="AM23" s="1091" t="str">
        <f>VLOOKUP($AB23,sample!$1:$1048576,12,FALSE)</f>
        <v xml:space="preserve">        </v>
      </c>
      <c r="AN23" s="1091" t="str">
        <f>VLOOKUP($AB23,sample!$1:$1048576,13,FALSE)</f>
        <v>BOTKJPJTXXX</v>
      </c>
      <c r="AP23" s="1111"/>
    </row>
    <row r="24" spans="1:42" ht="14">
      <c r="A24" s="920">
        <v>201900024</v>
      </c>
      <c r="B24" s="947">
        <v>43623</v>
      </c>
      <c r="C24" s="947" t="s">
        <v>137</v>
      </c>
      <c r="D24" s="1106" t="str">
        <f>IFERROR(VLOOKUP(G24,PosAggregate!$B$13:$B$87,1,FALSE),"")</f>
        <v/>
      </c>
      <c r="E24" s="880" t="s">
        <v>1245</v>
      </c>
      <c r="F24" s="1132" t="str">
        <f t="shared" si="3"/>
        <v/>
      </c>
      <c r="G24" s="664" t="s">
        <v>1194</v>
      </c>
      <c r="H24" s="664"/>
      <c r="I24" s="950" t="s">
        <v>1125</v>
      </c>
      <c r="J24" s="950" t="s">
        <v>125</v>
      </c>
      <c r="K24" s="855">
        <v>738.6</v>
      </c>
      <c r="L24" s="951"/>
      <c r="M24" s="952">
        <v>15000</v>
      </c>
      <c r="N24" s="1092">
        <f t="shared" si="0"/>
        <v>-11079000</v>
      </c>
      <c r="O24" s="952">
        <v>-8863</v>
      </c>
      <c r="P24" s="952"/>
      <c r="Q24" s="952"/>
      <c r="R24" s="1096">
        <f t="shared" si="1"/>
        <v>-11087863</v>
      </c>
      <c r="S24" s="855">
        <v>122.57940239991837</v>
      </c>
      <c r="T24" s="1101">
        <f t="shared" si="4"/>
        <v>-90454.536267239819</v>
      </c>
      <c r="U24" s="956">
        <v>43629</v>
      </c>
      <c r="V24" s="948" t="s">
        <v>1229</v>
      </c>
      <c r="W24" s="959">
        <v>43623.704618055555</v>
      </c>
      <c r="X24" s="1089">
        <f t="shared" si="2"/>
        <v>7.9998194782922638E-2</v>
      </c>
      <c r="Y24" s="1090" t="str">
        <f>VLOOKUP(V24,'bic broker'!$A$1:$B$14,2,FALSE)</f>
        <v>EMSIITM1XXX</v>
      </c>
      <c r="Z24" s="1090" t="str">
        <f>VLOOKUP(AA24,'place of settlement'!A:C,2,FALSE)</f>
        <v>JJSDJPJTXXX</v>
      </c>
      <c r="AA24" s="1090" t="str">
        <f t="shared" si="5"/>
        <v>JP</v>
      </c>
      <c r="AB24" s="1090" t="str">
        <f t="shared" si="6"/>
        <v>EquitaJP</v>
      </c>
      <c r="AC24" s="1090" t="str">
        <f>VLOOKUP(AB24,sample!$1:$1048576,2,FALSE)</f>
        <v>BCITITMMXXX</v>
      </c>
      <c r="AD24" s="1090" t="str">
        <f>VLOOKUP($AB24,sample!$1:$1048576,3,FALSE)</f>
        <v>JJSDJPJTXXX</v>
      </c>
      <c r="AE24" s="1091">
        <f>VLOOKUP($AB24,sample!$1:$1048576,4,FALSE)</f>
        <v>100502629</v>
      </c>
      <c r="AF24" s="1090" t="str">
        <f>VLOOKUP($AB24,sample!$1:$1048576,5,FALSE)</f>
        <v>N</v>
      </c>
      <c r="AL24" s="1091" t="str">
        <f>VLOOKUP($AB24,sample!$1:$1048576,11,FALSE)</f>
        <v xml:space="preserve">        </v>
      </c>
      <c r="AM24" s="1091" t="str">
        <f>VLOOKUP($AB24,sample!$1:$1048576,12,FALSE)</f>
        <v xml:space="preserve">        </v>
      </c>
      <c r="AN24" s="1091" t="str">
        <f>VLOOKUP($AB24,sample!$1:$1048576,13,FALSE)</f>
        <v>BOTKJPJTXXX</v>
      </c>
      <c r="AP24" s="1111"/>
    </row>
    <row r="25" spans="1:42" ht="14">
      <c r="A25" s="920">
        <v>201900025</v>
      </c>
      <c r="B25" s="947">
        <v>43623</v>
      </c>
      <c r="C25" s="947" t="s">
        <v>137</v>
      </c>
      <c r="D25" s="1106" t="str">
        <f>IFERROR(VLOOKUP(G25,PosAggregate!$B$13:$B$87,1,FALSE),"")</f>
        <v/>
      </c>
      <c r="E25" s="880" t="s">
        <v>1246</v>
      </c>
      <c r="F25" s="1132" t="str">
        <f t="shared" si="3"/>
        <v/>
      </c>
      <c r="G25" s="664" t="s">
        <v>1195</v>
      </c>
      <c r="H25" s="664"/>
      <c r="I25" s="950" t="s">
        <v>1139</v>
      </c>
      <c r="J25" s="950" t="s">
        <v>125</v>
      </c>
      <c r="K25" s="855">
        <v>2199.1333</v>
      </c>
      <c r="L25" s="951"/>
      <c r="M25" s="952">
        <v>3000</v>
      </c>
      <c r="N25" s="1092">
        <f t="shared" si="0"/>
        <v>-6597399.8999999994</v>
      </c>
      <c r="O25" s="952">
        <v>-5278</v>
      </c>
      <c r="P25" s="952"/>
      <c r="Q25" s="952"/>
      <c r="R25" s="1096">
        <f t="shared" si="1"/>
        <v>-6602677.8999999994</v>
      </c>
      <c r="S25" s="855">
        <v>122.57940239991829</v>
      </c>
      <c r="T25" s="1101">
        <f t="shared" si="4"/>
        <v>-53864.497384793911</v>
      </c>
      <c r="U25" s="956">
        <v>43629</v>
      </c>
      <c r="V25" s="948" t="s">
        <v>1229</v>
      </c>
      <c r="W25" s="959">
        <v>43623.705659722225</v>
      </c>
      <c r="X25" s="1089">
        <f t="shared" si="2"/>
        <v>8.0001213811519908E-2</v>
      </c>
      <c r="Y25" s="1090" t="str">
        <f>VLOOKUP(V25,'bic broker'!$A$1:$B$14,2,FALSE)</f>
        <v>EMSIITM1XXX</v>
      </c>
      <c r="Z25" s="1090" t="str">
        <f>VLOOKUP(AA25,'place of settlement'!A:C,2,FALSE)</f>
        <v>JJSDJPJTXXX</v>
      </c>
      <c r="AA25" s="1090" t="str">
        <f t="shared" si="5"/>
        <v>JP</v>
      </c>
      <c r="AB25" s="1090" t="str">
        <f t="shared" si="6"/>
        <v>EquitaJP</v>
      </c>
      <c r="AC25" s="1090" t="str">
        <f>VLOOKUP(AB25,sample!$1:$1048576,2,FALSE)</f>
        <v>BCITITMMXXX</v>
      </c>
      <c r="AD25" s="1090" t="str">
        <f>VLOOKUP($AB25,sample!$1:$1048576,3,FALSE)</f>
        <v>JJSDJPJTXXX</v>
      </c>
      <c r="AE25" s="1091">
        <f>VLOOKUP($AB25,sample!$1:$1048576,4,FALSE)</f>
        <v>100502629</v>
      </c>
      <c r="AF25" s="1090" t="str">
        <f>VLOOKUP($AB25,sample!$1:$1048576,5,FALSE)</f>
        <v>N</v>
      </c>
      <c r="AL25" s="1091" t="str">
        <f>VLOOKUP($AB25,sample!$1:$1048576,11,FALSE)</f>
        <v xml:space="preserve">        </v>
      </c>
      <c r="AM25" s="1091" t="str">
        <f>VLOOKUP($AB25,sample!$1:$1048576,12,FALSE)</f>
        <v xml:space="preserve">        </v>
      </c>
      <c r="AN25" s="1091" t="str">
        <f>VLOOKUP($AB25,sample!$1:$1048576,13,FALSE)</f>
        <v>BOTKJPJTXXX</v>
      </c>
      <c r="AP25" s="1111"/>
    </row>
    <row r="26" spans="1:42" ht="14">
      <c r="A26" s="920">
        <v>201900026</v>
      </c>
      <c r="B26" s="947">
        <v>43623</v>
      </c>
      <c r="C26" s="947" t="s">
        <v>137</v>
      </c>
      <c r="D26" s="1106" t="str">
        <f>IFERROR(VLOOKUP(G26,PosAggregate!$B$13:$B$87,1,FALSE),"")</f>
        <v/>
      </c>
      <c r="E26" s="880" t="s">
        <v>1247</v>
      </c>
      <c r="F26" s="1132" t="str">
        <f t="shared" si="3"/>
        <v/>
      </c>
      <c r="G26" s="664" t="s">
        <v>1196</v>
      </c>
      <c r="H26" s="664"/>
      <c r="I26" s="950" t="s">
        <v>1145</v>
      </c>
      <c r="J26" s="950" t="s">
        <v>125</v>
      </c>
      <c r="K26" s="855">
        <v>1626.2612999999999</v>
      </c>
      <c r="L26" s="951"/>
      <c r="M26" s="952">
        <v>8000</v>
      </c>
      <c r="N26" s="1092">
        <f t="shared" ref="N26:N34" si="7">-K26*M26</f>
        <v>-13010090.399999999</v>
      </c>
      <c r="O26" s="952">
        <v>-10408</v>
      </c>
      <c r="P26" s="952"/>
      <c r="Q26" s="952"/>
      <c r="R26" s="1096">
        <f t="shared" ref="R26:R34" si="8">SUM(N26:Q26)</f>
        <v>-13020498.399999999</v>
      </c>
      <c r="S26" s="855">
        <v>122.57940239991794</v>
      </c>
      <c r="T26" s="1101">
        <f t="shared" si="4"/>
        <v>-106220.93226984695</v>
      </c>
      <c r="U26" s="956">
        <v>43629</v>
      </c>
      <c r="V26" s="948" t="s">
        <v>1229</v>
      </c>
      <c r="W26" s="959">
        <v>43623.707094907404</v>
      </c>
      <c r="X26" s="1089">
        <f t="shared" si="2"/>
        <v>7.9999444123770275E-2</v>
      </c>
      <c r="Y26" s="1090" t="str">
        <f>VLOOKUP(V26,'bic broker'!$A$1:$B$14,2,FALSE)</f>
        <v>EMSIITM1XXX</v>
      </c>
      <c r="Z26" s="1090" t="str">
        <f>VLOOKUP(AA26,'place of settlement'!A:C,2,FALSE)</f>
        <v>JJSDJPJTXXX</v>
      </c>
      <c r="AA26" s="1090" t="str">
        <f t="shared" si="5"/>
        <v>JP</v>
      </c>
      <c r="AB26" s="1090" t="str">
        <f t="shared" si="6"/>
        <v>EquitaJP</v>
      </c>
      <c r="AC26" s="1090" t="str">
        <f>VLOOKUP(AB26,sample!$1:$1048576,2,FALSE)</f>
        <v>BCITITMMXXX</v>
      </c>
      <c r="AD26" s="1090" t="str">
        <f>VLOOKUP($AB26,sample!$1:$1048576,3,FALSE)</f>
        <v>JJSDJPJTXXX</v>
      </c>
      <c r="AE26" s="1091">
        <f>VLOOKUP($AB26,sample!$1:$1048576,4,FALSE)</f>
        <v>100502629</v>
      </c>
      <c r="AF26" s="1090" t="str">
        <f>VLOOKUP($AB26,sample!$1:$1048576,5,FALSE)</f>
        <v>N</v>
      </c>
      <c r="AL26" s="1091" t="str">
        <f>VLOOKUP($AB26,sample!$1:$1048576,11,FALSE)</f>
        <v xml:space="preserve">        </v>
      </c>
      <c r="AM26" s="1091" t="str">
        <f>VLOOKUP($AB26,sample!$1:$1048576,12,FALSE)</f>
        <v xml:space="preserve">        </v>
      </c>
      <c r="AN26" s="1091" t="str">
        <f>VLOOKUP($AB26,sample!$1:$1048576,13,FALSE)</f>
        <v>BOTKJPJTXXX</v>
      </c>
      <c r="AP26" s="1111"/>
    </row>
    <row r="27" spans="1:42" ht="14">
      <c r="A27" s="920">
        <v>201900027</v>
      </c>
      <c r="B27" s="947">
        <v>43623</v>
      </c>
      <c r="C27" s="947" t="s">
        <v>137</v>
      </c>
      <c r="D27" s="1106" t="str">
        <f>IFERROR(VLOOKUP(G27,PosAggregate!$B$13:$B$87,1,FALSE),"")</f>
        <v/>
      </c>
      <c r="E27" s="880" t="s">
        <v>1248</v>
      </c>
      <c r="F27" s="1132" t="str">
        <f t="shared" si="3"/>
        <v/>
      </c>
      <c r="G27" s="664" t="s">
        <v>1197</v>
      </c>
      <c r="H27" s="664"/>
      <c r="I27" s="950" t="s">
        <v>1146</v>
      </c>
      <c r="J27" s="950" t="s">
        <v>125</v>
      </c>
      <c r="K27" s="855">
        <v>7700</v>
      </c>
      <c r="L27" s="951"/>
      <c r="M27" s="952">
        <v>1500</v>
      </c>
      <c r="N27" s="1092">
        <f t="shared" si="7"/>
        <v>-11550000</v>
      </c>
      <c r="O27" s="952">
        <v>-9240</v>
      </c>
      <c r="P27" s="952"/>
      <c r="Q27" s="952"/>
      <c r="R27" s="1096">
        <f t="shared" si="8"/>
        <v>-11559240</v>
      </c>
      <c r="S27" s="855">
        <v>122.57940239991844</v>
      </c>
      <c r="T27" s="1101">
        <f t="shared" si="4"/>
        <v>-94300.019201331103</v>
      </c>
      <c r="U27" s="956">
        <v>43629</v>
      </c>
      <c r="V27" s="948" t="s">
        <v>1229</v>
      </c>
      <c r="W27" s="959">
        <v>43623.708182870374</v>
      </c>
      <c r="X27" s="1089">
        <f t="shared" si="2"/>
        <v>0.08</v>
      </c>
      <c r="Y27" s="1090" t="str">
        <f>VLOOKUP(V27,'bic broker'!$A$1:$B$14,2,FALSE)</f>
        <v>EMSIITM1XXX</v>
      </c>
      <c r="Z27" s="1090" t="str">
        <f>VLOOKUP(AA27,'place of settlement'!A:C,2,FALSE)</f>
        <v>JJSDJPJTXXX</v>
      </c>
      <c r="AA27" s="1090" t="str">
        <f t="shared" si="5"/>
        <v>JP</v>
      </c>
      <c r="AB27" s="1090" t="str">
        <f t="shared" si="6"/>
        <v>EquitaJP</v>
      </c>
      <c r="AC27" s="1090" t="str">
        <f>VLOOKUP(AB27,sample!$1:$1048576,2,FALSE)</f>
        <v>BCITITMMXXX</v>
      </c>
      <c r="AD27" s="1090" t="str">
        <f>VLOOKUP($AB27,sample!$1:$1048576,3,FALSE)</f>
        <v>JJSDJPJTXXX</v>
      </c>
      <c r="AE27" s="1091">
        <f>VLOOKUP($AB27,sample!$1:$1048576,4,FALSE)</f>
        <v>100502629</v>
      </c>
      <c r="AF27" s="1090" t="str">
        <f>VLOOKUP($AB27,sample!$1:$1048576,5,FALSE)</f>
        <v>N</v>
      </c>
      <c r="AL27" s="1091" t="str">
        <f>VLOOKUP($AB27,sample!$1:$1048576,11,FALSE)</f>
        <v xml:space="preserve">        </v>
      </c>
      <c r="AM27" s="1091" t="str">
        <f>VLOOKUP($AB27,sample!$1:$1048576,12,FALSE)</f>
        <v xml:space="preserve">        </v>
      </c>
      <c r="AN27" s="1091" t="str">
        <f>VLOOKUP($AB27,sample!$1:$1048576,13,FALSE)</f>
        <v>BOTKJPJTXXX</v>
      </c>
      <c r="AP27" s="1111"/>
    </row>
    <row r="28" spans="1:42" ht="14">
      <c r="A28" s="920">
        <v>201900028</v>
      </c>
      <c r="B28" s="947">
        <v>43623</v>
      </c>
      <c r="C28" s="947" t="s">
        <v>137</v>
      </c>
      <c r="D28" s="1106" t="str">
        <f>IFERROR(VLOOKUP(G28,PosAggregate!$B$13:$B$87,1,FALSE),"")</f>
        <v/>
      </c>
      <c r="E28" s="880" t="s">
        <v>1249</v>
      </c>
      <c r="F28" s="1132" t="str">
        <f t="shared" si="3"/>
        <v/>
      </c>
      <c r="G28" s="664" t="s">
        <v>1198</v>
      </c>
      <c r="H28" s="664"/>
      <c r="I28" s="950" t="s">
        <v>1151</v>
      </c>
      <c r="J28" s="950" t="s">
        <v>125</v>
      </c>
      <c r="K28" s="855">
        <v>1180.7463</v>
      </c>
      <c r="L28" s="951"/>
      <c r="M28" s="960">
        <v>6700</v>
      </c>
      <c r="N28" s="1092">
        <f t="shared" si="7"/>
        <v>-7911000.21</v>
      </c>
      <c r="O28" s="952">
        <v>-6329</v>
      </c>
      <c r="P28" s="952"/>
      <c r="Q28" s="952"/>
      <c r="R28" s="1096">
        <f t="shared" si="8"/>
        <v>-7917329.21</v>
      </c>
      <c r="S28" s="855">
        <v>122.57940239991844</v>
      </c>
      <c r="T28" s="1101">
        <f t="shared" si="4"/>
        <v>-64589.393119812339</v>
      </c>
      <c r="U28" s="956">
        <v>43629</v>
      </c>
      <c r="V28" s="948" t="s">
        <v>1229</v>
      </c>
      <c r="W28" s="959">
        <v>43623.70857638889</v>
      </c>
      <c r="X28" s="1089">
        <f t="shared" si="2"/>
        <v>8.0002526001702629E-2</v>
      </c>
      <c r="Y28" s="1090" t="str">
        <f>VLOOKUP(V28,'bic broker'!$A$1:$B$14,2,FALSE)</f>
        <v>EMSIITM1XXX</v>
      </c>
      <c r="Z28" s="1090" t="str">
        <f>VLOOKUP(AA28,'place of settlement'!A:C,2,FALSE)</f>
        <v>JJSDJPJTXXX</v>
      </c>
      <c r="AA28" s="1090" t="str">
        <f t="shared" si="5"/>
        <v>JP</v>
      </c>
      <c r="AB28" s="1090" t="str">
        <f t="shared" si="6"/>
        <v>EquitaJP</v>
      </c>
      <c r="AC28" s="1090" t="str">
        <f>VLOOKUP(AB28,sample!$1:$1048576,2,FALSE)</f>
        <v>BCITITMMXXX</v>
      </c>
      <c r="AD28" s="1090" t="str">
        <f>VLOOKUP($AB28,sample!$1:$1048576,3,FALSE)</f>
        <v>JJSDJPJTXXX</v>
      </c>
      <c r="AE28" s="1091">
        <f>VLOOKUP($AB28,sample!$1:$1048576,4,FALSE)</f>
        <v>100502629</v>
      </c>
      <c r="AF28" s="1090" t="str">
        <f>VLOOKUP($AB28,sample!$1:$1048576,5,FALSE)</f>
        <v>N</v>
      </c>
      <c r="AL28" s="1091" t="str">
        <f>VLOOKUP($AB28,sample!$1:$1048576,11,FALSE)</f>
        <v xml:space="preserve">        </v>
      </c>
      <c r="AM28" s="1091" t="str">
        <f>VLOOKUP($AB28,sample!$1:$1048576,12,FALSE)</f>
        <v xml:space="preserve">        </v>
      </c>
      <c r="AN28" s="1091" t="str">
        <f>VLOOKUP($AB28,sample!$1:$1048576,13,FALSE)</f>
        <v>BOTKJPJTXXX</v>
      </c>
      <c r="AP28" s="1111"/>
    </row>
    <row r="29" spans="1:42" ht="14">
      <c r="A29" s="920">
        <v>201900029</v>
      </c>
      <c r="B29" s="947">
        <v>43623</v>
      </c>
      <c r="C29" s="947" t="s">
        <v>137</v>
      </c>
      <c r="D29" s="1106" t="str">
        <f>IFERROR(VLOOKUP(G29,PosAggregate!$B$13:$B$87,1,FALSE),"")</f>
        <v/>
      </c>
      <c r="E29" s="880" t="s">
        <v>1250</v>
      </c>
      <c r="F29" s="1132" t="str">
        <f t="shared" si="3"/>
        <v/>
      </c>
      <c r="G29" s="664" t="s">
        <v>1199</v>
      </c>
      <c r="H29" s="664"/>
      <c r="I29" s="950" t="s">
        <v>1201</v>
      </c>
      <c r="J29" s="950" t="s">
        <v>125</v>
      </c>
      <c r="K29" s="855">
        <v>4535</v>
      </c>
      <c r="L29" s="951"/>
      <c r="M29" s="952">
        <v>1500</v>
      </c>
      <c r="N29" s="1092">
        <f t="shared" si="7"/>
        <v>-6802500</v>
      </c>
      <c r="O29" s="952">
        <v>-5442</v>
      </c>
      <c r="P29" s="952"/>
      <c r="Q29" s="952"/>
      <c r="R29" s="1096">
        <f t="shared" si="8"/>
        <v>-6807942</v>
      </c>
      <c r="S29" s="855">
        <v>122.57940239991838</v>
      </c>
      <c r="T29" s="1101">
        <f t="shared" si="4"/>
        <v>-55539.037282861915</v>
      </c>
      <c r="U29" s="956">
        <v>43629</v>
      </c>
      <c r="V29" s="948" t="s">
        <v>1229</v>
      </c>
      <c r="W29" s="959">
        <v>43623.710138888891</v>
      </c>
      <c r="X29" s="1089">
        <f t="shared" si="2"/>
        <v>0.08</v>
      </c>
      <c r="Y29" s="1090" t="str">
        <f>VLOOKUP(V29,'bic broker'!$A$1:$B$14,2,FALSE)</f>
        <v>EMSIITM1XXX</v>
      </c>
      <c r="Z29" s="1090" t="str">
        <f>VLOOKUP(AA29,'place of settlement'!A:C,2,FALSE)</f>
        <v>JJSDJPJTXXX</v>
      </c>
      <c r="AA29" s="1090" t="str">
        <f t="shared" si="5"/>
        <v>JP</v>
      </c>
      <c r="AB29" s="1090" t="str">
        <f t="shared" si="6"/>
        <v>EquitaJP</v>
      </c>
      <c r="AC29" s="1090" t="str">
        <f>VLOOKUP(AB29,sample!$1:$1048576,2,FALSE)</f>
        <v>BCITITMMXXX</v>
      </c>
      <c r="AD29" s="1090" t="str">
        <f>VLOOKUP($AB29,sample!$1:$1048576,3,FALSE)</f>
        <v>JJSDJPJTXXX</v>
      </c>
      <c r="AE29" s="1091">
        <f>VLOOKUP($AB29,sample!$1:$1048576,4,FALSE)</f>
        <v>100502629</v>
      </c>
      <c r="AF29" s="1090" t="str">
        <f>VLOOKUP($AB29,sample!$1:$1048576,5,FALSE)</f>
        <v>N</v>
      </c>
      <c r="AL29" s="1091" t="str">
        <f>VLOOKUP($AB29,sample!$1:$1048576,11,FALSE)</f>
        <v xml:space="preserve">        </v>
      </c>
      <c r="AM29" s="1091" t="str">
        <f>VLOOKUP($AB29,sample!$1:$1048576,12,FALSE)</f>
        <v xml:space="preserve">        </v>
      </c>
      <c r="AN29" s="1091" t="str">
        <f>VLOOKUP($AB29,sample!$1:$1048576,13,FALSE)</f>
        <v>BOTKJPJTXXX</v>
      </c>
      <c r="AP29" s="1111"/>
    </row>
    <row r="30" spans="1:42" ht="14">
      <c r="A30" s="920">
        <v>201900030</v>
      </c>
      <c r="B30" s="961">
        <v>43623</v>
      </c>
      <c r="C30" s="961" t="s">
        <v>137</v>
      </c>
      <c r="D30" s="1107" t="str">
        <f>IFERROR(VLOOKUP(G30,PosAggregate!$B$13:$B$87,1,FALSE),"")</f>
        <v/>
      </c>
      <c r="E30" s="880" t="s">
        <v>1251</v>
      </c>
      <c r="F30" s="1132" t="str">
        <f t="shared" si="3"/>
        <v/>
      </c>
      <c r="G30" s="889" t="s">
        <v>1200</v>
      </c>
      <c r="H30" s="889"/>
      <c r="I30" s="963" t="s">
        <v>1148</v>
      </c>
      <c r="J30" s="963" t="s">
        <v>125</v>
      </c>
      <c r="K30" s="964">
        <v>505.38900000000001</v>
      </c>
      <c r="L30" s="965"/>
      <c r="M30" s="966">
        <v>10000</v>
      </c>
      <c r="N30" s="1093">
        <f t="shared" si="7"/>
        <v>-5053890</v>
      </c>
      <c r="O30" s="966">
        <v>-4043</v>
      </c>
      <c r="P30" s="966"/>
      <c r="Q30" s="966"/>
      <c r="R30" s="1097">
        <f t="shared" si="8"/>
        <v>-5057933</v>
      </c>
      <c r="S30" s="964">
        <v>122.57940239991832</v>
      </c>
      <c r="T30" s="1101">
        <f t="shared" si="4"/>
        <v>-41262.503332316541</v>
      </c>
      <c r="U30" s="967">
        <v>43629</v>
      </c>
      <c r="V30" s="968" t="s">
        <v>1229</v>
      </c>
      <c r="W30" s="969">
        <v>43623.711886574078</v>
      </c>
      <c r="X30" s="1089">
        <f t="shared" si="2"/>
        <v>7.9997783885284404E-2</v>
      </c>
      <c r="Y30" s="1090" t="str">
        <f>VLOOKUP(V30,'bic broker'!$A$1:$B$14,2,FALSE)</f>
        <v>EMSIITM1XXX</v>
      </c>
      <c r="Z30" s="1090" t="str">
        <f>VLOOKUP(AA30,'place of settlement'!A:C,2,FALSE)</f>
        <v>JJSDJPJTXXX</v>
      </c>
      <c r="AA30" s="1090" t="str">
        <f t="shared" si="5"/>
        <v>JP</v>
      </c>
      <c r="AB30" s="1090" t="str">
        <f t="shared" si="6"/>
        <v>EquitaJP</v>
      </c>
      <c r="AC30" s="1090" t="str">
        <f>VLOOKUP(AB30,sample!$1:$1048576,2,FALSE)</f>
        <v>BCITITMMXXX</v>
      </c>
      <c r="AD30" s="1090" t="str">
        <f>VLOOKUP($AB30,sample!$1:$1048576,3,FALSE)</f>
        <v>JJSDJPJTXXX</v>
      </c>
      <c r="AE30" s="1091">
        <f>VLOOKUP($AB30,sample!$1:$1048576,4,FALSE)</f>
        <v>100502629</v>
      </c>
      <c r="AF30" s="1090" t="str">
        <f>VLOOKUP($AB30,sample!$1:$1048576,5,FALSE)</f>
        <v>N</v>
      </c>
      <c r="AL30" s="1091" t="str">
        <f>VLOOKUP($AB30,sample!$1:$1048576,11,FALSE)</f>
        <v xml:space="preserve">        </v>
      </c>
      <c r="AM30" s="1091" t="str">
        <f>VLOOKUP($AB30,sample!$1:$1048576,12,FALSE)</f>
        <v xml:space="preserve">        </v>
      </c>
      <c r="AN30" s="1091" t="str">
        <f>VLOOKUP($AB30,sample!$1:$1048576,13,FALSE)</f>
        <v>BOTKJPJTXXX</v>
      </c>
      <c r="AP30" s="1111"/>
    </row>
    <row r="31" spans="1:42" ht="14">
      <c r="A31" s="920">
        <v>201900031</v>
      </c>
      <c r="B31" s="947">
        <v>43626</v>
      </c>
      <c r="C31" s="947" t="s">
        <v>137</v>
      </c>
      <c r="D31" s="1108" t="str">
        <f>IFERROR(VLOOKUP(G31,PosAggregate!$B$13:$B$87,1,FALSE),"")</f>
        <v/>
      </c>
      <c r="E31" s="880" t="s">
        <v>1252</v>
      </c>
      <c r="F31" s="1132" t="str">
        <f t="shared" si="3"/>
        <v/>
      </c>
      <c r="G31" s="664" t="s">
        <v>1202</v>
      </c>
      <c r="H31" s="664"/>
      <c r="I31" s="820" t="s">
        <v>1121</v>
      </c>
      <c r="J31" s="820" t="s">
        <v>123</v>
      </c>
      <c r="K31" s="855">
        <v>189576.21950000001</v>
      </c>
      <c r="L31" s="951"/>
      <c r="M31" s="952">
        <v>820</v>
      </c>
      <c r="N31" s="1094">
        <f t="shared" si="7"/>
        <v>-155452499.99000001</v>
      </c>
      <c r="O31" s="952">
        <v>-233179</v>
      </c>
      <c r="P31" s="952"/>
      <c r="Q31" s="952"/>
      <c r="R31" s="1098">
        <f t="shared" si="8"/>
        <v>-155685678.99000001</v>
      </c>
      <c r="S31" s="855">
        <v>1338.2774523245682</v>
      </c>
      <c r="T31" s="1101">
        <f t="shared" si="4"/>
        <v>-116332.88651734831</v>
      </c>
      <c r="U31" s="971">
        <v>43629</v>
      </c>
      <c r="V31" s="972" t="s">
        <v>1230</v>
      </c>
      <c r="W31" s="957">
        <v>43626.69404884259</v>
      </c>
      <c r="X31" s="1089">
        <f t="shared" si="2"/>
        <v>0.15000016083047876</v>
      </c>
      <c r="Y31" s="1090" t="e">
        <f>VLOOKUP(V31,'bic broker'!$A$1:$B$14,2,FALSE)</f>
        <v>#N/A</v>
      </c>
      <c r="Z31" s="1090" t="str">
        <f>VLOOKUP(AA31,'place of settlement'!A:C,2,FALSE)</f>
        <v>KSDCKRSEXXX</v>
      </c>
      <c r="AA31" s="1090" t="str">
        <f t="shared" si="5"/>
        <v>KR</v>
      </c>
      <c r="AB31" s="1090" t="str">
        <f t="shared" si="6"/>
        <v>SamsungKR</v>
      </c>
      <c r="AC31" s="1090" t="e">
        <f>VLOOKUP(AB31,sample!$1:$1048576,2,FALSE)</f>
        <v>#N/A</v>
      </c>
      <c r="AD31" s="1090" t="e">
        <f>VLOOKUP($AB31,sample!$1:$1048576,3,FALSE)</f>
        <v>#N/A</v>
      </c>
      <c r="AE31" s="1091" t="e">
        <f>VLOOKUP($AB31,sample!$1:$1048576,4,FALSE)</f>
        <v>#N/A</v>
      </c>
      <c r="AF31" s="1090" t="e">
        <f>VLOOKUP($AB31,sample!$1:$1048576,5,FALSE)</f>
        <v>#N/A</v>
      </c>
      <c r="AL31" s="1091" t="e">
        <f>VLOOKUP($AB31,sample!$1:$1048576,11,FALSE)</f>
        <v>#N/A</v>
      </c>
      <c r="AM31" s="1091" t="e">
        <f>VLOOKUP($AB31,sample!$1:$1048576,12,FALSE)</f>
        <v>#N/A</v>
      </c>
      <c r="AN31" s="1091" t="e">
        <f>VLOOKUP($AB31,sample!$1:$1048576,13,FALSE)</f>
        <v>#N/A</v>
      </c>
      <c r="AP31" s="1111"/>
    </row>
    <row r="32" spans="1:42" ht="14">
      <c r="A32" s="920">
        <v>201900032</v>
      </c>
      <c r="B32" s="947">
        <v>43626</v>
      </c>
      <c r="C32" s="947" t="s">
        <v>137</v>
      </c>
      <c r="D32" s="1106" t="str">
        <f>IFERROR(VLOOKUP(G32,PosAggregate!$B$13:$B$87,1,FALSE),"")</f>
        <v/>
      </c>
      <c r="E32" s="880" t="s">
        <v>1253</v>
      </c>
      <c r="F32" s="1132" t="str">
        <f t="shared" si="3"/>
        <v/>
      </c>
      <c r="G32" s="664" t="s">
        <v>1203</v>
      </c>
      <c r="H32" s="664"/>
      <c r="I32" s="950" t="s">
        <v>1123</v>
      </c>
      <c r="J32" s="950" t="s">
        <v>123</v>
      </c>
      <c r="K32" s="855">
        <v>237500</v>
      </c>
      <c r="L32" s="951"/>
      <c r="M32" s="952">
        <v>400</v>
      </c>
      <c r="N32" s="1092">
        <f t="shared" si="7"/>
        <v>-95000000</v>
      </c>
      <c r="O32" s="952">
        <v>-142500</v>
      </c>
      <c r="P32" s="952"/>
      <c r="Q32" s="952"/>
      <c r="R32" s="1096">
        <f t="shared" si="8"/>
        <v>-95142500</v>
      </c>
      <c r="S32" s="855">
        <v>1338.277452324566</v>
      </c>
      <c r="T32" s="1101">
        <f t="shared" si="4"/>
        <v>-71093.254866350049</v>
      </c>
      <c r="U32" s="956">
        <v>43629</v>
      </c>
      <c r="V32" s="972" t="s">
        <v>1230</v>
      </c>
      <c r="W32" s="957">
        <v>43626.696166898146</v>
      </c>
      <c r="X32" s="1089">
        <f t="shared" si="2"/>
        <v>0.15</v>
      </c>
      <c r="Y32" s="1090" t="e">
        <f>VLOOKUP(V32,'bic broker'!$A$1:$B$14,2,FALSE)</f>
        <v>#N/A</v>
      </c>
      <c r="Z32" s="1090" t="str">
        <f>VLOOKUP(AA32,'place of settlement'!A:C,2,FALSE)</f>
        <v>KSDCKRSEXXX</v>
      </c>
      <c r="AA32" s="1090" t="str">
        <f t="shared" si="5"/>
        <v>KR</v>
      </c>
      <c r="AB32" s="1090" t="str">
        <f t="shared" si="6"/>
        <v>SamsungKR</v>
      </c>
      <c r="AC32" s="1090" t="e">
        <f>VLOOKUP(AB32,sample!$1:$1048576,2,FALSE)</f>
        <v>#N/A</v>
      </c>
      <c r="AD32" s="1090" t="e">
        <f>VLOOKUP($AB32,sample!$1:$1048576,3,FALSE)</f>
        <v>#N/A</v>
      </c>
      <c r="AE32" s="1091" t="e">
        <f>VLOOKUP($AB32,sample!$1:$1048576,4,FALSE)</f>
        <v>#N/A</v>
      </c>
      <c r="AF32" s="1090" t="e">
        <f>VLOOKUP($AB32,sample!$1:$1048576,5,FALSE)</f>
        <v>#N/A</v>
      </c>
      <c r="AL32" s="1091" t="e">
        <f>VLOOKUP($AB32,sample!$1:$1048576,11,FALSE)</f>
        <v>#N/A</v>
      </c>
      <c r="AM32" s="1091" t="e">
        <f>VLOOKUP($AB32,sample!$1:$1048576,12,FALSE)</f>
        <v>#N/A</v>
      </c>
      <c r="AN32" s="1091" t="e">
        <f>VLOOKUP($AB32,sample!$1:$1048576,13,FALSE)</f>
        <v>#N/A</v>
      </c>
      <c r="AP32" s="1111"/>
    </row>
    <row r="33" spans="1:42" ht="14">
      <c r="A33" s="920">
        <v>201900033</v>
      </c>
      <c r="B33" s="947">
        <v>43626</v>
      </c>
      <c r="C33" s="947" t="s">
        <v>137</v>
      </c>
      <c r="D33" s="1106" t="str">
        <f>IFERROR(VLOOKUP(G33,PosAggregate!$B$13:$B$87,1,FALSE),"")</f>
        <v/>
      </c>
      <c r="E33" s="880" t="s">
        <v>1254</v>
      </c>
      <c r="F33" s="1132" t="str">
        <f t="shared" si="3"/>
        <v/>
      </c>
      <c r="G33" s="664" t="s">
        <v>1204</v>
      </c>
      <c r="H33" s="664"/>
      <c r="I33" s="950" t="s">
        <v>1123</v>
      </c>
      <c r="J33" s="950" t="s">
        <v>123</v>
      </c>
      <c r="K33" s="855">
        <v>90455.5</v>
      </c>
      <c r="L33" s="951"/>
      <c r="M33" s="952">
        <v>1000</v>
      </c>
      <c r="N33" s="1092">
        <f t="shared" si="7"/>
        <v>-90455500</v>
      </c>
      <c r="O33" s="952">
        <v>-135683</v>
      </c>
      <c r="P33" s="952"/>
      <c r="Q33" s="952"/>
      <c r="R33" s="1096">
        <f t="shared" si="8"/>
        <v>-90591183</v>
      </c>
      <c r="S33" s="855">
        <v>1338.2774523245673</v>
      </c>
      <c r="T33" s="1101">
        <f t="shared" si="4"/>
        <v>-67692.377871751858</v>
      </c>
      <c r="U33" s="956">
        <v>43629</v>
      </c>
      <c r="V33" s="972" t="s">
        <v>1230</v>
      </c>
      <c r="W33" s="957">
        <v>43626.697266087962</v>
      </c>
      <c r="X33" s="1089">
        <f t="shared" si="2"/>
        <v>0.149999723621007</v>
      </c>
      <c r="Y33" s="1090" t="e">
        <f>VLOOKUP(V33,'bic broker'!$A$1:$B$14,2,FALSE)</f>
        <v>#N/A</v>
      </c>
      <c r="Z33" s="1090" t="str">
        <f>VLOOKUP(AA33,'place of settlement'!A:C,2,FALSE)</f>
        <v>KSDCKRSEXXX</v>
      </c>
      <c r="AA33" s="1090" t="str">
        <f t="shared" si="5"/>
        <v>KR</v>
      </c>
      <c r="AB33" s="1090" t="str">
        <f t="shared" si="6"/>
        <v>SamsungKR</v>
      </c>
      <c r="AC33" s="1090" t="e">
        <f>VLOOKUP(AB33,sample!$1:$1048576,2,FALSE)</f>
        <v>#N/A</v>
      </c>
      <c r="AD33" s="1090" t="e">
        <f>VLOOKUP($AB33,sample!$1:$1048576,3,FALSE)</f>
        <v>#N/A</v>
      </c>
      <c r="AE33" s="1091" t="e">
        <f>VLOOKUP($AB33,sample!$1:$1048576,4,FALSE)</f>
        <v>#N/A</v>
      </c>
      <c r="AF33" s="1090" t="e">
        <f>VLOOKUP($AB33,sample!$1:$1048576,5,FALSE)</f>
        <v>#N/A</v>
      </c>
      <c r="AL33" s="1091" t="e">
        <f>VLOOKUP($AB33,sample!$1:$1048576,11,FALSE)</f>
        <v>#N/A</v>
      </c>
      <c r="AM33" s="1091" t="e">
        <f>VLOOKUP($AB33,sample!$1:$1048576,12,FALSE)</f>
        <v>#N/A</v>
      </c>
      <c r="AN33" s="1091" t="e">
        <f>VLOOKUP($AB33,sample!$1:$1048576,13,FALSE)</f>
        <v>#N/A</v>
      </c>
      <c r="AP33" s="1111"/>
    </row>
    <row r="34" spans="1:42" ht="14">
      <c r="A34" s="920">
        <v>201900034</v>
      </c>
      <c r="B34" s="947">
        <v>43626</v>
      </c>
      <c r="C34" s="947" t="s">
        <v>137</v>
      </c>
      <c r="D34" s="1106" t="str">
        <f>IFERROR(VLOOKUP(G34,PosAggregate!$B$13:$B$87,1,FALSE),"")</f>
        <v/>
      </c>
      <c r="E34" s="880" t="s">
        <v>1255</v>
      </c>
      <c r="F34" s="1132" t="str">
        <f t="shared" si="3"/>
        <v/>
      </c>
      <c r="G34" s="664" t="s">
        <v>1205</v>
      </c>
      <c r="H34" s="664"/>
      <c r="I34" s="950" t="s">
        <v>1143</v>
      </c>
      <c r="J34" s="950" t="s">
        <v>123</v>
      </c>
      <c r="K34" s="855">
        <v>120463.3333</v>
      </c>
      <c r="L34" s="951"/>
      <c r="M34" s="973">
        <v>600</v>
      </c>
      <c r="N34" s="1092">
        <f t="shared" si="7"/>
        <v>-72277999.980000004</v>
      </c>
      <c r="O34" s="952">
        <v>-108417</v>
      </c>
      <c r="P34" s="952"/>
      <c r="Q34" s="952"/>
      <c r="R34" s="1096">
        <f t="shared" si="8"/>
        <v>-72386416.980000004</v>
      </c>
      <c r="S34" s="855">
        <v>1338.2774523245669</v>
      </c>
      <c r="T34" s="1101">
        <f t="shared" si="4"/>
        <v>-54089.244987476952</v>
      </c>
      <c r="U34" s="956">
        <v>43629</v>
      </c>
      <c r="V34" s="972" t="s">
        <v>1230</v>
      </c>
      <c r="W34" s="957">
        <v>43626.698459375002</v>
      </c>
      <c r="X34" s="1089">
        <f t="shared" si="2"/>
        <v>0.1500000000415064</v>
      </c>
      <c r="Y34" s="1090" t="e">
        <f>VLOOKUP(V34,'bic broker'!$A$1:$B$14,2,FALSE)</f>
        <v>#N/A</v>
      </c>
      <c r="Z34" s="1090" t="str">
        <f>VLOOKUP(AA34,'place of settlement'!A:C,2,FALSE)</f>
        <v>KSDCKRSEXXX</v>
      </c>
      <c r="AA34" s="1090" t="str">
        <f t="shared" si="5"/>
        <v>KR</v>
      </c>
      <c r="AB34" s="1090" t="str">
        <f t="shared" si="6"/>
        <v>SamsungKR</v>
      </c>
      <c r="AC34" s="1090" t="e">
        <f>VLOOKUP(AB34,sample!$1:$1048576,2,FALSE)</f>
        <v>#N/A</v>
      </c>
      <c r="AD34" s="1090" t="e">
        <f>VLOOKUP($AB34,sample!$1:$1048576,3,FALSE)</f>
        <v>#N/A</v>
      </c>
      <c r="AE34" s="1091" t="e">
        <f>VLOOKUP($AB34,sample!$1:$1048576,4,FALSE)</f>
        <v>#N/A</v>
      </c>
      <c r="AF34" s="1090" t="e">
        <f>VLOOKUP($AB34,sample!$1:$1048576,5,FALSE)</f>
        <v>#N/A</v>
      </c>
      <c r="AL34" s="1091" t="e">
        <f>VLOOKUP($AB34,sample!$1:$1048576,11,FALSE)</f>
        <v>#N/A</v>
      </c>
      <c r="AM34" s="1091" t="e">
        <f>VLOOKUP($AB34,sample!$1:$1048576,12,FALSE)</f>
        <v>#N/A</v>
      </c>
      <c r="AN34" s="1091" t="e">
        <f>VLOOKUP($AB34,sample!$1:$1048576,13,FALSE)</f>
        <v>#N/A</v>
      </c>
      <c r="AP34" s="1111"/>
    </row>
    <row r="35" spans="1:42" ht="14">
      <c r="A35" s="920">
        <v>201900035</v>
      </c>
      <c r="B35" s="947">
        <v>43626</v>
      </c>
      <c r="C35" s="947" t="s">
        <v>137</v>
      </c>
      <c r="D35" s="1106" t="str">
        <f>IFERROR(VLOOKUP(G35,PosAggregate!$B$13:$B$87,1,FALSE),"")</f>
        <v/>
      </c>
      <c r="E35" s="880" t="s">
        <v>1256</v>
      </c>
      <c r="F35" s="1132" t="str">
        <f t="shared" si="3"/>
        <v/>
      </c>
      <c r="G35" s="664" t="s">
        <v>1206</v>
      </c>
      <c r="H35" s="664"/>
      <c r="I35" s="950" t="s">
        <v>1149</v>
      </c>
      <c r="J35" s="950" t="s">
        <v>123</v>
      </c>
      <c r="K35" s="855">
        <v>4480.8780999999999</v>
      </c>
      <c r="L35" s="951"/>
      <c r="M35" s="960">
        <v>894</v>
      </c>
      <c r="N35" s="1092">
        <f t="shared" ref="N35:N81" si="9">-K35*M35</f>
        <v>-4005905.0214</v>
      </c>
      <c r="O35" s="952">
        <v>-6009</v>
      </c>
      <c r="P35" s="952"/>
      <c r="Q35" s="952"/>
      <c r="R35" s="1096">
        <f t="shared" ref="R35:R81" si="10">SUM(N35:Q35)</f>
        <v>-4011914.0214</v>
      </c>
      <c r="S35" s="855">
        <v>1338.2774523245673</v>
      </c>
      <c r="T35" s="1101">
        <f t="shared" ref="T35:T81" si="11">+R35/S35</f>
        <v>-2997.8193344222959</v>
      </c>
      <c r="U35" s="956">
        <v>43629</v>
      </c>
      <c r="V35" s="972" t="s">
        <v>1230</v>
      </c>
      <c r="W35" s="957">
        <v>43626.699320023145</v>
      </c>
      <c r="X35" s="1089">
        <f t="shared" ref="X35:X81" si="12">+O35/N35*100</f>
        <v>0.15000355644727567</v>
      </c>
      <c r="Y35" s="1090" t="e">
        <f>VLOOKUP(V35,'bic broker'!$A$1:$B$14,2,FALSE)</f>
        <v>#N/A</v>
      </c>
      <c r="Z35" s="1090" t="str">
        <f>VLOOKUP(AA35,'place of settlement'!A:C,2,FALSE)</f>
        <v>KSDCKRSEXXX</v>
      </c>
      <c r="AA35" s="1090" t="str">
        <f t="shared" ref="AA35:AA81" si="13">LEFT(E35,2)</f>
        <v>KR</v>
      </c>
      <c r="AB35" s="1090" t="str">
        <f t="shared" ref="AB35:AB81" si="14">CONCATENATE(V35,AA35)</f>
        <v>SamsungKR</v>
      </c>
      <c r="AC35" s="1090" t="e">
        <f>VLOOKUP(AB35,sample!$1:$1048576,2,FALSE)</f>
        <v>#N/A</v>
      </c>
      <c r="AD35" s="1090" t="e">
        <f>VLOOKUP($AB35,sample!$1:$1048576,3,FALSE)</f>
        <v>#N/A</v>
      </c>
      <c r="AE35" s="1091" t="e">
        <f>VLOOKUP($AB35,sample!$1:$1048576,4,FALSE)</f>
        <v>#N/A</v>
      </c>
      <c r="AF35" s="1090" t="e">
        <f>VLOOKUP($AB35,sample!$1:$1048576,5,FALSE)</f>
        <v>#N/A</v>
      </c>
      <c r="AL35" s="1091" t="e">
        <f>VLOOKUP($AB35,sample!$1:$1048576,11,FALSE)</f>
        <v>#N/A</v>
      </c>
      <c r="AM35" s="1091" t="e">
        <f>VLOOKUP($AB35,sample!$1:$1048576,12,FALSE)</f>
        <v>#N/A</v>
      </c>
      <c r="AN35" s="1091" t="e">
        <f>VLOOKUP($AB35,sample!$1:$1048576,13,FALSE)</f>
        <v>#N/A</v>
      </c>
      <c r="AP35" s="1111"/>
    </row>
    <row r="36" spans="1:42" ht="14">
      <c r="A36" s="920">
        <v>201900036</v>
      </c>
      <c r="B36" s="947">
        <v>43626</v>
      </c>
      <c r="C36" s="947" t="s">
        <v>137</v>
      </c>
      <c r="D36" s="1106" t="str">
        <f>IFERROR(VLOOKUP(G36,PosAggregate!$B$13:$B$87,1,FALSE),"")</f>
        <v/>
      </c>
      <c r="E36" s="880" t="s">
        <v>1257</v>
      </c>
      <c r="F36" s="1132" t="str">
        <f t="shared" si="3"/>
        <v/>
      </c>
      <c r="G36" s="664" t="s">
        <v>1207</v>
      </c>
      <c r="H36" s="664"/>
      <c r="I36" s="950" t="s">
        <v>1135</v>
      </c>
      <c r="J36" s="950" t="s">
        <v>123</v>
      </c>
      <c r="K36" s="855">
        <v>27107.1</v>
      </c>
      <c r="L36" s="951"/>
      <c r="M36" s="952">
        <v>4000</v>
      </c>
      <c r="N36" s="1092">
        <f t="shared" si="9"/>
        <v>-108428400</v>
      </c>
      <c r="O36" s="952">
        <v>-162643</v>
      </c>
      <c r="P36" s="952"/>
      <c r="Q36" s="952"/>
      <c r="R36" s="1096">
        <f t="shared" si="10"/>
        <v>-108591043</v>
      </c>
      <c r="S36" s="855">
        <v>1338.2774523245657</v>
      </c>
      <c r="T36" s="1101">
        <f t="shared" si="11"/>
        <v>-81142.398993108014</v>
      </c>
      <c r="U36" s="956">
        <v>43629</v>
      </c>
      <c r="V36" s="972" t="s">
        <v>1230</v>
      </c>
      <c r="W36" s="957">
        <v>43626.700181365741</v>
      </c>
      <c r="X36" s="1089">
        <f t="shared" si="12"/>
        <v>0.15000036890703913</v>
      </c>
      <c r="Y36" s="1090" t="e">
        <f>VLOOKUP(V36,'bic broker'!$A$1:$B$14,2,FALSE)</f>
        <v>#N/A</v>
      </c>
      <c r="Z36" s="1090" t="str">
        <f>VLOOKUP(AA36,'place of settlement'!A:C,2,FALSE)</f>
        <v>KSDCKRSEXXX</v>
      </c>
      <c r="AA36" s="1090" t="str">
        <f t="shared" si="13"/>
        <v>KR</v>
      </c>
      <c r="AB36" s="1090" t="str">
        <f t="shared" si="14"/>
        <v>SamsungKR</v>
      </c>
      <c r="AC36" s="1090" t="e">
        <f>VLOOKUP(AB36,sample!$1:$1048576,2,FALSE)</f>
        <v>#N/A</v>
      </c>
      <c r="AD36" s="1090" t="e">
        <f>VLOOKUP($AB36,sample!$1:$1048576,3,FALSE)</f>
        <v>#N/A</v>
      </c>
      <c r="AE36" s="1091" t="e">
        <f>VLOOKUP($AB36,sample!$1:$1048576,4,FALSE)</f>
        <v>#N/A</v>
      </c>
      <c r="AF36" s="1090" t="e">
        <f>VLOOKUP($AB36,sample!$1:$1048576,5,FALSE)</f>
        <v>#N/A</v>
      </c>
      <c r="AL36" s="1091" t="e">
        <f>VLOOKUP($AB36,sample!$1:$1048576,11,FALSE)</f>
        <v>#N/A</v>
      </c>
      <c r="AM36" s="1091" t="e">
        <f>VLOOKUP($AB36,sample!$1:$1048576,12,FALSE)</f>
        <v>#N/A</v>
      </c>
      <c r="AN36" s="1091" t="e">
        <f>VLOOKUP($AB36,sample!$1:$1048576,13,FALSE)</f>
        <v>#N/A</v>
      </c>
      <c r="AP36" s="1111"/>
    </row>
    <row r="37" spans="1:42" ht="14">
      <c r="A37" s="920">
        <v>201900037</v>
      </c>
      <c r="B37" s="961">
        <v>43626</v>
      </c>
      <c r="C37" s="961" t="s">
        <v>137</v>
      </c>
      <c r="D37" s="1107" t="str">
        <f>IFERROR(VLOOKUP(G37,PosAggregate!$B$13:$B$87,1,FALSE),"")</f>
        <v/>
      </c>
      <c r="E37" s="962" t="s">
        <v>1258</v>
      </c>
      <c r="F37" s="1132" t="str">
        <f t="shared" si="3"/>
        <v/>
      </c>
      <c r="G37" s="889" t="s">
        <v>1208</v>
      </c>
      <c r="H37" s="889"/>
      <c r="I37" s="963" t="s">
        <v>1142</v>
      </c>
      <c r="J37" s="963" t="s">
        <v>123</v>
      </c>
      <c r="K37" s="964">
        <v>48103.4833</v>
      </c>
      <c r="L37" s="965"/>
      <c r="M37" s="966">
        <v>3000</v>
      </c>
      <c r="N37" s="1093">
        <f t="shared" si="9"/>
        <v>-144310449.90000001</v>
      </c>
      <c r="O37" s="966">
        <v>-216466</v>
      </c>
      <c r="P37" s="966"/>
      <c r="Q37" s="966"/>
      <c r="R37" s="1097">
        <f t="shared" si="10"/>
        <v>-144526915.90000001</v>
      </c>
      <c r="S37" s="964">
        <v>1338.2774523245669</v>
      </c>
      <c r="T37" s="1101">
        <f t="shared" si="11"/>
        <v>-107994.7328178914</v>
      </c>
      <c r="U37" s="967">
        <v>43629</v>
      </c>
      <c r="V37" s="974" t="s">
        <v>1230</v>
      </c>
      <c r="W37" s="975">
        <v>43626.700741319444</v>
      </c>
      <c r="X37" s="1089">
        <f t="shared" si="12"/>
        <v>0.15000022531285864</v>
      </c>
      <c r="Y37" s="1090" t="e">
        <f>VLOOKUP(V37,'bic broker'!$A$1:$B$14,2,FALSE)</f>
        <v>#N/A</v>
      </c>
      <c r="Z37" s="1090" t="str">
        <f>VLOOKUP(AA37,'place of settlement'!A:C,2,FALSE)</f>
        <v>KSDCKRSEXXX</v>
      </c>
      <c r="AA37" s="1090" t="str">
        <f t="shared" si="13"/>
        <v>KR</v>
      </c>
      <c r="AB37" s="1090" t="str">
        <f t="shared" si="14"/>
        <v>SamsungKR</v>
      </c>
      <c r="AC37" s="1090" t="e">
        <f>VLOOKUP(AB37,sample!$1:$1048576,2,FALSE)</f>
        <v>#N/A</v>
      </c>
      <c r="AD37" s="1090" t="e">
        <f>VLOOKUP($AB37,sample!$1:$1048576,3,FALSE)</f>
        <v>#N/A</v>
      </c>
      <c r="AE37" s="1091" t="e">
        <f>VLOOKUP($AB37,sample!$1:$1048576,4,FALSE)</f>
        <v>#N/A</v>
      </c>
      <c r="AF37" s="1090" t="e">
        <f>VLOOKUP($AB37,sample!$1:$1048576,5,FALSE)</f>
        <v>#N/A</v>
      </c>
      <c r="AL37" s="1091" t="e">
        <f>VLOOKUP($AB37,sample!$1:$1048576,11,FALSE)</f>
        <v>#N/A</v>
      </c>
      <c r="AM37" s="1091" t="e">
        <f>VLOOKUP($AB37,sample!$1:$1048576,12,FALSE)</f>
        <v>#N/A</v>
      </c>
      <c r="AN37" s="1091" t="e">
        <f>VLOOKUP($AB37,sample!$1:$1048576,13,FALSE)</f>
        <v>#N/A</v>
      </c>
      <c r="AP37" s="1111"/>
    </row>
    <row r="38" spans="1:42" ht="14">
      <c r="A38" s="920">
        <v>201900038</v>
      </c>
      <c r="B38" s="947">
        <v>43627</v>
      </c>
      <c r="C38" s="947" t="s">
        <v>137</v>
      </c>
      <c r="D38" s="1106" t="str">
        <f>IFERROR(VLOOKUP(G38,PosAggregate!$B$13:$B$87,1,FALSE),"")</f>
        <v/>
      </c>
      <c r="E38" s="970" t="s">
        <v>1259</v>
      </c>
      <c r="F38" s="1132" t="str">
        <f t="shared" si="3"/>
        <v/>
      </c>
      <c r="G38" s="664" t="s">
        <v>1210</v>
      </c>
      <c r="H38" s="664"/>
      <c r="I38" s="820" t="s">
        <v>1225</v>
      </c>
      <c r="J38" s="820" t="s">
        <v>2</v>
      </c>
      <c r="K38" s="855">
        <v>28.007300000000001</v>
      </c>
      <c r="L38" s="951"/>
      <c r="M38" s="952">
        <v>900</v>
      </c>
      <c r="N38" s="1094">
        <f t="shared" si="9"/>
        <v>-25206.57</v>
      </c>
      <c r="O38" s="952">
        <v>-20.170000000000002</v>
      </c>
      <c r="P38" s="952"/>
      <c r="Q38" s="952"/>
      <c r="R38" s="1098">
        <f t="shared" si="10"/>
        <v>-25226.739999999998</v>
      </c>
      <c r="S38" s="855">
        <v>1</v>
      </c>
      <c r="T38" s="1101">
        <f t="shared" si="11"/>
        <v>-25226.739999999998</v>
      </c>
      <c r="U38" s="971">
        <v>43629</v>
      </c>
      <c r="V38" s="972" t="s">
        <v>1229</v>
      </c>
      <c r="W38" s="957">
        <v>43627.422504745373</v>
      </c>
      <c r="X38" s="1089">
        <f t="shared" si="12"/>
        <v>8.0018820490054793E-2</v>
      </c>
      <c r="Y38" s="1090" t="str">
        <f>VLOOKUP(V38,'bic broker'!$A$1:$B$14,2,FALSE)</f>
        <v>EMSIITM1XXX</v>
      </c>
      <c r="Z38" s="1090" t="str">
        <f>VLOOKUP(AA38,'place of settlement'!A:C,2,FALSE)</f>
        <v>CIKBBEBBXXX</v>
      </c>
      <c r="AA38" s="1090" t="str">
        <f t="shared" si="13"/>
        <v>BE</v>
      </c>
      <c r="AB38" s="1090" t="str">
        <f t="shared" si="14"/>
        <v>EquitaBE</v>
      </c>
      <c r="AC38" s="1090" t="str">
        <f>VLOOKUP(AB38,sample!$1:$1048576,2,FALSE)</f>
        <v>EMSIITM1XXX</v>
      </c>
      <c r="AD38" s="1090" t="str">
        <f>VLOOKUP($AB38,sample!$1:$1048576,3,FALSE)</f>
        <v>CIKBBEBBXXX</v>
      </c>
      <c r="AE38" s="1091" t="str">
        <f>VLOOKUP($AB38,sample!$1:$1048576,4,FALSE)</f>
        <v>CIKBBCITITMMD00000L10</v>
      </c>
      <c r="AF38" s="1090" t="str">
        <f>VLOOKUP($AB38,sample!$1:$1048576,5,FALSE)</f>
        <v>N</v>
      </c>
      <c r="AL38" s="1091" t="str">
        <f>VLOOKUP($AB38,sample!$1:$1048576,11,FALSE)</f>
        <v xml:space="preserve">        </v>
      </c>
      <c r="AM38" s="1091" t="str">
        <f>VLOOKUP($AB38,sample!$1:$1048576,12,FALSE)</f>
        <v xml:space="preserve">        </v>
      </c>
      <c r="AN38" s="1091" t="str">
        <f>VLOOKUP($AB38,sample!$1:$1048576,13,FALSE)</f>
        <v>BCITITMMD00</v>
      </c>
      <c r="AP38" s="1111"/>
    </row>
    <row r="39" spans="1:42" ht="14">
      <c r="A39" s="920">
        <v>201900039</v>
      </c>
      <c r="B39" s="947">
        <v>43627</v>
      </c>
      <c r="C39" s="947" t="s">
        <v>137</v>
      </c>
      <c r="D39" s="1108" t="str">
        <f>IFERROR(VLOOKUP(G39,PosAggregate!$B$13:$B$87,1,FALSE),"")</f>
        <v/>
      </c>
      <c r="E39" s="880" t="s">
        <v>1260</v>
      </c>
      <c r="F39" s="1132" t="str">
        <f t="shared" si="3"/>
        <v/>
      </c>
      <c r="G39" s="664" t="s">
        <v>1211</v>
      </c>
      <c r="H39" s="664"/>
      <c r="I39" s="950" t="s">
        <v>1226</v>
      </c>
      <c r="J39" s="950" t="s">
        <v>2</v>
      </c>
      <c r="K39" s="855">
        <v>42.110100000000003</v>
      </c>
      <c r="L39" s="951"/>
      <c r="M39" s="952">
        <v>2000</v>
      </c>
      <c r="N39" s="1092">
        <f t="shared" si="9"/>
        <v>-84220.200000000012</v>
      </c>
      <c r="O39" s="952">
        <v>-67.38</v>
      </c>
      <c r="P39" s="952"/>
      <c r="Q39" s="952"/>
      <c r="R39" s="1096">
        <f t="shared" si="10"/>
        <v>-84287.580000000016</v>
      </c>
      <c r="S39" s="855">
        <v>1</v>
      </c>
      <c r="T39" s="1101">
        <f t="shared" si="11"/>
        <v>-84287.580000000016</v>
      </c>
      <c r="U39" s="956">
        <v>43629</v>
      </c>
      <c r="V39" s="948" t="s">
        <v>1229</v>
      </c>
      <c r="W39" s="957">
        <v>43627.422937615738</v>
      </c>
      <c r="X39" s="1089">
        <f t="shared" si="12"/>
        <v>8.0004559476230142E-2</v>
      </c>
      <c r="Y39" s="1090" t="str">
        <f>VLOOKUP(V39,'bic broker'!$A$1:$B$14,2,FALSE)</f>
        <v>EMSIITM1XXX</v>
      </c>
      <c r="Z39" s="1090" t="str">
        <f>VLOOKUP(AA39,'place of settlement'!A:C,2,FALSE)</f>
        <v>SICVFRPPXXX</v>
      </c>
      <c r="AA39" s="1090" t="str">
        <f t="shared" si="13"/>
        <v>FR</v>
      </c>
      <c r="AB39" s="1090" t="str">
        <f t="shared" si="14"/>
        <v>EquitaFR</v>
      </c>
      <c r="AC39" s="1090" t="str">
        <f>VLOOKUP(AB39,sample!$1:$1048576,2,FALSE)</f>
        <v>EMSIITM1XXX</v>
      </c>
      <c r="AD39" s="1090" t="str">
        <f>VLOOKUP($AB39,sample!$1:$1048576,3,FALSE)</f>
        <v>SICVFRPPXXX</v>
      </c>
      <c r="AE39" s="1091" t="str">
        <f>VLOOKUP($AB39,sample!$1:$1048576,4,FALSE)</f>
        <v>SICVBCITITMMD00000L10</v>
      </c>
      <c r="AF39" s="1090" t="str">
        <f>VLOOKUP($AB39,sample!$1:$1048576,5,FALSE)</f>
        <v>N</v>
      </c>
      <c r="AL39" s="1091" t="str">
        <f>VLOOKUP($AB39,sample!$1:$1048576,11,FALSE)</f>
        <v xml:space="preserve">        </v>
      </c>
      <c r="AM39" s="1091" t="str">
        <f>VLOOKUP($AB39,sample!$1:$1048576,12,FALSE)</f>
        <v xml:space="preserve">        </v>
      </c>
      <c r="AN39" s="1091" t="str">
        <f>VLOOKUP($AB39,sample!$1:$1048576,13,FALSE)</f>
        <v>BCITITMMD00</v>
      </c>
      <c r="AP39" s="1111"/>
    </row>
    <row r="40" spans="1:42" ht="14">
      <c r="A40" s="920">
        <v>201900040</v>
      </c>
      <c r="B40" s="947">
        <v>43627</v>
      </c>
      <c r="C40" s="947" t="s">
        <v>137</v>
      </c>
      <c r="D40" s="1108" t="str">
        <f>IFERROR(VLOOKUP(G40,PosAggregate!$B$13:$B$87,1,FALSE),"")</f>
        <v/>
      </c>
      <c r="E40" s="880" t="s">
        <v>1261</v>
      </c>
      <c r="F40" s="1132" t="str">
        <f t="shared" si="3"/>
        <v/>
      </c>
      <c r="G40" s="664" t="s">
        <v>1212</v>
      </c>
      <c r="H40" s="664"/>
      <c r="I40" s="950" t="s">
        <v>1099</v>
      </c>
      <c r="J40" s="950" t="s">
        <v>2</v>
      </c>
      <c r="K40" s="855">
        <v>55.604599999999998</v>
      </c>
      <c r="L40" s="951"/>
      <c r="M40" s="952">
        <v>1400</v>
      </c>
      <c r="N40" s="1092">
        <f t="shared" si="9"/>
        <v>-77846.44</v>
      </c>
      <c r="O40" s="952">
        <v>-62.28</v>
      </c>
      <c r="P40" s="952"/>
      <c r="Q40" s="952"/>
      <c r="R40" s="1096">
        <f t="shared" si="10"/>
        <v>-77908.72</v>
      </c>
      <c r="S40" s="855">
        <v>1</v>
      </c>
      <c r="T40" s="1101">
        <f t="shared" si="11"/>
        <v>-77908.72</v>
      </c>
      <c r="U40" s="956">
        <v>43629</v>
      </c>
      <c r="V40" s="948" t="s">
        <v>1229</v>
      </c>
      <c r="W40" s="957">
        <v>43627.423250694446</v>
      </c>
      <c r="X40" s="1089">
        <f t="shared" si="12"/>
        <v>8.0003658484575538E-2</v>
      </c>
      <c r="Y40" s="1090" t="str">
        <f>VLOOKUP(V40,'bic broker'!$A$1:$B$14,2,FALSE)</f>
        <v>EMSIITM1XXX</v>
      </c>
      <c r="Z40" s="1090" t="str">
        <f>VLOOKUP(AA40,'place of settlement'!A:C,2,FALSE)</f>
        <v>SICVFRPPXXX</v>
      </c>
      <c r="AA40" s="1090" t="str">
        <f t="shared" si="13"/>
        <v>FR</v>
      </c>
      <c r="AB40" s="1090" t="str">
        <f t="shared" si="14"/>
        <v>EquitaFR</v>
      </c>
      <c r="AC40" s="1090" t="str">
        <f>VLOOKUP(AB40,sample!$1:$1048576,2,FALSE)</f>
        <v>EMSIITM1XXX</v>
      </c>
      <c r="AD40" s="1090" t="str">
        <f>VLOOKUP($AB40,sample!$1:$1048576,3,FALSE)</f>
        <v>SICVFRPPXXX</v>
      </c>
      <c r="AE40" s="1091" t="str">
        <f>VLOOKUP($AB40,sample!$1:$1048576,4,FALSE)</f>
        <v>SICVBCITITMMD00000L10</v>
      </c>
      <c r="AF40" s="1090" t="str">
        <f>VLOOKUP($AB40,sample!$1:$1048576,5,FALSE)</f>
        <v>N</v>
      </c>
      <c r="AL40" s="1091" t="str">
        <f>VLOOKUP($AB40,sample!$1:$1048576,11,FALSE)</f>
        <v xml:space="preserve">        </v>
      </c>
      <c r="AM40" s="1091" t="str">
        <f>VLOOKUP($AB40,sample!$1:$1048576,12,FALSE)</f>
        <v xml:space="preserve">        </v>
      </c>
      <c r="AN40" s="1091" t="str">
        <f>VLOOKUP($AB40,sample!$1:$1048576,13,FALSE)</f>
        <v>BCITITMMD00</v>
      </c>
      <c r="AP40" s="1111"/>
    </row>
    <row r="41" spans="1:42" ht="14">
      <c r="A41" s="920">
        <v>201900041</v>
      </c>
      <c r="B41" s="947">
        <v>43627</v>
      </c>
      <c r="C41" s="947" t="s">
        <v>137</v>
      </c>
      <c r="D41" s="1108" t="str">
        <f>IFERROR(VLOOKUP(G41,PosAggregate!$B$13:$B$87,1,FALSE),"")</f>
        <v/>
      </c>
      <c r="E41" s="880" t="s">
        <v>1262</v>
      </c>
      <c r="F41" s="1132" t="str">
        <f t="shared" si="3"/>
        <v/>
      </c>
      <c r="G41" s="664" t="s">
        <v>1213</v>
      </c>
      <c r="H41" s="664"/>
      <c r="I41" s="949" t="s">
        <v>1096</v>
      </c>
      <c r="J41" s="950" t="s">
        <v>2</v>
      </c>
      <c r="K41" s="855">
        <v>42.377899999999997</v>
      </c>
      <c r="L41" s="951"/>
      <c r="M41" s="952">
        <v>700</v>
      </c>
      <c r="N41" s="1092">
        <f t="shared" si="9"/>
        <v>-29664.53</v>
      </c>
      <c r="O41" s="952">
        <v>-23.73</v>
      </c>
      <c r="P41" s="952"/>
      <c r="Q41" s="952"/>
      <c r="R41" s="1096">
        <f t="shared" si="10"/>
        <v>-29688.26</v>
      </c>
      <c r="S41" s="855">
        <v>1</v>
      </c>
      <c r="T41" s="1101">
        <f t="shared" si="11"/>
        <v>-29688.26</v>
      </c>
      <c r="U41" s="956">
        <v>43629</v>
      </c>
      <c r="V41" s="948" t="s">
        <v>1229</v>
      </c>
      <c r="W41" s="957">
        <v>43627.423665046299</v>
      </c>
      <c r="X41" s="1089">
        <f t="shared" si="12"/>
        <v>7.9994525448405893E-2</v>
      </c>
      <c r="Y41" s="1090" t="str">
        <f>VLOOKUP(V41,'bic broker'!$A$1:$B$14,2,FALSE)</f>
        <v>EMSIITM1XXX</v>
      </c>
      <c r="Z41" s="1090" t="str">
        <f>VLOOKUP(AA41,'place of settlement'!A:C,2,FALSE)</f>
        <v>DAKVDEFFXXX</v>
      </c>
      <c r="AA41" s="1090" t="str">
        <f t="shared" si="13"/>
        <v>DE</v>
      </c>
      <c r="AB41" s="1090" t="str">
        <f t="shared" si="14"/>
        <v>EquitaDE</v>
      </c>
      <c r="AC41" s="1090" t="str">
        <f>VLOOKUP(AB41,sample!$1:$1048576,2,FALSE)</f>
        <v>EMSIITM1XXX</v>
      </c>
      <c r="AD41" s="1090" t="str">
        <f>VLOOKUP($AB41,sample!$1:$1048576,3,FALSE)</f>
        <v>DAKVDEFFXXX</v>
      </c>
      <c r="AE41" s="1091" t="str">
        <f>VLOOKUP($AB41,sample!$1:$1048576,4,FALSE)</f>
        <v>DAKV8135000</v>
      </c>
      <c r="AF41" s="1090" t="str">
        <f>VLOOKUP($AB41,sample!$1:$1048576,5,FALSE)</f>
        <v>N</v>
      </c>
      <c r="AL41" s="1091" t="str">
        <f>VLOOKUP($AB41,sample!$1:$1048576,11,FALSE)</f>
        <v xml:space="preserve">        </v>
      </c>
      <c r="AM41" s="1091" t="str">
        <f>VLOOKUP($AB41,sample!$1:$1048576,12,FALSE)</f>
        <v xml:space="preserve">        </v>
      </c>
      <c r="AN41" s="1091" t="str">
        <f>VLOOKUP($AB41,sample!$1:$1048576,13,FALSE)</f>
        <v>BCITITMMD03</v>
      </c>
      <c r="AP41" s="1111"/>
    </row>
    <row r="42" spans="1:42" ht="14">
      <c r="A42" s="920">
        <v>201900042</v>
      </c>
      <c r="B42" s="947">
        <v>43627</v>
      </c>
      <c r="C42" s="947" t="s">
        <v>137</v>
      </c>
      <c r="D42" s="1108" t="str">
        <f>IFERROR(VLOOKUP(G42,PosAggregate!$B$13:$B$87,1,FALSE),"")</f>
        <v/>
      </c>
      <c r="E42" s="880" t="s">
        <v>1263</v>
      </c>
      <c r="F42" s="1132" t="str">
        <f t="shared" si="3"/>
        <v/>
      </c>
      <c r="G42" s="664" t="s">
        <v>1214</v>
      </c>
      <c r="H42" s="664"/>
      <c r="I42" s="949" t="s">
        <v>1097</v>
      </c>
      <c r="J42" s="950" t="s">
        <v>2</v>
      </c>
      <c r="K42" s="855">
        <v>25.504000000000001</v>
      </c>
      <c r="L42" s="951"/>
      <c r="M42" s="952">
        <v>3300</v>
      </c>
      <c r="N42" s="1092">
        <f t="shared" si="9"/>
        <v>-84163.200000000012</v>
      </c>
      <c r="O42" s="952">
        <v>-67.33</v>
      </c>
      <c r="P42" s="952"/>
      <c r="Q42" s="952"/>
      <c r="R42" s="1096">
        <f t="shared" si="10"/>
        <v>-84230.530000000013</v>
      </c>
      <c r="S42" s="855">
        <v>1</v>
      </c>
      <c r="T42" s="1101">
        <f t="shared" si="11"/>
        <v>-84230.530000000013</v>
      </c>
      <c r="U42" s="956">
        <v>43629</v>
      </c>
      <c r="V42" s="948" t="s">
        <v>1229</v>
      </c>
      <c r="W42" s="957">
        <v>43627.424064814812</v>
      </c>
      <c r="X42" s="1089">
        <f t="shared" si="12"/>
        <v>7.9999334626059834E-2</v>
      </c>
      <c r="Y42" s="1090" t="str">
        <f>VLOOKUP(V42,'bic broker'!$A$1:$B$14,2,FALSE)</f>
        <v>EMSIITM1XXX</v>
      </c>
      <c r="Z42" s="1090" t="str">
        <f>VLOOKUP(AA42,'place of settlement'!A:C,2,FALSE)</f>
        <v>SICVFRPPXXX</v>
      </c>
      <c r="AA42" s="1090" t="str">
        <f t="shared" si="13"/>
        <v>FR</v>
      </c>
      <c r="AB42" s="1090" t="str">
        <f t="shared" si="14"/>
        <v>EquitaFR</v>
      </c>
      <c r="AC42" s="1090" t="str">
        <f>VLOOKUP(AB42,sample!$1:$1048576,2,FALSE)</f>
        <v>EMSIITM1XXX</v>
      </c>
      <c r="AD42" s="1090" t="str">
        <f>VLOOKUP($AB42,sample!$1:$1048576,3,FALSE)</f>
        <v>SICVFRPPXXX</v>
      </c>
      <c r="AE42" s="1091" t="str">
        <f>VLOOKUP($AB42,sample!$1:$1048576,4,FALSE)</f>
        <v>SICVBCITITMMD00000L10</v>
      </c>
      <c r="AF42" s="1090" t="str">
        <f>VLOOKUP($AB42,sample!$1:$1048576,5,FALSE)</f>
        <v>N</v>
      </c>
      <c r="AL42" s="1091" t="str">
        <f>VLOOKUP($AB42,sample!$1:$1048576,11,FALSE)</f>
        <v xml:space="preserve">        </v>
      </c>
      <c r="AM42" s="1091" t="str">
        <f>VLOOKUP($AB42,sample!$1:$1048576,12,FALSE)</f>
        <v xml:space="preserve">        </v>
      </c>
      <c r="AN42" s="1091" t="str">
        <f>VLOOKUP($AB42,sample!$1:$1048576,13,FALSE)</f>
        <v>BCITITMMD00</v>
      </c>
      <c r="AP42" s="1111"/>
    </row>
    <row r="43" spans="1:42" ht="14">
      <c r="A43" s="920">
        <v>201900043</v>
      </c>
      <c r="B43" s="947">
        <v>43627</v>
      </c>
      <c r="C43" s="947" t="s">
        <v>137</v>
      </c>
      <c r="D43" s="1108" t="str">
        <f>IFERROR(VLOOKUP(G43,PosAggregate!$B$13:$B$87,1,FALSE),"")</f>
        <v/>
      </c>
      <c r="E43" s="880" t="s">
        <v>1264</v>
      </c>
      <c r="F43" s="1132" t="str">
        <f t="shared" si="3"/>
        <v/>
      </c>
      <c r="G43" s="664" t="s">
        <v>1215</v>
      </c>
      <c r="H43" s="664"/>
      <c r="I43" s="949" t="s">
        <v>1095</v>
      </c>
      <c r="J43" s="950" t="s">
        <v>2</v>
      </c>
      <c r="K43" s="855">
        <v>128.29259999999999</v>
      </c>
      <c r="L43" s="951"/>
      <c r="M43" s="952">
        <v>500</v>
      </c>
      <c r="N43" s="1092">
        <f t="shared" si="9"/>
        <v>-64146.299999999996</v>
      </c>
      <c r="O43" s="952">
        <v>-51.32</v>
      </c>
      <c r="P43" s="952"/>
      <c r="Q43" s="952"/>
      <c r="R43" s="1096">
        <f t="shared" si="10"/>
        <v>-64197.619999999995</v>
      </c>
      <c r="S43" s="855">
        <v>1</v>
      </c>
      <c r="T43" s="1101">
        <f t="shared" si="11"/>
        <v>-64197.619999999995</v>
      </c>
      <c r="U43" s="956">
        <v>43629</v>
      </c>
      <c r="V43" s="948" t="s">
        <v>1229</v>
      </c>
      <c r="W43" s="957">
        <v>43627.424471064813</v>
      </c>
      <c r="X43" s="1089">
        <f t="shared" si="12"/>
        <v>8.0004614451651926E-2</v>
      </c>
      <c r="Y43" s="1090" t="str">
        <f>VLOOKUP(V43,'bic broker'!$A$1:$B$14,2,FALSE)</f>
        <v>EMSIITM1XXX</v>
      </c>
      <c r="Z43" s="1090" t="str">
        <f>VLOOKUP(AA43,'place of settlement'!A:C,2,FALSE)</f>
        <v>DAKVDEFFXXX</v>
      </c>
      <c r="AA43" s="1090" t="str">
        <f t="shared" si="13"/>
        <v>DE</v>
      </c>
      <c r="AB43" s="1090" t="str">
        <f t="shared" si="14"/>
        <v>EquitaDE</v>
      </c>
      <c r="AC43" s="1090" t="str">
        <f>VLOOKUP(AB43,sample!$1:$1048576,2,FALSE)</f>
        <v>EMSIITM1XXX</v>
      </c>
      <c r="AD43" s="1090" t="str">
        <f>VLOOKUP($AB43,sample!$1:$1048576,3,FALSE)</f>
        <v>DAKVDEFFXXX</v>
      </c>
      <c r="AE43" s="1091" t="str">
        <f>VLOOKUP($AB43,sample!$1:$1048576,4,FALSE)</f>
        <v>DAKV8135000</v>
      </c>
      <c r="AF43" s="1090" t="str">
        <f>VLOOKUP($AB43,sample!$1:$1048576,5,FALSE)</f>
        <v>N</v>
      </c>
      <c r="AL43" s="1091" t="str">
        <f>VLOOKUP($AB43,sample!$1:$1048576,11,FALSE)</f>
        <v xml:space="preserve">        </v>
      </c>
      <c r="AM43" s="1091" t="str">
        <f>VLOOKUP($AB43,sample!$1:$1048576,12,FALSE)</f>
        <v xml:space="preserve">        </v>
      </c>
      <c r="AN43" s="1091" t="str">
        <f>VLOOKUP($AB43,sample!$1:$1048576,13,FALSE)</f>
        <v>BCITITMMD03</v>
      </c>
      <c r="AP43" s="1111"/>
    </row>
    <row r="44" spans="1:42" ht="14">
      <c r="A44" s="920">
        <v>201900044</v>
      </c>
      <c r="B44" s="947">
        <v>43627</v>
      </c>
      <c r="C44" s="947" t="s">
        <v>137</v>
      </c>
      <c r="D44" s="1108" t="str">
        <f>IFERROR(VLOOKUP(G44,PosAggregate!$B$13:$B$87,1,FALSE),"")</f>
        <v/>
      </c>
      <c r="E44" s="880" t="s">
        <v>1265</v>
      </c>
      <c r="F44" s="1132" t="str">
        <f t="shared" si="3"/>
        <v/>
      </c>
      <c r="G44" s="664" t="s">
        <v>1216</v>
      </c>
      <c r="H44" s="664"/>
      <c r="I44" s="949" t="s">
        <v>1227</v>
      </c>
      <c r="J44" s="950" t="s">
        <v>2</v>
      </c>
      <c r="K44" s="855">
        <v>15.2706</v>
      </c>
      <c r="L44" s="951"/>
      <c r="M44" s="952">
        <v>2000</v>
      </c>
      <c r="N44" s="1092">
        <f t="shared" si="9"/>
        <v>-30541.200000000001</v>
      </c>
      <c r="O44" s="952">
        <v>-24.43</v>
      </c>
      <c r="P44" s="952"/>
      <c r="Q44" s="952"/>
      <c r="R44" s="1096">
        <f t="shared" si="10"/>
        <v>-30565.63</v>
      </c>
      <c r="S44" s="855">
        <v>1</v>
      </c>
      <c r="T44" s="1101">
        <f t="shared" si="11"/>
        <v>-30565.63</v>
      </c>
      <c r="U44" s="956">
        <v>43629</v>
      </c>
      <c r="V44" s="948" t="s">
        <v>1229</v>
      </c>
      <c r="W44" s="957">
        <v>43627.42485289352</v>
      </c>
      <c r="X44" s="1089">
        <f t="shared" si="12"/>
        <v>7.999030817387659E-2</v>
      </c>
      <c r="Y44" s="1090" t="str">
        <f>VLOOKUP(V44,'bic broker'!$A$1:$B$14,2,FALSE)</f>
        <v>EMSIITM1XXX</v>
      </c>
      <c r="Z44" s="1090" t="str">
        <f>VLOOKUP(AA44,'place of settlement'!A:C,2,FALSE)</f>
        <v>DAKVDEFFXXX</v>
      </c>
      <c r="AA44" s="1090" t="str">
        <f t="shared" si="13"/>
        <v>DE</v>
      </c>
      <c r="AB44" s="1090" t="str">
        <f t="shared" si="14"/>
        <v>EquitaDE</v>
      </c>
      <c r="AC44" s="1090" t="str">
        <f>VLOOKUP(AB44,sample!$1:$1048576,2,FALSE)</f>
        <v>EMSIITM1XXX</v>
      </c>
      <c r="AD44" s="1090" t="str">
        <f>VLOOKUP($AB44,sample!$1:$1048576,3,FALSE)</f>
        <v>DAKVDEFFXXX</v>
      </c>
      <c r="AE44" s="1091" t="str">
        <f>VLOOKUP($AB44,sample!$1:$1048576,4,FALSE)</f>
        <v>DAKV8135000</v>
      </c>
      <c r="AF44" s="1090" t="str">
        <f>VLOOKUP($AB44,sample!$1:$1048576,5,FALSE)</f>
        <v>N</v>
      </c>
      <c r="AL44" s="1091" t="str">
        <f>VLOOKUP($AB44,sample!$1:$1048576,11,FALSE)</f>
        <v xml:space="preserve">        </v>
      </c>
      <c r="AM44" s="1091" t="str">
        <f>VLOOKUP($AB44,sample!$1:$1048576,12,FALSE)</f>
        <v xml:space="preserve">        </v>
      </c>
      <c r="AN44" s="1091" t="str">
        <f>VLOOKUP($AB44,sample!$1:$1048576,13,FALSE)</f>
        <v>BCITITMMD03</v>
      </c>
      <c r="AP44" s="1111"/>
    </row>
    <row r="45" spans="1:42" ht="14">
      <c r="A45" s="920">
        <v>201900045</v>
      </c>
      <c r="B45" s="947">
        <v>43627</v>
      </c>
      <c r="C45" s="947" t="s">
        <v>137</v>
      </c>
      <c r="D45" s="1108" t="str">
        <f>IFERROR(VLOOKUP(G45,PosAggregate!$B$13:$B$87,1,FALSE),"")</f>
        <v/>
      </c>
      <c r="E45" s="880" t="s">
        <v>1266</v>
      </c>
      <c r="F45" s="1132" t="str">
        <f t="shared" si="3"/>
        <v/>
      </c>
      <c r="G45" s="664" t="s">
        <v>1217</v>
      </c>
      <c r="H45" s="664"/>
      <c r="I45" s="949" t="s">
        <v>1098</v>
      </c>
      <c r="J45" s="950" t="s">
        <v>2</v>
      </c>
      <c r="K45" s="855">
        <v>57.642400000000002</v>
      </c>
      <c r="L45" s="951"/>
      <c r="M45" s="952">
        <v>900</v>
      </c>
      <c r="N45" s="1092">
        <f t="shared" si="9"/>
        <v>-51878.16</v>
      </c>
      <c r="O45" s="952">
        <v>-41.5</v>
      </c>
      <c r="P45" s="952"/>
      <c r="Q45" s="952"/>
      <c r="R45" s="1096">
        <f t="shared" si="10"/>
        <v>-51919.66</v>
      </c>
      <c r="S45" s="855">
        <v>1</v>
      </c>
      <c r="T45" s="1101">
        <f t="shared" si="11"/>
        <v>-51919.66</v>
      </c>
      <c r="U45" s="956">
        <v>43629</v>
      </c>
      <c r="V45" s="948" t="s">
        <v>1229</v>
      </c>
      <c r="W45" s="957">
        <v>43627.42533726852</v>
      </c>
      <c r="X45" s="1089">
        <f t="shared" si="12"/>
        <v>7.9995127043827302E-2</v>
      </c>
      <c r="Y45" s="1090" t="str">
        <f>VLOOKUP(V45,'bic broker'!$A$1:$B$14,2,FALSE)</f>
        <v>EMSIITM1XXX</v>
      </c>
      <c r="Z45" s="1090" t="str">
        <f>VLOOKUP(AA45,'place of settlement'!A:C,2,FALSE)</f>
        <v>DAKVDEFFXXX</v>
      </c>
      <c r="AA45" s="1090" t="str">
        <f t="shared" si="13"/>
        <v>DE</v>
      </c>
      <c r="AB45" s="1090" t="str">
        <f t="shared" si="14"/>
        <v>EquitaDE</v>
      </c>
      <c r="AC45" s="1090" t="str">
        <f>VLOOKUP(AB45,sample!$1:$1048576,2,FALSE)</f>
        <v>EMSIITM1XXX</v>
      </c>
      <c r="AD45" s="1090" t="str">
        <f>VLOOKUP($AB45,sample!$1:$1048576,3,FALSE)</f>
        <v>DAKVDEFFXXX</v>
      </c>
      <c r="AE45" s="1091" t="str">
        <f>VLOOKUP($AB45,sample!$1:$1048576,4,FALSE)</f>
        <v>DAKV8135000</v>
      </c>
      <c r="AF45" s="1090" t="str">
        <f>VLOOKUP($AB45,sample!$1:$1048576,5,FALSE)</f>
        <v>N</v>
      </c>
      <c r="AL45" s="1091" t="str">
        <f>VLOOKUP($AB45,sample!$1:$1048576,11,FALSE)</f>
        <v xml:space="preserve">        </v>
      </c>
      <c r="AM45" s="1091" t="str">
        <f>VLOOKUP($AB45,sample!$1:$1048576,12,FALSE)</f>
        <v xml:space="preserve">        </v>
      </c>
      <c r="AN45" s="1091" t="str">
        <f>VLOOKUP($AB45,sample!$1:$1048576,13,FALSE)</f>
        <v>BCITITMMD03</v>
      </c>
      <c r="AP45" s="1111"/>
    </row>
    <row r="46" spans="1:42" ht="14">
      <c r="A46" s="920">
        <v>201900046</v>
      </c>
      <c r="B46" s="947">
        <v>43627</v>
      </c>
      <c r="C46" s="947" t="s">
        <v>137</v>
      </c>
      <c r="D46" s="1108" t="str">
        <f>IFERROR(VLOOKUP(G46,PosAggregate!$B$13:$B$87,1,FALSE),"")</f>
        <v/>
      </c>
      <c r="E46" s="880" t="s">
        <v>1267</v>
      </c>
      <c r="F46" s="1132" t="str">
        <f t="shared" si="3"/>
        <v/>
      </c>
      <c r="G46" s="664" t="s">
        <v>1218</v>
      </c>
      <c r="H46" s="664"/>
      <c r="I46" s="949" t="s">
        <v>131</v>
      </c>
      <c r="J46" s="950" t="s">
        <v>2</v>
      </c>
      <c r="K46" s="855">
        <v>48.475099999999998</v>
      </c>
      <c r="L46" s="951"/>
      <c r="M46" s="952">
        <v>600</v>
      </c>
      <c r="N46" s="1092">
        <f t="shared" si="9"/>
        <v>-29085.059999999998</v>
      </c>
      <c r="O46" s="952">
        <v>-23.27</v>
      </c>
      <c r="P46" s="952"/>
      <c r="Q46" s="952"/>
      <c r="R46" s="1096">
        <f t="shared" si="10"/>
        <v>-29108.329999999998</v>
      </c>
      <c r="S46" s="855">
        <v>1</v>
      </c>
      <c r="T46" s="1101">
        <f t="shared" si="11"/>
        <v>-29108.329999999998</v>
      </c>
      <c r="U46" s="956">
        <v>43629</v>
      </c>
      <c r="V46" s="948" t="s">
        <v>1229</v>
      </c>
      <c r="W46" s="957">
        <v>43627.425872569445</v>
      </c>
      <c r="X46" s="1089">
        <f t="shared" si="12"/>
        <v>8.0006711349400697E-2</v>
      </c>
      <c r="Y46" s="1090" t="str">
        <f>VLOOKUP(V46,'bic broker'!$A$1:$B$14,2,FALSE)</f>
        <v>EMSIITM1XXX</v>
      </c>
      <c r="Z46" s="1090" t="str">
        <f>VLOOKUP(AA46,'place of settlement'!A:C,2,FALSE)</f>
        <v>DAKVDEFFXXX</v>
      </c>
      <c r="AA46" s="1090" t="str">
        <f t="shared" si="13"/>
        <v>DE</v>
      </c>
      <c r="AB46" s="1090" t="str">
        <f t="shared" si="14"/>
        <v>EquitaDE</v>
      </c>
      <c r="AC46" s="1090" t="str">
        <f>VLOOKUP(AB46,sample!$1:$1048576,2,FALSE)</f>
        <v>EMSIITM1XXX</v>
      </c>
      <c r="AD46" s="1090" t="str">
        <f>VLOOKUP($AB46,sample!$1:$1048576,3,FALSE)</f>
        <v>DAKVDEFFXXX</v>
      </c>
      <c r="AE46" s="1091" t="str">
        <f>VLOOKUP($AB46,sample!$1:$1048576,4,FALSE)</f>
        <v>DAKV8135000</v>
      </c>
      <c r="AF46" s="1090" t="str">
        <f>VLOOKUP($AB46,sample!$1:$1048576,5,FALSE)</f>
        <v>N</v>
      </c>
      <c r="AL46" s="1091" t="str">
        <f>VLOOKUP($AB46,sample!$1:$1048576,11,FALSE)</f>
        <v xml:space="preserve">        </v>
      </c>
      <c r="AM46" s="1091" t="str">
        <f>VLOOKUP($AB46,sample!$1:$1048576,12,FALSE)</f>
        <v xml:space="preserve">        </v>
      </c>
      <c r="AN46" s="1091" t="str">
        <f>VLOOKUP($AB46,sample!$1:$1048576,13,FALSE)</f>
        <v>BCITITMMD03</v>
      </c>
      <c r="AP46" s="1111"/>
    </row>
    <row r="47" spans="1:42" ht="14">
      <c r="A47" s="920">
        <v>201900047</v>
      </c>
      <c r="B47" s="947">
        <v>43627</v>
      </c>
      <c r="C47" s="947" t="s">
        <v>137</v>
      </c>
      <c r="D47" s="1108" t="str">
        <f>IFERROR(VLOOKUP(G47,PosAggregate!$B$13:$B$87,1,FALSE),"")</f>
        <v/>
      </c>
      <c r="E47" s="880" t="s">
        <v>1268</v>
      </c>
      <c r="F47" s="1132" t="str">
        <f t="shared" si="3"/>
        <v/>
      </c>
      <c r="G47" s="664" t="s">
        <v>1219</v>
      </c>
      <c r="H47" s="664"/>
      <c r="I47" s="949" t="s">
        <v>132</v>
      </c>
      <c r="J47" s="950" t="s">
        <v>2</v>
      </c>
      <c r="K47" s="855">
        <v>56.102699999999999</v>
      </c>
      <c r="L47" s="951"/>
      <c r="M47" s="952">
        <v>1100</v>
      </c>
      <c r="N47" s="1092">
        <f t="shared" si="9"/>
        <v>-61712.97</v>
      </c>
      <c r="O47" s="952">
        <v>-49.37</v>
      </c>
      <c r="P47" s="952"/>
      <c r="Q47" s="952"/>
      <c r="R47" s="1096">
        <f t="shared" si="10"/>
        <v>-61762.340000000004</v>
      </c>
      <c r="S47" s="855">
        <v>1</v>
      </c>
      <c r="T47" s="1101">
        <f t="shared" si="11"/>
        <v>-61762.340000000004</v>
      </c>
      <c r="U47" s="956">
        <v>43629</v>
      </c>
      <c r="V47" s="948" t="s">
        <v>1229</v>
      </c>
      <c r="W47" s="957">
        <v>43627.426203587966</v>
      </c>
      <c r="X47" s="1089">
        <f t="shared" si="12"/>
        <v>7.999939072775139E-2</v>
      </c>
      <c r="Y47" s="1090" t="str">
        <f>VLOOKUP(V47,'bic broker'!$A$1:$B$14,2,FALSE)</f>
        <v>EMSIITM1XXX</v>
      </c>
      <c r="Z47" s="1090" t="str">
        <f>VLOOKUP(AA47,'place of settlement'!A:C,2,FALSE)</f>
        <v>SICVFRPPXXX</v>
      </c>
      <c r="AA47" s="1090" t="str">
        <f t="shared" si="13"/>
        <v>FR</v>
      </c>
      <c r="AB47" s="1090" t="str">
        <f t="shared" si="14"/>
        <v>EquitaFR</v>
      </c>
      <c r="AC47" s="1090" t="str">
        <f>VLOOKUP(AB47,sample!$1:$1048576,2,FALSE)</f>
        <v>EMSIITM1XXX</v>
      </c>
      <c r="AD47" s="1090" t="str">
        <f>VLOOKUP($AB47,sample!$1:$1048576,3,FALSE)</f>
        <v>SICVFRPPXXX</v>
      </c>
      <c r="AE47" s="1091" t="str">
        <f>VLOOKUP($AB47,sample!$1:$1048576,4,FALSE)</f>
        <v>SICVBCITITMMD00000L10</v>
      </c>
      <c r="AF47" s="1090" t="str">
        <f>VLOOKUP($AB47,sample!$1:$1048576,5,FALSE)</f>
        <v>N</v>
      </c>
      <c r="AL47" s="1091" t="str">
        <f>VLOOKUP($AB47,sample!$1:$1048576,11,FALSE)</f>
        <v xml:space="preserve">        </v>
      </c>
      <c r="AM47" s="1091" t="str">
        <f>VLOOKUP($AB47,sample!$1:$1048576,12,FALSE)</f>
        <v xml:space="preserve">        </v>
      </c>
      <c r="AN47" s="1091" t="str">
        <f>VLOOKUP($AB47,sample!$1:$1048576,13,FALSE)</f>
        <v>BCITITMMD00</v>
      </c>
      <c r="AP47" s="1111"/>
    </row>
    <row r="48" spans="1:42" ht="14">
      <c r="A48" s="920">
        <v>201900048</v>
      </c>
      <c r="B48" s="947">
        <v>43627</v>
      </c>
      <c r="C48" s="947" t="s">
        <v>137</v>
      </c>
      <c r="D48" s="1108" t="str">
        <f>IFERROR(VLOOKUP(G48,PosAggregate!$B$13:$B$87,1,FALSE),"")</f>
        <v/>
      </c>
      <c r="E48" s="976" t="s">
        <v>1269</v>
      </c>
      <c r="F48" s="1132" t="str">
        <f t="shared" si="3"/>
        <v/>
      </c>
      <c r="G48" s="664" t="s">
        <v>1220</v>
      </c>
      <c r="H48" s="664"/>
      <c r="I48" s="949" t="s">
        <v>1137</v>
      </c>
      <c r="J48" s="950" t="s">
        <v>3</v>
      </c>
      <c r="K48" s="855">
        <v>32.603000000000002</v>
      </c>
      <c r="L48" s="951"/>
      <c r="M48" s="952">
        <v>900</v>
      </c>
      <c r="N48" s="1092">
        <f t="shared" si="9"/>
        <v>-29342.7</v>
      </c>
      <c r="O48" s="952">
        <v>-23.47</v>
      </c>
      <c r="P48" s="952"/>
      <c r="Q48" s="952"/>
      <c r="R48" s="1096">
        <f t="shared" si="10"/>
        <v>-29366.170000000002</v>
      </c>
      <c r="S48" s="855">
        <v>1.1311961267844619</v>
      </c>
      <c r="T48" s="1101">
        <f t="shared" si="11"/>
        <v>-25960.281603400002</v>
      </c>
      <c r="U48" s="956">
        <v>43629</v>
      </c>
      <c r="V48" s="948" t="s">
        <v>1229</v>
      </c>
      <c r="W48" s="957">
        <v>43627.42728935185</v>
      </c>
      <c r="X48" s="1089">
        <f t="shared" si="12"/>
        <v>7.998582270888499E-2</v>
      </c>
      <c r="Y48" s="1090" t="str">
        <f>VLOOKUP(V48,'bic broker'!$A$1:$B$14,2,FALSE)</f>
        <v>EMSIITM1XXX</v>
      </c>
      <c r="Z48" s="1090" t="str">
        <f>VLOOKUP(AA48,'place of settlement'!A:C,2,FALSE)</f>
        <v>DTCYUS33XXX</v>
      </c>
      <c r="AA48" s="1090" t="str">
        <f t="shared" si="13"/>
        <v>US</v>
      </c>
      <c r="AB48" s="1090" t="str">
        <f t="shared" si="14"/>
        <v>EquitaUS</v>
      </c>
      <c r="AC48" s="1090" t="str">
        <f>VLOOKUP(AB48,sample!$1:$1048576,2,FALSE)</f>
        <v>BCITITMMXXX</v>
      </c>
      <c r="AD48" s="1090" t="str">
        <f>VLOOKUP($AB48,sample!$1:$1048576,3,FALSE)</f>
        <v>DTCYUS33XXX</v>
      </c>
      <c r="AE48" s="1091">
        <f>VLOOKUP($AB48,sample!$1:$1048576,4,FALSE)</f>
        <v>236707</v>
      </c>
      <c r="AF48" s="1090" t="str">
        <f>VLOOKUP($AB48,sample!$1:$1048576,5,FALSE)</f>
        <v>N</v>
      </c>
      <c r="AL48" s="1091" t="str">
        <f>VLOOKUP($AB48,sample!$1:$1048576,11,FALSE)</f>
        <v>DTCYID</v>
      </c>
      <c r="AM48" s="1091">
        <f>VLOOKUP($AB48,sample!$1:$1048576,12,FALSE)</f>
        <v>908</v>
      </c>
      <c r="AN48" s="1091" t="str">
        <f>VLOOKUP($AB48,sample!$1:$1048576,13,FALSE)</f>
        <v xml:space="preserve">        </v>
      </c>
      <c r="AP48" s="1111"/>
    </row>
    <row r="49" spans="1:42" ht="14">
      <c r="A49" s="920">
        <v>201900049</v>
      </c>
      <c r="B49" s="947">
        <v>43627</v>
      </c>
      <c r="C49" s="947" t="s">
        <v>137</v>
      </c>
      <c r="D49" s="1108" t="str">
        <f>IFERROR(VLOOKUP(G49,PosAggregate!$B$13:$B$87,1,FALSE),"")</f>
        <v/>
      </c>
      <c r="E49" s="976" t="s">
        <v>1270</v>
      </c>
      <c r="F49" s="1132" t="str">
        <f t="shared" si="3"/>
        <v/>
      </c>
      <c r="G49" s="664" t="s">
        <v>1221</v>
      </c>
      <c r="H49" s="664"/>
      <c r="I49" s="949" t="s">
        <v>1136</v>
      </c>
      <c r="J49" s="950" t="s">
        <v>3</v>
      </c>
      <c r="K49" s="855">
        <v>72.140500000000003</v>
      </c>
      <c r="L49" s="951"/>
      <c r="M49" s="952">
        <v>900</v>
      </c>
      <c r="N49" s="1092">
        <f t="shared" si="9"/>
        <v>-64926.450000000004</v>
      </c>
      <c r="O49" s="952">
        <v>-51.94</v>
      </c>
      <c r="P49" s="952"/>
      <c r="Q49" s="952"/>
      <c r="R49" s="1096">
        <f t="shared" si="10"/>
        <v>-64978.390000000007</v>
      </c>
      <c r="S49" s="855">
        <v>1.1311961267844619</v>
      </c>
      <c r="T49" s="1101">
        <f t="shared" si="11"/>
        <v>-57442.196327800004</v>
      </c>
      <c r="U49" s="956">
        <v>43629</v>
      </c>
      <c r="V49" s="948" t="s">
        <v>1229</v>
      </c>
      <c r="W49" s="957">
        <v>43627.427678356478</v>
      </c>
      <c r="X49" s="1089">
        <f t="shared" si="12"/>
        <v>7.9998213362966863E-2</v>
      </c>
      <c r="Y49" s="1090" t="str">
        <f>VLOOKUP(V49,'bic broker'!$A$1:$B$14,2,FALSE)</f>
        <v>EMSIITM1XXX</v>
      </c>
      <c r="Z49" s="1090" t="str">
        <f>VLOOKUP(AA49,'place of settlement'!A:C,2,FALSE)</f>
        <v>DTCYUS33XXX</v>
      </c>
      <c r="AA49" s="1090" t="str">
        <f t="shared" si="13"/>
        <v>US</v>
      </c>
      <c r="AB49" s="1090" t="str">
        <f t="shared" si="14"/>
        <v>EquitaUS</v>
      </c>
      <c r="AC49" s="1090" t="str">
        <f>VLOOKUP(AB49,sample!$1:$1048576,2,FALSE)</f>
        <v>BCITITMMXXX</v>
      </c>
      <c r="AD49" s="1090" t="str">
        <f>VLOOKUP($AB49,sample!$1:$1048576,3,FALSE)</f>
        <v>DTCYUS33XXX</v>
      </c>
      <c r="AE49" s="1091">
        <f>VLOOKUP($AB49,sample!$1:$1048576,4,FALSE)</f>
        <v>236707</v>
      </c>
      <c r="AF49" s="1090" t="str">
        <f>VLOOKUP($AB49,sample!$1:$1048576,5,FALSE)</f>
        <v>N</v>
      </c>
      <c r="AL49" s="1091" t="str">
        <f>VLOOKUP($AB49,sample!$1:$1048576,11,FALSE)</f>
        <v>DTCYID</v>
      </c>
      <c r="AM49" s="1091">
        <f>VLOOKUP($AB49,sample!$1:$1048576,12,FALSE)</f>
        <v>908</v>
      </c>
      <c r="AN49" s="1091" t="str">
        <f>VLOOKUP($AB49,sample!$1:$1048576,13,FALSE)</f>
        <v xml:space="preserve">        </v>
      </c>
      <c r="AP49" s="1111"/>
    </row>
    <row r="50" spans="1:42" ht="14">
      <c r="A50" s="920">
        <v>201900050</v>
      </c>
      <c r="B50" s="947">
        <v>43627</v>
      </c>
      <c r="C50" s="947" t="s">
        <v>137</v>
      </c>
      <c r="D50" s="1108" t="str">
        <f>IFERROR(VLOOKUP(G50,PosAggregate!$B$13:$B$87,1,FALSE),"")</f>
        <v/>
      </c>
      <c r="E50" s="976" t="s">
        <v>1271</v>
      </c>
      <c r="F50" s="1132" t="str">
        <f t="shared" si="3"/>
        <v/>
      </c>
      <c r="G50" s="664" t="s">
        <v>1222</v>
      </c>
      <c r="H50" s="664"/>
      <c r="I50" s="949" t="s">
        <v>1228</v>
      </c>
      <c r="J50" s="950" t="s">
        <v>3</v>
      </c>
      <c r="K50" s="855">
        <v>6.8728999999999996</v>
      </c>
      <c r="L50" s="951"/>
      <c r="M50" s="952">
        <v>13600</v>
      </c>
      <c r="N50" s="1092">
        <f t="shared" si="9"/>
        <v>-93471.439999999988</v>
      </c>
      <c r="O50" s="952">
        <v>-74.78</v>
      </c>
      <c r="P50" s="952"/>
      <c r="Q50" s="952"/>
      <c r="R50" s="1096">
        <f t="shared" si="10"/>
        <v>-93546.219999999987</v>
      </c>
      <c r="S50" s="855">
        <v>1.1311961267844619</v>
      </c>
      <c r="T50" s="1101">
        <f t="shared" si="11"/>
        <v>-82696.729404399986</v>
      </c>
      <c r="U50" s="956">
        <v>43629</v>
      </c>
      <c r="V50" s="948" t="s">
        <v>1229</v>
      </c>
      <c r="W50" s="957">
        <v>43627.428067245368</v>
      </c>
      <c r="X50" s="1089">
        <f t="shared" si="12"/>
        <v>8.000304692000039E-2</v>
      </c>
      <c r="Y50" s="1090" t="str">
        <f>VLOOKUP(V50,'bic broker'!$A$1:$B$14,2,FALSE)</f>
        <v>EMSIITM1XXX</v>
      </c>
      <c r="Z50" s="1090" t="str">
        <f>VLOOKUP(AA50,'place of settlement'!A:C,2,FALSE)</f>
        <v>DTCYUS33XXX</v>
      </c>
      <c r="AA50" s="1090" t="str">
        <f t="shared" si="13"/>
        <v>US</v>
      </c>
      <c r="AB50" s="1090" t="str">
        <f t="shared" si="14"/>
        <v>EquitaUS</v>
      </c>
      <c r="AC50" s="1090" t="str">
        <f>VLOOKUP(AB50,sample!$1:$1048576,2,FALSE)</f>
        <v>BCITITMMXXX</v>
      </c>
      <c r="AD50" s="1090" t="str">
        <f>VLOOKUP($AB50,sample!$1:$1048576,3,FALSE)</f>
        <v>DTCYUS33XXX</v>
      </c>
      <c r="AE50" s="1091">
        <f>VLOOKUP($AB50,sample!$1:$1048576,4,FALSE)</f>
        <v>236707</v>
      </c>
      <c r="AF50" s="1090" t="str">
        <f>VLOOKUP($AB50,sample!$1:$1048576,5,FALSE)</f>
        <v>N</v>
      </c>
      <c r="AL50" s="1091" t="str">
        <f>VLOOKUP($AB50,sample!$1:$1048576,11,FALSE)</f>
        <v>DTCYID</v>
      </c>
      <c r="AM50" s="1091">
        <f>VLOOKUP($AB50,sample!$1:$1048576,12,FALSE)</f>
        <v>908</v>
      </c>
      <c r="AN50" s="1091" t="str">
        <f>VLOOKUP($AB50,sample!$1:$1048576,13,FALSE)</f>
        <v xml:space="preserve">        </v>
      </c>
      <c r="AP50" s="1111"/>
    </row>
    <row r="51" spans="1:42" ht="14">
      <c r="A51" s="920">
        <v>201900051</v>
      </c>
      <c r="B51" s="947">
        <v>43627</v>
      </c>
      <c r="C51" s="947" t="s">
        <v>137</v>
      </c>
      <c r="D51" s="1108" t="str">
        <f>IFERROR(VLOOKUP(G51,PosAggregate!$B$13:$B$87,1,FALSE),"")</f>
        <v/>
      </c>
      <c r="E51" s="671" t="s">
        <v>12724</v>
      </c>
      <c r="F51" s="1132" t="str">
        <f t="shared" si="3"/>
        <v/>
      </c>
      <c r="G51" s="664" t="s">
        <v>2103</v>
      </c>
      <c r="H51" s="664"/>
      <c r="I51" s="949" t="s">
        <v>2156</v>
      </c>
      <c r="J51" s="950" t="s">
        <v>1103</v>
      </c>
      <c r="K51" s="855">
        <v>3.5383</v>
      </c>
      <c r="L51" s="951"/>
      <c r="M51" s="952">
        <v>24000</v>
      </c>
      <c r="N51" s="1092">
        <f t="shared" si="9"/>
        <v>-84919.2</v>
      </c>
      <c r="O51" s="952">
        <v>-67.94</v>
      </c>
      <c r="P51" s="952"/>
      <c r="Q51" s="952"/>
      <c r="R51" s="1096">
        <f t="shared" si="10"/>
        <v>-84987.14</v>
      </c>
      <c r="S51" s="855">
        <v>1.5005316621795879</v>
      </c>
      <c r="T51" s="1101">
        <f t="shared" si="11"/>
        <v>-56638.018471767842</v>
      </c>
      <c r="U51" s="956">
        <v>43629</v>
      </c>
      <c r="V51" s="948" t="s">
        <v>1229</v>
      </c>
      <c r="W51" s="957">
        <v>43627.436683333333</v>
      </c>
      <c r="X51" s="1089">
        <f t="shared" si="12"/>
        <v>8.0005464017560216E-2</v>
      </c>
      <c r="Y51" s="1090" t="str">
        <f>VLOOKUP(V51,'bic broker'!$A$1:$B$14,2,FALSE)</f>
        <v>EMSIITM1XXX</v>
      </c>
      <c r="Z51" s="1090" t="str">
        <f>VLOOKUP(AA51,'place of settlement'!A:C,2,FALSE)</f>
        <v>CDSLCATTXXX</v>
      </c>
      <c r="AA51" s="1090" t="str">
        <f t="shared" si="13"/>
        <v>CA</v>
      </c>
      <c r="AB51" s="1090" t="str">
        <f t="shared" si="14"/>
        <v>EquitaCA</v>
      </c>
      <c r="AC51" s="1090" t="str">
        <f>VLOOKUP(AB51,sample!$1:$1048576,2,FALSE)</f>
        <v>BCITITMMXXX</v>
      </c>
      <c r="AD51" s="1090" t="str">
        <f>VLOOKUP($AB51,sample!$1:$1048576,3,FALSE)</f>
        <v>CDSLCATTXXX</v>
      </c>
      <c r="AE51" s="1091">
        <f>VLOOKUP($AB51,sample!$1:$1048576,4,FALSE)</f>
        <v>6212721697</v>
      </c>
      <c r="AF51" s="1090" t="str">
        <f>VLOOKUP($AB51,sample!$1:$1048576,5,FALSE)</f>
        <v>N</v>
      </c>
      <c r="AL51" s="1091" t="str">
        <f>VLOOKUP($AB51,sample!$1:$1048576,11,FALSE)</f>
        <v>CDSL</v>
      </c>
      <c r="AM51" s="1091" t="str">
        <f>VLOOKUP($AB51,sample!$1:$1048576,12,FALSE)</f>
        <v>CITC</v>
      </c>
      <c r="AN51" s="1091" t="str">
        <f>VLOOKUP($AB51,sample!$1:$1048576,13,FALSE)</f>
        <v xml:space="preserve">        </v>
      </c>
      <c r="AP51" s="1111"/>
    </row>
    <row r="52" spans="1:42" ht="14">
      <c r="A52" s="920">
        <v>201900052</v>
      </c>
      <c r="B52" s="947">
        <v>43627</v>
      </c>
      <c r="C52" s="947" t="s">
        <v>137</v>
      </c>
      <c r="D52" s="1108" t="str">
        <f>IFERROR(VLOOKUP(G52,PosAggregate!$B$13:$B$87,1,FALSE),"")</f>
        <v/>
      </c>
      <c r="E52" s="976" t="s">
        <v>1272</v>
      </c>
      <c r="F52" s="1132" t="str">
        <f t="shared" si="3"/>
        <v/>
      </c>
      <c r="G52" s="664" t="s">
        <v>1224</v>
      </c>
      <c r="H52" s="664"/>
      <c r="I52" s="949" t="s">
        <v>1130</v>
      </c>
      <c r="J52" s="950" t="s">
        <v>3</v>
      </c>
      <c r="K52" s="855">
        <v>17.306999999999999</v>
      </c>
      <c r="L52" s="951"/>
      <c r="M52" s="952">
        <v>2400</v>
      </c>
      <c r="N52" s="1092">
        <f t="shared" si="9"/>
        <v>-41536.799999999996</v>
      </c>
      <c r="O52" s="952">
        <v>-33.229999999999997</v>
      </c>
      <c r="P52" s="952"/>
      <c r="Q52" s="952"/>
      <c r="R52" s="1096">
        <f t="shared" si="10"/>
        <v>-41570.03</v>
      </c>
      <c r="S52" s="855">
        <v>1.1311961267844619</v>
      </c>
      <c r="T52" s="1101">
        <f t="shared" si="11"/>
        <v>-36748.737920599997</v>
      </c>
      <c r="U52" s="956">
        <v>43629</v>
      </c>
      <c r="V52" s="948" t="s">
        <v>1229</v>
      </c>
      <c r="W52" s="957">
        <v>43627.437274768519</v>
      </c>
      <c r="X52" s="1089">
        <f t="shared" si="12"/>
        <v>8.0001348202076231E-2</v>
      </c>
      <c r="Y52" s="1090" t="str">
        <f>VLOOKUP(V52,'bic broker'!$A$1:$B$14,2,FALSE)</f>
        <v>EMSIITM1XXX</v>
      </c>
      <c r="Z52" s="1090" t="str">
        <f>VLOOKUP(AA52,'place of settlement'!A:C,2,FALSE)</f>
        <v>DTCYUS33XXX</v>
      </c>
      <c r="AA52" s="1090" t="str">
        <f t="shared" si="13"/>
        <v>US</v>
      </c>
      <c r="AB52" s="1090" t="str">
        <f t="shared" si="14"/>
        <v>EquitaUS</v>
      </c>
      <c r="AC52" s="1090" t="str">
        <f>VLOOKUP(AB52,sample!$1:$1048576,2,FALSE)</f>
        <v>BCITITMMXXX</v>
      </c>
      <c r="AD52" s="1090" t="str">
        <f>VLOOKUP($AB52,sample!$1:$1048576,3,FALSE)</f>
        <v>DTCYUS33XXX</v>
      </c>
      <c r="AE52" s="1091">
        <f>VLOOKUP($AB52,sample!$1:$1048576,4,FALSE)</f>
        <v>236707</v>
      </c>
      <c r="AF52" s="1090" t="str">
        <f>VLOOKUP($AB52,sample!$1:$1048576,5,FALSE)</f>
        <v>N</v>
      </c>
      <c r="AL52" s="1091" t="str">
        <f>VLOOKUP($AB52,sample!$1:$1048576,11,FALSE)</f>
        <v>DTCYID</v>
      </c>
      <c r="AM52" s="1091">
        <f>VLOOKUP($AB52,sample!$1:$1048576,12,FALSE)</f>
        <v>908</v>
      </c>
      <c r="AN52" s="1091" t="str">
        <f>VLOOKUP($AB52,sample!$1:$1048576,13,FALSE)</f>
        <v xml:space="preserve">        </v>
      </c>
      <c r="AP52" s="1111"/>
    </row>
    <row r="53" spans="1:42" ht="14">
      <c r="A53" s="920">
        <v>201900053</v>
      </c>
      <c r="B53" s="947">
        <v>43627</v>
      </c>
      <c r="C53" s="947" t="s">
        <v>137</v>
      </c>
      <c r="D53" s="1108" t="str">
        <f>IFERROR(VLOOKUP(G53,PosAggregate!$B$13:$B$87,1,FALSE),"")</f>
        <v/>
      </c>
      <c r="E53" s="976" t="s">
        <v>1273</v>
      </c>
      <c r="F53" s="1132" t="str">
        <f t="shared" si="3"/>
        <v/>
      </c>
      <c r="G53" s="664" t="s">
        <v>1209</v>
      </c>
      <c r="H53" s="664"/>
      <c r="I53" s="949" t="s">
        <v>1133</v>
      </c>
      <c r="J53" s="950" t="s">
        <v>1104</v>
      </c>
      <c r="K53" s="855">
        <v>1.0777000000000001</v>
      </c>
      <c r="L53" s="951"/>
      <c r="M53" s="952">
        <v>57400</v>
      </c>
      <c r="N53" s="1092">
        <f t="shared" si="9"/>
        <v>-61859.98</v>
      </c>
      <c r="O53" s="952">
        <v>-49.49</v>
      </c>
      <c r="P53" s="952"/>
      <c r="Q53" s="952"/>
      <c r="R53" s="1096">
        <f t="shared" si="10"/>
        <v>-61909.47</v>
      </c>
      <c r="S53" s="855">
        <v>1.6191857500594877</v>
      </c>
      <c r="T53" s="1101">
        <f t="shared" si="11"/>
        <v>-38234.939998530426</v>
      </c>
      <c r="U53" s="956">
        <v>43629</v>
      </c>
      <c r="V53" s="948" t="s">
        <v>1229</v>
      </c>
      <c r="W53" s="957">
        <v>43626.438043981485</v>
      </c>
      <c r="X53" s="1089">
        <f t="shared" si="12"/>
        <v>8.0003258972925637E-2</v>
      </c>
      <c r="Y53" s="1090" t="str">
        <f>VLOOKUP(V53,'bic broker'!$A$1:$B$14,2,FALSE)</f>
        <v>EMSIITM1XXX</v>
      </c>
      <c r="Z53" s="1090" t="str">
        <f>VLOOKUP(AA53,'place of settlement'!A:C,2,FALSE)</f>
        <v>CAETAU21XXX</v>
      </c>
      <c r="AA53" s="1090" t="str">
        <f t="shared" si="13"/>
        <v>AU</v>
      </c>
      <c r="AB53" s="1090" t="str">
        <f t="shared" si="14"/>
        <v>EquitaAU</v>
      </c>
      <c r="AC53" s="1090" t="str">
        <f>VLOOKUP(AB53,sample!$1:$1048576,2,FALSE)</f>
        <v>BCITITMMXXX</v>
      </c>
      <c r="AD53" s="1090" t="str">
        <f>VLOOKUP($AB53,sample!$1:$1048576,3,FALSE)</f>
        <v>CAETAU21XXX</v>
      </c>
      <c r="AE53" s="1091">
        <f>VLOOKUP($AB53,sample!$1:$1048576,4,FALSE)</f>
        <v>2099100983</v>
      </c>
      <c r="AF53" s="1090" t="str">
        <f>VLOOKUP($AB53,sample!$1:$1048576,5,FALSE)</f>
        <v>N</v>
      </c>
      <c r="AL53" s="1091" t="str">
        <f>VLOOKUP($AB53,sample!$1:$1048576,11,FALSE)</f>
        <v xml:space="preserve">        </v>
      </c>
      <c r="AM53" s="1091" t="str">
        <f>VLOOKUP($AB53,sample!$1:$1048576,12,FALSE)</f>
        <v xml:space="preserve">        </v>
      </c>
      <c r="AN53" s="1091" t="str">
        <f>VLOOKUP($AB53,sample!$1:$1048576,13,FALSE)</f>
        <v>CITIAU3XXXX</v>
      </c>
      <c r="AP53" s="1111"/>
    </row>
    <row r="54" spans="1:42" ht="14">
      <c r="A54" s="920">
        <v>201900054</v>
      </c>
      <c r="B54" s="947">
        <v>43627</v>
      </c>
      <c r="C54" s="947" t="s">
        <v>137</v>
      </c>
      <c r="D54" s="1108" t="str">
        <f>IFERROR(VLOOKUP(G54,PosAggregate!$B$13:$B$87,1,FALSE),"")</f>
        <v/>
      </c>
      <c r="E54" s="977" t="s">
        <v>1256</v>
      </c>
      <c r="F54" s="1132" t="str">
        <f t="shared" si="3"/>
        <v/>
      </c>
      <c r="G54" s="664" t="s">
        <v>1206</v>
      </c>
      <c r="H54" s="664"/>
      <c r="I54" s="949" t="s">
        <v>1149</v>
      </c>
      <c r="J54" s="950" t="s">
        <v>3</v>
      </c>
      <c r="K54" s="855">
        <v>4411.3977000000004</v>
      </c>
      <c r="L54" s="951"/>
      <c r="M54" s="952">
        <v>1760</v>
      </c>
      <c r="N54" s="1092">
        <f t="shared" si="9"/>
        <v>-7764059.9520000005</v>
      </c>
      <c r="O54" s="952">
        <v>-11646</v>
      </c>
      <c r="P54" s="952"/>
      <c r="Q54" s="952"/>
      <c r="R54" s="1096">
        <f t="shared" si="10"/>
        <v>-7775705.9520000005</v>
      </c>
      <c r="S54" s="855">
        <v>1338.2276419085522</v>
      </c>
      <c r="T54" s="1101">
        <f t="shared" si="11"/>
        <v>-5810.4508593997143</v>
      </c>
      <c r="U54" s="956">
        <v>43630</v>
      </c>
      <c r="V54" s="948" t="s">
        <v>1230</v>
      </c>
      <c r="W54" s="957">
        <v>43627.560814004632</v>
      </c>
      <c r="X54" s="1089">
        <f t="shared" si="12"/>
        <v>0.1499988417400103</v>
      </c>
      <c r="Y54" s="1090" t="e">
        <f>VLOOKUP(V54,'bic broker'!$A$1:$B$14,2,FALSE)</f>
        <v>#N/A</v>
      </c>
      <c r="Z54" s="1090" t="str">
        <f>VLOOKUP(AA54,'place of settlement'!A:C,2,FALSE)</f>
        <v>KSDCKRSEXXX</v>
      </c>
      <c r="AA54" s="1090" t="str">
        <f t="shared" si="13"/>
        <v>KR</v>
      </c>
      <c r="AB54" s="1090" t="str">
        <f t="shared" si="14"/>
        <v>SamsungKR</v>
      </c>
      <c r="AC54" s="1090" t="e">
        <f>VLOOKUP(AB54,sample!$1:$1048576,2,FALSE)</f>
        <v>#N/A</v>
      </c>
      <c r="AD54" s="1090" t="e">
        <f>VLOOKUP($AB54,sample!$1:$1048576,3,FALSE)</f>
        <v>#N/A</v>
      </c>
      <c r="AE54" s="1091" t="e">
        <f>VLOOKUP($AB54,sample!$1:$1048576,4,FALSE)</f>
        <v>#N/A</v>
      </c>
      <c r="AF54" s="1090" t="e">
        <f>VLOOKUP($AB54,sample!$1:$1048576,5,FALSE)</f>
        <v>#N/A</v>
      </c>
      <c r="AL54" s="1091" t="e">
        <f>VLOOKUP($AB54,sample!$1:$1048576,11,FALSE)</f>
        <v>#N/A</v>
      </c>
      <c r="AM54" s="1091" t="e">
        <f>VLOOKUP($AB54,sample!$1:$1048576,12,FALSE)</f>
        <v>#N/A</v>
      </c>
      <c r="AN54" s="1091" t="e">
        <f>VLOOKUP($AB54,sample!$1:$1048576,13,FALSE)</f>
        <v>#N/A</v>
      </c>
      <c r="AP54" s="1111"/>
    </row>
    <row r="55" spans="1:42" ht="14">
      <c r="A55" s="920">
        <v>201900055</v>
      </c>
      <c r="B55" s="947">
        <v>43627</v>
      </c>
      <c r="C55" s="947" t="s">
        <v>137</v>
      </c>
      <c r="D55" s="1108" t="str">
        <f>IFERROR(VLOOKUP(G55,PosAggregate!$B$13:$B$87,1,FALSE),"")</f>
        <v/>
      </c>
      <c r="E55" s="977" t="s">
        <v>1254</v>
      </c>
      <c r="F55" s="1132" t="str">
        <f t="shared" si="3"/>
        <v/>
      </c>
      <c r="G55" s="664" t="s">
        <v>1204</v>
      </c>
      <c r="H55" s="664"/>
      <c r="I55" s="949" t="s">
        <v>1123</v>
      </c>
      <c r="J55" s="950" t="s">
        <v>3</v>
      </c>
      <c r="K55" s="855">
        <v>89894.25</v>
      </c>
      <c r="L55" s="951"/>
      <c r="M55" s="952">
        <v>400</v>
      </c>
      <c r="N55" s="1092">
        <f t="shared" si="9"/>
        <v>-35957700</v>
      </c>
      <c r="O55" s="952">
        <v>-53937</v>
      </c>
      <c r="P55" s="952"/>
      <c r="Q55" s="952"/>
      <c r="R55" s="1096">
        <f t="shared" si="10"/>
        <v>-36011637</v>
      </c>
      <c r="S55" s="855">
        <v>1338.2276419085536</v>
      </c>
      <c r="T55" s="1101">
        <f t="shared" si="11"/>
        <v>-26909.948556017662</v>
      </c>
      <c r="U55" s="956">
        <v>43630</v>
      </c>
      <c r="V55" s="948" t="s">
        <v>1230</v>
      </c>
      <c r="W55" s="957">
        <v>43627.563368518517</v>
      </c>
      <c r="X55" s="1089">
        <f t="shared" si="12"/>
        <v>0.15000125147047783</v>
      </c>
      <c r="Y55" s="1090" t="e">
        <f>VLOOKUP(V55,'bic broker'!$A$1:$B$14,2,FALSE)</f>
        <v>#N/A</v>
      </c>
      <c r="Z55" s="1090" t="str">
        <f>VLOOKUP(AA55,'place of settlement'!A:C,2,FALSE)</f>
        <v>KSDCKRSEXXX</v>
      </c>
      <c r="AA55" s="1090" t="str">
        <f t="shared" si="13"/>
        <v>KR</v>
      </c>
      <c r="AB55" s="1090" t="str">
        <f t="shared" si="14"/>
        <v>SamsungKR</v>
      </c>
      <c r="AC55" s="1090" t="e">
        <f>VLOOKUP(AB55,sample!$1:$1048576,2,FALSE)</f>
        <v>#N/A</v>
      </c>
      <c r="AD55" s="1090" t="e">
        <f>VLOOKUP($AB55,sample!$1:$1048576,3,FALSE)</f>
        <v>#N/A</v>
      </c>
      <c r="AE55" s="1091" t="e">
        <f>VLOOKUP($AB55,sample!$1:$1048576,4,FALSE)</f>
        <v>#N/A</v>
      </c>
      <c r="AF55" s="1090" t="e">
        <f>VLOOKUP($AB55,sample!$1:$1048576,5,FALSE)</f>
        <v>#N/A</v>
      </c>
      <c r="AL55" s="1091" t="e">
        <f>VLOOKUP($AB55,sample!$1:$1048576,11,FALSE)</f>
        <v>#N/A</v>
      </c>
      <c r="AM55" s="1091" t="e">
        <f>VLOOKUP($AB55,sample!$1:$1048576,12,FALSE)</f>
        <v>#N/A</v>
      </c>
      <c r="AN55" s="1091" t="e">
        <f>VLOOKUP($AB55,sample!$1:$1048576,13,FALSE)</f>
        <v>#N/A</v>
      </c>
      <c r="AP55" s="1111"/>
    </row>
    <row r="56" spans="1:42" ht="14">
      <c r="A56" s="920">
        <v>201900056</v>
      </c>
      <c r="B56" s="947">
        <v>43627</v>
      </c>
      <c r="C56" s="947" t="s">
        <v>137</v>
      </c>
      <c r="D56" s="1108" t="str">
        <f>IFERROR(VLOOKUP(G56,PosAggregate!$B$13:$B$87,1,FALSE),"")</f>
        <v/>
      </c>
      <c r="E56" s="977" t="s">
        <v>1252</v>
      </c>
      <c r="F56" s="1132" t="str">
        <f t="shared" si="3"/>
        <v/>
      </c>
      <c r="G56" s="664" t="s">
        <v>1202</v>
      </c>
      <c r="H56" s="664"/>
      <c r="I56" s="949" t="s">
        <v>1121</v>
      </c>
      <c r="J56" s="950" t="s">
        <v>3</v>
      </c>
      <c r="K56" s="855">
        <v>189979.4118</v>
      </c>
      <c r="L56" s="951"/>
      <c r="M56" s="952">
        <v>170</v>
      </c>
      <c r="N56" s="1092">
        <f t="shared" si="9"/>
        <v>-32296500.006000001</v>
      </c>
      <c r="O56" s="952">
        <v>-48445</v>
      </c>
      <c r="P56" s="952"/>
      <c r="Q56" s="952"/>
      <c r="R56" s="1096">
        <f t="shared" si="10"/>
        <v>-32344945.006000001</v>
      </c>
      <c r="S56" s="855">
        <v>1338.227641908557</v>
      </c>
      <c r="T56" s="1101">
        <f t="shared" si="11"/>
        <v>-24169.987222704654</v>
      </c>
      <c r="U56" s="956">
        <v>43630</v>
      </c>
      <c r="V56" s="948" t="s">
        <v>1230</v>
      </c>
      <c r="W56" s="957">
        <v>43627.564126851852</v>
      </c>
      <c r="X56" s="1089">
        <f t="shared" si="12"/>
        <v>0.15000077404981949</v>
      </c>
      <c r="Y56" s="1090" t="e">
        <f>VLOOKUP(V56,'bic broker'!$A$1:$B$14,2,FALSE)</f>
        <v>#N/A</v>
      </c>
      <c r="Z56" s="1090" t="str">
        <f>VLOOKUP(AA56,'place of settlement'!A:C,2,FALSE)</f>
        <v>KSDCKRSEXXX</v>
      </c>
      <c r="AA56" s="1090" t="str">
        <f t="shared" si="13"/>
        <v>KR</v>
      </c>
      <c r="AB56" s="1090" t="str">
        <f t="shared" si="14"/>
        <v>SamsungKR</v>
      </c>
      <c r="AC56" s="1090" t="e">
        <f>VLOOKUP(AB56,sample!$1:$1048576,2,FALSE)</f>
        <v>#N/A</v>
      </c>
      <c r="AD56" s="1090" t="e">
        <f>VLOOKUP($AB56,sample!$1:$1048576,3,FALSE)</f>
        <v>#N/A</v>
      </c>
      <c r="AE56" s="1091" t="e">
        <f>VLOOKUP($AB56,sample!$1:$1048576,4,FALSE)</f>
        <v>#N/A</v>
      </c>
      <c r="AF56" s="1090" t="e">
        <f>VLOOKUP($AB56,sample!$1:$1048576,5,FALSE)</f>
        <v>#N/A</v>
      </c>
      <c r="AL56" s="1091" t="e">
        <f>VLOOKUP($AB56,sample!$1:$1048576,11,FALSE)</f>
        <v>#N/A</v>
      </c>
      <c r="AM56" s="1091" t="e">
        <f>VLOOKUP($AB56,sample!$1:$1048576,12,FALSE)</f>
        <v>#N/A</v>
      </c>
      <c r="AN56" s="1091" t="e">
        <f>VLOOKUP($AB56,sample!$1:$1048576,13,FALSE)</f>
        <v>#N/A</v>
      </c>
      <c r="AP56" s="1111"/>
    </row>
    <row r="57" spans="1:42" ht="14">
      <c r="A57" s="920">
        <v>201900057</v>
      </c>
      <c r="B57" s="947">
        <v>43627</v>
      </c>
      <c r="C57" s="947" t="s">
        <v>137</v>
      </c>
      <c r="D57" s="1108" t="str">
        <f>IFERROR(VLOOKUP(G57,PosAggregate!$B$13:$B$87,1,FALSE),"")</f>
        <v/>
      </c>
      <c r="E57" s="977" t="s">
        <v>1255</v>
      </c>
      <c r="F57" s="1132" t="str">
        <f t="shared" si="3"/>
        <v/>
      </c>
      <c r="G57" s="664" t="s">
        <v>1205</v>
      </c>
      <c r="H57" s="664"/>
      <c r="I57" s="949" t="s">
        <v>1143</v>
      </c>
      <c r="J57" s="950" t="s">
        <v>3</v>
      </c>
      <c r="K57" s="855">
        <v>120400</v>
      </c>
      <c r="L57" s="951"/>
      <c r="M57" s="973">
        <v>260</v>
      </c>
      <c r="N57" s="1092">
        <f t="shared" si="9"/>
        <v>-31304000</v>
      </c>
      <c r="O57" s="952">
        <v>-46956</v>
      </c>
      <c r="P57" s="952"/>
      <c r="Q57" s="952"/>
      <c r="R57" s="1096">
        <f t="shared" si="10"/>
        <v>-31350956</v>
      </c>
      <c r="S57" s="855">
        <v>1338.2276419085547</v>
      </c>
      <c r="T57" s="1101">
        <f t="shared" si="11"/>
        <v>-23427.221960000665</v>
      </c>
      <c r="U57" s="978">
        <v>43630</v>
      </c>
      <c r="V57" s="948" t="s">
        <v>1230</v>
      </c>
      <c r="W57" s="957">
        <v>43627.566560300926</v>
      </c>
      <c r="X57" s="1089">
        <f t="shared" si="12"/>
        <v>0.15</v>
      </c>
      <c r="Y57" s="1090" t="e">
        <f>VLOOKUP(V57,'bic broker'!$A$1:$B$14,2,FALSE)</f>
        <v>#N/A</v>
      </c>
      <c r="Z57" s="1090" t="str">
        <f>VLOOKUP(AA57,'place of settlement'!A:C,2,FALSE)</f>
        <v>KSDCKRSEXXX</v>
      </c>
      <c r="AA57" s="1090" t="str">
        <f t="shared" si="13"/>
        <v>KR</v>
      </c>
      <c r="AB57" s="1090" t="str">
        <f t="shared" si="14"/>
        <v>SamsungKR</v>
      </c>
      <c r="AC57" s="1090" t="e">
        <f>VLOOKUP(AB57,sample!$1:$1048576,2,FALSE)</f>
        <v>#N/A</v>
      </c>
      <c r="AD57" s="1090" t="e">
        <f>VLOOKUP($AB57,sample!$1:$1048576,3,FALSE)</f>
        <v>#N/A</v>
      </c>
      <c r="AE57" s="1091" t="e">
        <f>VLOOKUP($AB57,sample!$1:$1048576,4,FALSE)</f>
        <v>#N/A</v>
      </c>
      <c r="AF57" s="1090" t="e">
        <f>VLOOKUP($AB57,sample!$1:$1048576,5,FALSE)</f>
        <v>#N/A</v>
      </c>
      <c r="AL57" s="1091" t="e">
        <f>VLOOKUP($AB57,sample!$1:$1048576,11,FALSE)</f>
        <v>#N/A</v>
      </c>
      <c r="AM57" s="1091" t="e">
        <f>VLOOKUP($AB57,sample!$1:$1048576,12,FALSE)</f>
        <v>#N/A</v>
      </c>
      <c r="AN57" s="1091" t="e">
        <f>VLOOKUP($AB57,sample!$1:$1048576,13,FALSE)</f>
        <v>#N/A</v>
      </c>
      <c r="AP57" s="1111"/>
    </row>
    <row r="58" spans="1:42" s="981" customFormat="1" ht="14">
      <c r="A58" s="920">
        <v>201900058</v>
      </c>
      <c r="B58" s="961">
        <v>43627</v>
      </c>
      <c r="C58" s="961" t="s">
        <v>137</v>
      </c>
      <c r="D58" s="1109" t="str">
        <f>IFERROR(VLOOKUP(G58,PosAggregate!$B$13:$B$87,1,FALSE),"")</f>
        <v/>
      </c>
      <c r="E58" s="979" t="s">
        <v>1274</v>
      </c>
      <c r="F58" s="1132" t="str">
        <f t="shared" si="3"/>
        <v/>
      </c>
      <c r="G58" s="889" t="s">
        <v>1231</v>
      </c>
      <c r="H58" s="889"/>
      <c r="I58" s="889" t="s">
        <v>1278</v>
      </c>
      <c r="J58" s="889" t="s">
        <v>1102</v>
      </c>
      <c r="K58" s="964">
        <v>1.2778</v>
      </c>
      <c r="L58" s="965"/>
      <c r="M58" s="966">
        <v>7196</v>
      </c>
      <c r="N58" s="1095">
        <f t="shared" si="9"/>
        <v>-9195.0488000000005</v>
      </c>
      <c r="O58" s="966">
        <v>-7.36</v>
      </c>
      <c r="P58" s="966"/>
      <c r="Q58" s="966"/>
      <c r="R58" s="1099">
        <f t="shared" si="10"/>
        <v>-9202.4088000000011</v>
      </c>
      <c r="S58" s="964">
        <v>10.652360806316631</v>
      </c>
      <c r="T58" s="1101">
        <f t="shared" si="11"/>
        <v>-863.88444470855336</v>
      </c>
      <c r="U58" s="980">
        <v>43631</v>
      </c>
      <c r="V58" s="974" t="s">
        <v>1229</v>
      </c>
      <c r="W58" s="975">
        <v>43627.690176041666</v>
      </c>
      <c r="X58" s="1089">
        <f t="shared" si="12"/>
        <v>8.0043077096012799E-2</v>
      </c>
      <c r="Y58" s="1090" t="str">
        <f>VLOOKUP(V58,'bic broker'!$A$1:$B$14,2,FALSE)</f>
        <v>EMSIITM1XXX</v>
      </c>
      <c r="Z58" s="1090" t="str">
        <f>VLOOKUP(AA58,'place of settlement'!A:C,2,FALSE)</f>
        <v>VPCSSESSXXX</v>
      </c>
      <c r="AA58" s="1090" t="str">
        <f t="shared" si="13"/>
        <v>SE</v>
      </c>
      <c r="AB58" s="1090" t="str">
        <f t="shared" si="14"/>
        <v>EquitaSE</v>
      </c>
      <c r="AC58" s="1090" t="str">
        <f>VLOOKUP(AB58,sample!$1:$1048576,2,FALSE)</f>
        <v>BCITITMMXXX</v>
      </c>
      <c r="AD58" s="1090" t="str">
        <f>VLOOKUP($AB58,sample!$1:$1048576,3,FALSE)</f>
        <v>VPCSSESSXXX</v>
      </c>
      <c r="AE58" s="1091" t="str">
        <f>VLOOKUP($AB58,sample!$1:$1048576,4,FALSE)</f>
        <v>01 100 247 955</v>
      </c>
      <c r="AF58" s="1090" t="str">
        <f>VLOOKUP($AB58,sample!$1:$1048576,5,FALSE)</f>
        <v>N</v>
      </c>
      <c r="AL58" s="1091" t="str">
        <f>VLOOKUP($AB58,sample!$1:$1048576,11,FALSE)</f>
        <v xml:space="preserve">        </v>
      </c>
      <c r="AM58" s="1091" t="str">
        <f>VLOOKUP($AB58,sample!$1:$1048576,12,FALSE)</f>
        <v xml:space="preserve">        </v>
      </c>
      <c r="AN58" s="1091" t="str">
        <f>VLOOKUP($AB58,sample!$1:$1048576,13,FALSE)</f>
        <v>ESSESESSXXX</v>
      </c>
      <c r="AP58" s="1111"/>
    </row>
    <row r="59" spans="1:42" s="988" customFormat="1" ht="14">
      <c r="A59" s="920">
        <v>201900059</v>
      </c>
      <c r="B59" s="982">
        <v>43628</v>
      </c>
      <c r="C59" s="982" t="s">
        <v>137</v>
      </c>
      <c r="D59" s="1108" t="str">
        <f>IFERROR(VLOOKUP(G59,PosAggregate!$B$13:$B$87,1,FALSE),"")</f>
        <v/>
      </c>
      <c r="E59" s="970" t="s">
        <v>1256</v>
      </c>
      <c r="F59" s="1132" t="str">
        <f t="shared" si="3"/>
        <v/>
      </c>
      <c r="G59" s="664" t="s">
        <v>1206</v>
      </c>
      <c r="H59" s="664"/>
      <c r="I59" s="950" t="s">
        <v>1149</v>
      </c>
      <c r="J59" s="820" t="s">
        <v>123</v>
      </c>
      <c r="K59" s="983">
        <v>4531.3842999999997</v>
      </c>
      <c r="L59" s="984"/>
      <c r="M59" s="985">
        <v>5920</v>
      </c>
      <c r="N59" s="1094">
        <f t="shared" si="9"/>
        <v>-26825795.055999998</v>
      </c>
      <c r="O59" s="985">
        <v>-40239</v>
      </c>
      <c r="P59" s="985"/>
      <c r="Q59" s="985"/>
      <c r="R59" s="1098">
        <f t="shared" si="10"/>
        <v>-26866034.055999998</v>
      </c>
      <c r="S59" s="983">
        <v>1329.8373527762183</v>
      </c>
      <c r="T59" s="1101">
        <f t="shared" si="11"/>
        <v>-20202.496192420418</v>
      </c>
      <c r="U59" s="986">
        <v>43633</v>
      </c>
      <c r="V59" s="972" t="s">
        <v>1230</v>
      </c>
      <c r="W59" s="987">
        <v>43634.461969097225</v>
      </c>
      <c r="X59" s="1089">
        <f t="shared" si="12"/>
        <v>0.15000114597162681</v>
      </c>
      <c r="Y59" s="1090" t="e">
        <f>VLOOKUP(V59,'bic broker'!$A$1:$B$14,2,FALSE)</f>
        <v>#N/A</v>
      </c>
      <c r="Z59" s="1090" t="str">
        <f>VLOOKUP(AA59,'place of settlement'!A:C,2,FALSE)</f>
        <v>KSDCKRSEXXX</v>
      </c>
      <c r="AA59" s="1090" t="str">
        <f t="shared" si="13"/>
        <v>KR</v>
      </c>
      <c r="AB59" s="1090" t="str">
        <f t="shared" si="14"/>
        <v>SamsungKR</v>
      </c>
      <c r="AC59" s="1090" t="e">
        <f>VLOOKUP(AB59,sample!$1:$1048576,2,FALSE)</f>
        <v>#N/A</v>
      </c>
      <c r="AD59" s="1090" t="e">
        <f>VLOOKUP($AB59,sample!$1:$1048576,3,FALSE)</f>
        <v>#N/A</v>
      </c>
      <c r="AE59" s="1091" t="e">
        <f>VLOOKUP($AB59,sample!$1:$1048576,4,FALSE)</f>
        <v>#N/A</v>
      </c>
      <c r="AF59" s="1090" t="e">
        <f>VLOOKUP($AB59,sample!$1:$1048576,5,FALSE)</f>
        <v>#N/A</v>
      </c>
      <c r="AL59" s="1091" t="e">
        <f>VLOOKUP($AB59,sample!$1:$1048576,11,FALSE)</f>
        <v>#N/A</v>
      </c>
      <c r="AM59" s="1091" t="e">
        <f>VLOOKUP($AB59,sample!$1:$1048576,12,FALSE)</f>
        <v>#N/A</v>
      </c>
      <c r="AN59" s="1091" t="e">
        <f>VLOOKUP($AB59,sample!$1:$1048576,13,FALSE)</f>
        <v>#N/A</v>
      </c>
      <c r="AP59" s="1111"/>
    </row>
    <row r="60" spans="1:42" s="988" customFormat="1" ht="14">
      <c r="A60" s="920">
        <v>201900060</v>
      </c>
      <c r="B60" s="982">
        <v>43629</v>
      </c>
      <c r="C60" s="982" t="s">
        <v>137</v>
      </c>
      <c r="D60" s="1108" t="str">
        <f>IFERROR(VLOOKUP(G60,PosAggregate!$B$13:$B$87,1,FALSE),"")</f>
        <v/>
      </c>
      <c r="E60" s="970" t="s">
        <v>1256</v>
      </c>
      <c r="F60" s="1132" t="str">
        <f t="shared" si="3"/>
        <v/>
      </c>
      <c r="G60" s="664" t="s">
        <v>1206</v>
      </c>
      <c r="H60" s="664"/>
      <c r="I60" s="950" t="s">
        <v>1149</v>
      </c>
      <c r="J60" s="950" t="s">
        <v>123</v>
      </c>
      <c r="K60" s="983">
        <v>4511.9632000000001</v>
      </c>
      <c r="L60" s="984"/>
      <c r="M60" s="985">
        <v>4727</v>
      </c>
      <c r="N60" s="1094">
        <f t="shared" si="9"/>
        <v>-21328050.046399999</v>
      </c>
      <c r="O60" s="985">
        <v>-31992</v>
      </c>
      <c r="P60" s="985"/>
      <c r="Q60" s="985"/>
      <c r="R60" s="1098">
        <f t="shared" si="10"/>
        <v>-21360042.046399999</v>
      </c>
      <c r="S60" s="983">
        <v>1329.8373527762183</v>
      </c>
      <c r="T60" s="1101">
        <f t="shared" si="11"/>
        <v>-16062.146248041518</v>
      </c>
      <c r="U60" s="986">
        <v>43634</v>
      </c>
      <c r="V60" s="972" t="s">
        <v>1230</v>
      </c>
      <c r="W60" s="987">
        <v>43634.462918171295</v>
      </c>
      <c r="X60" s="1089">
        <f t="shared" si="12"/>
        <v>0.14999964802408172</v>
      </c>
      <c r="Y60" s="1090" t="e">
        <f>VLOOKUP(V60,'bic broker'!$A$1:$B$14,2,FALSE)</f>
        <v>#N/A</v>
      </c>
      <c r="Z60" s="1090" t="str">
        <f>VLOOKUP(AA60,'place of settlement'!A:C,2,FALSE)</f>
        <v>KSDCKRSEXXX</v>
      </c>
      <c r="AA60" s="1090" t="str">
        <f t="shared" si="13"/>
        <v>KR</v>
      </c>
      <c r="AB60" s="1090" t="str">
        <f t="shared" si="14"/>
        <v>SamsungKR</v>
      </c>
      <c r="AC60" s="1090" t="e">
        <f>VLOOKUP(AB60,sample!$1:$1048576,2,FALSE)</f>
        <v>#N/A</v>
      </c>
      <c r="AD60" s="1090" t="e">
        <f>VLOOKUP($AB60,sample!$1:$1048576,3,FALSE)</f>
        <v>#N/A</v>
      </c>
      <c r="AE60" s="1091" t="e">
        <f>VLOOKUP($AB60,sample!$1:$1048576,4,FALSE)</f>
        <v>#N/A</v>
      </c>
      <c r="AF60" s="1090" t="e">
        <f>VLOOKUP($AB60,sample!$1:$1048576,5,FALSE)</f>
        <v>#N/A</v>
      </c>
      <c r="AL60" s="1091" t="e">
        <f>VLOOKUP($AB60,sample!$1:$1048576,11,FALSE)</f>
        <v>#N/A</v>
      </c>
      <c r="AM60" s="1091" t="e">
        <f>VLOOKUP($AB60,sample!$1:$1048576,12,FALSE)</f>
        <v>#N/A</v>
      </c>
      <c r="AN60" s="1091" t="e">
        <f>VLOOKUP($AB60,sample!$1:$1048576,13,FALSE)</f>
        <v>#N/A</v>
      </c>
      <c r="AP60" s="1111"/>
    </row>
    <row r="61" spans="1:42" s="988" customFormat="1" ht="14">
      <c r="A61" s="920">
        <v>201900061</v>
      </c>
      <c r="B61" s="982">
        <v>43630</v>
      </c>
      <c r="C61" s="982" t="s">
        <v>137</v>
      </c>
      <c r="D61" s="1108" t="str">
        <f>IFERROR(VLOOKUP(G61,PosAggregate!$B$13:$B$87,1,FALSE),"")</f>
        <v/>
      </c>
      <c r="E61" s="970" t="s">
        <v>1274</v>
      </c>
      <c r="F61" s="1132" t="str">
        <f t="shared" si="3"/>
        <v/>
      </c>
      <c r="G61" s="664" t="s">
        <v>1231</v>
      </c>
      <c r="H61" s="664"/>
      <c r="I61" s="950" t="s">
        <v>1278</v>
      </c>
      <c r="J61" s="950" t="s">
        <v>1102</v>
      </c>
      <c r="K61" s="983">
        <v>1.3073999999999999</v>
      </c>
      <c r="L61" s="984"/>
      <c r="M61" s="985">
        <v>72685</v>
      </c>
      <c r="N61" s="1094">
        <f t="shared" si="9"/>
        <v>-95028.368999999992</v>
      </c>
      <c r="O61" s="985">
        <v>-76.02</v>
      </c>
      <c r="P61" s="985"/>
      <c r="Q61" s="985"/>
      <c r="R61" s="1098">
        <f t="shared" si="10"/>
        <v>-95104.388999999996</v>
      </c>
      <c r="S61" s="983">
        <v>10.633987661245094</v>
      </c>
      <c r="T61" s="1101">
        <f t="shared" si="11"/>
        <v>-8943.4360871606077</v>
      </c>
      <c r="U61" s="986">
        <v>43634</v>
      </c>
      <c r="V61" s="972" t="s">
        <v>1229</v>
      </c>
      <c r="W61" s="987">
        <v>43634.467695486113</v>
      </c>
      <c r="X61" s="1089">
        <f t="shared" si="12"/>
        <v>7.9997163794319148E-2</v>
      </c>
      <c r="Y61" s="1090" t="str">
        <f>VLOOKUP(V61,'bic broker'!$A$1:$B$14,2,FALSE)</f>
        <v>EMSIITM1XXX</v>
      </c>
      <c r="Z61" s="1090" t="str">
        <f>VLOOKUP(AA61,'place of settlement'!A:C,2,FALSE)</f>
        <v>VPCSSESSXXX</v>
      </c>
      <c r="AA61" s="1090" t="str">
        <f t="shared" si="13"/>
        <v>SE</v>
      </c>
      <c r="AB61" s="1090" t="str">
        <f t="shared" si="14"/>
        <v>EquitaSE</v>
      </c>
      <c r="AC61" s="1090" t="str">
        <f>VLOOKUP(AB61,sample!$1:$1048576,2,FALSE)</f>
        <v>BCITITMMXXX</v>
      </c>
      <c r="AD61" s="1090" t="str">
        <f>VLOOKUP($AB61,sample!$1:$1048576,3,FALSE)</f>
        <v>VPCSSESSXXX</v>
      </c>
      <c r="AE61" s="1091" t="str">
        <f>VLOOKUP($AB61,sample!$1:$1048576,4,FALSE)</f>
        <v>01 100 247 955</v>
      </c>
      <c r="AF61" s="1090" t="str">
        <f>VLOOKUP($AB61,sample!$1:$1048576,5,FALSE)</f>
        <v>N</v>
      </c>
      <c r="AL61" s="1091" t="str">
        <f>VLOOKUP($AB61,sample!$1:$1048576,11,FALSE)</f>
        <v xml:space="preserve">        </v>
      </c>
      <c r="AM61" s="1091" t="str">
        <f>VLOOKUP($AB61,sample!$1:$1048576,12,FALSE)</f>
        <v xml:space="preserve">        </v>
      </c>
      <c r="AN61" s="1091" t="str">
        <f>VLOOKUP($AB61,sample!$1:$1048576,13,FALSE)</f>
        <v>ESSESESSXXX</v>
      </c>
      <c r="AP61" s="1111"/>
    </row>
    <row r="62" spans="1:42" s="988" customFormat="1" ht="14">
      <c r="A62" s="920">
        <v>201900062</v>
      </c>
      <c r="B62" s="982">
        <v>43636</v>
      </c>
      <c r="C62" s="982" t="s">
        <v>137</v>
      </c>
      <c r="D62" s="1108" t="str">
        <f>IFERROR(VLOOKUP(G62,PosAggregate!$B$13:$B$87,1,FALSE),"")</f>
        <v/>
      </c>
      <c r="E62" s="970" t="s">
        <v>1256</v>
      </c>
      <c r="F62" s="1132" t="str">
        <f t="shared" si="3"/>
        <v/>
      </c>
      <c r="G62" s="664" t="s">
        <v>1206</v>
      </c>
      <c r="H62" s="664"/>
      <c r="I62" s="950" t="s">
        <v>1149</v>
      </c>
      <c r="J62" s="950" t="s">
        <v>123</v>
      </c>
      <c r="K62" s="983">
        <v>4545</v>
      </c>
      <c r="L62" s="984"/>
      <c r="M62" s="985">
        <v>4200</v>
      </c>
      <c r="N62" s="1094">
        <f t="shared" si="9"/>
        <v>-19089000</v>
      </c>
      <c r="O62" s="985">
        <v>-28125</v>
      </c>
      <c r="P62" s="985"/>
      <c r="Q62" s="985"/>
      <c r="R62" s="1098">
        <f t="shared" si="10"/>
        <v>-19117125</v>
      </c>
      <c r="S62" s="983">
        <v>1314.8661541051674</v>
      </c>
      <c r="T62" s="1101">
        <f t="shared" si="11"/>
        <v>-14539.217501579213</v>
      </c>
      <c r="U62" s="986">
        <v>43640</v>
      </c>
      <c r="V62" s="972" t="s">
        <v>1230</v>
      </c>
      <c r="W62" s="989">
        <v>43635.897766203707</v>
      </c>
      <c r="X62" s="1089">
        <f t="shared" si="12"/>
        <v>0.14733616218764733</v>
      </c>
      <c r="Y62" s="1090" t="e">
        <f>VLOOKUP(V62,'bic broker'!$A$1:$B$14,2,FALSE)</f>
        <v>#N/A</v>
      </c>
      <c r="Z62" s="1090" t="str">
        <f>VLOOKUP(AA62,'place of settlement'!A:C,2,FALSE)</f>
        <v>KSDCKRSEXXX</v>
      </c>
      <c r="AA62" s="1090" t="str">
        <f t="shared" si="13"/>
        <v>KR</v>
      </c>
      <c r="AB62" s="1090" t="str">
        <f t="shared" si="14"/>
        <v>SamsungKR</v>
      </c>
      <c r="AC62" s="1090" t="e">
        <f>VLOOKUP(AB62,sample!$1:$1048576,2,FALSE)</f>
        <v>#N/A</v>
      </c>
      <c r="AD62" s="1090" t="e">
        <f>VLOOKUP($AB62,sample!$1:$1048576,3,FALSE)</f>
        <v>#N/A</v>
      </c>
      <c r="AE62" s="1091" t="e">
        <f>VLOOKUP($AB62,sample!$1:$1048576,4,FALSE)</f>
        <v>#N/A</v>
      </c>
      <c r="AF62" s="1090" t="e">
        <f>VLOOKUP($AB62,sample!$1:$1048576,5,FALSE)</f>
        <v>#N/A</v>
      </c>
      <c r="AL62" s="1091" t="e">
        <f>VLOOKUP($AB62,sample!$1:$1048576,11,FALSE)</f>
        <v>#N/A</v>
      </c>
      <c r="AM62" s="1091" t="e">
        <f>VLOOKUP($AB62,sample!$1:$1048576,12,FALSE)</f>
        <v>#N/A</v>
      </c>
      <c r="AN62" s="1091" t="e">
        <f>VLOOKUP($AB62,sample!$1:$1048576,13,FALSE)</f>
        <v>#N/A</v>
      </c>
      <c r="AP62" s="1111"/>
    </row>
    <row r="63" spans="1:42" ht="14">
      <c r="A63" s="920">
        <v>201900063</v>
      </c>
      <c r="B63" s="947">
        <v>43636</v>
      </c>
      <c r="C63" s="947" t="s">
        <v>137</v>
      </c>
      <c r="D63" s="1108" t="str">
        <f>IFERROR(VLOOKUP(G63,PosAggregate!$B$13:$B$87,1,FALSE),"")</f>
        <v/>
      </c>
      <c r="E63" s="970" t="s">
        <v>1254</v>
      </c>
      <c r="F63" s="1132" t="str">
        <f t="shared" si="3"/>
        <v/>
      </c>
      <c r="G63" s="664" t="s">
        <v>1204</v>
      </c>
      <c r="H63" s="664"/>
      <c r="I63" s="950" t="s">
        <v>1123</v>
      </c>
      <c r="J63" s="950" t="s">
        <v>123</v>
      </c>
      <c r="K63" s="855">
        <v>91600</v>
      </c>
      <c r="L63" s="951"/>
      <c r="M63" s="952">
        <v>600</v>
      </c>
      <c r="N63" s="1094">
        <f t="shared" si="9"/>
        <v>-54960000</v>
      </c>
      <c r="O63" s="952">
        <v>-82286</v>
      </c>
      <c r="P63" s="952"/>
      <c r="Q63" s="952"/>
      <c r="R63" s="1098">
        <f t="shared" si="10"/>
        <v>-55042286</v>
      </c>
      <c r="S63" s="855">
        <v>1314.8661541051683</v>
      </c>
      <c r="T63" s="1101">
        <f t="shared" si="11"/>
        <v>-41861.512541144548</v>
      </c>
      <c r="U63" s="971">
        <v>43640</v>
      </c>
      <c r="V63" s="972" t="s">
        <v>1230</v>
      </c>
      <c r="W63" s="957">
        <v>43635.898587962962</v>
      </c>
      <c r="X63" s="1089">
        <f t="shared" si="12"/>
        <v>0.14971979621542938</v>
      </c>
      <c r="Y63" s="1090" t="e">
        <f>VLOOKUP(V63,'bic broker'!$A$1:$B$14,2,FALSE)</f>
        <v>#N/A</v>
      </c>
      <c r="Z63" s="1090" t="str">
        <f>VLOOKUP(AA63,'place of settlement'!A:C,2,FALSE)</f>
        <v>KSDCKRSEXXX</v>
      </c>
      <c r="AA63" s="1090" t="str">
        <f t="shared" si="13"/>
        <v>KR</v>
      </c>
      <c r="AB63" s="1090" t="str">
        <f t="shared" si="14"/>
        <v>SamsungKR</v>
      </c>
      <c r="AC63" s="1090" t="e">
        <f>VLOOKUP(AB63,sample!$1:$1048576,2,FALSE)</f>
        <v>#N/A</v>
      </c>
      <c r="AD63" s="1090" t="e">
        <f>VLOOKUP($AB63,sample!$1:$1048576,3,FALSE)</f>
        <v>#N/A</v>
      </c>
      <c r="AE63" s="1091" t="e">
        <f>VLOOKUP($AB63,sample!$1:$1048576,4,FALSE)</f>
        <v>#N/A</v>
      </c>
      <c r="AF63" s="1090" t="e">
        <f>VLOOKUP($AB63,sample!$1:$1048576,5,FALSE)</f>
        <v>#N/A</v>
      </c>
      <c r="AL63" s="1091" t="e">
        <f>VLOOKUP($AB63,sample!$1:$1048576,11,FALSE)</f>
        <v>#N/A</v>
      </c>
      <c r="AM63" s="1091" t="e">
        <f>VLOOKUP($AB63,sample!$1:$1048576,12,FALSE)</f>
        <v>#N/A</v>
      </c>
      <c r="AN63" s="1091" t="e">
        <f>VLOOKUP($AB63,sample!$1:$1048576,13,FALSE)</f>
        <v>#N/A</v>
      </c>
      <c r="AP63" s="1111"/>
    </row>
    <row r="64" spans="1:42" ht="14">
      <c r="A64" s="920">
        <v>201900064</v>
      </c>
      <c r="B64" s="947">
        <v>43636</v>
      </c>
      <c r="C64" s="947" t="s">
        <v>137</v>
      </c>
      <c r="D64" s="1108" t="str">
        <f>IFERROR(VLOOKUP(G64,PosAggregate!$B$13:$B$87,1,FALSE),"")</f>
        <v/>
      </c>
      <c r="E64" s="880" t="s">
        <v>1255</v>
      </c>
      <c r="F64" s="1132" t="str">
        <f t="shared" si="3"/>
        <v/>
      </c>
      <c r="G64" s="664" t="s">
        <v>1205</v>
      </c>
      <c r="H64" s="664"/>
      <c r="I64" s="950" t="s">
        <v>1143</v>
      </c>
      <c r="J64" s="950" t="s">
        <v>123</v>
      </c>
      <c r="K64" s="855">
        <v>119500</v>
      </c>
      <c r="L64" s="951"/>
      <c r="M64" s="973">
        <v>500</v>
      </c>
      <c r="N64" s="1092">
        <f t="shared" si="9"/>
        <v>-59750000</v>
      </c>
      <c r="O64" s="952">
        <v>-89370</v>
      </c>
      <c r="P64" s="952"/>
      <c r="Q64" s="952"/>
      <c r="R64" s="1096">
        <f t="shared" si="10"/>
        <v>-59839370</v>
      </c>
      <c r="S64" s="855">
        <v>1314.8661541051692</v>
      </c>
      <c r="T64" s="1101">
        <f t="shared" si="11"/>
        <v>-45509.856507580131</v>
      </c>
      <c r="U64" s="971">
        <v>43640</v>
      </c>
      <c r="V64" s="972" t="s">
        <v>1230</v>
      </c>
      <c r="W64" s="957">
        <v>43635.902118055557</v>
      </c>
      <c r="X64" s="1089">
        <f t="shared" si="12"/>
        <v>0.14957322175732218</v>
      </c>
      <c r="Y64" s="1090" t="e">
        <f>VLOOKUP(V64,'bic broker'!$A$1:$B$14,2,FALSE)</f>
        <v>#N/A</v>
      </c>
      <c r="Z64" s="1090" t="str">
        <f>VLOOKUP(AA64,'place of settlement'!A:C,2,FALSE)</f>
        <v>KSDCKRSEXXX</v>
      </c>
      <c r="AA64" s="1090" t="str">
        <f t="shared" si="13"/>
        <v>KR</v>
      </c>
      <c r="AB64" s="1090" t="str">
        <f t="shared" si="14"/>
        <v>SamsungKR</v>
      </c>
      <c r="AC64" s="1090" t="e">
        <f>VLOOKUP(AB64,sample!$1:$1048576,2,FALSE)</f>
        <v>#N/A</v>
      </c>
      <c r="AD64" s="1090" t="e">
        <f>VLOOKUP($AB64,sample!$1:$1048576,3,FALSE)</f>
        <v>#N/A</v>
      </c>
      <c r="AE64" s="1091" t="e">
        <f>VLOOKUP($AB64,sample!$1:$1048576,4,FALSE)</f>
        <v>#N/A</v>
      </c>
      <c r="AF64" s="1090" t="e">
        <f>VLOOKUP($AB64,sample!$1:$1048576,5,FALSE)</f>
        <v>#N/A</v>
      </c>
      <c r="AL64" s="1091" t="e">
        <f>VLOOKUP($AB64,sample!$1:$1048576,11,FALSE)</f>
        <v>#N/A</v>
      </c>
      <c r="AM64" s="1091" t="e">
        <f>VLOOKUP($AB64,sample!$1:$1048576,12,FALSE)</f>
        <v>#N/A</v>
      </c>
      <c r="AN64" s="1091" t="e">
        <f>VLOOKUP($AB64,sample!$1:$1048576,13,FALSE)</f>
        <v>#N/A</v>
      </c>
      <c r="AP64" s="1111"/>
    </row>
    <row r="65" spans="1:42" ht="14">
      <c r="A65" s="920">
        <v>201900065</v>
      </c>
      <c r="B65" s="947">
        <v>43636</v>
      </c>
      <c r="C65" s="947" t="s">
        <v>137</v>
      </c>
      <c r="D65" s="1108" t="str">
        <f>IFERROR(VLOOKUP(G65,PosAggregate!$B$13:$B$87,1,FALSE),"")</f>
        <v/>
      </c>
      <c r="E65" s="880" t="s">
        <v>1258</v>
      </c>
      <c r="F65" s="1132" t="str">
        <f t="shared" si="3"/>
        <v/>
      </c>
      <c r="G65" s="664" t="s">
        <v>1208</v>
      </c>
      <c r="H65" s="664"/>
      <c r="I65" s="950" t="s">
        <v>1142</v>
      </c>
      <c r="J65" s="950" t="s">
        <v>123</v>
      </c>
      <c r="K65" s="855">
        <v>47200</v>
      </c>
      <c r="L65" s="951"/>
      <c r="M65" s="952">
        <v>1200</v>
      </c>
      <c r="N65" s="1092">
        <f t="shared" si="9"/>
        <v>-56640000</v>
      </c>
      <c r="O65" s="952">
        <v>-84240</v>
      </c>
      <c r="P65" s="952"/>
      <c r="Q65" s="952"/>
      <c r="R65" s="1096">
        <f t="shared" si="10"/>
        <v>-56724240</v>
      </c>
      <c r="S65" s="855">
        <v>1314.866154105169</v>
      </c>
      <c r="T65" s="1101">
        <f t="shared" si="11"/>
        <v>-43140.695212893079</v>
      </c>
      <c r="U65" s="971">
        <v>43640</v>
      </c>
      <c r="V65" s="972" t="s">
        <v>1230</v>
      </c>
      <c r="W65" s="957">
        <v>43635.903657407405</v>
      </c>
      <c r="X65" s="1089">
        <f t="shared" si="12"/>
        <v>0.14872881355932202</v>
      </c>
      <c r="Y65" s="1090" t="e">
        <f>VLOOKUP(V65,'bic broker'!$A$1:$B$14,2,FALSE)</f>
        <v>#N/A</v>
      </c>
      <c r="Z65" s="1090" t="str">
        <f>VLOOKUP(AA65,'place of settlement'!A:C,2,FALSE)</f>
        <v>KSDCKRSEXXX</v>
      </c>
      <c r="AA65" s="1090" t="str">
        <f t="shared" si="13"/>
        <v>KR</v>
      </c>
      <c r="AB65" s="1090" t="str">
        <f t="shared" si="14"/>
        <v>SamsungKR</v>
      </c>
      <c r="AC65" s="1090" t="e">
        <f>VLOOKUP(AB65,sample!$1:$1048576,2,FALSE)</f>
        <v>#N/A</v>
      </c>
      <c r="AD65" s="1090" t="e">
        <f>VLOOKUP($AB65,sample!$1:$1048576,3,FALSE)</f>
        <v>#N/A</v>
      </c>
      <c r="AE65" s="1091" t="e">
        <f>VLOOKUP($AB65,sample!$1:$1048576,4,FALSE)</f>
        <v>#N/A</v>
      </c>
      <c r="AF65" s="1090" t="e">
        <f>VLOOKUP($AB65,sample!$1:$1048576,5,FALSE)</f>
        <v>#N/A</v>
      </c>
      <c r="AL65" s="1091" t="e">
        <f>VLOOKUP($AB65,sample!$1:$1048576,11,FALSE)</f>
        <v>#N/A</v>
      </c>
      <c r="AM65" s="1091" t="e">
        <f>VLOOKUP($AB65,sample!$1:$1048576,12,FALSE)</f>
        <v>#N/A</v>
      </c>
      <c r="AN65" s="1091" t="e">
        <f>VLOOKUP($AB65,sample!$1:$1048576,13,FALSE)</f>
        <v>#N/A</v>
      </c>
      <c r="AP65" s="1111"/>
    </row>
    <row r="66" spans="1:42" ht="14">
      <c r="A66" s="920">
        <v>201900066</v>
      </c>
      <c r="B66" s="947">
        <v>43636</v>
      </c>
      <c r="C66" s="947" t="s">
        <v>137</v>
      </c>
      <c r="D66" s="1108" t="str">
        <f>IFERROR(VLOOKUP(G66,PosAggregate!$B$13:$B$87,1,FALSE),"")</f>
        <v/>
      </c>
      <c r="E66" s="880" t="s">
        <v>1274</v>
      </c>
      <c r="F66" s="1132" t="str">
        <f t="shared" si="3"/>
        <v/>
      </c>
      <c r="G66" s="664" t="s">
        <v>1231</v>
      </c>
      <c r="H66" s="664"/>
      <c r="I66" s="950" t="s">
        <v>1278</v>
      </c>
      <c r="J66" s="950" t="s">
        <v>1102</v>
      </c>
      <c r="K66" s="855">
        <v>1.2777000000000001</v>
      </c>
      <c r="L66" s="951"/>
      <c r="M66" s="952">
        <v>27305</v>
      </c>
      <c r="N66" s="1092">
        <f t="shared" si="9"/>
        <v>-34887.5985</v>
      </c>
      <c r="O66" s="952">
        <v>-27.91</v>
      </c>
      <c r="P66" s="952"/>
      <c r="Q66" s="952"/>
      <c r="R66" s="1096">
        <f t="shared" si="10"/>
        <v>-34915.508500000004</v>
      </c>
      <c r="S66" s="855">
        <v>10.648970200347936</v>
      </c>
      <c r="T66" s="1101">
        <f t="shared" si="11"/>
        <v>-3278.7685422257264</v>
      </c>
      <c r="U66" s="956">
        <v>43641</v>
      </c>
      <c r="V66" s="948" t="s">
        <v>1229</v>
      </c>
      <c r="W66" s="957">
        <v>43636.638509027776</v>
      </c>
      <c r="X66" s="1089">
        <f t="shared" si="12"/>
        <v>7.9999774131773504E-2</v>
      </c>
      <c r="Y66" s="1090" t="str">
        <f>VLOOKUP(V66,'bic broker'!$A$1:$B$14,2,FALSE)</f>
        <v>EMSIITM1XXX</v>
      </c>
      <c r="Z66" s="1090" t="str">
        <f>VLOOKUP(AA66,'place of settlement'!A:C,2,FALSE)</f>
        <v>VPCSSESSXXX</v>
      </c>
      <c r="AA66" s="1090" t="str">
        <f t="shared" si="13"/>
        <v>SE</v>
      </c>
      <c r="AB66" s="1090" t="str">
        <f t="shared" si="14"/>
        <v>EquitaSE</v>
      </c>
      <c r="AC66" s="1090" t="str">
        <f>VLOOKUP(AB66,sample!$1:$1048576,2,FALSE)</f>
        <v>BCITITMMXXX</v>
      </c>
      <c r="AD66" s="1090" t="str">
        <f>VLOOKUP($AB66,sample!$1:$1048576,3,FALSE)</f>
        <v>VPCSSESSXXX</v>
      </c>
      <c r="AE66" s="1091" t="str">
        <f>VLOOKUP($AB66,sample!$1:$1048576,4,FALSE)</f>
        <v>01 100 247 955</v>
      </c>
      <c r="AF66" s="1090" t="str">
        <f>VLOOKUP($AB66,sample!$1:$1048576,5,FALSE)</f>
        <v>N</v>
      </c>
      <c r="AL66" s="1091" t="str">
        <f>VLOOKUP($AB66,sample!$1:$1048576,11,FALSE)</f>
        <v xml:space="preserve">        </v>
      </c>
      <c r="AM66" s="1091" t="str">
        <f>VLOOKUP($AB66,sample!$1:$1048576,12,FALSE)</f>
        <v xml:space="preserve">        </v>
      </c>
      <c r="AN66" s="1091" t="str">
        <f>VLOOKUP($AB66,sample!$1:$1048576,13,FALSE)</f>
        <v>ESSESESSXXX</v>
      </c>
      <c r="AP66" s="1111"/>
    </row>
    <row r="67" spans="1:42" ht="14">
      <c r="A67" s="920">
        <v>201900067</v>
      </c>
      <c r="B67" s="947">
        <v>43640</v>
      </c>
      <c r="C67" s="947" t="s">
        <v>137</v>
      </c>
      <c r="D67" s="1108" t="str">
        <f>IFERROR(VLOOKUP(G67,PosAggregate!$B$13:$B$87,1,FALSE),"")</f>
        <v/>
      </c>
      <c r="E67" s="880" t="s">
        <v>1273</v>
      </c>
      <c r="F67" s="1132" t="str">
        <f t="shared" si="3"/>
        <v/>
      </c>
      <c r="G67" s="664" t="s">
        <v>1209</v>
      </c>
      <c r="H67" s="664"/>
      <c r="I67" s="950" t="s">
        <v>1133</v>
      </c>
      <c r="J67" s="950" t="s">
        <v>1104</v>
      </c>
      <c r="K67" s="855">
        <v>0.83</v>
      </c>
      <c r="L67" s="951"/>
      <c r="M67" s="952">
        <v>35000</v>
      </c>
      <c r="N67" s="1092">
        <f t="shared" si="9"/>
        <v>-29050</v>
      </c>
      <c r="O67" s="952">
        <v>-23.24</v>
      </c>
      <c r="P67" s="952"/>
      <c r="Q67" s="952"/>
      <c r="R67" s="1096">
        <f t="shared" si="10"/>
        <v>-29073.24</v>
      </c>
      <c r="S67" s="855">
        <v>1.6311790077456365</v>
      </c>
      <c r="T67" s="1101">
        <f t="shared" si="11"/>
        <v>-17823.45154145929</v>
      </c>
      <c r="U67" s="956">
        <v>43642</v>
      </c>
      <c r="V67" s="948" t="s">
        <v>1229</v>
      </c>
      <c r="W67" s="957">
        <v>43637.703286342592</v>
      </c>
      <c r="X67" s="1089">
        <f t="shared" si="12"/>
        <v>7.9999999999999988E-2</v>
      </c>
      <c r="Y67" s="1090" t="str">
        <f>VLOOKUP(V67,'bic broker'!$A$1:$B$14,2,FALSE)</f>
        <v>EMSIITM1XXX</v>
      </c>
      <c r="Z67" s="1090" t="str">
        <f>VLOOKUP(AA67,'place of settlement'!A:C,2,FALSE)</f>
        <v>CAETAU21XXX</v>
      </c>
      <c r="AA67" s="1090" t="str">
        <f t="shared" si="13"/>
        <v>AU</v>
      </c>
      <c r="AB67" s="1090" t="str">
        <f t="shared" si="14"/>
        <v>EquitaAU</v>
      </c>
      <c r="AC67" s="1090" t="str">
        <f>VLOOKUP(AB67,sample!$1:$1048576,2,FALSE)</f>
        <v>BCITITMMXXX</v>
      </c>
      <c r="AD67" s="1090" t="str">
        <f>VLOOKUP($AB67,sample!$1:$1048576,3,FALSE)</f>
        <v>CAETAU21XXX</v>
      </c>
      <c r="AE67" s="1091">
        <f>VLOOKUP($AB67,sample!$1:$1048576,4,FALSE)</f>
        <v>2099100983</v>
      </c>
      <c r="AF67" s="1090" t="str">
        <f>VLOOKUP($AB67,sample!$1:$1048576,5,FALSE)</f>
        <v>N</v>
      </c>
      <c r="AL67" s="1091" t="str">
        <f>VLOOKUP($AB67,sample!$1:$1048576,11,FALSE)</f>
        <v xml:space="preserve">        </v>
      </c>
      <c r="AM67" s="1091" t="str">
        <f>VLOOKUP($AB67,sample!$1:$1048576,12,FALSE)</f>
        <v xml:space="preserve">        </v>
      </c>
      <c r="AN67" s="1091" t="str">
        <f>VLOOKUP($AB67,sample!$1:$1048576,13,FALSE)</f>
        <v>CITIAU3XXXX</v>
      </c>
      <c r="AP67" s="1111"/>
    </row>
    <row r="68" spans="1:42" ht="14">
      <c r="A68" s="920">
        <v>201900068</v>
      </c>
      <c r="B68" s="947">
        <v>43640</v>
      </c>
      <c r="C68" s="947" t="s">
        <v>137</v>
      </c>
      <c r="D68" s="1108" t="str">
        <f>IFERROR(VLOOKUP(G68,PosAggregate!$B$13:$B$87,1,FALSE),"")</f>
        <v/>
      </c>
      <c r="E68" s="880" t="s">
        <v>1274</v>
      </c>
      <c r="F68" s="1132" t="str">
        <f t="shared" si="3"/>
        <v/>
      </c>
      <c r="G68" s="664" t="s">
        <v>1231</v>
      </c>
      <c r="H68" s="664"/>
      <c r="I68" s="950" t="s">
        <v>1278</v>
      </c>
      <c r="J68" s="950" t="s">
        <v>1102</v>
      </c>
      <c r="K68" s="855">
        <v>1.0893999999999999</v>
      </c>
      <c r="L68" s="951"/>
      <c r="M68" s="952">
        <v>110000</v>
      </c>
      <c r="N68" s="1092">
        <f t="shared" si="9"/>
        <v>-119833.99999999999</v>
      </c>
      <c r="O68" s="952">
        <v>-95.87</v>
      </c>
      <c r="P68" s="952"/>
      <c r="Q68" s="952"/>
      <c r="R68" s="1096">
        <f t="shared" si="10"/>
        <v>-119929.86999999998</v>
      </c>
      <c r="S68" s="855">
        <v>10.630151525416109</v>
      </c>
      <c r="T68" s="1101">
        <f t="shared" si="11"/>
        <v>-11282.047082137469</v>
      </c>
      <c r="U68" s="956">
        <v>43642</v>
      </c>
      <c r="V68" s="948" t="s">
        <v>1229</v>
      </c>
      <c r="W68" s="957">
        <v>43640.521310763892</v>
      </c>
      <c r="X68" s="1089">
        <f t="shared" si="12"/>
        <v>8.0002336565582408E-2</v>
      </c>
      <c r="Y68" s="1090" t="str">
        <f>VLOOKUP(V68,'bic broker'!$A$1:$B$14,2,FALSE)</f>
        <v>EMSIITM1XXX</v>
      </c>
      <c r="Z68" s="1090" t="str">
        <f>VLOOKUP(AA68,'place of settlement'!A:C,2,FALSE)</f>
        <v>VPCSSESSXXX</v>
      </c>
      <c r="AA68" s="1090" t="str">
        <f t="shared" si="13"/>
        <v>SE</v>
      </c>
      <c r="AB68" s="1090" t="str">
        <f t="shared" si="14"/>
        <v>EquitaSE</v>
      </c>
      <c r="AC68" s="1090" t="str">
        <f>VLOOKUP(AB68,sample!$1:$1048576,2,FALSE)</f>
        <v>BCITITMMXXX</v>
      </c>
      <c r="AD68" s="1090" t="str">
        <f>VLOOKUP($AB68,sample!$1:$1048576,3,FALSE)</f>
        <v>VPCSSESSXXX</v>
      </c>
      <c r="AE68" s="1091" t="str">
        <f>VLOOKUP($AB68,sample!$1:$1048576,4,FALSE)</f>
        <v>01 100 247 955</v>
      </c>
      <c r="AF68" s="1090" t="str">
        <f>VLOOKUP($AB68,sample!$1:$1048576,5,FALSE)</f>
        <v>N</v>
      </c>
      <c r="AL68" s="1091" t="str">
        <f>VLOOKUP($AB68,sample!$1:$1048576,11,FALSE)</f>
        <v xml:space="preserve">        </v>
      </c>
      <c r="AM68" s="1091" t="str">
        <f>VLOOKUP($AB68,sample!$1:$1048576,12,FALSE)</f>
        <v xml:space="preserve">        </v>
      </c>
      <c r="AN68" s="1091" t="str">
        <f>VLOOKUP($AB68,sample!$1:$1048576,13,FALSE)</f>
        <v>ESSESESSXXX</v>
      </c>
      <c r="AP68" s="1111"/>
    </row>
    <row r="69" spans="1:42" ht="14">
      <c r="A69" s="920">
        <v>201900069</v>
      </c>
      <c r="B69" s="947">
        <v>43643</v>
      </c>
      <c r="C69" s="947" t="s">
        <v>137</v>
      </c>
      <c r="D69" s="1108" t="str">
        <f>IFERROR(VLOOKUP(G69,PosAggregate!$B$13:$B$87,1,FALSE),"")</f>
        <v/>
      </c>
      <c r="E69" s="880" t="s">
        <v>1232</v>
      </c>
      <c r="F69" s="1132" t="str">
        <f t="shared" si="3"/>
        <v/>
      </c>
      <c r="G69" s="664" t="s">
        <v>1180</v>
      </c>
      <c r="H69" s="664"/>
      <c r="I69" s="949" t="s">
        <v>1122</v>
      </c>
      <c r="J69" s="950" t="s">
        <v>125</v>
      </c>
      <c r="K69" s="855">
        <v>890</v>
      </c>
      <c r="L69" s="951"/>
      <c r="M69" s="952">
        <v>6700</v>
      </c>
      <c r="N69" s="1092">
        <f t="shared" si="9"/>
        <v>-5963000</v>
      </c>
      <c r="O69" s="952">
        <v>-4770</v>
      </c>
      <c r="P69" s="952"/>
      <c r="Q69" s="952"/>
      <c r="R69" s="1096">
        <f t="shared" si="10"/>
        <v>-5967770</v>
      </c>
      <c r="S69" s="855">
        <v>121.79931582356893</v>
      </c>
      <c r="T69" s="1101">
        <f t="shared" si="11"/>
        <v>-48996.744847438618</v>
      </c>
      <c r="U69" s="956">
        <v>43648</v>
      </c>
      <c r="V69" s="948" t="s">
        <v>1229</v>
      </c>
      <c r="W69" s="957">
        <v>43642.753387268516</v>
      </c>
      <c r="X69" s="1089">
        <f t="shared" si="12"/>
        <v>7.9993291967130634E-2</v>
      </c>
      <c r="Y69" s="1090" t="str">
        <f>VLOOKUP(V69,'bic broker'!$A$1:$B$14,2,FALSE)</f>
        <v>EMSIITM1XXX</v>
      </c>
      <c r="Z69" s="1090" t="str">
        <f>VLOOKUP(AA69,'place of settlement'!A:C,2,FALSE)</f>
        <v>JJSDJPJTXXX</v>
      </c>
      <c r="AA69" s="1090" t="str">
        <f t="shared" si="13"/>
        <v>JP</v>
      </c>
      <c r="AB69" s="1090" t="str">
        <f t="shared" si="14"/>
        <v>EquitaJP</v>
      </c>
      <c r="AC69" s="1090" t="str">
        <f>VLOOKUP(AB69,sample!$1:$1048576,2,FALSE)</f>
        <v>BCITITMMXXX</v>
      </c>
      <c r="AD69" s="1090" t="str">
        <f>VLOOKUP($AB69,sample!$1:$1048576,3,FALSE)</f>
        <v>JJSDJPJTXXX</v>
      </c>
      <c r="AE69" s="1091">
        <f>VLOOKUP($AB69,sample!$1:$1048576,4,FALSE)</f>
        <v>100502629</v>
      </c>
      <c r="AF69" s="1090" t="str">
        <f>VLOOKUP($AB69,sample!$1:$1048576,5,FALSE)</f>
        <v>N</v>
      </c>
      <c r="AL69" s="1091" t="str">
        <f>VLOOKUP($AB69,sample!$1:$1048576,11,FALSE)</f>
        <v xml:space="preserve">        </v>
      </c>
      <c r="AM69" s="1091" t="str">
        <f>VLOOKUP($AB69,sample!$1:$1048576,12,FALSE)</f>
        <v xml:space="preserve">        </v>
      </c>
      <c r="AN69" s="1091" t="str">
        <f>VLOOKUP($AB69,sample!$1:$1048576,13,FALSE)</f>
        <v>BOTKJPJTXXX</v>
      </c>
      <c r="AP69" s="1111"/>
    </row>
    <row r="70" spans="1:42" ht="14">
      <c r="A70" s="920">
        <v>201900070</v>
      </c>
      <c r="B70" s="947">
        <v>43662</v>
      </c>
      <c r="C70" s="947" t="s">
        <v>138</v>
      </c>
      <c r="D70" s="1108" t="str">
        <f>IFERROR(VLOOKUP(G70,PosAggregate!$B$13:$B$87,1,FALSE),"")</f>
        <v/>
      </c>
      <c r="E70" s="880" t="s">
        <v>1258</v>
      </c>
      <c r="F70" s="1132" t="str">
        <f t="shared" si="3"/>
        <v/>
      </c>
      <c r="G70" s="664" t="s">
        <v>1208</v>
      </c>
      <c r="H70" s="664"/>
      <c r="I70" s="950" t="s">
        <v>1142</v>
      </c>
      <c r="J70" s="950" t="s">
        <v>123</v>
      </c>
      <c r="K70" s="855">
        <v>67739</v>
      </c>
      <c r="L70" s="951"/>
      <c r="M70" s="952">
        <v>-2200</v>
      </c>
      <c r="N70" s="1092">
        <f t="shared" si="9"/>
        <v>149025800</v>
      </c>
      <c r="O70" s="990">
        <v>-223539</v>
      </c>
      <c r="P70" s="991">
        <v>-372543</v>
      </c>
      <c r="Q70" s="952"/>
      <c r="R70" s="1100">
        <f t="shared" si="10"/>
        <v>148429718</v>
      </c>
      <c r="S70" s="855">
        <v>1327.6560776279359</v>
      </c>
      <c r="T70" s="1101">
        <f t="shared" si="11"/>
        <v>111798.31923429505</v>
      </c>
      <c r="U70" s="956">
        <v>43664</v>
      </c>
      <c r="V70" s="972" t="s">
        <v>1230</v>
      </c>
      <c r="W70" s="993"/>
      <c r="X70" s="1089">
        <f t="shared" si="12"/>
        <v>-0.15000020130742461</v>
      </c>
      <c r="Y70" s="1090" t="e">
        <f>VLOOKUP(V70,'bic broker'!$A$1:$B$14,2,FALSE)</f>
        <v>#N/A</v>
      </c>
      <c r="Z70" s="1090" t="str">
        <f>VLOOKUP(AA70,'place of settlement'!A:C,2,FALSE)</f>
        <v>KSDCKRSEXXX</v>
      </c>
      <c r="AA70" s="1090" t="str">
        <f t="shared" si="13"/>
        <v>KR</v>
      </c>
      <c r="AB70" s="1090" t="str">
        <f t="shared" si="14"/>
        <v>SamsungKR</v>
      </c>
      <c r="AC70" s="1090" t="e">
        <f>VLOOKUP(AB70,sample!$1:$1048576,2,FALSE)</f>
        <v>#N/A</v>
      </c>
      <c r="AD70" s="1090" t="e">
        <f>VLOOKUP($AB70,sample!$1:$1048576,3,FALSE)</f>
        <v>#N/A</v>
      </c>
      <c r="AE70" s="1091" t="e">
        <f>VLOOKUP($AB70,sample!$1:$1048576,4,FALSE)</f>
        <v>#N/A</v>
      </c>
      <c r="AF70" s="1090" t="e">
        <f>VLOOKUP($AB70,sample!$1:$1048576,5,FALSE)</f>
        <v>#N/A</v>
      </c>
      <c r="AL70" s="1091" t="e">
        <f>VLOOKUP($AB70,sample!$1:$1048576,11,FALSE)</f>
        <v>#N/A</v>
      </c>
      <c r="AM70" s="1091" t="e">
        <f>VLOOKUP($AB70,sample!$1:$1048576,12,FALSE)</f>
        <v>#N/A</v>
      </c>
      <c r="AN70" s="1091" t="e">
        <f>VLOOKUP($AB70,sample!$1:$1048576,13,FALSE)</f>
        <v>#N/A</v>
      </c>
      <c r="AP70" s="1111"/>
    </row>
    <row r="71" spans="1:42" ht="14">
      <c r="A71" s="920">
        <v>201900071</v>
      </c>
      <c r="B71" s="947">
        <v>43662</v>
      </c>
      <c r="C71" s="947" t="s">
        <v>137</v>
      </c>
      <c r="D71" s="1108" t="str">
        <f>IFERROR(VLOOKUP(G71,PosAggregate!$B$13:$B$87,1,FALSE),"")</f>
        <v/>
      </c>
      <c r="E71" s="880" t="s">
        <v>1261</v>
      </c>
      <c r="F71" s="1132" t="str">
        <f t="shared" si="3"/>
        <v/>
      </c>
      <c r="G71" s="664" t="s">
        <v>1212</v>
      </c>
      <c r="H71" s="664"/>
      <c r="I71" s="950" t="s">
        <v>1099</v>
      </c>
      <c r="J71" s="950" t="s">
        <v>2</v>
      </c>
      <c r="K71" s="855">
        <v>52.545499999999997</v>
      </c>
      <c r="L71" s="951"/>
      <c r="M71" s="952">
        <v>550</v>
      </c>
      <c r="N71" s="1092">
        <f t="shared" si="9"/>
        <v>-28900.024999999998</v>
      </c>
      <c r="O71" s="952">
        <v>-23.13</v>
      </c>
      <c r="P71" s="952">
        <v>-86.7</v>
      </c>
      <c r="Q71" s="952"/>
      <c r="R71" s="1096">
        <f t="shared" si="10"/>
        <v>-29009.855</v>
      </c>
      <c r="S71" s="855">
        <v>1</v>
      </c>
      <c r="T71" s="1101">
        <f t="shared" si="11"/>
        <v>-29009.855</v>
      </c>
      <c r="U71" s="956">
        <v>43664</v>
      </c>
      <c r="V71" s="948" t="s">
        <v>1229</v>
      </c>
      <c r="W71" s="957">
        <v>43662.661953240742</v>
      </c>
      <c r="X71" s="1089">
        <f t="shared" si="12"/>
        <v>8.0034532842099618E-2</v>
      </c>
      <c r="Y71" s="1090" t="str">
        <f>VLOOKUP(V71,'bic broker'!$A$1:$B$14,2,FALSE)</f>
        <v>EMSIITM1XXX</v>
      </c>
      <c r="Z71" s="1090" t="str">
        <f>VLOOKUP(AA71,'place of settlement'!A:C,2,FALSE)</f>
        <v>SICVFRPPXXX</v>
      </c>
      <c r="AA71" s="1090" t="str">
        <f t="shared" si="13"/>
        <v>FR</v>
      </c>
      <c r="AB71" s="1090" t="str">
        <f t="shared" si="14"/>
        <v>EquitaFR</v>
      </c>
      <c r="AC71" s="1090" t="str">
        <f>VLOOKUP(AB71,sample!$1:$1048576,2,FALSE)</f>
        <v>EMSIITM1XXX</v>
      </c>
      <c r="AD71" s="1090" t="str">
        <f>VLOOKUP($AB71,sample!$1:$1048576,3,FALSE)</f>
        <v>SICVFRPPXXX</v>
      </c>
      <c r="AE71" s="1091" t="str">
        <f>VLOOKUP($AB71,sample!$1:$1048576,4,FALSE)</f>
        <v>SICVBCITITMMD00000L10</v>
      </c>
      <c r="AF71" s="1090" t="str">
        <f>VLOOKUP($AB71,sample!$1:$1048576,5,FALSE)</f>
        <v>N</v>
      </c>
      <c r="AL71" s="1091" t="str">
        <f>VLOOKUP($AB71,sample!$1:$1048576,11,FALSE)</f>
        <v xml:space="preserve">        </v>
      </c>
      <c r="AM71" s="1091" t="str">
        <f>VLOOKUP($AB71,sample!$1:$1048576,12,FALSE)</f>
        <v xml:space="preserve">        </v>
      </c>
      <c r="AN71" s="1091" t="str">
        <f>VLOOKUP($AB71,sample!$1:$1048576,13,FALSE)</f>
        <v>BCITITMMD00</v>
      </c>
      <c r="AP71" s="1111"/>
    </row>
    <row r="72" spans="1:42" ht="14">
      <c r="A72" s="920">
        <v>201900072</v>
      </c>
      <c r="B72" s="947">
        <v>43662</v>
      </c>
      <c r="C72" s="947" t="s">
        <v>137</v>
      </c>
      <c r="D72" s="1108" t="str">
        <f>IFERROR(VLOOKUP(G72,PosAggregate!$B$13:$B$87,1,FALSE),"")</f>
        <v/>
      </c>
      <c r="E72" s="880" t="s">
        <v>1271</v>
      </c>
      <c r="F72" s="1132" t="str">
        <f t="shared" si="3"/>
        <v/>
      </c>
      <c r="G72" s="664" t="s">
        <v>1222</v>
      </c>
      <c r="H72" s="664"/>
      <c r="I72" s="950" t="s">
        <v>1228</v>
      </c>
      <c r="J72" s="950" t="s">
        <v>3</v>
      </c>
      <c r="K72" s="855">
        <v>7.2232000000000003</v>
      </c>
      <c r="L72" s="951"/>
      <c r="M72" s="952">
        <v>3000</v>
      </c>
      <c r="N72" s="1092">
        <f t="shared" si="9"/>
        <v>-21669.600000000002</v>
      </c>
      <c r="O72" s="952">
        <v>-17.34</v>
      </c>
      <c r="P72" s="952"/>
      <c r="Q72" s="952"/>
      <c r="R72" s="1096">
        <f t="shared" si="10"/>
        <v>-21686.940000000002</v>
      </c>
      <c r="S72" s="855">
        <v>1.1256951167345834</v>
      </c>
      <c r="T72" s="1101">
        <f t="shared" si="11"/>
        <v>-19265.376279600005</v>
      </c>
      <c r="U72" s="956">
        <v>43664</v>
      </c>
      <c r="V72" s="948" t="s">
        <v>1229</v>
      </c>
      <c r="W72" s="957">
        <v>43662.663292824072</v>
      </c>
      <c r="X72" s="1089">
        <f t="shared" si="12"/>
        <v>8.0019935762542904E-2</v>
      </c>
      <c r="Y72" s="1090" t="str">
        <f>VLOOKUP(V72,'bic broker'!$A$1:$B$14,2,FALSE)</f>
        <v>EMSIITM1XXX</v>
      </c>
      <c r="Z72" s="1090" t="str">
        <f>VLOOKUP(AA72,'place of settlement'!A:C,2,FALSE)</f>
        <v>DTCYUS33XXX</v>
      </c>
      <c r="AA72" s="1090" t="str">
        <f t="shared" si="13"/>
        <v>US</v>
      </c>
      <c r="AB72" s="1090" t="str">
        <f t="shared" si="14"/>
        <v>EquitaUS</v>
      </c>
      <c r="AC72" s="1090" t="str">
        <f>VLOOKUP(AB72,sample!$1:$1048576,2,FALSE)</f>
        <v>BCITITMMXXX</v>
      </c>
      <c r="AD72" s="1090" t="str">
        <f>VLOOKUP($AB72,sample!$1:$1048576,3,FALSE)</f>
        <v>DTCYUS33XXX</v>
      </c>
      <c r="AE72" s="1091">
        <f>VLOOKUP($AB72,sample!$1:$1048576,4,FALSE)</f>
        <v>236707</v>
      </c>
      <c r="AF72" s="1090" t="str">
        <f>VLOOKUP($AB72,sample!$1:$1048576,5,FALSE)</f>
        <v>N</v>
      </c>
      <c r="AL72" s="1091" t="str">
        <f>VLOOKUP($AB72,sample!$1:$1048576,11,FALSE)</f>
        <v>DTCYID</v>
      </c>
      <c r="AM72" s="1091">
        <f>VLOOKUP($AB72,sample!$1:$1048576,12,FALSE)</f>
        <v>908</v>
      </c>
      <c r="AN72" s="1091" t="str">
        <f>VLOOKUP($AB72,sample!$1:$1048576,13,FALSE)</f>
        <v xml:space="preserve">        </v>
      </c>
      <c r="AP72" s="1111"/>
    </row>
    <row r="73" spans="1:42" ht="14">
      <c r="A73" s="920">
        <v>201900073</v>
      </c>
      <c r="B73" s="947">
        <v>43663</v>
      </c>
      <c r="C73" s="947" t="s">
        <v>137</v>
      </c>
      <c r="D73" s="1108" t="str">
        <f>IFERROR(VLOOKUP(G73,PosAggregate!$B$13:$B$87,1,FALSE),"")</f>
        <v/>
      </c>
      <c r="E73" s="880" t="s">
        <v>1232</v>
      </c>
      <c r="F73" s="1132" t="str">
        <f t="shared" si="3"/>
        <v/>
      </c>
      <c r="G73" s="664" t="s">
        <v>1180</v>
      </c>
      <c r="H73" s="664"/>
      <c r="I73" s="949" t="s">
        <v>1122</v>
      </c>
      <c r="J73" s="950" t="s">
        <v>125</v>
      </c>
      <c r="K73" s="855">
        <v>915.7</v>
      </c>
      <c r="L73" s="951"/>
      <c r="M73" s="952">
        <v>4200</v>
      </c>
      <c r="N73" s="1092">
        <f t="shared" si="9"/>
        <v>-3845940</v>
      </c>
      <c r="O73" s="952">
        <v>3077</v>
      </c>
      <c r="P73" s="952"/>
      <c r="Q73" s="952"/>
      <c r="R73" s="1096">
        <f t="shared" si="10"/>
        <v>-3842863</v>
      </c>
      <c r="S73" s="855">
        <v>121.46250309566152</v>
      </c>
      <c r="T73" s="1101">
        <f t="shared" si="11"/>
        <v>-31638.266148470819</v>
      </c>
      <c r="U73" s="956">
        <v>43665</v>
      </c>
      <c r="V73" s="948" t="s">
        <v>1229</v>
      </c>
      <c r="W73" s="957">
        <v>43662.665708680557</v>
      </c>
      <c r="X73" s="1089">
        <f t="shared" si="12"/>
        <v>-8.0006448358528728E-2</v>
      </c>
      <c r="Y73" s="1090" t="str">
        <f>VLOOKUP(V73,'bic broker'!$A$1:$B$14,2,FALSE)</f>
        <v>EMSIITM1XXX</v>
      </c>
      <c r="Z73" s="1090" t="str">
        <f>VLOOKUP(AA73,'place of settlement'!A:C,2,FALSE)</f>
        <v>JJSDJPJTXXX</v>
      </c>
      <c r="AA73" s="1090" t="str">
        <f t="shared" si="13"/>
        <v>JP</v>
      </c>
      <c r="AB73" s="1090" t="str">
        <f t="shared" si="14"/>
        <v>EquitaJP</v>
      </c>
      <c r="AC73" s="1090" t="str">
        <f>VLOOKUP(AB73,sample!$1:$1048576,2,FALSE)</f>
        <v>BCITITMMXXX</v>
      </c>
      <c r="AD73" s="1090" t="str">
        <f>VLOOKUP($AB73,sample!$1:$1048576,3,FALSE)</f>
        <v>JJSDJPJTXXX</v>
      </c>
      <c r="AE73" s="1091">
        <f>VLOOKUP($AB73,sample!$1:$1048576,4,FALSE)</f>
        <v>100502629</v>
      </c>
      <c r="AF73" s="1090" t="str">
        <f>VLOOKUP($AB73,sample!$1:$1048576,5,FALSE)</f>
        <v>N</v>
      </c>
      <c r="AL73" s="1091" t="str">
        <f>VLOOKUP($AB73,sample!$1:$1048576,11,FALSE)</f>
        <v xml:space="preserve">        </v>
      </c>
      <c r="AM73" s="1091" t="str">
        <f>VLOOKUP($AB73,sample!$1:$1048576,12,FALSE)</f>
        <v xml:space="preserve">        </v>
      </c>
      <c r="AN73" s="1091" t="str">
        <f>VLOOKUP($AB73,sample!$1:$1048576,13,FALSE)</f>
        <v>BOTKJPJTXXX</v>
      </c>
      <c r="AP73" s="1111"/>
    </row>
    <row r="74" spans="1:42" ht="14">
      <c r="A74" s="920">
        <v>201900074</v>
      </c>
      <c r="B74" s="947">
        <v>43663</v>
      </c>
      <c r="C74" s="947" t="s">
        <v>137</v>
      </c>
      <c r="D74" s="1108" t="str">
        <f>IFERROR(VLOOKUP(G74,PosAggregate!$B$13:$B$87,1,FALSE),"")</f>
        <v/>
      </c>
      <c r="E74" s="880" t="s">
        <v>1263</v>
      </c>
      <c r="F74" s="1132" t="str">
        <f t="shared" si="3"/>
        <v/>
      </c>
      <c r="G74" s="664" t="s">
        <v>1214</v>
      </c>
      <c r="H74" s="664"/>
      <c r="I74" s="950" t="s">
        <v>1097</v>
      </c>
      <c r="J74" s="950" t="s">
        <v>2</v>
      </c>
      <c r="K74" s="855">
        <v>25.222000000000001</v>
      </c>
      <c r="L74" s="951"/>
      <c r="M74" s="952">
        <v>1000</v>
      </c>
      <c r="N74" s="1092">
        <f t="shared" si="9"/>
        <v>-25222</v>
      </c>
      <c r="O74" s="952">
        <v>-20.18</v>
      </c>
      <c r="P74" s="952">
        <v>-75.67</v>
      </c>
      <c r="Q74" s="952"/>
      <c r="R74" s="1096">
        <f t="shared" si="10"/>
        <v>-25317.85</v>
      </c>
      <c r="S74" s="855">
        <v>1</v>
      </c>
      <c r="T74" s="1101">
        <f t="shared" si="11"/>
        <v>-25317.85</v>
      </c>
      <c r="U74" s="956">
        <v>43665</v>
      </c>
      <c r="V74" s="948" t="s">
        <v>1229</v>
      </c>
      <c r="W74" s="957">
        <v>43663.661126620369</v>
      </c>
      <c r="X74" s="1089">
        <f t="shared" si="12"/>
        <v>8.0009515502339229E-2</v>
      </c>
      <c r="Y74" s="1090" t="str">
        <f>VLOOKUP(V74,'bic broker'!$A$1:$B$14,2,FALSE)</f>
        <v>EMSIITM1XXX</v>
      </c>
      <c r="Z74" s="1090" t="str">
        <f>VLOOKUP(AA74,'place of settlement'!A:C,2,FALSE)</f>
        <v>SICVFRPPXXX</v>
      </c>
      <c r="AA74" s="1090" t="str">
        <f t="shared" si="13"/>
        <v>FR</v>
      </c>
      <c r="AB74" s="1090" t="str">
        <f t="shared" si="14"/>
        <v>EquitaFR</v>
      </c>
      <c r="AC74" s="1090" t="str">
        <f>VLOOKUP(AB74,sample!$1:$1048576,2,FALSE)</f>
        <v>EMSIITM1XXX</v>
      </c>
      <c r="AD74" s="1090" t="str">
        <f>VLOOKUP($AB74,sample!$1:$1048576,3,FALSE)</f>
        <v>SICVFRPPXXX</v>
      </c>
      <c r="AE74" s="1091" t="str">
        <f>VLOOKUP($AB74,sample!$1:$1048576,4,FALSE)</f>
        <v>SICVBCITITMMD00000L10</v>
      </c>
      <c r="AF74" s="1090" t="str">
        <f>VLOOKUP($AB74,sample!$1:$1048576,5,FALSE)</f>
        <v>N</v>
      </c>
      <c r="AL74" s="1091" t="str">
        <f>VLOOKUP($AB74,sample!$1:$1048576,11,FALSE)</f>
        <v xml:space="preserve">        </v>
      </c>
      <c r="AM74" s="1091" t="str">
        <f>VLOOKUP($AB74,sample!$1:$1048576,12,FALSE)</f>
        <v xml:space="preserve">        </v>
      </c>
      <c r="AN74" s="1091" t="str">
        <f>VLOOKUP($AB74,sample!$1:$1048576,13,FALSE)</f>
        <v>BCITITMMD00</v>
      </c>
      <c r="AP74" s="1111"/>
    </row>
    <row r="75" spans="1:42" ht="14">
      <c r="A75" s="920">
        <v>201900075</v>
      </c>
      <c r="B75" s="947">
        <v>43663</v>
      </c>
      <c r="C75" s="947" t="s">
        <v>137</v>
      </c>
      <c r="D75" s="1108" t="str">
        <f>IFERROR(VLOOKUP(G75,PosAggregate!$B$13:$B$87,1,FALSE),"")</f>
        <v/>
      </c>
      <c r="E75" s="880" t="s">
        <v>1264</v>
      </c>
      <c r="F75" s="1132" t="str">
        <f t="shared" si="3"/>
        <v/>
      </c>
      <c r="G75" s="664" t="s">
        <v>1215</v>
      </c>
      <c r="H75" s="664"/>
      <c r="I75" s="950" t="s">
        <v>1095</v>
      </c>
      <c r="J75" s="950" t="s">
        <v>2</v>
      </c>
      <c r="K75" s="855">
        <v>118.1623</v>
      </c>
      <c r="L75" s="951"/>
      <c r="M75" s="952">
        <v>200</v>
      </c>
      <c r="N75" s="1092">
        <f t="shared" si="9"/>
        <v>-23632.46</v>
      </c>
      <c r="O75" s="952">
        <v>-18.91</v>
      </c>
      <c r="P75" s="952"/>
      <c r="Q75" s="952"/>
      <c r="R75" s="1096">
        <f t="shared" si="10"/>
        <v>-23651.37</v>
      </c>
      <c r="S75" s="855">
        <v>1</v>
      </c>
      <c r="T75" s="1101">
        <f t="shared" si="11"/>
        <v>-23651.37</v>
      </c>
      <c r="U75" s="956">
        <v>43665</v>
      </c>
      <c r="V75" s="948" t="s">
        <v>1229</v>
      </c>
      <c r="W75" s="957">
        <v>43663.670086226855</v>
      </c>
      <c r="X75" s="1089">
        <f t="shared" si="12"/>
        <v>8.0017061279274354E-2</v>
      </c>
      <c r="Y75" s="1090" t="str">
        <f>VLOOKUP(V75,'bic broker'!$A$1:$B$14,2,FALSE)</f>
        <v>EMSIITM1XXX</v>
      </c>
      <c r="Z75" s="1090" t="str">
        <f>VLOOKUP(AA75,'place of settlement'!A:C,2,FALSE)</f>
        <v>DAKVDEFFXXX</v>
      </c>
      <c r="AA75" s="1090" t="str">
        <f t="shared" si="13"/>
        <v>DE</v>
      </c>
      <c r="AB75" s="1090" t="str">
        <f t="shared" si="14"/>
        <v>EquitaDE</v>
      </c>
      <c r="AC75" s="1090" t="str">
        <f>VLOOKUP(AB75,sample!$1:$1048576,2,FALSE)</f>
        <v>EMSIITM1XXX</v>
      </c>
      <c r="AD75" s="1090" t="str">
        <f>VLOOKUP($AB75,sample!$1:$1048576,3,FALSE)</f>
        <v>DAKVDEFFXXX</v>
      </c>
      <c r="AE75" s="1091" t="str">
        <f>VLOOKUP($AB75,sample!$1:$1048576,4,FALSE)</f>
        <v>DAKV8135000</v>
      </c>
      <c r="AF75" s="1090" t="str">
        <f>VLOOKUP($AB75,sample!$1:$1048576,5,FALSE)</f>
        <v>N</v>
      </c>
      <c r="AL75" s="1091" t="str">
        <f>VLOOKUP($AB75,sample!$1:$1048576,11,FALSE)</f>
        <v xml:space="preserve">        </v>
      </c>
      <c r="AM75" s="1091" t="str">
        <f>VLOOKUP($AB75,sample!$1:$1048576,12,FALSE)</f>
        <v xml:space="preserve">        </v>
      </c>
      <c r="AN75" s="1091" t="str">
        <f>VLOOKUP($AB75,sample!$1:$1048576,13,FALSE)</f>
        <v>BCITITMMD03</v>
      </c>
      <c r="AP75" s="1111"/>
    </row>
    <row r="76" spans="1:42" ht="14">
      <c r="A76" s="920">
        <v>201900076</v>
      </c>
      <c r="B76" s="947">
        <v>43665</v>
      </c>
      <c r="C76" s="947" t="s">
        <v>137</v>
      </c>
      <c r="D76" s="1108" t="str">
        <f>IFERROR(VLOOKUP(G76,PosAggregate!$B$13:$B$87,1,FALSE),"")</f>
        <v/>
      </c>
      <c r="E76" s="880" t="s">
        <v>1272</v>
      </c>
      <c r="F76" s="1132" t="str">
        <f t="shared" ref="F76:F139" si="15">IF(D76=G76,"YES","")</f>
        <v/>
      </c>
      <c r="G76" s="664" t="s">
        <v>1224</v>
      </c>
      <c r="H76" s="664"/>
      <c r="I76" s="950" t="s">
        <v>1130</v>
      </c>
      <c r="J76" s="950" t="s">
        <v>3</v>
      </c>
      <c r="K76" s="855">
        <v>16.154900000000001</v>
      </c>
      <c r="L76" s="951"/>
      <c r="M76" s="952">
        <v>1700</v>
      </c>
      <c r="N76" s="1092">
        <f t="shared" si="9"/>
        <v>-27463.33</v>
      </c>
      <c r="O76" s="952">
        <v>-21.97</v>
      </c>
      <c r="P76" s="952"/>
      <c r="Q76" s="952"/>
      <c r="R76" s="1096">
        <f t="shared" si="10"/>
        <v>-27485.300000000003</v>
      </c>
      <c r="S76" s="855">
        <v>1.1274974067559644</v>
      </c>
      <c r="T76" s="1101">
        <f t="shared" si="11"/>
        <v>-24377.262276000001</v>
      </c>
      <c r="U76" s="956">
        <v>43669</v>
      </c>
      <c r="V76" s="948" t="s">
        <v>1229</v>
      </c>
      <c r="W76" s="957">
        <v>43665.597659143517</v>
      </c>
      <c r="X76" s="1089">
        <f t="shared" si="12"/>
        <v>7.9997582230559791E-2</v>
      </c>
      <c r="Y76" s="1090" t="str">
        <f>VLOOKUP(V76,'bic broker'!$A$1:$B$14,2,FALSE)</f>
        <v>EMSIITM1XXX</v>
      </c>
      <c r="Z76" s="1090" t="str">
        <f>VLOOKUP(AA76,'place of settlement'!A:C,2,FALSE)</f>
        <v>DTCYUS33XXX</v>
      </c>
      <c r="AA76" s="1090" t="str">
        <f t="shared" si="13"/>
        <v>US</v>
      </c>
      <c r="AB76" s="1090" t="str">
        <f t="shared" si="14"/>
        <v>EquitaUS</v>
      </c>
      <c r="AC76" s="1090" t="str">
        <f>VLOOKUP(AB76,sample!$1:$1048576,2,FALSE)</f>
        <v>BCITITMMXXX</v>
      </c>
      <c r="AD76" s="1090" t="str">
        <f>VLOOKUP($AB76,sample!$1:$1048576,3,FALSE)</f>
        <v>DTCYUS33XXX</v>
      </c>
      <c r="AE76" s="1091">
        <f>VLOOKUP($AB76,sample!$1:$1048576,4,FALSE)</f>
        <v>236707</v>
      </c>
      <c r="AF76" s="1090" t="str">
        <f>VLOOKUP($AB76,sample!$1:$1048576,5,FALSE)</f>
        <v>N</v>
      </c>
      <c r="AL76" s="1091" t="str">
        <f>VLOOKUP($AB76,sample!$1:$1048576,11,FALSE)</f>
        <v>DTCYID</v>
      </c>
      <c r="AM76" s="1091">
        <f>VLOOKUP($AB76,sample!$1:$1048576,12,FALSE)</f>
        <v>908</v>
      </c>
      <c r="AN76" s="1091" t="str">
        <f>VLOOKUP($AB76,sample!$1:$1048576,13,FALSE)</f>
        <v xml:space="preserve">        </v>
      </c>
      <c r="AP76" s="1111"/>
    </row>
    <row r="77" spans="1:42" ht="14">
      <c r="A77" s="920">
        <v>201900077</v>
      </c>
      <c r="B77" s="947">
        <v>43670</v>
      </c>
      <c r="C77" s="947" t="s">
        <v>137</v>
      </c>
      <c r="D77" s="1108" t="str">
        <f>IFERROR(VLOOKUP(G77,PosAggregate!$B$13:$B$87,1,FALSE),"")</f>
        <v/>
      </c>
      <c r="E77" s="880" t="s">
        <v>1670</v>
      </c>
      <c r="F77" s="1132" t="str">
        <f t="shared" si="15"/>
        <v/>
      </c>
      <c r="G77" s="664" t="s">
        <v>1632</v>
      </c>
      <c r="H77" s="664"/>
      <c r="I77" s="950" t="s">
        <v>1642</v>
      </c>
      <c r="J77" s="950" t="s">
        <v>2</v>
      </c>
      <c r="K77" s="855">
        <v>26.791699999999999</v>
      </c>
      <c r="L77" s="951"/>
      <c r="M77" s="952">
        <v>1120</v>
      </c>
      <c r="N77" s="1092">
        <f t="shared" si="9"/>
        <v>-30006.703999999998</v>
      </c>
      <c r="O77" s="952">
        <v>-24.01</v>
      </c>
      <c r="P77" s="952"/>
      <c r="Q77" s="952"/>
      <c r="R77" s="1096">
        <f t="shared" si="10"/>
        <v>-30030.713999999996</v>
      </c>
      <c r="S77" s="855">
        <v>1</v>
      </c>
      <c r="T77" s="1101">
        <f t="shared" si="11"/>
        <v>-30030.713999999996</v>
      </c>
      <c r="U77" s="956">
        <v>43672</v>
      </c>
      <c r="V77" s="948" t="s">
        <v>1229</v>
      </c>
      <c r="W77" s="957">
        <v>43670.510366203707</v>
      </c>
      <c r="X77" s="1089">
        <f t="shared" si="12"/>
        <v>8.0015452546870869E-2</v>
      </c>
      <c r="Y77" s="1090" t="str">
        <f>VLOOKUP(V77,'bic broker'!$A$1:$B$14,2,FALSE)</f>
        <v>EMSIITM1XXX</v>
      </c>
      <c r="Z77" s="1090" t="str">
        <f>VLOOKUP(AA77,'place of settlement'!A:C,2,FALSE)</f>
        <v>DAKVDEFFXXX</v>
      </c>
      <c r="AA77" s="1090" t="str">
        <f t="shared" si="13"/>
        <v>DE</v>
      </c>
      <c r="AB77" s="1090" t="str">
        <f t="shared" si="14"/>
        <v>EquitaDE</v>
      </c>
      <c r="AC77" s="1090" t="str">
        <f>VLOOKUP(AB77,sample!$1:$1048576,2,FALSE)</f>
        <v>EMSIITM1XXX</v>
      </c>
      <c r="AD77" s="1090" t="str">
        <f>VLOOKUP($AB77,sample!$1:$1048576,3,FALSE)</f>
        <v>DAKVDEFFXXX</v>
      </c>
      <c r="AE77" s="1091" t="str">
        <f>VLOOKUP($AB77,sample!$1:$1048576,4,FALSE)</f>
        <v>DAKV8135000</v>
      </c>
      <c r="AF77" s="1090" t="str">
        <f>VLOOKUP($AB77,sample!$1:$1048576,5,FALSE)</f>
        <v>N</v>
      </c>
      <c r="AL77" s="1091" t="str">
        <f>VLOOKUP($AB77,sample!$1:$1048576,11,FALSE)</f>
        <v xml:space="preserve">        </v>
      </c>
      <c r="AM77" s="1091" t="str">
        <f>VLOOKUP($AB77,sample!$1:$1048576,12,FALSE)</f>
        <v xml:space="preserve">        </v>
      </c>
      <c r="AN77" s="1091" t="str">
        <f>VLOOKUP($AB77,sample!$1:$1048576,13,FALSE)</f>
        <v>BCITITMMD03</v>
      </c>
      <c r="AP77" s="1111"/>
    </row>
    <row r="78" spans="1:42" ht="14">
      <c r="A78" s="920">
        <v>201900078</v>
      </c>
      <c r="B78" s="947">
        <v>43670</v>
      </c>
      <c r="C78" s="947" t="s">
        <v>137</v>
      </c>
      <c r="D78" s="1108" t="str">
        <f>IFERROR(VLOOKUP(G78,PosAggregate!$B$13:$B$87,1,FALSE),"")</f>
        <v/>
      </c>
      <c r="E78" s="880" t="s">
        <v>1671</v>
      </c>
      <c r="F78" s="1132" t="str">
        <f t="shared" si="15"/>
        <v/>
      </c>
      <c r="G78" s="664" t="s">
        <v>1641</v>
      </c>
      <c r="H78" s="664"/>
      <c r="I78" s="950" t="s">
        <v>1645</v>
      </c>
      <c r="J78" s="950" t="s">
        <v>3</v>
      </c>
      <c r="K78" s="855">
        <v>20.86</v>
      </c>
      <c r="L78" s="951"/>
      <c r="M78" s="952">
        <v>1700</v>
      </c>
      <c r="N78" s="1092">
        <f t="shared" si="9"/>
        <v>-35462</v>
      </c>
      <c r="O78" s="952">
        <v>-28.37</v>
      </c>
      <c r="P78" s="952"/>
      <c r="Q78" s="952"/>
      <c r="R78" s="1096">
        <f t="shared" si="10"/>
        <v>-35490.370000000003</v>
      </c>
      <c r="S78" s="855">
        <v>1.1138958507379559</v>
      </c>
      <c r="T78" s="1101">
        <f t="shared" si="11"/>
        <v>-31861.479667500003</v>
      </c>
      <c r="U78" s="956">
        <v>43672</v>
      </c>
      <c r="V78" s="948" t="s">
        <v>1229</v>
      </c>
      <c r="W78" s="957">
        <v>43671.515149999999</v>
      </c>
      <c r="X78" s="1089">
        <f t="shared" si="12"/>
        <v>8.0001127967965713E-2</v>
      </c>
      <c r="Y78" s="1090" t="str">
        <f>VLOOKUP(V78,'bic broker'!$A$1:$B$14,2,FALSE)</f>
        <v>EMSIITM1XXX</v>
      </c>
      <c r="Z78" s="1090" t="str">
        <f>VLOOKUP(AA78,'place of settlement'!A:C,2,FALSE)</f>
        <v>DTCYUS33XXX</v>
      </c>
      <c r="AA78" s="1090" t="str">
        <f t="shared" si="13"/>
        <v>US</v>
      </c>
      <c r="AB78" s="1090" t="str">
        <f t="shared" si="14"/>
        <v>EquitaUS</v>
      </c>
      <c r="AC78" s="1090" t="str">
        <f>VLOOKUP(AB78,sample!$1:$1048576,2,FALSE)</f>
        <v>BCITITMMXXX</v>
      </c>
      <c r="AD78" s="1090" t="str">
        <f>VLOOKUP($AB78,sample!$1:$1048576,3,FALSE)</f>
        <v>DTCYUS33XXX</v>
      </c>
      <c r="AE78" s="1091">
        <f>VLOOKUP($AB78,sample!$1:$1048576,4,FALSE)</f>
        <v>236707</v>
      </c>
      <c r="AF78" s="1090" t="str">
        <f>VLOOKUP($AB78,sample!$1:$1048576,5,FALSE)</f>
        <v>N</v>
      </c>
      <c r="AL78" s="1091" t="str">
        <f>VLOOKUP($AB78,sample!$1:$1048576,11,FALSE)</f>
        <v>DTCYID</v>
      </c>
      <c r="AM78" s="1091">
        <f>VLOOKUP($AB78,sample!$1:$1048576,12,FALSE)</f>
        <v>908</v>
      </c>
      <c r="AN78" s="1091" t="str">
        <f>VLOOKUP($AB78,sample!$1:$1048576,13,FALSE)</f>
        <v xml:space="preserve">        </v>
      </c>
      <c r="AP78" s="1111"/>
    </row>
    <row r="79" spans="1:42" ht="14">
      <c r="A79" s="920">
        <v>201900079</v>
      </c>
      <c r="B79" s="947">
        <v>43671</v>
      </c>
      <c r="C79" s="947" t="s">
        <v>137</v>
      </c>
      <c r="D79" s="1108" t="str">
        <f>IFERROR(VLOOKUP(G79,PosAggregate!$B$13:$B$87,1,FALSE),"")</f>
        <v/>
      </c>
      <c r="E79" s="880" t="s">
        <v>1257</v>
      </c>
      <c r="F79" s="1132" t="str">
        <f t="shared" si="15"/>
        <v/>
      </c>
      <c r="G79" s="664" t="s">
        <v>1207</v>
      </c>
      <c r="H79" s="664"/>
      <c r="I79" s="950" t="s">
        <v>1135</v>
      </c>
      <c r="J79" s="950" t="s">
        <v>123</v>
      </c>
      <c r="K79" s="855">
        <v>24950.147099999998</v>
      </c>
      <c r="L79" s="951"/>
      <c r="M79" s="952">
        <v>1700</v>
      </c>
      <c r="N79" s="1092">
        <f t="shared" si="9"/>
        <v>-42415250.07</v>
      </c>
      <c r="O79" s="952">
        <v>-63622.875104999999</v>
      </c>
      <c r="P79" s="952"/>
      <c r="Q79" s="952"/>
      <c r="R79" s="1096">
        <f t="shared" si="10"/>
        <v>-42478872.945105001</v>
      </c>
      <c r="S79" s="855">
        <v>1314.5810566694167</v>
      </c>
      <c r="T79" s="1101">
        <f t="shared" si="11"/>
        <v>-32313.620167879344</v>
      </c>
      <c r="U79" s="956">
        <v>43675</v>
      </c>
      <c r="V79" s="948" t="s">
        <v>1230</v>
      </c>
      <c r="W79" s="957">
        <v>43670.719028587962</v>
      </c>
      <c r="X79" s="1089">
        <f t="shared" si="12"/>
        <v>0.15</v>
      </c>
      <c r="Y79" s="1090" t="e">
        <f>VLOOKUP(V79,'bic broker'!$A$1:$B$14,2,FALSE)</f>
        <v>#N/A</v>
      </c>
      <c r="Z79" s="1090" t="str">
        <f>VLOOKUP(AA79,'place of settlement'!A:C,2,FALSE)</f>
        <v>KSDCKRSEXXX</v>
      </c>
      <c r="AA79" s="1090" t="str">
        <f t="shared" si="13"/>
        <v>KR</v>
      </c>
      <c r="AB79" s="1090" t="str">
        <f t="shared" si="14"/>
        <v>SamsungKR</v>
      </c>
      <c r="AC79" s="1090" t="e">
        <f>VLOOKUP(AB79,sample!$1:$1048576,2,FALSE)</f>
        <v>#N/A</v>
      </c>
      <c r="AD79" s="1090" t="e">
        <f>VLOOKUP($AB79,sample!$1:$1048576,3,FALSE)</f>
        <v>#N/A</v>
      </c>
      <c r="AE79" s="1091" t="e">
        <f>VLOOKUP($AB79,sample!$1:$1048576,4,FALSE)</f>
        <v>#N/A</v>
      </c>
      <c r="AF79" s="1090" t="e">
        <f>VLOOKUP($AB79,sample!$1:$1048576,5,FALSE)</f>
        <v>#N/A</v>
      </c>
      <c r="AL79" s="1091" t="e">
        <f>VLOOKUP($AB79,sample!$1:$1048576,11,FALSE)</f>
        <v>#N/A</v>
      </c>
      <c r="AM79" s="1091" t="e">
        <f>VLOOKUP($AB79,sample!$1:$1048576,12,FALSE)</f>
        <v>#N/A</v>
      </c>
      <c r="AN79" s="1091" t="e">
        <f>VLOOKUP($AB79,sample!$1:$1048576,13,FALSE)</f>
        <v>#N/A</v>
      </c>
      <c r="AP79" s="1111"/>
    </row>
    <row r="80" spans="1:42" ht="14">
      <c r="A80" s="920">
        <v>201900080</v>
      </c>
      <c r="B80" s="947">
        <v>43671</v>
      </c>
      <c r="C80" s="947" t="s">
        <v>137</v>
      </c>
      <c r="D80" s="1108" t="str">
        <f>IFERROR(VLOOKUP(G80,PosAggregate!$B$13:$B$87,1,FALSE),"")</f>
        <v/>
      </c>
      <c r="E80" s="880" t="s">
        <v>1256</v>
      </c>
      <c r="F80" s="1132" t="str">
        <f t="shared" si="15"/>
        <v/>
      </c>
      <c r="G80" s="664" t="s">
        <v>1206</v>
      </c>
      <c r="H80" s="664"/>
      <c r="I80" s="950" t="s">
        <v>1149</v>
      </c>
      <c r="J80" s="950" t="s">
        <v>123</v>
      </c>
      <c r="K80" s="855">
        <v>4449.75</v>
      </c>
      <c r="L80" s="951"/>
      <c r="M80" s="952">
        <v>4200</v>
      </c>
      <c r="N80" s="1092">
        <f t="shared" si="9"/>
        <v>-18688950</v>
      </c>
      <c r="O80" s="952">
        <v>-28033</v>
      </c>
      <c r="P80" s="952"/>
      <c r="Q80" s="952"/>
      <c r="R80" s="1096">
        <f t="shared" si="10"/>
        <v>-18716983</v>
      </c>
      <c r="S80" s="855">
        <v>1314.5810566694163</v>
      </c>
      <c r="T80" s="1101">
        <f t="shared" si="11"/>
        <v>-14237.98320007805</v>
      </c>
      <c r="U80" s="956">
        <v>43675</v>
      </c>
      <c r="V80" s="948" t="s">
        <v>1230</v>
      </c>
      <c r="W80" s="957">
        <v>43670.729114699076</v>
      </c>
      <c r="X80" s="1089">
        <f t="shared" si="12"/>
        <v>0.14999772592895802</v>
      </c>
      <c r="Y80" s="1090" t="e">
        <f>VLOOKUP(V80,'bic broker'!$A$1:$B$14,2,FALSE)</f>
        <v>#N/A</v>
      </c>
      <c r="Z80" s="1090" t="str">
        <f>VLOOKUP(AA80,'place of settlement'!A:C,2,FALSE)</f>
        <v>KSDCKRSEXXX</v>
      </c>
      <c r="AA80" s="1090" t="str">
        <f t="shared" si="13"/>
        <v>KR</v>
      </c>
      <c r="AB80" s="1090" t="str">
        <f t="shared" si="14"/>
        <v>SamsungKR</v>
      </c>
      <c r="AC80" s="1090" t="e">
        <f>VLOOKUP(AB80,sample!$1:$1048576,2,FALSE)</f>
        <v>#N/A</v>
      </c>
      <c r="AD80" s="1090" t="e">
        <f>VLOOKUP($AB80,sample!$1:$1048576,3,FALSE)</f>
        <v>#N/A</v>
      </c>
      <c r="AE80" s="1091" t="e">
        <f>VLOOKUP($AB80,sample!$1:$1048576,4,FALSE)</f>
        <v>#N/A</v>
      </c>
      <c r="AF80" s="1090" t="e">
        <f>VLOOKUP($AB80,sample!$1:$1048576,5,FALSE)</f>
        <v>#N/A</v>
      </c>
      <c r="AL80" s="1091" t="e">
        <f>VLOOKUP($AB80,sample!$1:$1048576,11,FALSE)</f>
        <v>#N/A</v>
      </c>
      <c r="AM80" s="1091" t="e">
        <f>VLOOKUP($AB80,sample!$1:$1048576,12,FALSE)</f>
        <v>#N/A</v>
      </c>
      <c r="AN80" s="1091" t="e">
        <f>VLOOKUP($AB80,sample!$1:$1048576,13,FALSE)</f>
        <v>#N/A</v>
      </c>
      <c r="AP80" s="1111"/>
    </row>
    <row r="81" spans="1:42" ht="14">
      <c r="A81" s="920">
        <v>201900081</v>
      </c>
      <c r="B81" s="947">
        <v>43671</v>
      </c>
      <c r="C81" s="947" t="s">
        <v>137</v>
      </c>
      <c r="D81" s="1108" t="str">
        <f>IFERROR(VLOOKUP(G81,PosAggregate!$B$13:$B$87,1,FALSE),"")</f>
        <v/>
      </c>
      <c r="E81" s="880" t="s">
        <v>1672</v>
      </c>
      <c r="F81" s="1132" t="str">
        <f t="shared" si="15"/>
        <v/>
      </c>
      <c r="G81" s="664" t="s">
        <v>1639</v>
      </c>
      <c r="H81" s="664"/>
      <c r="I81" s="950" t="s">
        <v>1643</v>
      </c>
      <c r="J81" s="950" t="s">
        <v>123</v>
      </c>
      <c r="K81" s="855">
        <v>12649.9167</v>
      </c>
      <c r="L81" s="951"/>
      <c r="M81" s="952">
        <v>3000</v>
      </c>
      <c r="N81" s="1092">
        <f t="shared" si="9"/>
        <v>-37949750.100000001</v>
      </c>
      <c r="O81" s="952">
        <v>-56925</v>
      </c>
      <c r="P81" s="952"/>
      <c r="Q81" s="952"/>
      <c r="R81" s="1096">
        <f t="shared" si="10"/>
        <v>-38006675.100000001</v>
      </c>
      <c r="S81" s="855">
        <v>1311.5121136173759</v>
      </c>
      <c r="T81" s="1101">
        <f t="shared" si="11"/>
        <v>-28979.278731304323</v>
      </c>
      <c r="U81" s="956">
        <v>43675</v>
      </c>
      <c r="V81" s="948" t="s">
        <v>1230</v>
      </c>
      <c r="W81" s="957">
        <v>43671.097236689813</v>
      </c>
      <c r="X81" s="1089">
        <f t="shared" si="12"/>
        <v>0.1500009877535399</v>
      </c>
      <c r="Y81" s="1090" t="e">
        <f>VLOOKUP(V81,'bic broker'!$A$1:$B$14,2,FALSE)</f>
        <v>#N/A</v>
      </c>
      <c r="Z81" s="1090" t="str">
        <f>VLOOKUP(AA81,'place of settlement'!A:C,2,FALSE)</f>
        <v>KSDCKRSEXXX</v>
      </c>
      <c r="AA81" s="1090" t="str">
        <f t="shared" si="13"/>
        <v>KR</v>
      </c>
      <c r="AB81" s="1090" t="str">
        <f t="shared" si="14"/>
        <v>SamsungKR</v>
      </c>
      <c r="AC81" s="1090" t="e">
        <f>VLOOKUP(AB81,sample!$1:$1048576,2,FALSE)</f>
        <v>#N/A</v>
      </c>
      <c r="AD81" s="1090" t="e">
        <f>VLOOKUP($AB81,sample!$1:$1048576,3,FALSE)</f>
        <v>#N/A</v>
      </c>
      <c r="AE81" s="1091" t="e">
        <f>VLOOKUP($AB81,sample!$1:$1048576,4,FALSE)</f>
        <v>#N/A</v>
      </c>
      <c r="AF81" s="1090" t="e">
        <f>VLOOKUP($AB81,sample!$1:$1048576,5,FALSE)</f>
        <v>#N/A</v>
      </c>
      <c r="AL81" s="1091" t="e">
        <f>VLOOKUP($AB81,sample!$1:$1048576,11,FALSE)</f>
        <v>#N/A</v>
      </c>
      <c r="AM81" s="1091" t="e">
        <f>VLOOKUP($AB81,sample!$1:$1048576,12,FALSE)</f>
        <v>#N/A</v>
      </c>
      <c r="AN81" s="1091" t="e">
        <f>VLOOKUP($AB81,sample!$1:$1048576,13,FALSE)</f>
        <v>#N/A</v>
      </c>
      <c r="AP81" s="1111"/>
    </row>
    <row r="82" spans="1:42" ht="14">
      <c r="A82" s="994" t="s">
        <v>1777</v>
      </c>
      <c r="B82" s="947">
        <v>43671</v>
      </c>
      <c r="C82" s="947"/>
      <c r="D82" s="1108" t="str">
        <f>IFERROR(VLOOKUP(G82,PosAggregate!$B$13:$B$87,1,FALSE),"")</f>
        <v/>
      </c>
      <c r="E82" s="880" t="s">
        <v>1672</v>
      </c>
      <c r="F82" s="1132" t="str">
        <f t="shared" si="15"/>
        <v/>
      </c>
      <c r="G82" s="664" t="s">
        <v>1639</v>
      </c>
      <c r="H82" s="664"/>
      <c r="I82" s="950" t="s">
        <v>1643</v>
      </c>
      <c r="J82" s="950"/>
      <c r="K82" s="855"/>
      <c r="L82" s="951"/>
      <c r="M82" s="952">
        <v>1155</v>
      </c>
      <c r="N82" s="953"/>
      <c r="O82" s="952"/>
      <c r="P82" s="952"/>
      <c r="Q82" s="952"/>
      <c r="R82" s="954"/>
      <c r="S82" s="855"/>
      <c r="T82" s="955"/>
      <c r="U82" s="956"/>
      <c r="V82" s="948"/>
      <c r="W82" s="957"/>
      <c r="X82" s="958"/>
      <c r="AE82" s="920"/>
      <c r="AL82" s="920"/>
      <c r="AM82" s="920"/>
      <c r="AN82" s="920"/>
      <c r="AP82" s="1111"/>
    </row>
    <row r="83" spans="1:42" ht="14">
      <c r="A83" s="920">
        <v>201900082</v>
      </c>
      <c r="B83" s="947">
        <v>43671</v>
      </c>
      <c r="C83" s="947" t="s">
        <v>137</v>
      </c>
      <c r="D83" s="1108" t="str">
        <f>IFERROR(VLOOKUP(G83,PosAggregate!$B$13:$B$87,1,FALSE),"")</f>
        <v/>
      </c>
      <c r="E83" s="880" t="s">
        <v>1673</v>
      </c>
      <c r="F83" s="1132" t="str">
        <f t="shared" si="15"/>
        <v/>
      </c>
      <c r="G83" s="664" t="s">
        <v>1640</v>
      </c>
      <c r="H83" s="664"/>
      <c r="I83" s="950" t="s">
        <v>1644</v>
      </c>
      <c r="J83" s="950" t="s">
        <v>123</v>
      </c>
      <c r="K83" s="855">
        <v>10372.86</v>
      </c>
      <c r="L83" s="951"/>
      <c r="M83" s="952">
        <v>6700</v>
      </c>
      <c r="N83" s="1092">
        <f>-K83*M83</f>
        <v>-69498162</v>
      </c>
      <c r="O83" s="952">
        <v>-104247</v>
      </c>
      <c r="P83" s="952"/>
      <c r="Q83" s="952"/>
      <c r="R83" s="1096">
        <f>SUM(N83:Q83)</f>
        <v>-69602409</v>
      </c>
      <c r="S83" s="855">
        <v>1311.5121136173766</v>
      </c>
      <c r="T83" s="1101">
        <f>+R83/S83</f>
        <v>-53070.351602033283</v>
      </c>
      <c r="U83" s="956">
        <v>43675</v>
      </c>
      <c r="V83" s="948" t="s">
        <v>1230</v>
      </c>
      <c r="W83" s="957">
        <v>43671.097784953701</v>
      </c>
      <c r="X83" s="1089">
        <f>+O83/N83*100</f>
        <v>0.14999965035046536</v>
      </c>
      <c r="Y83" s="1090" t="e">
        <f>VLOOKUP(V83,'bic broker'!$A$1:$B$14,2,FALSE)</f>
        <v>#N/A</v>
      </c>
      <c r="Z83" s="1090" t="str">
        <f>VLOOKUP(AA83,'place of settlement'!A:C,2,FALSE)</f>
        <v>KSDCKRSEXXX</v>
      </c>
      <c r="AA83" s="1090" t="str">
        <f>LEFT(E83,2)</f>
        <v>KR</v>
      </c>
      <c r="AB83" s="1090" t="str">
        <f>CONCATENATE(V83,AA83)</f>
        <v>SamsungKR</v>
      </c>
      <c r="AC83" s="1090" t="e">
        <f>VLOOKUP(AB83,sample!$1:$1048576,2,FALSE)</f>
        <v>#N/A</v>
      </c>
      <c r="AD83" s="1090" t="e">
        <f>VLOOKUP($AB83,sample!$1:$1048576,3,FALSE)</f>
        <v>#N/A</v>
      </c>
      <c r="AE83" s="1091" t="e">
        <f>VLOOKUP($AB83,sample!$1:$1048576,4,FALSE)</f>
        <v>#N/A</v>
      </c>
      <c r="AF83" s="1090" t="e">
        <f>VLOOKUP($AB83,sample!$1:$1048576,5,FALSE)</f>
        <v>#N/A</v>
      </c>
      <c r="AL83" s="1091" t="e">
        <f>VLOOKUP($AB83,sample!$1:$1048576,11,FALSE)</f>
        <v>#N/A</v>
      </c>
      <c r="AM83" s="1091" t="e">
        <f>VLOOKUP($AB83,sample!$1:$1048576,12,FALSE)</f>
        <v>#N/A</v>
      </c>
      <c r="AN83" s="1091" t="e">
        <f>VLOOKUP($AB83,sample!$1:$1048576,13,FALSE)</f>
        <v>#N/A</v>
      </c>
      <c r="AP83" s="1111"/>
    </row>
    <row r="84" spans="1:42" ht="14">
      <c r="A84" s="926" t="s">
        <v>1777</v>
      </c>
      <c r="B84" s="947">
        <v>43671</v>
      </c>
      <c r="C84" s="947"/>
      <c r="D84" s="1108" t="str">
        <f>IFERROR(VLOOKUP(G84,PosAggregate!$B$13:$B$87,1,FALSE),"")</f>
        <v/>
      </c>
      <c r="E84" s="880" t="s">
        <v>1673</v>
      </c>
      <c r="F84" s="1132" t="str">
        <f t="shared" si="15"/>
        <v/>
      </c>
      <c r="G84" s="664" t="s">
        <v>1640</v>
      </c>
      <c r="H84" s="664"/>
      <c r="I84" s="950" t="s">
        <v>1644</v>
      </c>
      <c r="J84" s="950"/>
      <c r="K84" s="855"/>
      <c r="L84" s="951"/>
      <c r="M84" s="952">
        <v>5471</v>
      </c>
      <c r="N84" s="953"/>
      <c r="O84" s="952"/>
      <c r="P84" s="952"/>
      <c r="Q84" s="952"/>
      <c r="R84" s="954"/>
      <c r="S84" s="855"/>
      <c r="T84" s="955"/>
      <c r="U84" s="956"/>
      <c r="V84" s="948"/>
      <c r="W84" s="957"/>
      <c r="X84" s="958"/>
      <c r="AE84" s="920"/>
      <c r="AL84" s="920"/>
      <c r="AM84" s="920"/>
      <c r="AN84" s="920"/>
      <c r="AP84" s="1111"/>
    </row>
    <row r="85" spans="1:42" ht="14">
      <c r="A85" s="920">
        <v>201900083</v>
      </c>
      <c r="B85" s="947">
        <v>43671</v>
      </c>
      <c r="C85" s="947" t="s">
        <v>137</v>
      </c>
      <c r="D85" s="1108" t="str">
        <f>IFERROR(VLOOKUP(G85,PosAggregate!$B$13:$B$87,1,FALSE),"")</f>
        <v/>
      </c>
      <c r="E85" s="880" t="s">
        <v>1257</v>
      </c>
      <c r="F85" s="1132" t="str">
        <f t="shared" si="15"/>
        <v/>
      </c>
      <c r="G85" s="664" t="s">
        <v>1207</v>
      </c>
      <c r="H85" s="664"/>
      <c r="I85" s="950" t="s">
        <v>1135</v>
      </c>
      <c r="J85" s="950" t="s">
        <v>123</v>
      </c>
      <c r="K85" s="855">
        <v>24278.15</v>
      </c>
      <c r="L85" s="951"/>
      <c r="M85" s="952">
        <v>2000</v>
      </c>
      <c r="N85" s="1092">
        <f t="shared" ref="N85:N105" si="16">-K85*M85</f>
        <v>-48556300</v>
      </c>
      <c r="O85" s="952">
        <v>-72834.45</v>
      </c>
      <c r="P85" s="952"/>
      <c r="Q85" s="952"/>
      <c r="R85" s="1096">
        <f t="shared" ref="R85:R116" si="17">SUM(N85:Q85)</f>
        <v>-48629134.450000003</v>
      </c>
      <c r="S85" s="855">
        <v>1311.5121136173784</v>
      </c>
      <c r="T85" s="1101">
        <f t="shared" ref="T85:T116" si="18">+R85/S85</f>
        <v>-37078.67731078167</v>
      </c>
      <c r="U85" s="956">
        <v>43675</v>
      </c>
      <c r="V85" s="948" t="s">
        <v>1230</v>
      </c>
      <c r="W85" s="957">
        <v>43671.098866435183</v>
      </c>
      <c r="X85" s="1089">
        <f t="shared" ref="X85:X116" si="19">+O85/N85*100</f>
        <v>0.15</v>
      </c>
      <c r="Y85" s="1090" t="e">
        <f>VLOOKUP(V85,'bic broker'!$A$1:$B$14,2,FALSE)</f>
        <v>#N/A</v>
      </c>
      <c r="Z85" s="1090" t="str">
        <f>VLOOKUP(AA85,'place of settlement'!A:C,2,FALSE)</f>
        <v>KSDCKRSEXXX</v>
      </c>
      <c r="AA85" s="1090" t="str">
        <f t="shared" ref="AA85:AA116" si="20">LEFT(E85,2)</f>
        <v>KR</v>
      </c>
      <c r="AB85" s="1090" t="str">
        <f t="shared" ref="AB85:AB116" si="21">CONCATENATE(V85,AA85)</f>
        <v>SamsungKR</v>
      </c>
      <c r="AC85" s="1090" t="e">
        <f>VLOOKUP(AB85,sample!$1:$1048576,2,FALSE)</f>
        <v>#N/A</v>
      </c>
      <c r="AD85" s="1090" t="e">
        <f>VLOOKUP($AB85,sample!$1:$1048576,3,FALSE)</f>
        <v>#N/A</v>
      </c>
      <c r="AE85" s="1091" t="e">
        <f>VLOOKUP($AB85,sample!$1:$1048576,4,FALSE)</f>
        <v>#N/A</v>
      </c>
      <c r="AF85" s="1090" t="e">
        <f>VLOOKUP($AB85,sample!$1:$1048576,5,FALSE)</f>
        <v>#N/A</v>
      </c>
      <c r="AL85" s="1091" t="e">
        <f>VLOOKUP($AB85,sample!$1:$1048576,11,FALSE)</f>
        <v>#N/A</v>
      </c>
      <c r="AM85" s="1091" t="e">
        <f>VLOOKUP($AB85,sample!$1:$1048576,12,FALSE)</f>
        <v>#N/A</v>
      </c>
      <c r="AN85" s="1091" t="e">
        <f>VLOOKUP($AB85,sample!$1:$1048576,13,FALSE)</f>
        <v>#N/A</v>
      </c>
      <c r="AP85" s="1111"/>
    </row>
    <row r="86" spans="1:42" ht="14">
      <c r="A86" s="920">
        <v>201900084</v>
      </c>
      <c r="B86" s="947">
        <v>43675</v>
      </c>
      <c r="C86" s="947" t="s">
        <v>137</v>
      </c>
      <c r="D86" s="1108" t="str">
        <f>IFERROR(VLOOKUP(G86,PosAggregate!$B$13:$B$87,1,FALSE),"")</f>
        <v/>
      </c>
      <c r="E86" s="880" t="s">
        <v>1261</v>
      </c>
      <c r="F86" s="1132" t="str">
        <f t="shared" si="15"/>
        <v/>
      </c>
      <c r="G86" s="664" t="s">
        <v>1212</v>
      </c>
      <c r="H86" s="664"/>
      <c r="I86" s="950" t="s">
        <v>1099</v>
      </c>
      <c r="J86" s="950" t="s">
        <v>2</v>
      </c>
      <c r="K86" s="855">
        <v>45.23</v>
      </c>
      <c r="L86" s="951"/>
      <c r="M86" s="952">
        <v>420</v>
      </c>
      <c r="N86" s="1092">
        <f t="shared" si="16"/>
        <v>-18996.599999999999</v>
      </c>
      <c r="O86" s="952">
        <v>-15.2</v>
      </c>
      <c r="P86" s="952">
        <v>-56.69</v>
      </c>
      <c r="Q86" s="952"/>
      <c r="R86" s="1096">
        <f t="shared" si="17"/>
        <v>-19068.489999999998</v>
      </c>
      <c r="S86" s="855">
        <v>1</v>
      </c>
      <c r="T86" s="1101">
        <f t="shared" si="18"/>
        <v>-19068.489999999998</v>
      </c>
      <c r="U86" s="956">
        <v>43677</v>
      </c>
      <c r="V86" s="948" t="s">
        <v>1229</v>
      </c>
      <c r="W86" s="957">
        <v>43675.65654236111</v>
      </c>
      <c r="X86" s="1089">
        <f t="shared" si="19"/>
        <v>8.0014318351705041E-2</v>
      </c>
      <c r="Y86" s="1090" t="str">
        <f>VLOOKUP(V86,'bic broker'!$A$1:$B$14,2,FALSE)</f>
        <v>EMSIITM1XXX</v>
      </c>
      <c r="Z86" s="1090" t="str">
        <f>VLOOKUP(AA86,'place of settlement'!A:C,2,FALSE)</f>
        <v>SICVFRPPXXX</v>
      </c>
      <c r="AA86" s="1090" t="str">
        <f t="shared" si="20"/>
        <v>FR</v>
      </c>
      <c r="AB86" s="1090" t="str">
        <f t="shared" si="21"/>
        <v>EquitaFR</v>
      </c>
      <c r="AC86" s="1090" t="str">
        <f>VLOOKUP(AB86,sample!$1:$1048576,2,FALSE)</f>
        <v>EMSIITM1XXX</v>
      </c>
      <c r="AD86" s="1090" t="str">
        <f>VLOOKUP($AB86,sample!$1:$1048576,3,FALSE)</f>
        <v>SICVFRPPXXX</v>
      </c>
      <c r="AE86" s="1091" t="str">
        <f>VLOOKUP($AB86,sample!$1:$1048576,4,FALSE)</f>
        <v>SICVBCITITMMD00000L10</v>
      </c>
      <c r="AF86" s="1090" t="str">
        <f>VLOOKUP($AB86,sample!$1:$1048576,5,FALSE)</f>
        <v>N</v>
      </c>
      <c r="AL86" s="1091" t="str">
        <f>VLOOKUP($AB86,sample!$1:$1048576,11,FALSE)</f>
        <v xml:space="preserve">        </v>
      </c>
      <c r="AM86" s="1091" t="str">
        <f>VLOOKUP($AB86,sample!$1:$1048576,12,FALSE)</f>
        <v xml:space="preserve">        </v>
      </c>
      <c r="AN86" s="1091" t="str">
        <f>VLOOKUP($AB86,sample!$1:$1048576,13,FALSE)</f>
        <v>BCITITMMD00</v>
      </c>
      <c r="AP86" s="1111"/>
    </row>
    <row r="87" spans="1:42" ht="14">
      <c r="A87" s="920">
        <v>201900085</v>
      </c>
      <c r="B87" s="947">
        <v>43678</v>
      </c>
      <c r="C87" s="947" t="s">
        <v>137</v>
      </c>
      <c r="D87" s="1108" t="str">
        <f>IFERROR(VLOOKUP(G87,PosAggregate!$B$13:$B$87,1,FALSE),"")</f>
        <v/>
      </c>
      <c r="E87" s="880" t="s">
        <v>1261</v>
      </c>
      <c r="F87" s="1132" t="str">
        <f t="shared" si="15"/>
        <v/>
      </c>
      <c r="G87" s="664" t="s">
        <v>1212</v>
      </c>
      <c r="H87" s="664"/>
      <c r="I87" s="950" t="s">
        <v>1099</v>
      </c>
      <c r="J87" s="950" t="s">
        <v>2</v>
      </c>
      <c r="K87" s="855">
        <v>42.323999999999998</v>
      </c>
      <c r="L87" s="951"/>
      <c r="M87" s="952">
        <v>670</v>
      </c>
      <c r="N87" s="1092">
        <f t="shared" si="16"/>
        <v>-28357.079999999998</v>
      </c>
      <c r="O87" s="952">
        <v>-22.69</v>
      </c>
      <c r="P87" s="952">
        <v>-85.07</v>
      </c>
      <c r="Q87" s="952"/>
      <c r="R87" s="1096">
        <f t="shared" si="17"/>
        <v>-28464.839999999997</v>
      </c>
      <c r="S87" s="855">
        <v>1</v>
      </c>
      <c r="T87" s="1101">
        <f t="shared" si="18"/>
        <v>-28464.839999999997</v>
      </c>
      <c r="U87" s="956">
        <v>43664</v>
      </c>
      <c r="V87" s="948" t="s">
        <v>1229</v>
      </c>
      <c r="W87" s="957">
        <v>43662.661953240742</v>
      </c>
      <c r="X87" s="1089">
        <f t="shared" si="19"/>
        <v>8.0015290713994533E-2</v>
      </c>
      <c r="Y87" s="1090" t="str">
        <f>VLOOKUP(V87,'bic broker'!$A$1:$B$14,2,FALSE)</f>
        <v>EMSIITM1XXX</v>
      </c>
      <c r="Z87" s="1090" t="str">
        <f>VLOOKUP(AA87,'place of settlement'!A:C,2,FALSE)</f>
        <v>SICVFRPPXXX</v>
      </c>
      <c r="AA87" s="1090" t="str">
        <f t="shared" si="20"/>
        <v>FR</v>
      </c>
      <c r="AB87" s="1090" t="str">
        <f t="shared" si="21"/>
        <v>EquitaFR</v>
      </c>
      <c r="AC87" s="1090" t="str">
        <f>VLOOKUP(AB87,sample!$1:$1048576,2,FALSE)</f>
        <v>EMSIITM1XXX</v>
      </c>
      <c r="AD87" s="1090" t="str">
        <f>VLOOKUP($AB87,sample!$1:$1048576,3,FALSE)</f>
        <v>SICVFRPPXXX</v>
      </c>
      <c r="AE87" s="1091" t="str">
        <f>VLOOKUP($AB87,sample!$1:$1048576,4,FALSE)</f>
        <v>SICVBCITITMMD00000L10</v>
      </c>
      <c r="AF87" s="1090" t="str">
        <f>VLOOKUP($AB87,sample!$1:$1048576,5,FALSE)</f>
        <v>N</v>
      </c>
      <c r="AL87" s="1091" t="str">
        <f>VLOOKUP($AB87,sample!$1:$1048576,11,FALSE)</f>
        <v xml:space="preserve">        </v>
      </c>
      <c r="AM87" s="1091" t="str">
        <f>VLOOKUP($AB87,sample!$1:$1048576,12,FALSE)</f>
        <v xml:space="preserve">        </v>
      </c>
      <c r="AN87" s="1091" t="str">
        <f>VLOOKUP($AB87,sample!$1:$1048576,13,FALSE)</f>
        <v>BCITITMMD00</v>
      </c>
      <c r="AP87" s="1111"/>
    </row>
    <row r="88" spans="1:42" ht="14">
      <c r="A88" s="920">
        <v>201900086</v>
      </c>
      <c r="B88" s="947">
        <v>43678</v>
      </c>
      <c r="C88" s="947" t="s">
        <v>137</v>
      </c>
      <c r="D88" s="1108" t="str">
        <f>IFERROR(VLOOKUP(G88,PosAggregate!$B$13:$B$87,1,FALSE),"")</f>
        <v/>
      </c>
      <c r="E88" s="880" t="s">
        <v>1273</v>
      </c>
      <c r="F88" s="1132" t="str">
        <f t="shared" si="15"/>
        <v/>
      </c>
      <c r="G88" s="664" t="s">
        <v>1209</v>
      </c>
      <c r="H88" s="664"/>
      <c r="I88" s="950" t="s">
        <v>1133</v>
      </c>
      <c r="J88" s="950" t="s">
        <v>1104</v>
      </c>
      <c r="K88" s="855">
        <v>0.875</v>
      </c>
      <c r="L88" s="951"/>
      <c r="M88" s="952">
        <v>38120</v>
      </c>
      <c r="N88" s="1092">
        <f t="shared" si="16"/>
        <v>-33355</v>
      </c>
      <c r="O88" s="952">
        <v>-26.68</v>
      </c>
      <c r="P88" s="952"/>
      <c r="Q88" s="952"/>
      <c r="R88" s="1096">
        <f t="shared" si="17"/>
        <v>-33381.68</v>
      </c>
      <c r="S88" s="855">
        <v>1.6231960027659422</v>
      </c>
      <c r="T88" s="1101">
        <f t="shared" si="18"/>
        <v>-20565.403033963419</v>
      </c>
      <c r="U88" s="956">
        <v>43682</v>
      </c>
      <c r="V88" s="948" t="s">
        <v>1229</v>
      </c>
      <c r="W88" s="957">
        <v>43677.920176504631</v>
      </c>
      <c r="X88" s="1089">
        <f t="shared" si="19"/>
        <v>7.99880077949333E-2</v>
      </c>
      <c r="Y88" s="1090" t="str">
        <f>VLOOKUP(V88,'bic broker'!$A$1:$B$14,2,FALSE)</f>
        <v>EMSIITM1XXX</v>
      </c>
      <c r="Z88" s="1090" t="str">
        <f>VLOOKUP(AA88,'place of settlement'!A:C,2,FALSE)</f>
        <v>CAETAU21XXX</v>
      </c>
      <c r="AA88" s="1090" t="str">
        <f t="shared" si="20"/>
        <v>AU</v>
      </c>
      <c r="AB88" s="1090" t="str">
        <f t="shared" si="21"/>
        <v>EquitaAU</v>
      </c>
      <c r="AC88" s="1090" t="str">
        <f>VLOOKUP(AB88,sample!$1:$1048576,2,FALSE)</f>
        <v>BCITITMMXXX</v>
      </c>
      <c r="AD88" s="1090" t="str">
        <f>VLOOKUP($AB88,sample!$1:$1048576,3,FALSE)</f>
        <v>CAETAU21XXX</v>
      </c>
      <c r="AE88" s="1091">
        <f>VLOOKUP($AB88,sample!$1:$1048576,4,FALSE)</f>
        <v>2099100983</v>
      </c>
      <c r="AF88" s="1090" t="str">
        <f>VLOOKUP($AB88,sample!$1:$1048576,5,FALSE)</f>
        <v>N</v>
      </c>
      <c r="AL88" s="1091" t="str">
        <f>VLOOKUP($AB88,sample!$1:$1048576,11,FALSE)</f>
        <v xml:space="preserve">        </v>
      </c>
      <c r="AM88" s="1091" t="str">
        <f>VLOOKUP($AB88,sample!$1:$1048576,12,FALSE)</f>
        <v xml:space="preserve">        </v>
      </c>
      <c r="AN88" s="1091" t="str">
        <f>VLOOKUP($AB88,sample!$1:$1048576,13,FALSE)</f>
        <v>CITIAU3XXXX</v>
      </c>
      <c r="AP88" s="1111"/>
    </row>
    <row r="89" spans="1:42" ht="14">
      <c r="A89" s="920">
        <v>201900087</v>
      </c>
      <c r="B89" s="947">
        <v>43678</v>
      </c>
      <c r="C89" s="947" t="s">
        <v>137</v>
      </c>
      <c r="D89" s="1108" t="str">
        <f>IFERROR(VLOOKUP(G89,PosAggregate!$B$13:$B$87,1,FALSE),"")</f>
        <v/>
      </c>
      <c r="E89" s="880" t="s">
        <v>1255</v>
      </c>
      <c r="F89" s="1132" t="str">
        <f t="shared" si="15"/>
        <v/>
      </c>
      <c r="G89" s="664" t="s">
        <v>1205</v>
      </c>
      <c r="H89" s="664"/>
      <c r="I89" s="950" t="s">
        <v>1143</v>
      </c>
      <c r="J89" s="950" t="s">
        <v>123</v>
      </c>
      <c r="K89" s="855">
        <v>117978.5714</v>
      </c>
      <c r="L89" s="951"/>
      <c r="M89" s="973">
        <v>420</v>
      </c>
      <c r="N89" s="1092">
        <f t="shared" si="16"/>
        <v>-49550999.987999998</v>
      </c>
      <c r="O89" s="952">
        <v>-74327</v>
      </c>
      <c r="P89" s="952"/>
      <c r="Q89" s="952"/>
      <c r="R89" s="1096">
        <f t="shared" si="17"/>
        <v>-49625326.987999998</v>
      </c>
      <c r="S89" s="855">
        <v>1317.3250652450322</v>
      </c>
      <c r="T89" s="1101">
        <f t="shared" si="18"/>
        <v>-37671.284254178616</v>
      </c>
      <c r="U89" s="956">
        <v>43682</v>
      </c>
      <c r="V89" s="948" t="s">
        <v>1230</v>
      </c>
      <c r="W89" s="957">
        <v>43677.925857754628</v>
      </c>
      <c r="X89" s="1089">
        <f t="shared" si="19"/>
        <v>0.15000100909769756</v>
      </c>
      <c r="Y89" s="1090" t="e">
        <f>VLOOKUP(V89,'bic broker'!$A$1:$B$14,2,FALSE)</f>
        <v>#N/A</v>
      </c>
      <c r="Z89" s="1090" t="str">
        <f>VLOOKUP(AA89,'place of settlement'!A:C,2,FALSE)</f>
        <v>KSDCKRSEXXX</v>
      </c>
      <c r="AA89" s="1090" t="str">
        <f t="shared" si="20"/>
        <v>KR</v>
      </c>
      <c r="AB89" s="1090" t="str">
        <f t="shared" si="21"/>
        <v>SamsungKR</v>
      </c>
      <c r="AC89" s="1090" t="e">
        <f>VLOOKUP(AB89,sample!$1:$1048576,2,FALSE)</f>
        <v>#N/A</v>
      </c>
      <c r="AD89" s="1090" t="e">
        <f>VLOOKUP($AB89,sample!$1:$1048576,3,FALSE)</f>
        <v>#N/A</v>
      </c>
      <c r="AE89" s="1091" t="e">
        <f>VLOOKUP($AB89,sample!$1:$1048576,4,FALSE)</f>
        <v>#N/A</v>
      </c>
      <c r="AF89" s="1090" t="e">
        <f>VLOOKUP($AB89,sample!$1:$1048576,5,FALSE)</f>
        <v>#N/A</v>
      </c>
      <c r="AL89" s="1091" t="e">
        <f>VLOOKUP($AB89,sample!$1:$1048576,11,FALSE)</f>
        <v>#N/A</v>
      </c>
      <c r="AM89" s="1091" t="e">
        <f>VLOOKUP($AB89,sample!$1:$1048576,12,FALSE)</f>
        <v>#N/A</v>
      </c>
      <c r="AN89" s="1091" t="e">
        <f>VLOOKUP($AB89,sample!$1:$1048576,13,FALSE)</f>
        <v>#N/A</v>
      </c>
      <c r="AP89" s="1111"/>
    </row>
    <row r="90" spans="1:42" ht="14">
      <c r="A90" s="920">
        <v>201900088</v>
      </c>
      <c r="B90" s="947">
        <v>43682</v>
      </c>
      <c r="C90" s="947" t="s">
        <v>137</v>
      </c>
      <c r="D90" s="1108" t="str">
        <f>IFERROR(VLOOKUP(G90,PosAggregate!$B$13:$B$87,1,FALSE),"")</f>
        <v/>
      </c>
      <c r="E90" s="880" t="s">
        <v>1260</v>
      </c>
      <c r="F90" s="1132" t="str">
        <f t="shared" si="15"/>
        <v/>
      </c>
      <c r="G90" s="664" t="s">
        <v>1211</v>
      </c>
      <c r="H90" s="664"/>
      <c r="I90" s="950" t="s">
        <v>1226</v>
      </c>
      <c r="J90" s="950" t="s">
        <v>2</v>
      </c>
      <c r="K90" s="855">
        <v>36.156799999999997</v>
      </c>
      <c r="L90" s="951"/>
      <c r="M90" s="952">
        <v>500</v>
      </c>
      <c r="N90" s="1092">
        <f t="shared" si="16"/>
        <v>-18078.399999999998</v>
      </c>
      <c r="O90" s="952">
        <v>-14.46</v>
      </c>
      <c r="P90" s="952">
        <v>-54.24</v>
      </c>
      <c r="Q90" s="952"/>
      <c r="R90" s="1096">
        <f t="shared" si="17"/>
        <v>-18147.099999999999</v>
      </c>
      <c r="S90" s="855">
        <v>1</v>
      </c>
      <c r="T90" s="1101">
        <f t="shared" si="18"/>
        <v>-18147.099999999999</v>
      </c>
      <c r="U90" s="956">
        <v>43684</v>
      </c>
      <c r="V90" s="948" t="s">
        <v>1229</v>
      </c>
      <c r="W90" s="959">
        <v>0.43055555555555558</v>
      </c>
      <c r="X90" s="1089">
        <f t="shared" si="19"/>
        <v>7.9984954420745213E-2</v>
      </c>
      <c r="Y90" s="1090" t="str">
        <f>VLOOKUP(V90,'bic broker'!$A$1:$B$14,2,FALSE)</f>
        <v>EMSIITM1XXX</v>
      </c>
      <c r="Z90" s="1090" t="str">
        <f>VLOOKUP(AA90,'place of settlement'!A:C,2,FALSE)</f>
        <v>SICVFRPPXXX</v>
      </c>
      <c r="AA90" s="1090" t="str">
        <f t="shared" si="20"/>
        <v>FR</v>
      </c>
      <c r="AB90" s="1090" t="str">
        <f t="shared" si="21"/>
        <v>EquitaFR</v>
      </c>
      <c r="AC90" s="1090" t="str">
        <f>VLOOKUP(AB90,sample!$1:$1048576,2,FALSE)</f>
        <v>EMSIITM1XXX</v>
      </c>
      <c r="AD90" s="1090" t="str">
        <f>VLOOKUP($AB90,sample!$1:$1048576,3,FALSE)</f>
        <v>SICVFRPPXXX</v>
      </c>
      <c r="AE90" s="1091" t="str">
        <f>VLOOKUP($AB90,sample!$1:$1048576,4,FALSE)</f>
        <v>SICVBCITITMMD00000L10</v>
      </c>
      <c r="AF90" s="1090" t="str">
        <f>VLOOKUP($AB90,sample!$1:$1048576,5,FALSE)</f>
        <v>N</v>
      </c>
      <c r="AL90" s="1091" t="str">
        <f>VLOOKUP($AB90,sample!$1:$1048576,11,FALSE)</f>
        <v xml:space="preserve">        </v>
      </c>
      <c r="AM90" s="1091" t="str">
        <f>VLOOKUP($AB90,sample!$1:$1048576,12,FALSE)</f>
        <v xml:space="preserve">        </v>
      </c>
      <c r="AN90" s="1091" t="str">
        <f>VLOOKUP($AB90,sample!$1:$1048576,13,FALSE)</f>
        <v>BCITITMMD00</v>
      </c>
      <c r="AP90" s="1111"/>
    </row>
    <row r="91" spans="1:42" ht="14">
      <c r="A91" s="920">
        <v>201900089</v>
      </c>
      <c r="B91" s="947">
        <v>43682</v>
      </c>
      <c r="C91" s="947" t="s">
        <v>137</v>
      </c>
      <c r="D91" s="1108" t="str">
        <f>IFERROR(VLOOKUP(G91,PosAggregate!$B$13:$B$87,1,FALSE),"")</f>
        <v/>
      </c>
      <c r="E91" s="880" t="s">
        <v>1261</v>
      </c>
      <c r="F91" s="1132" t="str">
        <f t="shared" si="15"/>
        <v/>
      </c>
      <c r="G91" s="664" t="s">
        <v>1212</v>
      </c>
      <c r="H91" s="664"/>
      <c r="I91" s="950" t="s">
        <v>1099</v>
      </c>
      <c r="J91" s="950" t="s">
        <v>2</v>
      </c>
      <c r="K91" s="855">
        <v>38.394300000000001</v>
      </c>
      <c r="L91" s="951"/>
      <c r="M91" s="952">
        <v>500</v>
      </c>
      <c r="N91" s="1092">
        <f t="shared" si="16"/>
        <v>-19197.150000000001</v>
      </c>
      <c r="O91" s="952">
        <v>-15.36</v>
      </c>
      <c r="P91" s="952">
        <v>-57.59</v>
      </c>
      <c r="Q91" s="952"/>
      <c r="R91" s="1096">
        <f t="shared" si="17"/>
        <v>-19270.100000000002</v>
      </c>
      <c r="S91" s="855">
        <v>1</v>
      </c>
      <c r="T91" s="1101">
        <f t="shared" si="18"/>
        <v>-19270.100000000002</v>
      </c>
      <c r="U91" s="956">
        <v>43684</v>
      </c>
      <c r="V91" s="948" t="s">
        <v>1229</v>
      </c>
      <c r="W91" s="959">
        <v>0.43333333333333335</v>
      </c>
      <c r="X91" s="1089">
        <f t="shared" si="19"/>
        <v>8.0011876762956985E-2</v>
      </c>
      <c r="Y91" s="1090" t="str">
        <f>VLOOKUP(V91,'bic broker'!$A$1:$B$14,2,FALSE)</f>
        <v>EMSIITM1XXX</v>
      </c>
      <c r="Z91" s="1090" t="str">
        <f>VLOOKUP(AA91,'place of settlement'!A:C,2,FALSE)</f>
        <v>SICVFRPPXXX</v>
      </c>
      <c r="AA91" s="1090" t="str">
        <f t="shared" si="20"/>
        <v>FR</v>
      </c>
      <c r="AB91" s="1090" t="str">
        <f t="shared" si="21"/>
        <v>EquitaFR</v>
      </c>
      <c r="AC91" s="1090" t="str">
        <f>VLOOKUP(AB91,sample!$1:$1048576,2,FALSE)</f>
        <v>EMSIITM1XXX</v>
      </c>
      <c r="AD91" s="1090" t="str">
        <f>VLOOKUP($AB91,sample!$1:$1048576,3,FALSE)</f>
        <v>SICVFRPPXXX</v>
      </c>
      <c r="AE91" s="1091" t="str">
        <f>VLOOKUP($AB91,sample!$1:$1048576,4,FALSE)</f>
        <v>SICVBCITITMMD00000L10</v>
      </c>
      <c r="AF91" s="1090" t="str">
        <f>VLOOKUP($AB91,sample!$1:$1048576,5,FALSE)</f>
        <v>N</v>
      </c>
      <c r="AL91" s="1091" t="str">
        <f>VLOOKUP($AB91,sample!$1:$1048576,11,FALSE)</f>
        <v xml:space="preserve">        </v>
      </c>
      <c r="AM91" s="1091" t="str">
        <f>VLOOKUP($AB91,sample!$1:$1048576,12,FALSE)</f>
        <v xml:space="preserve">        </v>
      </c>
      <c r="AN91" s="1091" t="str">
        <f>VLOOKUP($AB91,sample!$1:$1048576,13,FALSE)</f>
        <v>BCITITMMD00</v>
      </c>
      <c r="AP91" s="1111"/>
    </row>
    <row r="92" spans="1:42" ht="14">
      <c r="A92" s="920">
        <v>201900090</v>
      </c>
      <c r="B92" s="947">
        <v>43682</v>
      </c>
      <c r="C92" s="947" t="s">
        <v>137</v>
      </c>
      <c r="D92" s="1108" t="str">
        <f>IFERROR(VLOOKUP(G92,PosAggregate!$B$13:$B$87,1,FALSE),"")</f>
        <v/>
      </c>
      <c r="E92" s="880" t="s">
        <v>1270</v>
      </c>
      <c r="F92" s="1132" t="str">
        <f t="shared" si="15"/>
        <v/>
      </c>
      <c r="G92" s="664" t="s">
        <v>1221</v>
      </c>
      <c r="H92" s="664"/>
      <c r="I92" s="950" t="s">
        <v>1136</v>
      </c>
      <c r="J92" s="950" t="s">
        <v>3</v>
      </c>
      <c r="K92" s="855">
        <v>65.776700000000005</v>
      </c>
      <c r="L92" s="951"/>
      <c r="M92" s="952">
        <v>300</v>
      </c>
      <c r="N92" s="1092">
        <f t="shared" si="16"/>
        <v>-19733.010000000002</v>
      </c>
      <c r="O92" s="952">
        <v>-15.79</v>
      </c>
      <c r="P92" s="952"/>
      <c r="Q92" s="952"/>
      <c r="R92" s="1096">
        <f t="shared" si="17"/>
        <v>-19748.800000000003</v>
      </c>
      <c r="S92" s="855">
        <v>1.1197957492553359</v>
      </c>
      <c r="T92" s="1101">
        <f t="shared" si="18"/>
        <v>-17636.073376</v>
      </c>
      <c r="U92" s="956">
        <v>43684</v>
      </c>
      <c r="V92" s="948" t="s">
        <v>1229</v>
      </c>
      <c r="W92" s="959">
        <v>0.58958333333333335</v>
      </c>
      <c r="X92" s="1089">
        <f t="shared" si="19"/>
        <v>8.0018203000961324E-2</v>
      </c>
      <c r="Y92" s="1090" t="str">
        <f>VLOOKUP(V92,'bic broker'!$A$1:$B$14,2,FALSE)</f>
        <v>EMSIITM1XXX</v>
      </c>
      <c r="Z92" s="1090" t="str">
        <f>VLOOKUP(AA92,'place of settlement'!A:C,2,FALSE)</f>
        <v>DTCYUS33XXX</v>
      </c>
      <c r="AA92" s="1090" t="str">
        <f t="shared" si="20"/>
        <v>US</v>
      </c>
      <c r="AB92" s="1090" t="str">
        <f t="shared" si="21"/>
        <v>EquitaUS</v>
      </c>
      <c r="AC92" s="1090" t="str">
        <f>VLOOKUP(AB92,sample!$1:$1048576,2,FALSE)</f>
        <v>BCITITMMXXX</v>
      </c>
      <c r="AD92" s="1090" t="str">
        <f>VLOOKUP($AB92,sample!$1:$1048576,3,FALSE)</f>
        <v>DTCYUS33XXX</v>
      </c>
      <c r="AE92" s="1091">
        <f>VLOOKUP($AB92,sample!$1:$1048576,4,FALSE)</f>
        <v>236707</v>
      </c>
      <c r="AF92" s="1090" t="str">
        <f>VLOOKUP($AB92,sample!$1:$1048576,5,FALSE)</f>
        <v>N</v>
      </c>
      <c r="AL92" s="1091" t="str">
        <f>VLOOKUP($AB92,sample!$1:$1048576,11,FALSE)</f>
        <v>DTCYID</v>
      </c>
      <c r="AM92" s="1091">
        <f>VLOOKUP($AB92,sample!$1:$1048576,12,FALSE)</f>
        <v>908</v>
      </c>
      <c r="AN92" s="1091" t="str">
        <f>VLOOKUP($AB92,sample!$1:$1048576,13,FALSE)</f>
        <v xml:space="preserve">        </v>
      </c>
      <c r="AP92" s="1111"/>
    </row>
    <row r="93" spans="1:42" ht="14">
      <c r="A93" s="920">
        <v>201900091</v>
      </c>
      <c r="B93" s="947">
        <v>43682</v>
      </c>
      <c r="C93" s="947" t="s">
        <v>137</v>
      </c>
      <c r="D93" s="1108" t="str">
        <f>IFERROR(VLOOKUP(G93,PosAggregate!$B$13:$B$87,1,FALSE),"")</f>
        <v/>
      </c>
      <c r="E93" s="880" t="s">
        <v>1674</v>
      </c>
      <c r="F93" s="1132" t="str">
        <f t="shared" si="15"/>
        <v/>
      </c>
      <c r="G93" s="664" t="s">
        <v>1646</v>
      </c>
      <c r="H93" s="664"/>
      <c r="I93" s="950" t="s">
        <v>1650</v>
      </c>
      <c r="J93" s="950" t="s">
        <v>3</v>
      </c>
      <c r="K93" s="855">
        <v>10.337300000000001</v>
      </c>
      <c r="L93" s="951"/>
      <c r="M93" s="952">
        <v>3500</v>
      </c>
      <c r="N93" s="1092">
        <f t="shared" si="16"/>
        <v>-36180.550000000003</v>
      </c>
      <c r="O93" s="952">
        <v>-28.94</v>
      </c>
      <c r="P93" s="952"/>
      <c r="Q93" s="952"/>
      <c r="R93" s="1096">
        <f t="shared" si="17"/>
        <v>-36209.490000000005</v>
      </c>
      <c r="S93" s="855">
        <v>1.1197957492553359</v>
      </c>
      <c r="T93" s="1101">
        <f t="shared" si="18"/>
        <v>-32335.798759800004</v>
      </c>
      <c r="U93" s="956">
        <v>43684</v>
      </c>
      <c r="V93" s="948" t="s">
        <v>1229</v>
      </c>
      <c r="W93" s="959">
        <v>0.59166666666666667</v>
      </c>
      <c r="X93" s="1089">
        <f t="shared" si="19"/>
        <v>7.9987728213086862E-2</v>
      </c>
      <c r="Y93" s="1090" t="str">
        <f>VLOOKUP(V93,'bic broker'!$A$1:$B$14,2,FALSE)</f>
        <v>EMSIITM1XXX</v>
      </c>
      <c r="Z93" s="1090" t="str">
        <f>VLOOKUP(AA93,'place of settlement'!A:C,2,FALSE)</f>
        <v>DTCYUS33XXX</v>
      </c>
      <c r="AA93" s="1090" t="str">
        <f t="shared" si="20"/>
        <v>US</v>
      </c>
      <c r="AB93" s="1090" t="str">
        <f t="shared" si="21"/>
        <v>EquitaUS</v>
      </c>
      <c r="AC93" s="1090" t="str">
        <f>VLOOKUP(AB93,sample!$1:$1048576,2,FALSE)</f>
        <v>BCITITMMXXX</v>
      </c>
      <c r="AD93" s="1090" t="str">
        <f>VLOOKUP($AB93,sample!$1:$1048576,3,FALSE)</f>
        <v>DTCYUS33XXX</v>
      </c>
      <c r="AE93" s="1091">
        <f>VLOOKUP($AB93,sample!$1:$1048576,4,FALSE)</f>
        <v>236707</v>
      </c>
      <c r="AF93" s="1090" t="str">
        <f>VLOOKUP($AB93,sample!$1:$1048576,5,FALSE)</f>
        <v>N</v>
      </c>
      <c r="AL93" s="1091" t="str">
        <f>VLOOKUP($AB93,sample!$1:$1048576,11,FALSE)</f>
        <v>DTCYID</v>
      </c>
      <c r="AM93" s="1091">
        <f>VLOOKUP($AB93,sample!$1:$1048576,12,FALSE)</f>
        <v>908</v>
      </c>
      <c r="AN93" s="1091" t="str">
        <f>VLOOKUP($AB93,sample!$1:$1048576,13,FALSE)</f>
        <v xml:space="preserve">        </v>
      </c>
      <c r="AP93" s="1111"/>
    </row>
    <row r="94" spans="1:42" ht="14">
      <c r="A94" s="920">
        <v>201900092</v>
      </c>
      <c r="B94" s="947">
        <v>43682</v>
      </c>
      <c r="C94" s="947" t="s">
        <v>137</v>
      </c>
      <c r="D94" s="1108" t="str">
        <f>IFERROR(VLOOKUP(G94,PosAggregate!$B$13:$B$87,1,FALSE),"")</f>
        <v/>
      </c>
      <c r="E94" s="880" t="s">
        <v>1271</v>
      </c>
      <c r="F94" s="1132" t="str">
        <f t="shared" si="15"/>
        <v/>
      </c>
      <c r="G94" s="664" t="s">
        <v>1222</v>
      </c>
      <c r="H94" s="664"/>
      <c r="I94" s="950" t="s">
        <v>1228</v>
      </c>
      <c r="J94" s="950" t="s">
        <v>3</v>
      </c>
      <c r="K94" s="855">
        <v>5.7782999999999998</v>
      </c>
      <c r="L94" s="951"/>
      <c r="M94" s="952">
        <v>3300</v>
      </c>
      <c r="N94" s="1092">
        <f t="shared" si="16"/>
        <v>-19068.39</v>
      </c>
      <c r="O94" s="952">
        <v>-15.25</v>
      </c>
      <c r="P94" s="952"/>
      <c r="Q94" s="952"/>
      <c r="R94" s="1096">
        <f t="shared" si="17"/>
        <v>-19083.64</v>
      </c>
      <c r="S94" s="855">
        <v>1.1197957492553359</v>
      </c>
      <c r="T94" s="1101">
        <f t="shared" si="18"/>
        <v>-17042.072192799998</v>
      </c>
      <c r="U94" s="956">
        <v>43684</v>
      </c>
      <c r="V94" s="948" t="s">
        <v>1229</v>
      </c>
      <c r="W94" s="959">
        <v>0.59375</v>
      </c>
      <c r="X94" s="1089">
        <f t="shared" si="19"/>
        <v>7.9975288946785753E-2</v>
      </c>
      <c r="Y94" s="1090" t="str">
        <f>VLOOKUP(V94,'bic broker'!$A$1:$B$14,2,FALSE)</f>
        <v>EMSIITM1XXX</v>
      </c>
      <c r="Z94" s="1090" t="str">
        <f>VLOOKUP(AA94,'place of settlement'!A:C,2,FALSE)</f>
        <v>DTCYUS33XXX</v>
      </c>
      <c r="AA94" s="1090" t="str">
        <f t="shared" si="20"/>
        <v>US</v>
      </c>
      <c r="AB94" s="1090" t="str">
        <f t="shared" si="21"/>
        <v>EquitaUS</v>
      </c>
      <c r="AC94" s="1090" t="str">
        <f>VLOOKUP(AB94,sample!$1:$1048576,2,FALSE)</f>
        <v>BCITITMMXXX</v>
      </c>
      <c r="AD94" s="1090" t="str">
        <f>VLOOKUP($AB94,sample!$1:$1048576,3,FALSE)</f>
        <v>DTCYUS33XXX</v>
      </c>
      <c r="AE94" s="1091">
        <f>VLOOKUP($AB94,sample!$1:$1048576,4,FALSE)</f>
        <v>236707</v>
      </c>
      <c r="AF94" s="1090" t="str">
        <f>VLOOKUP($AB94,sample!$1:$1048576,5,FALSE)</f>
        <v>N</v>
      </c>
      <c r="AL94" s="1091" t="str">
        <f>VLOOKUP($AB94,sample!$1:$1048576,11,FALSE)</f>
        <v>DTCYID</v>
      </c>
      <c r="AM94" s="1091">
        <f>VLOOKUP($AB94,sample!$1:$1048576,12,FALSE)</f>
        <v>908</v>
      </c>
      <c r="AN94" s="1091" t="str">
        <f>VLOOKUP($AB94,sample!$1:$1048576,13,FALSE)</f>
        <v xml:space="preserve">        </v>
      </c>
      <c r="AP94" s="1111"/>
    </row>
    <row r="95" spans="1:42" ht="14">
      <c r="A95" s="920">
        <v>201900093</v>
      </c>
      <c r="B95" s="947">
        <v>43682</v>
      </c>
      <c r="C95" s="947" t="s">
        <v>137</v>
      </c>
      <c r="D95" s="1108" t="str">
        <f>IFERROR(VLOOKUP(G95,PosAggregate!$B$13:$B$87,1,FALSE),"")</f>
        <v/>
      </c>
      <c r="E95" s="880" t="s">
        <v>1675</v>
      </c>
      <c r="F95" s="1132" t="str">
        <f t="shared" si="15"/>
        <v/>
      </c>
      <c r="G95" s="664" t="s">
        <v>1647</v>
      </c>
      <c r="H95" s="664"/>
      <c r="I95" s="950" t="s">
        <v>1651</v>
      </c>
      <c r="J95" s="950" t="s">
        <v>3</v>
      </c>
      <c r="K95" s="855">
        <v>21.964200000000002</v>
      </c>
      <c r="L95" s="951"/>
      <c r="M95" s="952">
        <v>2200</v>
      </c>
      <c r="N95" s="1092">
        <f t="shared" si="16"/>
        <v>-48321.240000000005</v>
      </c>
      <c r="O95" s="952">
        <v>-38.659999999999997</v>
      </c>
      <c r="P95" s="952"/>
      <c r="Q95" s="952"/>
      <c r="R95" s="1096">
        <f t="shared" si="17"/>
        <v>-48359.900000000009</v>
      </c>
      <c r="S95" s="855">
        <v>1.1197957492553359</v>
      </c>
      <c r="T95" s="1101">
        <f t="shared" si="18"/>
        <v>-43186.357898000009</v>
      </c>
      <c r="U95" s="956">
        <v>43684</v>
      </c>
      <c r="V95" s="948" t="s">
        <v>1229</v>
      </c>
      <c r="W95" s="959">
        <v>0.59444444444444444</v>
      </c>
      <c r="X95" s="1089">
        <f t="shared" si="19"/>
        <v>8.0006225005815224E-2</v>
      </c>
      <c r="Y95" s="1090" t="str">
        <f>VLOOKUP(V95,'bic broker'!$A$1:$B$14,2,FALSE)</f>
        <v>EMSIITM1XXX</v>
      </c>
      <c r="Z95" s="1090" t="str">
        <f>VLOOKUP(AA95,'place of settlement'!A:C,2,FALSE)</f>
        <v>DTCYUS33XXX</v>
      </c>
      <c r="AA95" s="1090" t="str">
        <f t="shared" si="20"/>
        <v>US</v>
      </c>
      <c r="AB95" s="1090" t="str">
        <f t="shared" si="21"/>
        <v>EquitaUS</v>
      </c>
      <c r="AC95" s="1090" t="str">
        <f>VLOOKUP(AB95,sample!$1:$1048576,2,FALSE)</f>
        <v>BCITITMMXXX</v>
      </c>
      <c r="AD95" s="1090" t="str">
        <f>VLOOKUP($AB95,sample!$1:$1048576,3,FALSE)</f>
        <v>DTCYUS33XXX</v>
      </c>
      <c r="AE95" s="1091">
        <f>VLOOKUP($AB95,sample!$1:$1048576,4,FALSE)</f>
        <v>236707</v>
      </c>
      <c r="AF95" s="1090" t="str">
        <f>VLOOKUP($AB95,sample!$1:$1048576,5,FALSE)</f>
        <v>N</v>
      </c>
      <c r="AL95" s="1091" t="str">
        <f>VLOOKUP($AB95,sample!$1:$1048576,11,FALSE)</f>
        <v>DTCYID</v>
      </c>
      <c r="AM95" s="1091">
        <f>VLOOKUP($AB95,sample!$1:$1048576,12,FALSE)</f>
        <v>908</v>
      </c>
      <c r="AN95" s="1091" t="str">
        <f>VLOOKUP($AB95,sample!$1:$1048576,13,FALSE)</f>
        <v xml:space="preserve">        </v>
      </c>
      <c r="AP95" s="1111"/>
    </row>
    <row r="96" spans="1:42" ht="14">
      <c r="A96" s="920">
        <v>201900094</v>
      </c>
      <c r="B96" s="947">
        <v>43683</v>
      </c>
      <c r="C96" s="947" t="s">
        <v>137</v>
      </c>
      <c r="D96" s="1108" t="str">
        <f>IFERROR(VLOOKUP(G96,PosAggregate!$B$13:$B$87,1,FALSE),"")</f>
        <v/>
      </c>
      <c r="E96" s="880" t="s">
        <v>1676</v>
      </c>
      <c r="F96" s="1132" t="str">
        <f t="shared" si="15"/>
        <v/>
      </c>
      <c r="G96" s="664" t="s">
        <v>1648</v>
      </c>
      <c r="H96" s="664"/>
      <c r="I96" s="950" t="s">
        <v>1652</v>
      </c>
      <c r="J96" s="950" t="s">
        <v>125</v>
      </c>
      <c r="K96" s="855">
        <v>1486</v>
      </c>
      <c r="L96" s="951"/>
      <c r="M96" s="952">
        <v>2200</v>
      </c>
      <c r="N96" s="1092">
        <f t="shared" si="16"/>
        <v>-3269200</v>
      </c>
      <c r="O96" s="952">
        <v>-2615</v>
      </c>
      <c r="P96" s="952"/>
      <c r="Q96" s="952"/>
      <c r="R96" s="1096">
        <f t="shared" si="17"/>
        <v>-3271815</v>
      </c>
      <c r="S96" s="855">
        <v>119.2246534232152</v>
      </c>
      <c r="T96" s="1101">
        <f t="shared" si="18"/>
        <v>-27442.43666103137</v>
      </c>
      <c r="U96" s="956">
        <v>43685</v>
      </c>
      <c r="V96" s="948" t="s">
        <v>1229</v>
      </c>
      <c r="W96" s="959">
        <v>0.68194444444444446</v>
      </c>
      <c r="X96" s="1089">
        <f t="shared" si="19"/>
        <v>7.9988988131653005E-2</v>
      </c>
      <c r="Y96" s="1090" t="str">
        <f>VLOOKUP(V96,'bic broker'!$A$1:$B$14,2,FALSE)</f>
        <v>EMSIITM1XXX</v>
      </c>
      <c r="Z96" s="1090" t="str">
        <f>VLOOKUP(AA96,'place of settlement'!A:C,2,FALSE)</f>
        <v>JJSDJPJTXXX</v>
      </c>
      <c r="AA96" s="1090" t="str">
        <f t="shared" si="20"/>
        <v>JP</v>
      </c>
      <c r="AB96" s="1090" t="str">
        <f t="shared" si="21"/>
        <v>EquitaJP</v>
      </c>
      <c r="AC96" s="1090" t="str">
        <f>VLOOKUP(AB96,sample!$1:$1048576,2,FALSE)</f>
        <v>BCITITMMXXX</v>
      </c>
      <c r="AD96" s="1090" t="str">
        <f>VLOOKUP($AB96,sample!$1:$1048576,3,FALSE)</f>
        <v>JJSDJPJTXXX</v>
      </c>
      <c r="AE96" s="1091">
        <f>VLOOKUP($AB96,sample!$1:$1048576,4,FALSE)</f>
        <v>100502629</v>
      </c>
      <c r="AF96" s="1090" t="str">
        <f>VLOOKUP($AB96,sample!$1:$1048576,5,FALSE)</f>
        <v>N</v>
      </c>
      <c r="AL96" s="1091" t="str">
        <f>VLOOKUP($AB96,sample!$1:$1048576,11,FALSE)</f>
        <v xml:space="preserve">        </v>
      </c>
      <c r="AM96" s="1091" t="str">
        <f>VLOOKUP($AB96,sample!$1:$1048576,12,FALSE)</f>
        <v xml:space="preserve">        </v>
      </c>
      <c r="AN96" s="1091" t="str">
        <f>VLOOKUP($AB96,sample!$1:$1048576,13,FALSE)</f>
        <v>BOTKJPJTXXX</v>
      </c>
      <c r="AP96" s="1111"/>
    </row>
    <row r="97" spans="1:42" ht="14">
      <c r="A97" s="920">
        <v>201900095</v>
      </c>
      <c r="B97" s="947">
        <v>43683</v>
      </c>
      <c r="C97" s="947" t="s">
        <v>137</v>
      </c>
      <c r="D97" s="1108" t="str">
        <f>IFERROR(VLOOKUP(G97,PosAggregate!$B$13:$B$87,1,FALSE),"")</f>
        <v/>
      </c>
      <c r="E97" s="880" t="s">
        <v>1235</v>
      </c>
      <c r="F97" s="1132" t="str">
        <f t="shared" si="15"/>
        <v/>
      </c>
      <c r="G97" s="664" t="s">
        <v>1649</v>
      </c>
      <c r="H97" s="664"/>
      <c r="I97" s="950" t="s">
        <v>1127</v>
      </c>
      <c r="J97" s="950" t="s">
        <v>125</v>
      </c>
      <c r="K97" s="855">
        <v>1825.4118000000001</v>
      </c>
      <c r="L97" s="951"/>
      <c r="M97" s="952">
        <v>1700</v>
      </c>
      <c r="N97" s="1092">
        <f t="shared" si="16"/>
        <v>-3103200.06</v>
      </c>
      <c r="O97" s="952">
        <v>-2483</v>
      </c>
      <c r="P97" s="952"/>
      <c r="Q97" s="952"/>
      <c r="R97" s="1096">
        <f t="shared" si="17"/>
        <v>-3105683.06</v>
      </c>
      <c r="S97" s="855">
        <v>119.22465342321564</v>
      </c>
      <c r="T97" s="1101">
        <f t="shared" si="18"/>
        <v>-26049.000528235178</v>
      </c>
      <c r="U97" s="956">
        <v>43685</v>
      </c>
      <c r="V97" s="948" t="s">
        <v>1229</v>
      </c>
      <c r="W97" s="959">
        <v>0.68333333333333324</v>
      </c>
      <c r="X97" s="1089">
        <f t="shared" si="19"/>
        <v>8.0014177365026209E-2</v>
      </c>
      <c r="Y97" s="1090" t="str">
        <f>VLOOKUP(V97,'bic broker'!$A$1:$B$14,2,FALSE)</f>
        <v>EMSIITM1XXX</v>
      </c>
      <c r="Z97" s="1090" t="str">
        <f>VLOOKUP(AA97,'place of settlement'!A:C,2,FALSE)</f>
        <v>JJSDJPJTXXX</v>
      </c>
      <c r="AA97" s="1090" t="str">
        <f t="shared" si="20"/>
        <v>JP</v>
      </c>
      <c r="AB97" s="1090" t="str">
        <f t="shared" si="21"/>
        <v>EquitaJP</v>
      </c>
      <c r="AC97" s="1090" t="str">
        <f>VLOOKUP(AB97,sample!$1:$1048576,2,FALSE)</f>
        <v>BCITITMMXXX</v>
      </c>
      <c r="AD97" s="1090" t="str">
        <f>VLOOKUP($AB97,sample!$1:$1048576,3,FALSE)</f>
        <v>JJSDJPJTXXX</v>
      </c>
      <c r="AE97" s="1091">
        <f>VLOOKUP($AB97,sample!$1:$1048576,4,FALSE)</f>
        <v>100502629</v>
      </c>
      <c r="AF97" s="1090" t="str">
        <f>VLOOKUP($AB97,sample!$1:$1048576,5,FALSE)</f>
        <v>N</v>
      </c>
      <c r="AL97" s="1091" t="str">
        <f>VLOOKUP($AB97,sample!$1:$1048576,11,FALSE)</f>
        <v xml:space="preserve">        </v>
      </c>
      <c r="AM97" s="1091" t="str">
        <f>VLOOKUP($AB97,sample!$1:$1048576,12,FALSE)</f>
        <v xml:space="preserve">        </v>
      </c>
      <c r="AN97" s="1091" t="str">
        <f>VLOOKUP($AB97,sample!$1:$1048576,13,FALSE)</f>
        <v>BOTKJPJTXXX</v>
      </c>
      <c r="AP97" s="1111"/>
    </row>
    <row r="98" spans="1:42" ht="14">
      <c r="A98" s="920">
        <v>201900096</v>
      </c>
      <c r="B98" s="947">
        <v>43683</v>
      </c>
      <c r="C98" s="947" t="s">
        <v>137</v>
      </c>
      <c r="D98" s="1108" t="str">
        <f>IFERROR(VLOOKUP(G98,PosAggregate!$B$13:$B$87,1,FALSE),"")</f>
        <v/>
      </c>
      <c r="E98" s="880" t="s">
        <v>1242</v>
      </c>
      <c r="F98" s="1132" t="str">
        <f t="shared" si="15"/>
        <v/>
      </c>
      <c r="G98" s="664" t="s">
        <v>1191</v>
      </c>
      <c r="H98" s="664"/>
      <c r="I98" s="950" t="s">
        <v>1129</v>
      </c>
      <c r="J98" s="950" t="s">
        <v>125</v>
      </c>
      <c r="K98" s="855">
        <v>446</v>
      </c>
      <c r="L98" s="951"/>
      <c r="M98" s="952">
        <v>4200</v>
      </c>
      <c r="N98" s="1092">
        <f t="shared" si="16"/>
        <v>-1873200</v>
      </c>
      <c r="O98" s="952">
        <v>-1499</v>
      </c>
      <c r="P98" s="952"/>
      <c r="Q98" s="952"/>
      <c r="R98" s="1096">
        <f t="shared" si="17"/>
        <v>-1874699</v>
      </c>
      <c r="S98" s="855">
        <v>119.22465342321568</v>
      </c>
      <c r="T98" s="1101">
        <f t="shared" si="18"/>
        <v>-15724.088484831398</v>
      </c>
      <c r="U98" s="956">
        <v>43685</v>
      </c>
      <c r="V98" s="948" t="s">
        <v>1229</v>
      </c>
      <c r="W98" s="959">
        <v>0.68402777777777779</v>
      </c>
      <c r="X98" s="1089">
        <f t="shared" si="19"/>
        <v>8.0023489216314331E-2</v>
      </c>
      <c r="Y98" s="1090" t="str">
        <f>VLOOKUP(V98,'bic broker'!$A$1:$B$14,2,FALSE)</f>
        <v>EMSIITM1XXX</v>
      </c>
      <c r="Z98" s="1090" t="str">
        <f>VLOOKUP(AA98,'place of settlement'!A:C,2,FALSE)</f>
        <v>JJSDJPJTXXX</v>
      </c>
      <c r="AA98" s="1090" t="str">
        <f t="shared" si="20"/>
        <v>JP</v>
      </c>
      <c r="AB98" s="1090" t="str">
        <f t="shared" si="21"/>
        <v>EquitaJP</v>
      </c>
      <c r="AC98" s="1090" t="str">
        <f>VLOOKUP(AB98,sample!$1:$1048576,2,FALSE)</f>
        <v>BCITITMMXXX</v>
      </c>
      <c r="AD98" s="1090" t="str">
        <f>VLOOKUP($AB98,sample!$1:$1048576,3,FALSE)</f>
        <v>JJSDJPJTXXX</v>
      </c>
      <c r="AE98" s="1091">
        <f>VLOOKUP($AB98,sample!$1:$1048576,4,FALSE)</f>
        <v>100502629</v>
      </c>
      <c r="AF98" s="1090" t="str">
        <f>VLOOKUP($AB98,sample!$1:$1048576,5,FALSE)</f>
        <v>N</v>
      </c>
      <c r="AL98" s="1091" t="str">
        <f>VLOOKUP($AB98,sample!$1:$1048576,11,FALSE)</f>
        <v xml:space="preserve">        </v>
      </c>
      <c r="AM98" s="1091" t="str">
        <f>VLOOKUP($AB98,sample!$1:$1048576,12,FALSE)</f>
        <v xml:space="preserve">        </v>
      </c>
      <c r="AN98" s="1091" t="str">
        <f>VLOOKUP($AB98,sample!$1:$1048576,13,FALSE)</f>
        <v>BOTKJPJTXXX</v>
      </c>
      <c r="AP98" s="1111"/>
    </row>
    <row r="99" spans="1:42" ht="14">
      <c r="A99" s="920">
        <v>201900097</v>
      </c>
      <c r="B99" s="947">
        <v>43686</v>
      </c>
      <c r="C99" s="947" t="s">
        <v>137</v>
      </c>
      <c r="D99" s="1108" t="str">
        <f>IFERROR(VLOOKUP(G99,PosAggregate!$B$13:$B$87,1,FALSE),"")</f>
        <v/>
      </c>
      <c r="E99" s="880" t="s">
        <v>1675</v>
      </c>
      <c r="F99" s="1132" t="str">
        <f t="shared" si="15"/>
        <v/>
      </c>
      <c r="G99" s="664" t="s">
        <v>1654</v>
      </c>
      <c r="H99" s="664"/>
      <c r="I99" s="949" t="s">
        <v>1651</v>
      </c>
      <c r="J99" s="949" t="s">
        <v>3</v>
      </c>
      <c r="K99" s="995">
        <v>19.554300000000001</v>
      </c>
      <c r="L99" s="996"/>
      <c r="M99" s="997">
        <v>1100</v>
      </c>
      <c r="N99" s="1092">
        <f t="shared" si="16"/>
        <v>-21509.730000000003</v>
      </c>
      <c r="O99" s="952">
        <v>-17.21</v>
      </c>
      <c r="P99" s="952"/>
      <c r="Q99" s="952"/>
      <c r="R99" s="1096">
        <f t="shared" si="17"/>
        <v>-21526.940000000002</v>
      </c>
      <c r="S99" s="855">
        <v>1.1178055241949005</v>
      </c>
      <c r="T99" s="1101">
        <f t="shared" si="18"/>
        <v>-19258.215793400002</v>
      </c>
      <c r="U99" s="956">
        <v>43690</v>
      </c>
      <c r="V99" s="948" t="s">
        <v>1229</v>
      </c>
      <c r="W99" s="959">
        <v>43686.751553009257</v>
      </c>
      <c r="X99" s="1089">
        <f t="shared" si="19"/>
        <v>8.001030231434797E-2</v>
      </c>
      <c r="Y99" s="1090" t="str">
        <f>VLOOKUP(V99,'bic broker'!$A$1:$B$14,2,FALSE)</f>
        <v>EMSIITM1XXX</v>
      </c>
      <c r="Z99" s="1090" t="str">
        <f>VLOOKUP(AA99,'place of settlement'!A:C,2,FALSE)</f>
        <v>DTCYUS33XXX</v>
      </c>
      <c r="AA99" s="1090" t="str">
        <f t="shared" si="20"/>
        <v>US</v>
      </c>
      <c r="AB99" s="1090" t="str">
        <f t="shared" si="21"/>
        <v>EquitaUS</v>
      </c>
      <c r="AC99" s="1090" t="str">
        <f>VLOOKUP(AB99,sample!$1:$1048576,2,FALSE)</f>
        <v>BCITITMMXXX</v>
      </c>
      <c r="AD99" s="1090" t="str">
        <f>VLOOKUP($AB99,sample!$1:$1048576,3,FALSE)</f>
        <v>DTCYUS33XXX</v>
      </c>
      <c r="AE99" s="1091">
        <f>VLOOKUP($AB99,sample!$1:$1048576,4,FALSE)</f>
        <v>236707</v>
      </c>
      <c r="AF99" s="1090" t="str">
        <f>VLOOKUP($AB99,sample!$1:$1048576,5,FALSE)</f>
        <v>N</v>
      </c>
      <c r="AL99" s="1091" t="str">
        <f>VLOOKUP($AB99,sample!$1:$1048576,11,FALSE)</f>
        <v>DTCYID</v>
      </c>
      <c r="AM99" s="1091">
        <f>VLOOKUP($AB99,sample!$1:$1048576,12,FALSE)</f>
        <v>908</v>
      </c>
      <c r="AN99" s="1091" t="str">
        <f>VLOOKUP($AB99,sample!$1:$1048576,13,FALSE)</f>
        <v xml:space="preserve">        </v>
      </c>
      <c r="AP99" s="1111"/>
    </row>
    <row r="100" spans="1:42" ht="14">
      <c r="A100" s="920">
        <v>201900098</v>
      </c>
      <c r="B100" s="947">
        <v>43689</v>
      </c>
      <c r="C100" s="947" t="s">
        <v>137</v>
      </c>
      <c r="D100" s="1108" t="str">
        <f>IFERROR(VLOOKUP(G100,PosAggregate!$B$13:$B$87,1,FALSE),"")</f>
        <v/>
      </c>
      <c r="E100" s="880" t="s">
        <v>1268</v>
      </c>
      <c r="F100" s="1132" t="str">
        <f t="shared" si="15"/>
        <v/>
      </c>
      <c r="G100" s="664" t="s">
        <v>1219</v>
      </c>
      <c r="H100" s="664"/>
      <c r="I100" s="949" t="s">
        <v>132</v>
      </c>
      <c r="J100" s="949" t="s">
        <v>2</v>
      </c>
      <c r="K100" s="995">
        <v>51.334699999999998</v>
      </c>
      <c r="L100" s="996"/>
      <c r="M100" s="997">
        <v>690</v>
      </c>
      <c r="N100" s="1092">
        <f t="shared" si="16"/>
        <v>-35420.942999999999</v>
      </c>
      <c r="O100" s="952">
        <v>-28.34</v>
      </c>
      <c r="P100" s="952">
        <v>-106.26</v>
      </c>
      <c r="Q100" s="952"/>
      <c r="R100" s="1096">
        <f t="shared" si="17"/>
        <v>-35555.542999999998</v>
      </c>
      <c r="S100" s="855">
        <v>1</v>
      </c>
      <c r="T100" s="1101">
        <f t="shared" si="18"/>
        <v>-35555.542999999998</v>
      </c>
      <c r="U100" s="956">
        <v>43691</v>
      </c>
      <c r="V100" s="948" t="s">
        <v>1229</v>
      </c>
      <c r="W100" s="957">
        <v>43689.38634571759</v>
      </c>
      <c r="X100" s="1089">
        <f t="shared" si="19"/>
        <v>8.0009162940693032E-2</v>
      </c>
      <c r="Y100" s="1090" t="str">
        <f>VLOOKUP(V100,'bic broker'!$A$1:$B$14,2,FALSE)</f>
        <v>EMSIITM1XXX</v>
      </c>
      <c r="Z100" s="1090" t="str">
        <f>VLOOKUP(AA100,'place of settlement'!A:C,2,FALSE)</f>
        <v>SICVFRPPXXX</v>
      </c>
      <c r="AA100" s="1090" t="str">
        <f t="shared" si="20"/>
        <v>FR</v>
      </c>
      <c r="AB100" s="1090" t="str">
        <f t="shared" si="21"/>
        <v>EquitaFR</v>
      </c>
      <c r="AC100" s="1090" t="str">
        <f>VLOOKUP(AB100,sample!$1:$1048576,2,FALSE)</f>
        <v>EMSIITM1XXX</v>
      </c>
      <c r="AD100" s="1090" t="str">
        <f>VLOOKUP($AB100,sample!$1:$1048576,3,FALSE)</f>
        <v>SICVFRPPXXX</v>
      </c>
      <c r="AE100" s="1091" t="str">
        <f>VLOOKUP($AB100,sample!$1:$1048576,4,FALSE)</f>
        <v>SICVBCITITMMD00000L10</v>
      </c>
      <c r="AF100" s="1090" t="str">
        <f>VLOOKUP($AB100,sample!$1:$1048576,5,FALSE)</f>
        <v>N</v>
      </c>
      <c r="AL100" s="1091" t="str">
        <f>VLOOKUP($AB100,sample!$1:$1048576,11,FALSE)</f>
        <v xml:space="preserve">        </v>
      </c>
      <c r="AM100" s="1091" t="str">
        <f>VLOOKUP($AB100,sample!$1:$1048576,12,FALSE)</f>
        <v xml:space="preserve">        </v>
      </c>
      <c r="AN100" s="1091" t="str">
        <f>VLOOKUP($AB100,sample!$1:$1048576,13,FALSE)</f>
        <v>BCITITMMD00</v>
      </c>
      <c r="AP100" s="1111"/>
    </row>
    <row r="101" spans="1:42" ht="14">
      <c r="A101" s="920">
        <v>201900099</v>
      </c>
      <c r="B101" s="947">
        <v>43689</v>
      </c>
      <c r="C101" s="947" t="s">
        <v>137</v>
      </c>
      <c r="D101" s="1108" t="str">
        <f>IFERROR(VLOOKUP(G101,PosAggregate!$B$13:$B$87,1,FALSE),"")</f>
        <v/>
      </c>
      <c r="E101" s="880" t="s">
        <v>1670</v>
      </c>
      <c r="F101" s="1132" t="str">
        <f t="shared" si="15"/>
        <v/>
      </c>
      <c r="G101" s="664" t="s">
        <v>1632</v>
      </c>
      <c r="H101" s="664"/>
      <c r="I101" s="949" t="s">
        <v>1642</v>
      </c>
      <c r="J101" s="949" t="s">
        <v>2</v>
      </c>
      <c r="K101" s="995">
        <v>22.830000000000002</v>
      </c>
      <c r="L101" s="996"/>
      <c r="M101" s="997">
        <v>1100</v>
      </c>
      <c r="N101" s="1092">
        <f t="shared" si="16"/>
        <v>-25113.000000000004</v>
      </c>
      <c r="O101" s="952">
        <v>-20.100000000000001</v>
      </c>
      <c r="P101" s="952"/>
      <c r="Q101" s="952"/>
      <c r="R101" s="1096">
        <f t="shared" si="17"/>
        <v>-25133.100000000002</v>
      </c>
      <c r="S101" s="855">
        <v>1</v>
      </c>
      <c r="T101" s="1101">
        <f t="shared" si="18"/>
        <v>-25133.100000000002</v>
      </c>
      <c r="U101" s="956">
        <v>43691</v>
      </c>
      <c r="V101" s="948" t="s">
        <v>1229</v>
      </c>
      <c r="W101" s="957">
        <v>43689.774499189814</v>
      </c>
      <c r="X101" s="1089">
        <f t="shared" si="19"/>
        <v>8.0038227212997248E-2</v>
      </c>
      <c r="Y101" s="1090" t="str">
        <f>VLOOKUP(V101,'bic broker'!$A$1:$B$14,2,FALSE)</f>
        <v>EMSIITM1XXX</v>
      </c>
      <c r="Z101" s="1090" t="str">
        <f>VLOOKUP(AA101,'place of settlement'!A:C,2,FALSE)</f>
        <v>DAKVDEFFXXX</v>
      </c>
      <c r="AA101" s="1090" t="str">
        <f t="shared" si="20"/>
        <v>DE</v>
      </c>
      <c r="AB101" s="1090" t="str">
        <f t="shared" si="21"/>
        <v>EquitaDE</v>
      </c>
      <c r="AC101" s="1090" t="str">
        <f>VLOOKUP(AB101,sample!$1:$1048576,2,FALSE)</f>
        <v>EMSIITM1XXX</v>
      </c>
      <c r="AD101" s="1090" t="str">
        <f>VLOOKUP($AB101,sample!$1:$1048576,3,FALSE)</f>
        <v>DAKVDEFFXXX</v>
      </c>
      <c r="AE101" s="1091" t="str">
        <f>VLOOKUP($AB101,sample!$1:$1048576,4,FALSE)</f>
        <v>DAKV8135000</v>
      </c>
      <c r="AF101" s="1090" t="str">
        <f>VLOOKUP($AB101,sample!$1:$1048576,5,FALSE)</f>
        <v>N</v>
      </c>
      <c r="AL101" s="1091" t="str">
        <f>VLOOKUP($AB101,sample!$1:$1048576,11,FALSE)</f>
        <v xml:space="preserve">        </v>
      </c>
      <c r="AM101" s="1091" t="str">
        <f>VLOOKUP($AB101,sample!$1:$1048576,12,FALSE)</f>
        <v xml:space="preserve">        </v>
      </c>
      <c r="AN101" s="1091" t="str">
        <f>VLOOKUP($AB101,sample!$1:$1048576,13,FALSE)</f>
        <v>BCITITMMD03</v>
      </c>
      <c r="AP101" s="1111"/>
    </row>
    <row r="102" spans="1:42" ht="14">
      <c r="A102" s="920">
        <v>201900100</v>
      </c>
      <c r="B102" s="947">
        <v>43689</v>
      </c>
      <c r="C102" s="947" t="s">
        <v>137</v>
      </c>
      <c r="D102" s="1108" t="str">
        <f>IFERROR(VLOOKUP(G102,PosAggregate!$B$13:$B$87,1,FALSE),"")</f>
        <v/>
      </c>
      <c r="E102" s="880" t="s">
        <v>1271</v>
      </c>
      <c r="F102" s="1132" t="str">
        <f t="shared" si="15"/>
        <v/>
      </c>
      <c r="G102" s="664" t="s">
        <v>1222</v>
      </c>
      <c r="H102" s="664"/>
      <c r="I102" s="949" t="s">
        <v>1228</v>
      </c>
      <c r="J102" s="949" t="s">
        <v>3</v>
      </c>
      <c r="K102" s="995">
        <v>6.5266000000000002</v>
      </c>
      <c r="L102" s="996"/>
      <c r="M102" s="997">
        <v>2200</v>
      </c>
      <c r="N102" s="1092">
        <f t="shared" si="16"/>
        <v>-14358.52</v>
      </c>
      <c r="O102" s="952">
        <v>-11.49</v>
      </c>
      <c r="P102" s="952"/>
      <c r="Q102" s="952"/>
      <c r="R102" s="1096">
        <f t="shared" si="17"/>
        <v>-14370.01</v>
      </c>
      <c r="S102" s="855">
        <v>1.1197957492553359</v>
      </c>
      <c r="T102" s="1101">
        <f t="shared" si="18"/>
        <v>-12832.706330200001</v>
      </c>
      <c r="U102" s="956">
        <v>43691</v>
      </c>
      <c r="V102" s="948" t="s">
        <v>1229</v>
      </c>
      <c r="W102" s="957">
        <v>43689.77505462963</v>
      </c>
      <c r="X102" s="1089">
        <f t="shared" si="19"/>
        <v>8.0022174987394237E-2</v>
      </c>
      <c r="Y102" s="1090" t="str">
        <f>VLOOKUP(V102,'bic broker'!$A$1:$B$14,2,FALSE)</f>
        <v>EMSIITM1XXX</v>
      </c>
      <c r="Z102" s="1090" t="str">
        <f>VLOOKUP(AA102,'place of settlement'!A:C,2,FALSE)</f>
        <v>DTCYUS33XXX</v>
      </c>
      <c r="AA102" s="1090" t="str">
        <f t="shared" si="20"/>
        <v>US</v>
      </c>
      <c r="AB102" s="1090" t="str">
        <f t="shared" si="21"/>
        <v>EquitaUS</v>
      </c>
      <c r="AC102" s="1090" t="str">
        <f>VLOOKUP(AB102,sample!$1:$1048576,2,FALSE)</f>
        <v>BCITITMMXXX</v>
      </c>
      <c r="AD102" s="1090" t="str">
        <f>VLOOKUP($AB102,sample!$1:$1048576,3,FALSE)</f>
        <v>DTCYUS33XXX</v>
      </c>
      <c r="AE102" s="1091">
        <f>VLOOKUP($AB102,sample!$1:$1048576,4,FALSE)</f>
        <v>236707</v>
      </c>
      <c r="AF102" s="1090" t="str">
        <f>VLOOKUP($AB102,sample!$1:$1048576,5,FALSE)</f>
        <v>N</v>
      </c>
      <c r="AL102" s="1091" t="str">
        <f>VLOOKUP($AB102,sample!$1:$1048576,11,FALSE)</f>
        <v>DTCYID</v>
      </c>
      <c r="AM102" s="1091">
        <f>VLOOKUP($AB102,sample!$1:$1048576,12,FALSE)</f>
        <v>908</v>
      </c>
      <c r="AN102" s="1091" t="str">
        <f>VLOOKUP($AB102,sample!$1:$1048576,13,FALSE)</f>
        <v xml:space="preserve">        </v>
      </c>
      <c r="AP102" s="1111"/>
    </row>
    <row r="103" spans="1:42" ht="14">
      <c r="A103" s="920">
        <v>201900101</v>
      </c>
      <c r="B103" s="947">
        <v>43689</v>
      </c>
      <c r="C103" s="947" t="s">
        <v>137</v>
      </c>
      <c r="D103" s="1108" t="str">
        <f>IFERROR(VLOOKUP(G103,PosAggregate!$B$13:$B$87,1,FALSE),"")</f>
        <v/>
      </c>
      <c r="E103" s="880" t="s">
        <v>1260</v>
      </c>
      <c r="F103" s="1132" t="str">
        <f t="shared" si="15"/>
        <v/>
      </c>
      <c r="G103" s="664" t="s">
        <v>1211</v>
      </c>
      <c r="H103" s="664"/>
      <c r="I103" s="949" t="s">
        <v>1226</v>
      </c>
      <c r="J103" s="949" t="s">
        <v>2</v>
      </c>
      <c r="K103" s="995">
        <v>35.756999999999998</v>
      </c>
      <c r="L103" s="996"/>
      <c r="M103" s="997">
        <v>1000</v>
      </c>
      <c r="N103" s="1092">
        <f t="shared" si="16"/>
        <v>-35757</v>
      </c>
      <c r="O103" s="952">
        <v>-28.61</v>
      </c>
      <c r="P103" s="952">
        <v>-107.27</v>
      </c>
      <c r="Q103" s="952"/>
      <c r="R103" s="1096">
        <f t="shared" si="17"/>
        <v>-35892.879999999997</v>
      </c>
      <c r="S103" s="855">
        <v>1</v>
      </c>
      <c r="T103" s="1101">
        <f t="shared" si="18"/>
        <v>-35892.879999999997</v>
      </c>
      <c r="U103" s="956">
        <v>43691</v>
      </c>
      <c r="V103" s="948" t="s">
        <v>1229</v>
      </c>
      <c r="W103" s="957">
        <v>43689.77560011574</v>
      </c>
      <c r="X103" s="1089">
        <f t="shared" si="19"/>
        <v>8.0012305282881682E-2</v>
      </c>
      <c r="Y103" s="1090" t="str">
        <f>VLOOKUP(V103,'bic broker'!$A$1:$B$14,2,FALSE)</f>
        <v>EMSIITM1XXX</v>
      </c>
      <c r="Z103" s="1090" t="str">
        <f>VLOOKUP(AA103,'place of settlement'!A:C,2,FALSE)</f>
        <v>SICVFRPPXXX</v>
      </c>
      <c r="AA103" s="1090" t="str">
        <f t="shared" si="20"/>
        <v>FR</v>
      </c>
      <c r="AB103" s="1090" t="str">
        <f t="shared" si="21"/>
        <v>EquitaFR</v>
      </c>
      <c r="AC103" s="1090" t="str">
        <f>VLOOKUP(AB103,sample!$1:$1048576,2,FALSE)</f>
        <v>EMSIITM1XXX</v>
      </c>
      <c r="AD103" s="1090" t="str">
        <f>VLOOKUP($AB103,sample!$1:$1048576,3,FALSE)</f>
        <v>SICVFRPPXXX</v>
      </c>
      <c r="AE103" s="1091" t="str">
        <f>VLOOKUP($AB103,sample!$1:$1048576,4,FALSE)</f>
        <v>SICVBCITITMMD00000L10</v>
      </c>
      <c r="AF103" s="1090" t="str">
        <f>VLOOKUP($AB103,sample!$1:$1048576,5,FALSE)</f>
        <v>N</v>
      </c>
      <c r="AL103" s="1091" t="str">
        <f>VLOOKUP($AB103,sample!$1:$1048576,11,FALSE)</f>
        <v xml:space="preserve">        </v>
      </c>
      <c r="AM103" s="1091" t="str">
        <f>VLOOKUP($AB103,sample!$1:$1048576,12,FALSE)</f>
        <v xml:space="preserve">        </v>
      </c>
      <c r="AN103" s="1091" t="str">
        <f>VLOOKUP($AB103,sample!$1:$1048576,13,FALSE)</f>
        <v>BCITITMMD00</v>
      </c>
      <c r="AP103" s="1111"/>
    </row>
    <row r="104" spans="1:42" ht="14">
      <c r="A104" s="920">
        <v>201900102</v>
      </c>
      <c r="B104" s="947">
        <v>43689</v>
      </c>
      <c r="C104" s="947" t="s">
        <v>137</v>
      </c>
      <c r="D104" s="1108" t="str">
        <f>IFERROR(VLOOKUP(G104,PosAggregate!$B$13:$B$87,1,FALSE),"")</f>
        <v/>
      </c>
      <c r="E104" s="880" t="s">
        <v>1273</v>
      </c>
      <c r="F104" s="1132" t="str">
        <f t="shared" si="15"/>
        <v/>
      </c>
      <c r="G104" s="664" t="s">
        <v>1209</v>
      </c>
      <c r="H104" s="664"/>
      <c r="I104" s="949" t="s">
        <v>1133</v>
      </c>
      <c r="J104" s="949" t="s">
        <v>1104</v>
      </c>
      <c r="K104" s="995">
        <v>0.78680000000000005</v>
      </c>
      <c r="L104" s="996"/>
      <c r="M104" s="997">
        <v>25000</v>
      </c>
      <c r="N104" s="1092">
        <f t="shared" si="16"/>
        <v>-19670</v>
      </c>
      <c r="O104" s="952">
        <v>-15.74</v>
      </c>
      <c r="P104" s="952"/>
      <c r="Q104" s="952"/>
      <c r="R104" s="1096">
        <f t="shared" si="17"/>
        <v>-19685.740000000002</v>
      </c>
      <c r="S104" s="855">
        <v>1.6499182549103031</v>
      </c>
      <c r="T104" s="1101">
        <f t="shared" si="18"/>
        <v>-11931.342623438157</v>
      </c>
      <c r="U104" s="956">
        <v>43692</v>
      </c>
      <c r="V104" s="948" t="s">
        <v>1229</v>
      </c>
      <c r="W104" s="957">
        <v>43689.776077430557</v>
      </c>
      <c r="X104" s="1089">
        <f t="shared" si="19"/>
        <v>8.0020335536349768E-2</v>
      </c>
      <c r="Y104" s="1090" t="str">
        <f>VLOOKUP(V104,'bic broker'!$A$1:$B$14,2,FALSE)</f>
        <v>EMSIITM1XXX</v>
      </c>
      <c r="Z104" s="1090" t="str">
        <f>VLOOKUP(AA104,'place of settlement'!A:C,2,FALSE)</f>
        <v>CAETAU21XXX</v>
      </c>
      <c r="AA104" s="1090" t="str">
        <f t="shared" si="20"/>
        <v>AU</v>
      </c>
      <c r="AB104" s="1090" t="str">
        <f t="shared" si="21"/>
        <v>EquitaAU</v>
      </c>
      <c r="AC104" s="1090" t="str">
        <f>VLOOKUP(AB104,sample!$1:$1048576,2,FALSE)</f>
        <v>BCITITMMXXX</v>
      </c>
      <c r="AD104" s="1090" t="str">
        <f>VLOOKUP($AB104,sample!$1:$1048576,3,FALSE)</f>
        <v>CAETAU21XXX</v>
      </c>
      <c r="AE104" s="1091">
        <f>VLOOKUP($AB104,sample!$1:$1048576,4,FALSE)</f>
        <v>2099100983</v>
      </c>
      <c r="AF104" s="1090" t="str">
        <f>VLOOKUP($AB104,sample!$1:$1048576,5,FALSE)</f>
        <v>N</v>
      </c>
      <c r="AL104" s="1091" t="str">
        <f>VLOOKUP($AB104,sample!$1:$1048576,11,FALSE)</f>
        <v xml:space="preserve">        </v>
      </c>
      <c r="AM104" s="1091" t="str">
        <f>VLOOKUP($AB104,sample!$1:$1048576,12,FALSE)</f>
        <v xml:space="preserve">        </v>
      </c>
      <c r="AN104" s="1091" t="str">
        <f>VLOOKUP($AB104,sample!$1:$1048576,13,FALSE)</f>
        <v>CITIAU3XXXX</v>
      </c>
      <c r="AP104" s="1111"/>
    </row>
    <row r="105" spans="1:42" ht="14">
      <c r="A105" s="920">
        <v>201900103</v>
      </c>
      <c r="B105" s="947">
        <v>43689</v>
      </c>
      <c r="C105" s="947" t="s">
        <v>137</v>
      </c>
      <c r="D105" s="1108" t="str">
        <f>IFERROR(VLOOKUP(G105,PosAggregate!$B$13:$B$87,1,FALSE),"")</f>
        <v/>
      </c>
      <c r="E105" s="880" t="s">
        <v>1236</v>
      </c>
      <c r="F105" s="1132" t="str">
        <f t="shared" si="15"/>
        <v/>
      </c>
      <c r="G105" s="664" t="s">
        <v>1656</v>
      </c>
      <c r="H105" s="664"/>
      <c r="I105" s="949" t="s">
        <v>1126</v>
      </c>
      <c r="J105" s="949" t="s">
        <v>125</v>
      </c>
      <c r="K105" s="995">
        <v>2111.7332999999999</v>
      </c>
      <c r="L105" s="996"/>
      <c r="M105" s="997">
        <v>1500</v>
      </c>
      <c r="N105" s="1092">
        <f t="shared" si="16"/>
        <v>-3167599.9499999997</v>
      </c>
      <c r="O105" s="952">
        <v>-2534</v>
      </c>
      <c r="P105" s="952"/>
      <c r="Q105" s="952"/>
      <c r="R105" s="1096">
        <f t="shared" si="17"/>
        <v>-3170133.9499999997</v>
      </c>
      <c r="S105" s="855">
        <v>118.31761886631878</v>
      </c>
      <c r="T105" s="1101">
        <f t="shared" si="18"/>
        <v>-26793.422487497632</v>
      </c>
      <c r="U105" s="956">
        <v>43692</v>
      </c>
      <c r="V105" s="948" t="s">
        <v>1229</v>
      </c>
      <c r="W105" s="957">
        <v>43689.776572106479</v>
      </c>
      <c r="X105" s="1089">
        <f t="shared" si="19"/>
        <v>7.9997475691335335E-2</v>
      </c>
      <c r="Y105" s="1090" t="str">
        <f>VLOOKUP(V105,'bic broker'!$A$1:$B$14,2,FALSE)</f>
        <v>EMSIITM1XXX</v>
      </c>
      <c r="Z105" s="1090" t="str">
        <f>VLOOKUP(AA105,'place of settlement'!A:C,2,FALSE)</f>
        <v>JJSDJPJTXXX</v>
      </c>
      <c r="AA105" s="1090" t="str">
        <f t="shared" si="20"/>
        <v>JP</v>
      </c>
      <c r="AB105" s="1090" t="str">
        <f t="shared" si="21"/>
        <v>EquitaJP</v>
      </c>
      <c r="AC105" s="1090" t="str">
        <f>VLOOKUP(AB105,sample!$1:$1048576,2,FALSE)</f>
        <v>BCITITMMXXX</v>
      </c>
      <c r="AD105" s="1090" t="str">
        <f>VLOOKUP($AB105,sample!$1:$1048576,3,FALSE)</f>
        <v>JJSDJPJTXXX</v>
      </c>
      <c r="AE105" s="1091">
        <f>VLOOKUP($AB105,sample!$1:$1048576,4,FALSE)</f>
        <v>100502629</v>
      </c>
      <c r="AF105" s="1090" t="str">
        <f>VLOOKUP($AB105,sample!$1:$1048576,5,FALSE)</f>
        <v>N</v>
      </c>
      <c r="AL105" s="1091" t="str">
        <f>VLOOKUP($AB105,sample!$1:$1048576,11,FALSE)</f>
        <v xml:space="preserve">        </v>
      </c>
      <c r="AM105" s="1091" t="str">
        <f>VLOOKUP($AB105,sample!$1:$1048576,12,FALSE)</f>
        <v xml:space="preserve">        </v>
      </c>
      <c r="AN105" s="1091" t="str">
        <f>VLOOKUP($AB105,sample!$1:$1048576,13,FALSE)</f>
        <v>BOTKJPJTXXX</v>
      </c>
      <c r="AP105" s="1111"/>
    </row>
    <row r="106" spans="1:42" ht="14">
      <c r="A106" s="920">
        <v>201900104</v>
      </c>
      <c r="B106" s="947">
        <v>43693</v>
      </c>
      <c r="C106" s="998" t="s">
        <v>137</v>
      </c>
      <c r="D106" s="1108" t="str">
        <f>IFERROR(VLOOKUP(G106,PosAggregate!$B$13:$B$87,1,FALSE),"")</f>
        <v/>
      </c>
      <c r="E106" s="880" t="s">
        <v>1677</v>
      </c>
      <c r="F106" s="1132" t="str">
        <f t="shared" si="15"/>
        <v/>
      </c>
      <c r="G106" s="664" t="s">
        <v>1667</v>
      </c>
      <c r="H106" s="664"/>
      <c r="I106" s="999" t="s">
        <v>1668</v>
      </c>
      <c r="J106" s="950" t="s">
        <v>1100</v>
      </c>
      <c r="K106" s="855">
        <v>4.3367164179104503</v>
      </c>
      <c r="L106" s="951"/>
      <c r="M106" s="952">
        <v>67000</v>
      </c>
      <c r="N106" s="953">
        <v>-290560</v>
      </c>
      <c r="O106" s="997">
        <v>-435.84</v>
      </c>
      <c r="P106" s="1102">
        <f>-7.85-14.53-291</f>
        <v>-313.38</v>
      </c>
      <c r="Q106" s="952"/>
      <c r="R106" s="1096">
        <f t="shared" si="17"/>
        <v>-291309.22000000003</v>
      </c>
      <c r="S106" s="855">
        <v>8.6884864595447784</v>
      </c>
      <c r="T106" s="1101">
        <f t="shared" si="18"/>
        <v>-33528.189444316959</v>
      </c>
      <c r="U106" s="956">
        <v>43697</v>
      </c>
      <c r="V106" s="701" t="s">
        <v>1669</v>
      </c>
      <c r="W106" s="1000">
        <v>43697.916036342591</v>
      </c>
      <c r="X106" s="1089">
        <f t="shared" si="19"/>
        <v>0.15</v>
      </c>
      <c r="Y106" s="1090" t="str">
        <f>VLOOKUP(V106,'bic broker'!$A$1:$B$14,2,FALSE)</f>
        <v>DBSVHKH1XXX</v>
      </c>
      <c r="Z106" s="1090" t="str">
        <f>VLOOKUP(AA106,'place of settlement'!A:C,2,FALSE)</f>
        <v>XHKCHKH1XXX</v>
      </c>
      <c r="AA106" s="1090" t="str">
        <f t="shared" si="20"/>
        <v>CN</v>
      </c>
      <c r="AB106" s="1090" t="str">
        <f t="shared" si="21"/>
        <v>DBSCN</v>
      </c>
      <c r="AC106" s="1090" t="e">
        <f>VLOOKUP(AB106,sample!$1:$1048576,2,FALSE)</f>
        <v>#N/A</v>
      </c>
      <c r="AD106" s="1090" t="e">
        <f>VLOOKUP($AB106,sample!$1:$1048576,3,FALSE)</f>
        <v>#N/A</v>
      </c>
      <c r="AE106" s="1091" t="e">
        <f>VLOOKUP($AB106,sample!$1:$1048576,4,FALSE)</f>
        <v>#N/A</v>
      </c>
      <c r="AF106" s="1090" t="e">
        <f>VLOOKUP($AB106,sample!$1:$1048576,5,FALSE)</f>
        <v>#N/A</v>
      </c>
      <c r="AL106" s="1091" t="e">
        <f>VLOOKUP($AB106,sample!$1:$1048576,11,FALSE)</f>
        <v>#N/A</v>
      </c>
      <c r="AM106" s="1091" t="e">
        <f>VLOOKUP($AB106,sample!$1:$1048576,12,FALSE)</f>
        <v>#N/A</v>
      </c>
      <c r="AN106" s="1091" t="e">
        <f>VLOOKUP($AB106,sample!$1:$1048576,13,FALSE)</f>
        <v>#N/A</v>
      </c>
      <c r="AP106" s="1111"/>
    </row>
    <row r="107" spans="1:42" ht="14">
      <c r="A107" s="920">
        <v>201900105</v>
      </c>
      <c r="B107" s="947">
        <v>43693</v>
      </c>
      <c r="C107" s="947" t="s">
        <v>137</v>
      </c>
      <c r="D107" s="1108" t="str">
        <f>IFERROR(VLOOKUP(G107,PosAggregate!$B$13:$B$87,1,FALSE),"")</f>
        <v/>
      </c>
      <c r="E107" s="880" t="s">
        <v>1268</v>
      </c>
      <c r="F107" s="1132" t="str">
        <f t="shared" si="15"/>
        <v/>
      </c>
      <c r="G107" s="664" t="s">
        <v>1657</v>
      </c>
      <c r="H107" s="664"/>
      <c r="I107" s="949" t="s">
        <v>132</v>
      </c>
      <c r="J107" s="949" t="s">
        <v>2</v>
      </c>
      <c r="K107" s="995">
        <v>47.897599999999997</v>
      </c>
      <c r="L107" s="996"/>
      <c r="M107" s="997">
        <v>690</v>
      </c>
      <c r="N107" s="1103">
        <f t="shared" ref="N107:N138" si="22">-K107*M107</f>
        <v>-33049.343999999997</v>
      </c>
      <c r="O107" s="997">
        <v>-26.44</v>
      </c>
      <c r="P107" s="952"/>
      <c r="Q107" s="952"/>
      <c r="R107" s="1096">
        <f t="shared" si="17"/>
        <v>-33075.784</v>
      </c>
      <c r="S107" s="855">
        <v>1</v>
      </c>
      <c r="T107" s="1101">
        <f t="shared" si="18"/>
        <v>-33075.784</v>
      </c>
      <c r="U107" s="956">
        <v>43697</v>
      </c>
      <c r="V107" s="948" t="s">
        <v>1229</v>
      </c>
      <c r="W107" s="957">
        <v>43693.625288078707</v>
      </c>
      <c r="X107" s="1089">
        <f t="shared" si="19"/>
        <v>8.0001587928643925E-2</v>
      </c>
      <c r="Y107" s="1090" t="str">
        <f>VLOOKUP(V107,'bic broker'!$A$1:$B$14,2,FALSE)</f>
        <v>EMSIITM1XXX</v>
      </c>
      <c r="Z107" s="1090" t="str">
        <f>VLOOKUP(AA107,'place of settlement'!A:C,2,FALSE)</f>
        <v>SICVFRPPXXX</v>
      </c>
      <c r="AA107" s="1090" t="str">
        <f t="shared" si="20"/>
        <v>FR</v>
      </c>
      <c r="AB107" s="1090" t="str">
        <f t="shared" si="21"/>
        <v>EquitaFR</v>
      </c>
      <c r="AC107" s="1090" t="str">
        <f>VLOOKUP(AB107,sample!$1:$1048576,2,FALSE)</f>
        <v>EMSIITM1XXX</v>
      </c>
      <c r="AD107" s="1090" t="str">
        <f>VLOOKUP($AB107,sample!$1:$1048576,3,FALSE)</f>
        <v>SICVFRPPXXX</v>
      </c>
      <c r="AE107" s="1091" t="str">
        <f>VLOOKUP($AB107,sample!$1:$1048576,4,FALSE)</f>
        <v>SICVBCITITMMD00000L10</v>
      </c>
      <c r="AF107" s="1090" t="str">
        <f>VLOOKUP($AB107,sample!$1:$1048576,5,FALSE)</f>
        <v>N</v>
      </c>
      <c r="AL107" s="1091" t="str">
        <f>VLOOKUP($AB107,sample!$1:$1048576,11,FALSE)</f>
        <v xml:space="preserve">        </v>
      </c>
      <c r="AM107" s="1091" t="str">
        <f>VLOOKUP($AB107,sample!$1:$1048576,12,FALSE)</f>
        <v xml:space="preserve">        </v>
      </c>
      <c r="AN107" s="1091" t="str">
        <f>VLOOKUP($AB107,sample!$1:$1048576,13,FALSE)</f>
        <v>BCITITMMD00</v>
      </c>
      <c r="AP107" s="1111"/>
    </row>
    <row r="108" spans="1:42" ht="14">
      <c r="A108" s="920">
        <v>201900106</v>
      </c>
      <c r="B108" s="947">
        <v>43693</v>
      </c>
      <c r="C108" s="947" t="s">
        <v>137</v>
      </c>
      <c r="D108" s="1108" t="str">
        <f>IFERROR(VLOOKUP(G108,PosAggregate!$B$13:$B$87,1,FALSE),"")</f>
        <v/>
      </c>
      <c r="E108" s="880" t="s">
        <v>1678</v>
      </c>
      <c r="F108" s="1132" t="str">
        <f t="shared" si="15"/>
        <v/>
      </c>
      <c r="G108" s="664" t="s">
        <v>1658</v>
      </c>
      <c r="H108" s="664"/>
      <c r="I108" s="949" t="s">
        <v>1662</v>
      </c>
      <c r="J108" s="949" t="s">
        <v>2</v>
      </c>
      <c r="K108" s="995">
        <v>59.207299999999996</v>
      </c>
      <c r="L108" s="996"/>
      <c r="M108" s="997">
        <v>1000</v>
      </c>
      <c r="N108" s="1103">
        <f t="shared" si="22"/>
        <v>-59207.299999999996</v>
      </c>
      <c r="O108" s="997">
        <v>-47.37</v>
      </c>
      <c r="P108" s="952"/>
      <c r="Q108" s="952"/>
      <c r="R108" s="1096">
        <f t="shared" si="17"/>
        <v>-59254.67</v>
      </c>
      <c r="S108" s="855">
        <v>1</v>
      </c>
      <c r="T108" s="1101">
        <f t="shared" si="18"/>
        <v>-59254.67</v>
      </c>
      <c r="U108" s="956">
        <v>43697</v>
      </c>
      <c r="V108" s="948" t="s">
        <v>1229</v>
      </c>
      <c r="W108" s="957">
        <v>43693.627879513886</v>
      </c>
      <c r="X108" s="1089">
        <f t="shared" si="19"/>
        <v>8.0007026160625466E-2</v>
      </c>
      <c r="Y108" s="1090" t="str">
        <f>VLOOKUP(V108,'bic broker'!$A$1:$B$14,2,FALSE)</f>
        <v>EMSIITM1XXX</v>
      </c>
      <c r="Z108" s="1090" t="str">
        <f>VLOOKUP(AA108,'place of settlement'!A:C,2,FALSE)</f>
        <v>DAKVDEFFXXX</v>
      </c>
      <c r="AA108" s="1090" t="str">
        <f t="shared" si="20"/>
        <v>DE</v>
      </c>
      <c r="AB108" s="1090" t="str">
        <f t="shared" si="21"/>
        <v>EquitaDE</v>
      </c>
      <c r="AC108" s="1090" t="str">
        <f>VLOOKUP(AB108,sample!$1:$1048576,2,FALSE)</f>
        <v>EMSIITM1XXX</v>
      </c>
      <c r="AD108" s="1090" t="str">
        <f>VLOOKUP($AB108,sample!$1:$1048576,3,FALSE)</f>
        <v>DAKVDEFFXXX</v>
      </c>
      <c r="AE108" s="1091" t="str">
        <f>VLOOKUP($AB108,sample!$1:$1048576,4,FALSE)</f>
        <v>DAKV8135000</v>
      </c>
      <c r="AF108" s="1090" t="str">
        <f>VLOOKUP($AB108,sample!$1:$1048576,5,FALSE)</f>
        <v>N</v>
      </c>
      <c r="AL108" s="1091" t="str">
        <f>VLOOKUP($AB108,sample!$1:$1048576,11,FALSE)</f>
        <v xml:space="preserve">        </v>
      </c>
      <c r="AM108" s="1091" t="str">
        <f>VLOOKUP($AB108,sample!$1:$1048576,12,FALSE)</f>
        <v xml:space="preserve">        </v>
      </c>
      <c r="AN108" s="1091" t="str">
        <f>VLOOKUP($AB108,sample!$1:$1048576,13,FALSE)</f>
        <v>BCITITMMD03</v>
      </c>
      <c r="AP108" s="1111"/>
    </row>
    <row r="109" spans="1:42" ht="14">
      <c r="A109" s="920">
        <v>201900107</v>
      </c>
      <c r="B109" s="947">
        <v>43693</v>
      </c>
      <c r="C109" s="947" t="s">
        <v>137</v>
      </c>
      <c r="D109" s="1108" t="str">
        <f>IFERROR(VLOOKUP(G109,PosAggregate!$B$13:$B$87,1,FALSE),"")</f>
        <v/>
      </c>
      <c r="E109" s="880" t="s">
        <v>1264</v>
      </c>
      <c r="F109" s="1132" t="str">
        <f t="shared" si="15"/>
        <v/>
      </c>
      <c r="G109" s="664" t="s">
        <v>1215</v>
      </c>
      <c r="H109" s="664"/>
      <c r="I109" s="950" t="s">
        <v>1095</v>
      </c>
      <c r="J109" s="950" t="s">
        <v>2</v>
      </c>
      <c r="K109" s="855">
        <v>104.3563</v>
      </c>
      <c r="L109" s="951"/>
      <c r="M109" s="952">
        <v>420</v>
      </c>
      <c r="N109" s="1092">
        <f t="shared" si="22"/>
        <v>-43829.646000000001</v>
      </c>
      <c r="O109" s="997">
        <v>-35.06</v>
      </c>
      <c r="P109" s="952"/>
      <c r="Q109" s="952"/>
      <c r="R109" s="1096">
        <f t="shared" si="17"/>
        <v>-43864.705999999998</v>
      </c>
      <c r="S109" s="855">
        <v>1</v>
      </c>
      <c r="T109" s="1101">
        <f t="shared" si="18"/>
        <v>-43864.705999999998</v>
      </c>
      <c r="U109" s="956">
        <v>43697</v>
      </c>
      <c r="V109" s="948" t="s">
        <v>1229</v>
      </c>
      <c r="W109" s="1000">
        <v>43697.909058564815</v>
      </c>
      <c r="X109" s="1089">
        <f t="shared" si="19"/>
        <v>7.9991519895004401E-2</v>
      </c>
      <c r="Y109" s="1090" t="str">
        <f>VLOOKUP(V109,'bic broker'!$A$1:$B$14,2,FALSE)</f>
        <v>EMSIITM1XXX</v>
      </c>
      <c r="Z109" s="1090" t="str">
        <f>VLOOKUP(AA109,'place of settlement'!A:C,2,FALSE)</f>
        <v>DAKVDEFFXXX</v>
      </c>
      <c r="AA109" s="1090" t="str">
        <f t="shared" si="20"/>
        <v>DE</v>
      </c>
      <c r="AB109" s="1090" t="str">
        <f t="shared" si="21"/>
        <v>EquitaDE</v>
      </c>
      <c r="AC109" s="1090" t="str">
        <f>VLOOKUP(AB109,sample!$1:$1048576,2,FALSE)</f>
        <v>EMSIITM1XXX</v>
      </c>
      <c r="AD109" s="1090" t="str">
        <f>VLOOKUP($AB109,sample!$1:$1048576,3,FALSE)</f>
        <v>DAKVDEFFXXX</v>
      </c>
      <c r="AE109" s="1091" t="str">
        <f>VLOOKUP($AB109,sample!$1:$1048576,4,FALSE)</f>
        <v>DAKV8135000</v>
      </c>
      <c r="AF109" s="1090" t="str">
        <f>VLOOKUP($AB109,sample!$1:$1048576,5,FALSE)</f>
        <v>N</v>
      </c>
      <c r="AL109" s="1091" t="str">
        <f>VLOOKUP($AB109,sample!$1:$1048576,11,FALSE)</f>
        <v xml:space="preserve">        </v>
      </c>
      <c r="AM109" s="1091" t="str">
        <f>VLOOKUP($AB109,sample!$1:$1048576,12,FALSE)</f>
        <v xml:space="preserve">        </v>
      </c>
      <c r="AN109" s="1091" t="str">
        <f>VLOOKUP($AB109,sample!$1:$1048576,13,FALSE)</f>
        <v>BCITITMMD03</v>
      </c>
      <c r="AP109" s="1111"/>
    </row>
    <row r="110" spans="1:42" ht="14">
      <c r="A110" s="920">
        <v>201900108</v>
      </c>
      <c r="B110" s="947">
        <v>43693</v>
      </c>
      <c r="C110" s="947" t="s">
        <v>137</v>
      </c>
      <c r="D110" s="1108" t="str">
        <f>IFERROR(VLOOKUP(G110,PosAggregate!$B$13:$B$87,1,FALSE),"")</f>
        <v/>
      </c>
      <c r="E110" s="880" t="s">
        <v>1679</v>
      </c>
      <c r="F110" s="1132" t="str">
        <f t="shared" si="15"/>
        <v/>
      </c>
      <c r="G110" s="664" t="s">
        <v>1665</v>
      </c>
      <c r="H110" s="664"/>
      <c r="I110" s="950" t="s">
        <v>1666</v>
      </c>
      <c r="J110" s="950" t="s">
        <v>2</v>
      </c>
      <c r="K110" s="855">
        <v>3.9175</v>
      </c>
      <c r="L110" s="951"/>
      <c r="M110" s="952">
        <v>17000</v>
      </c>
      <c r="N110" s="1092">
        <f t="shared" si="22"/>
        <v>-66597.5</v>
      </c>
      <c r="O110" s="997">
        <v>-53.28</v>
      </c>
      <c r="P110" s="952"/>
      <c r="Q110" s="952"/>
      <c r="R110" s="1096">
        <f t="shared" si="17"/>
        <v>-66650.78</v>
      </c>
      <c r="S110" s="855">
        <v>1</v>
      </c>
      <c r="T110" s="1101">
        <f t="shared" si="18"/>
        <v>-66650.78</v>
      </c>
      <c r="U110" s="956">
        <v>43697</v>
      </c>
      <c r="V110" s="948" t="s">
        <v>1229</v>
      </c>
      <c r="W110" s="1000">
        <v>43697.910327199075</v>
      </c>
      <c r="X110" s="1089">
        <f t="shared" si="19"/>
        <v>8.0003003115732566E-2</v>
      </c>
      <c r="Y110" s="1090" t="str">
        <f>VLOOKUP(V110,'bic broker'!$A$1:$B$14,2,FALSE)</f>
        <v>EMSIITM1XXX</v>
      </c>
      <c r="Z110" s="1090" t="str">
        <f>VLOOKUP(AA110,'place of settlement'!A:C,2,FALSE)</f>
        <v>DAKVDEFFXXX</v>
      </c>
      <c r="AA110" s="1090" t="str">
        <f t="shared" si="20"/>
        <v>DE</v>
      </c>
      <c r="AB110" s="1090" t="str">
        <f t="shared" si="21"/>
        <v>EquitaDE</v>
      </c>
      <c r="AC110" s="1090" t="str">
        <f>VLOOKUP(AB110,sample!$1:$1048576,2,FALSE)</f>
        <v>EMSIITM1XXX</v>
      </c>
      <c r="AD110" s="1090" t="str">
        <f>VLOOKUP($AB110,sample!$1:$1048576,3,FALSE)</f>
        <v>DAKVDEFFXXX</v>
      </c>
      <c r="AE110" s="1091" t="str">
        <f>VLOOKUP($AB110,sample!$1:$1048576,4,FALSE)</f>
        <v>DAKV8135000</v>
      </c>
      <c r="AF110" s="1090" t="str">
        <f>VLOOKUP($AB110,sample!$1:$1048576,5,FALSE)</f>
        <v>N</v>
      </c>
      <c r="AL110" s="1091" t="str">
        <f>VLOOKUP($AB110,sample!$1:$1048576,11,FALSE)</f>
        <v xml:space="preserve">        </v>
      </c>
      <c r="AM110" s="1091" t="str">
        <f>VLOOKUP($AB110,sample!$1:$1048576,12,FALSE)</f>
        <v xml:space="preserve">        </v>
      </c>
      <c r="AN110" s="1091" t="str">
        <f>VLOOKUP($AB110,sample!$1:$1048576,13,FALSE)</f>
        <v>BCITITMMD03</v>
      </c>
      <c r="AP110" s="1111"/>
    </row>
    <row r="111" spans="1:42" ht="14">
      <c r="A111" s="920">
        <v>201900109</v>
      </c>
      <c r="B111" s="947">
        <v>43693</v>
      </c>
      <c r="C111" s="947" t="s">
        <v>137</v>
      </c>
      <c r="D111" s="1108" t="str">
        <f>IFERROR(VLOOKUP(G111,PosAggregate!$B$13:$B$87,1,FALSE),"")</f>
        <v/>
      </c>
      <c r="E111" s="880" t="s">
        <v>1261</v>
      </c>
      <c r="F111" s="1132" t="str">
        <f t="shared" si="15"/>
        <v/>
      </c>
      <c r="G111" s="664" t="s">
        <v>1212</v>
      </c>
      <c r="H111" s="664"/>
      <c r="I111" s="950" t="s">
        <v>1099</v>
      </c>
      <c r="J111" s="950" t="s">
        <v>2</v>
      </c>
      <c r="K111" s="855">
        <v>38.0824</v>
      </c>
      <c r="L111" s="951"/>
      <c r="M111" s="952">
        <v>670</v>
      </c>
      <c r="N111" s="1092">
        <f t="shared" si="22"/>
        <v>-25515.207999999999</v>
      </c>
      <c r="O111" s="997">
        <v>-20.41</v>
      </c>
      <c r="P111" s="952">
        <v>-76.55</v>
      </c>
      <c r="Q111" s="952"/>
      <c r="R111" s="1096">
        <f t="shared" si="17"/>
        <v>-25612.167999999998</v>
      </c>
      <c r="S111" s="855">
        <v>1</v>
      </c>
      <c r="T111" s="1101">
        <f t="shared" si="18"/>
        <v>-25612.167999999998</v>
      </c>
      <c r="U111" s="956">
        <v>43697</v>
      </c>
      <c r="V111" s="948" t="s">
        <v>1229</v>
      </c>
      <c r="W111" s="1000">
        <v>43697.911194560184</v>
      </c>
      <c r="X111" s="1089">
        <f t="shared" si="19"/>
        <v>7.9991509377466172E-2</v>
      </c>
      <c r="Y111" s="1090" t="str">
        <f>VLOOKUP(V111,'bic broker'!$A$1:$B$14,2,FALSE)</f>
        <v>EMSIITM1XXX</v>
      </c>
      <c r="Z111" s="1090" t="str">
        <f>VLOOKUP(AA111,'place of settlement'!A:C,2,FALSE)</f>
        <v>SICVFRPPXXX</v>
      </c>
      <c r="AA111" s="1090" t="str">
        <f t="shared" si="20"/>
        <v>FR</v>
      </c>
      <c r="AB111" s="1090" t="str">
        <f t="shared" si="21"/>
        <v>EquitaFR</v>
      </c>
      <c r="AC111" s="1090" t="str">
        <f>VLOOKUP(AB111,sample!$1:$1048576,2,FALSE)</f>
        <v>EMSIITM1XXX</v>
      </c>
      <c r="AD111" s="1090" t="str">
        <f>VLOOKUP($AB111,sample!$1:$1048576,3,FALSE)</f>
        <v>SICVFRPPXXX</v>
      </c>
      <c r="AE111" s="1091" t="str">
        <f>VLOOKUP($AB111,sample!$1:$1048576,4,FALSE)</f>
        <v>SICVBCITITMMD00000L10</v>
      </c>
      <c r="AF111" s="1090" t="str">
        <f>VLOOKUP($AB111,sample!$1:$1048576,5,FALSE)</f>
        <v>N</v>
      </c>
      <c r="AL111" s="1091" t="str">
        <f>VLOOKUP($AB111,sample!$1:$1048576,11,FALSE)</f>
        <v xml:space="preserve">        </v>
      </c>
      <c r="AM111" s="1091" t="str">
        <f>VLOOKUP($AB111,sample!$1:$1048576,12,FALSE)</f>
        <v xml:space="preserve">        </v>
      </c>
      <c r="AN111" s="1091" t="str">
        <f>VLOOKUP($AB111,sample!$1:$1048576,13,FALSE)</f>
        <v>BCITITMMD00</v>
      </c>
      <c r="AP111" s="1111"/>
    </row>
    <row r="112" spans="1:42" ht="14">
      <c r="A112" s="920">
        <v>201900110</v>
      </c>
      <c r="B112" s="947">
        <v>43693</v>
      </c>
      <c r="C112" s="947" t="s">
        <v>137</v>
      </c>
      <c r="D112" s="1108" t="str">
        <f>IFERROR(VLOOKUP(G112,PosAggregate!$B$13:$B$87,1,FALSE),"")</f>
        <v/>
      </c>
      <c r="E112" s="880" t="s">
        <v>1260</v>
      </c>
      <c r="F112" s="1132" t="str">
        <f t="shared" si="15"/>
        <v/>
      </c>
      <c r="G112" s="664" t="s">
        <v>1211</v>
      </c>
      <c r="H112" s="664"/>
      <c r="I112" s="950" t="s">
        <v>1226</v>
      </c>
      <c r="J112" s="950" t="s">
        <v>2</v>
      </c>
      <c r="K112" s="855">
        <v>35.528500000000001</v>
      </c>
      <c r="L112" s="951"/>
      <c r="M112" s="952">
        <v>670</v>
      </c>
      <c r="N112" s="1092">
        <f t="shared" si="22"/>
        <v>-23804.095000000001</v>
      </c>
      <c r="O112" s="997">
        <v>-19.04</v>
      </c>
      <c r="P112" s="952">
        <v>-71.41</v>
      </c>
      <c r="Q112" s="952"/>
      <c r="R112" s="1096">
        <f t="shared" si="17"/>
        <v>-23894.545000000002</v>
      </c>
      <c r="S112" s="855">
        <v>1</v>
      </c>
      <c r="T112" s="1101">
        <f t="shared" si="18"/>
        <v>-23894.545000000002</v>
      </c>
      <c r="U112" s="956">
        <v>43697</v>
      </c>
      <c r="V112" s="948" t="s">
        <v>1229</v>
      </c>
      <c r="W112" s="1000">
        <v>43697.91184108796</v>
      </c>
      <c r="X112" s="1089">
        <f t="shared" si="19"/>
        <v>7.998623766204932E-2</v>
      </c>
      <c r="Y112" s="1090" t="str">
        <f>VLOOKUP(V112,'bic broker'!$A$1:$B$14,2,FALSE)</f>
        <v>EMSIITM1XXX</v>
      </c>
      <c r="Z112" s="1090" t="str">
        <f>VLOOKUP(AA112,'place of settlement'!A:C,2,FALSE)</f>
        <v>SICVFRPPXXX</v>
      </c>
      <c r="AA112" s="1090" t="str">
        <f t="shared" si="20"/>
        <v>FR</v>
      </c>
      <c r="AB112" s="1090" t="str">
        <f t="shared" si="21"/>
        <v>EquitaFR</v>
      </c>
      <c r="AC112" s="1090" t="str">
        <f>VLOOKUP(AB112,sample!$1:$1048576,2,FALSE)</f>
        <v>EMSIITM1XXX</v>
      </c>
      <c r="AD112" s="1090" t="str">
        <f>VLOOKUP($AB112,sample!$1:$1048576,3,FALSE)</f>
        <v>SICVFRPPXXX</v>
      </c>
      <c r="AE112" s="1091" t="str">
        <f>VLOOKUP($AB112,sample!$1:$1048576,4,FALSE)</f>
        <v>SICVBCITITMMD00000L10</v>
      </c>
      <c r="AF112" s="1090" t="str">
        <f>VLOOKUP($AB112,sample!$1:$1048576,5,FALSE)</f>
        <v>N</v>
      </c>
      <c r="AL112" s="1091" t="str">
        <f>VLOOKUP($AB112,sample!$1:$1048576,11,FALSE)</f>
        <v xml:space="preserve">        </v>
      </c>
      <c r="AM112" s="1091" t="str">
        <f>VLOOKUP($AB112,sample!$1:$1048576,12,FALSE)</f>
        <v xml:space="preserve">        </v>
      </c>
      <c r="AN112" s="1091" t="str">
        <f>VLOOKUP($AB112,sample!$1:$1048576,13,FALSE)</f>
        <v>BCITITMMD00</v>
      </c>
      <c r="AP112" s="1111"/>
    </row>
    <row r="113" spans="1:42" ht="14">
      <c r="A113" s="920">
        <v>201900111</v>
      </c>
      <c r="B113" s="947">
        <v>43696</v>
      </c>
      <c r="C113" s="947" t="s">
        <v>137</v>
      </c>
      <c r="D113" s="1108" t="str">
        <f>IFERROR(VLOOKUP(G113,PosAggregate!$B$13:$B$87,1,FALSE),"")</f>
        <v/>
      </c>
      <c r="E113" s="880" t="s">
        <v>1273</v>
      </c>
      <c r="F113" s="1132" t="str">
        <f t="shared" si="15"/>
        <v/>
      </c>
      <c r="G113" s="664" t="s">
        <v>1209</v>
      </c>
      <c r="H113" s="664"/>
      <c r="I113" s="950" t="s">
        <v>1133</v>
      </c>
      <c r="J113" s="950" t="s">
        <v>1104</v>
      </c>
      <c r="K113" s="855">
        <v>0.72240000000000004</v>
      </c>
      <c r="L113" s="951"/>
      <c r="M113" s="952">
        <v>42000</v>
      </c>
      <c r="N113" s="1092">
        <f t="shared" si="22"/>
        <v>-30340.800000000003</v>
      </c>
      <c r="O113" s="952">
        <v>-24.27</v>
      </c>
      <c r="P113" s="952"/>
      <c r="Q113" s="952"/>
      <c r="R113" s="1096">
        <f t="shared" si="17"/>
        <v>-30365.070000000003</v>
      </c>
      <c r="S113" s="855">
        <v>1.6355581676443511</v>
      </c>
      <c r="T113" s="1101">
        <f t="shared" si="18"/>
        <v>-18565.570213705068</v>
      </c>
      <c r="U113" s="956">
        <v>43698</v>
      </c>
      <c r="V113" s="948" t="s">
        <v>1229</v>
      </c>
      <c r="W113" s="957">
        <v>43696.438062384259</v>
      </c>
      <c r="X113" s="1089">
        <f t="shared" si="19"/>
        <v>7.9991298845119435E-2</v>
      </c>
      <c r="Y113" s="1090" t="str">
        <f>VLOOKUP(V113,'bic broker'!$A$1:$B$14,2,FALSE)</f>
        <v>EMSIITM1XXX</v>
      </c>
      <c r="Z113" s="1090" t="str">
        <f>VLOOKUP(AA113,'place of settlement'!A:C,2,FALSE)</f>
        <v>CAETAU21XXX</v>
      </c>
      <c r="AA113" s="1090" t="str">
        <f t="shared" si="20"/>
        <v>AU</v>
      </c>
      <c r="AB113" s="1090" t="str">
        <f t="shared" si="21"/>
        <v>EquitaAU</v>
      </c>
      <c r="AC113" s="1090" t="str">
        <f>VLOOKUP(AB113,sample!$1:$1048576,2,FALSE)</f>
        <v>BCITITMMXXX</v>
      </c>
      <c r="AD113" s="1090" t="str">
        <f>VLOOKUP($AB113,sample!$1:$1048576,3,FALSE)</f>
        <v>CAETAU21XXX</v>
      </c>
      <c r="AE113" s="1091">
        <f>VLOOKUP($AB113,sample!$1:$1048576,4,FALSE)</f>
        <v>2099100983</v>
      </c>
      <c r="AF113" s="1090" t="str">
        <f>VLOOKUP($AB113,sample!$1:$1048576,5,FALSE)</f>
        <v>N</v>
      </c>
      <c r="AL113" s="1091" t="str">
        <f>VLOOKUP($AB113,sample!$1:$1048576,11,FALSE)</f>
        <v xml:space="preserve">        </v>
      </c>
      <c r="AM113" s="1091" t="str">
        <f>VLOOKUP($AB113,sample!$1:$1048576,12,FALSE)</f>
        <v xml:space="preserve">        </v>
      </c>
      <c r="AN113" s="1091" t="str">
        <f>VLOOKUP($AB113,sample!$1:$1048576,13,FALSE)</f>
        <v>CITIAU3XXXX</v>
      </c>
      <c r="AP113" s="1111"/>
    </row>
    <row r="114" spans="1:42" ht="14">
      <c r="A114" s="920">
        <v>201900112</v>
      </c>
      <c r="B114" s="947">
        <v>43696</v>
      </c>
      <c r="C114" s="947" t="s">
        <v>137</v>
      </c>
      <c r="D114" s="1108" t="str">
        <f>IFERROR(VLOOKUP(G114,PosAggregate!$B$13:$B$87,1,FALSE),"")</f>
        <v/>
      </c>
      <c r="E114" s="880" t="s">
        <v>1680</v>
      </c>
      <c r="F114" s="1132" t="str">
        <f t="shared" si="15"/>
        <v/>
      </c>
      <c r="G114" s="664" t="s">
        <v>1660</v>
      </c>
      <c r="H114" s="664"/>
      <c r="I114" s="950" t="s">
        <v>1663</v>
      </c>
      <c r="J114" s="950" t="s">
        <v>125</v>
      </c>
      <c r="K114" s="855">
        <v>963.8</v>
      </c>
      <c r="L114" s="951"/>
      <c r="M114" s="952">
        <v>4200</v>
      </c>
      <c r="N114" s="1092">
        <f t="shared" si="22"/>
        <v>-4047960</v>
      </c>
      <c r="O114" s="952">
        <v>-3238</v>
      </c>
      <c r="P114" s="952"/>
      <c r="Q114" s="952"/>
      <c r="R114" s="1096">
        <f t="shared" si="17"/>
        <v>-4051198</v>
      </c>
      <c r="S114" s="855">
        <v>117.94320185409018</v>
      </c>
      <c r="T114" s="1101">
        <f t="shared" si="18"/>
        <v>-34348.719861037993</v>
      </c>
      <c r="U114" s="956">
        <v>43698</v>
      </c>
      <c r="V114" s="948" t="s">
        <v>1229</v>
      </c>
      <c r="W114" s="957">
        <v>43696.773257060187</v>
      </c>
      <c r="X114" s="1089">
        <f t="shared" si="19"/>
        <v>7.9990909001077082E-2</v>
      </c>
      <c r="Y114" s="1090" t="str">
        <f>VLOOKUP(V114,'bic broker'!$A$1:$B$14,2,FALSE)</f>
        <v>EMSIITM1XXX</v>
      </c>
      <c r="Z114" s="1090" t="str">
        <f>VLOOKUP(AA114,'place of settlement'!A:C,2,FALSE)</f>
        <v>JJSDJPJTXXX</v>
      </c>
      <c r="AA114" s="1090" t="str">
        <f t="shared" si="20"/>
        <v>JP</v>
      </c>
      <c r="AB114" s="1090" t="str">
        <f t="shared" si="21"/>
        <v>EquitaJP</v>
      </c>
      <c r="AC114" s="1090" t="str">
        <f>VLOOKUP(AB114,sample!$1:$1048576,2,FALSE)</f>
        <v>BCITITMMXXX</v>
      </c>
      <c r="AD114" s="1090" t="str">
        <f>VLOOKUP($AB114,sample!$1:$1048576,3,FALSE)</f>
        <v>JJSDJPJTXXX</v>
      </c>
      <c r="AE114" s="1091">
        <f>VLOOKUP($AB114,sample!$1:$1048576,4,FALSE)</f>
        <v>100502629</v>
      </c>
      <c r="AF114" s="1090" t="str">
        <f>VLOOKUP($AB114,sample!$1:$1048576,5,FALSE)</f>
        <v>N</v>
      </c>
      <c r="AL114" s="1091" t="str">
        <f>VLOOKUP($AB114,sample!$1:$1048576,11,FALSE)</f>
        <v xml:space="preserve">        </v>
      </c>
      <c r="AM114" s="1091" t="str">
        <f>VLOOKUP($AB114,sample!$1:$1048576,12,FALSE)</f>
        <v xml:space="preserve">        </v>
      </c>
      <c r="AN114" s="1091" t="str">
        <f>VLOOKUP($AB114,sample!$1:$1048576,13,FALSE)</f>
        <v>BOTKJPJTXXX</v>
      </c>
      <c r="AP114" s="1111"/>
    </row>
    <row r="115" spans="1:42" ht="14">
      <c r="A115" s="920">
        <v>201900113</v>
      </c>
      <c r="B115" s="947">
        <v>43696</v>
      </c>
      <c r="C115" s="947" t="s">
        <v>137</v>
      </c>
      <c r="D115" s="1108" t="str">
        <f>IFERROR(VLOOKUP(G115,PosAggregate!$B$13:$B$87,1,FALSE),"")</f>
        <v/>
      </c>
      <c r="E115" s="880" t="s">
        <v>1681</v>
      </c>
      <c r="F115" s="1132" t="str">
        <f t="shared" si="15"/>
        <v/>
      </c>
      <c r="G115" s="664" t="s">
        <v>1661</v>
      </c>
      <c r="H115" s="664"/>
      <c r="I115" s="950" t="s">
        <v>1664</v>
      </c>
      <c r="J115" s="950" t="s">
        <v>125</v>
      </c>
      <c r="K115" s="855">
        <v>4297</v>
      </c>
      <c r="L115" s="951"/>
      <c r="M115" s="952">
        <v>1100</v>
      </c>
      <c r="N115" s="1092">
        <f t="shared" si="22"/>
        <v>-4726700</v>
      </c>
      <c r="O115" s="952">
        <v>-3781</v>
      </c>
      <c r="P115" s="952"/>
      <c r="Q115" s="952"/>
      <c r="R115" s="1096">
        <f t="shared" si="17"/>
        <v>-4730481</v>
      </c>
      <c r="S115" s="855">
        <v>117.94320185409016</v>
      </c>
      <c r="T115" s="1101">
        <f t="shared" si="18"/>
        <v>-40108.127688886809</v>
      </c>
      <c r="U115" s="956">
        <v>43698</v>
      </c>
      <c r="V115" s="948" t="s">
        <v>1229</v>
      </c>
      <c r="W115" s="957">
        <v>43696.773765625003</v>
      </c>
      <c r="X115" s="1089">
        <f t="shared" si="19"/>
        <v>7.9992383692639682E-2</v>
      </c>
      <c r="Y115" s="1090" t="str">
        <f>VLOOKUP(V115,'bic broker'!$A$1:$B$14,2,FALSE)</f>
        <v>EMSIITM1XXX</v>
      </c>
      <c r="Z115" s="1090" t="str">
        <f>VLOOKUP(AA115,'place of settlement'!A:C,2,FALSE)</f>
        <v>JJSDJPJTXXX</v>
      </c>
      <c r="AA115" s="1090" t="str">
        <f t="shared" si="20"/>
        <v>JP</v>
      </c>
      <c r="AB115" s="1090" t="str">
        <f t="shared" si="21"/>
        <v>EquitaJP</v>
      </c>
      <c r="AC115" s="1090" t="str">
        <f>VLOOKUP(AB115,sample!$1:$1048576,2,FALSE)</f>
        <v>BCITITMMXXX</v>
      </c>
      <c r="AD115" s="1090" t="str">
        <f>VLOOKUP($AB115,sample!$1:$1048576,3,FALSE)</f>
        <v>JJSDJPJTXXX</v>
      </c>
      <c r="AE115" s="1091">
        <f>VLOOKUP($AB115,sample!$1:$1048576,4,FALSE)</f>
        <v>100502629</v>
      </c>
      <c r="AF115" s="1090" t="str">
        <f>VLOOKUP($AB115,sample!$1:$1048576,5,FALSE)</f>
        <v>N</v>
      </c>
      <c r="AL115" s="1091" t="str">
        <f>VLOOKUP($AB115,sample!$1:$1048576,11,FALSE)</f>
        <v xml:space="preserve">        </v>
      </c>
      <c r="AM115" s="1091" t="str">
        <f>VLOOKUP($AB115,sample!$1:$1048576,12,FALSE)</f>
        <v xml:space="preserve">        </v>
      </c>
      <c r="AN115" s="1091" t="str">
        <f>VLOOKUP($AB115,sample!$1:$1048576,13,FALSE)</f>
        <v>BOTKJPJTXXX</v>
      </c>
      <c r="AP115" s="1111"/>
    </row>
    <row r="116" spans="1:42" ht="14">
      <c r="A116" s="920">
        <v>201900114</v>
      </c>
      <c r="B116" s="947">
        <v>43696</v>
      </c>
      <c r="C116" s="947" t="s">
        <v>137</v>
      </c>
      <c r="D116" s="1108" t="str">
        <f>IFERROR(VLOOKUP(G116,PosAggregate!$B$13:$B$87,1,FALSE),"")</f>
        <v/>
      </c>
      <c r="E116" s="880" t="s">
        <v>1232</v>
      </c>
      <c r="F116" s="1132" t="str">
        <f t="shared" si="15"/>
        <v/>
      </c>
      <c r="G116" s="664" t="s">
        <v>1180</v>
      </c>
      <c r="H116" s="664"/>
      <c r="I116" s="950" t="s">
        <v>1122</v>
      </c>
      <c r="J116" s="950" t="s">
        <v>125</v>
      </c>
      <c r="K116" s="855">
        <v>810</v>
      </c>
      <c r="L116" s="951"/>
      <c r="M116" s="952">
        <v>4200</v>
      </c>
      <c r="N116" s="1092">
        <f t="shared" si="22"/>
        <v>-3402000</v>
      </c>
      <c r="O116" s="952">
        <v>-2722</v>
      </c>
      <c r="P116" s="952"/>
      <c r="Q116" s="952"/>
      <c r="R116" s="1096">
        <f t="shared" si="17"/>
        <v>-3404722</v>
      </c>
      <c r="S116" s="855">
        <v>117.94320185409012</v>
      </c>
      <c r="T116" s="1101">
        <f t="shared" si="18"/>
        <v>-28867.471346182796</v>
      </c>
      <c r="U116" s="956">
        <v>43698</v>
      </c>
      <c r="V116" s="948" t="s">
        <v>1229</v>
      </c>
      <c r="W116" s="957">
        <v>43696.776422800926</v>
      </c>
      <c r="X116" s="1089">
        <f t="shared" si="19"/>
        <v>8.0011757789535565E-2</v>
      </c>
      <c r="Y116" s="1090" t="str">
        <f>VLOOKUP(V116,'bic broker'!$A$1:$B$14,2,FALSE)</f>
        <v>EMSIITM1XXX</v>
      </c>
      <c r="Z116" s="1090" t="str">
        <f>VLOOKUP(AA116,'place of settlement'!A:C,2,FALSE)</f>
        <v>JJSDJPJTXXX</v>
      </c>
      <c r="AA116" s="1090" t="str">
        <f t="shared" si="20"/>
        <v>JP</v>
      </c>
      <c r="AB116" s="1090" t="str">
        <f t="shared" si="21"/>
        <v>EquitaJP</v>
      </c>
      <c r="AC116" s="1090" t="str">
        <f>VLOOKUP(AB116,sample!$1:$1048576,2,FALSE)</f>
        <v>BCITITMMXXX</v>
      </c>
      <c r="AD116" s="1090" t="str">
        <f>VLOOKUP($AB116,sample!$1:$1048576,3,FALSE)</f>
        <v>JJSDJPJTXXX</v>
      </c>
      <c r="AE116" s="1091">
        <f>VLOOKUP($AB116,sample!$1:$1048576,4,FALSE)</f>
        <v>100502629</v>
      </c>
      <c r="AF116" s="1090" t="str">
        <f>VLOOKUP($AB116,sample!$1:$1048576,5,FALSE)</f>
        <v>N</v>
      </c>
      <c r="AL116" s="1091" t="str">
        <f>VLOOKUP($AB116,sample!$1:$1048576,11,FALSE)</f>
        <v xml:space="preserve">        </v>
      </c>
      <c r="AM116" s="1091" t="str">
        <f>VLOOKUP($AB116,sample!$1:$1048576,12,FALSE)</f>
        <v xml:space="preserve">        </v>
      </c>
      <c r="AN116" s="1091" t="str">
        <f>VLOOKUP($AB116,sample!$1:$1048576,13,FALSE)</f>
        <v>BOTKJPJTXXX</v>
      </c>
      <c r="AP116" s="1111"/>
    </row>
    <row r="117" spans="1:42" ht="14">
      <c r="A117" s="920">
        <v>201900115</v>
      </c>
      <c r="B117" s="947">
        <v>43696</v>
      </c>
      <c r="C117" s="947" t="s">
        <v>137</v>
      </c>
      <c r="D117" s="1108" t="str">
        <f>IFERROR(VLOOKUP(G117,PosAggregate!$B$13:$B$87,1,FALSE),"")</f>
        <v/>
      </c>
      <c r="E117" s="880" t="s">
        <v>1236</v>
      </c>
      <c r="F117" s="1132" t="str">
        <f t="shared" si="15"/>
        <v/>
      </c>
      <c r="G117" s="664" t="s">
        <v>1656</v>
      </c>
      <c r="H117" s="664"/>
      <c r="I117" s="950" t="s">
        <v>1126</v>
      </c>
      <c r="J117" s="950" t="s">
        <v>125</v>
      </c>
      <c r="K117" s="855">
        <v>2142.89</v>
      </c>
      <c r="L117" s="951"/>
      <c r="M117" s="952">
        <v>1000</v>
      </c>
      <c r="N117" s="1092">
        <f t="shared" si="22"/>
        <v>-2142890</v>
      </c>
      <c r="O117" s="952">
        <v>-1714</v>
      </c>
      <c r="P117" s="952"/>
      <c r="Q117" s="952"/>
      <c r="R117" s="1096">
        <f t="shared" ref="R117:R148" si="23">SUM(N117:Q117)</f>
        <v>-2144604</v>
      </c>
      <c r="S117" s="855">
        <v>117.94320185408995</v>
      </c>
      <c r="T117" s="1101">
        <f t="shared" ref="T117:T148" si="24">+R117/S117</f>
        <v>-18183.362553215535</v>
      </c>
      <c r="U117" s="956">
        <v>43698</v>
      </c>
      <c r="V117" s="948" t="s">
        <v>1229</v>
      </c>
      <c r="W117" s="957">
        <v>43696.777423495369</v>
      </c>
      <c r="X117" s="1089">
        <f t="shared" ref="X117:X148" si="25">+O117/N117*100</f>
        <v>7.998544022324991E-2</v>
      </c>
      <c r="Y117" s="1090" t="str">
        <f>VLOOKUP(V117,'bic broker'!$A$1:$B$14,2,FALSE)</f>
        <v>EMSIITM1XXX</v>
      </c>
      <c r="Z117" s="1090" t="str">
        <f>VLOOKUP(AA117,'place of settlement'!A:C,2,FALSE)</f>
        <v>JJSDJPJTXXX</v>
      </c>
      <c r="AA117" s="1090" t="str">
        <f t="shared" ref="AA117:AA148" si="26">LEFT(E117,2)</f>
        <v>JP</v>
      </c>
      <c r="AB117" s="1090" t="str">
        <f t="shared" ref="AB117:AB148" si="27">CONCATENATE(V117,AA117)</f>
        <v>EquitaJP</v>
      </c>
      <c r="AC117" s="1090" t="str">
        <f>VLOOKUP(AB117,sample!$1:$1048576,2,FALSE)</f>
        <v>BCITITMMXXX</v>
      </c>
      <c r="AD117" s="1090" t="str">
        <f>VLOOKUP($AB117,sample!$1:$1048576,3,FALSE)</f>
        <v>JJSDJPJTXXX</v>
      </c>
      <c r="AE117" s="1091">
        <f>VLOOKUP($AB117,sample!$1:$1048576,4,FALSE)</f>
        <v>100502629</v>
      </c>
      <c r="AF117" s="1090" t="str">
        <f>VLOOKUP($AB117,sample!$1:$1048576,5,FALSE)</f>
        <v>N</v>
      </c>
      <c r="AL117" s="1091" t="str">
        <f>VLOOKUP($AB117,sample!$1:$1048576,11,FALSE)</f>
        <v xml:space="preserve">        </v>
      </c>
      <c r="AM117" s="1091" t="str">
        <f>VLOOKUP($AB117,sample!$1:$1048576,12,FALSE)</f>
        <v xml:space="preserve">        </v>
      </c>
      <c r="AN117" s="1091" t="str">
        <f>VLOOKUP($AB117,sample!$1:$1048576,13,FALSE)</f>
        <v>BOTKJPJTXXX</v>
      </c>
      <c r="AP117" s="1111"/>
    </row>
    <row r="118" spans="1:42" ht="14">
      <c r="A118" s="920">
        <v>201900116</v>
      </c>
      <c r="B118" s="947">
        <v>43696</v>
      </c>
      <c r="C118" s="947" t="s">
        <v>137</v>
      </c>
      <c r="D118" s="1108" t="str">
        <f>IFERROR(VLOOKUP(G118,PosAggregate!$B$13:$B$87,1,FALSE),"")</f>
        <v/>
      </c>
      <c r="E118" s="880" t="s">
        <v>1252</v>
      </c>
      <c r="F118" s="1132" t="str">
        <f t="shared" si="15"/>
        <v/>
      </c>
      <c r="G118" s="664" t="s">
        <v>1202</v>
      </c>
      <c r="H118" s="664"/>
      <c r="I118" s="950" t="s">
        <v>1121</v>
      </c>
      <c r="J118" s="950" t="s">
        <v>123</v>
      </c>
      <c r="K118" s="855">
        <v>162867.85709999999</v>
      </c>
      <c r="L118" s="951"/>
      <c r="M118" s="952">
        <v>420</v>
      </c>
      <c r="N118" s="1092">
        <f t="shared" si="22"/>
        <v>-68404499.981999993</v>
      </c>
      <c r="O118" s="997">
        <v>-102607</v>
      </c>
      <c r="P118" s="952"/>
      <c r="Q118" s="952"/>
      <c r="R118" s="1096">
        <f t="shared" si="23"/>
        <v>-68507106.981999993</v>
      </c>
      <c r="S118" s="855">
        <v>1338.9702702403054</v>
      </c>
      <c r="T118" s="1101">
        <f t="shared" si="24"/>
        <v>-51164.023955292905</v>
      </c>
      <c r="U118" s="956">
        <v>43698</v>
      </c>
      <c r="V118" s="948" t="s">
        <v>1230</v>
      </c>
      <c r="W118" s="1000">
        <v>43696.77998796296</v>
      </c>
      <c r="X118" s="1089">
        <f t="shared" si="25"/>
        <v>0.15000036551250295</v>
      </c>
      <c r="Y118" s="1090" t="e">
        <f>VLOOKUP(V118,'bic broker'!$A$1:$B$14,2,FALSE)</f>
        <v>#N/A</v>
      </c>
      <c r="Z118" s="1090" t="str">
        <f>VLOOKUP(AA118,'place of settlement'!A:C,2,FALSE)</f>
        <v>KSDCKRSEXXX</v>
      </c>
      <c r="AA118" s="1090" t="str">
        <f t="shared" si="26"/>
        <v>KR</v>
      </c>
      <c r="AB118" s="1090" t="str">
        <f t="shared" si="27"/>
        <v>SamsungKR</v>
      </c>
      <c r="AC118" s="1090" t="e">
        <f>VLOOKUP(AB118,sample!$1:$1048576,2,FALSE)</f>
        <v>#N/A</v>
      </c>
      <c r="AD118" s="1090" t="e">
        <f>VLOOKUP($AB118,sample!$1:$1048576,3,FALSE)</f>
        <v>#N/A</v>
      </c>
      <c r="AE118" s="1091" t="e">
        <f>VLOOKUP($AB118,sample!$1:$1048576,4,FALSE)</f>
        <v>#N/A</v>
      </c>
      <c r="AF118" s="1090" t="e">
        <f>VLOOKUP($AB118,sample!$1:$1048576,5,FALSE)</f>
        <v>#N/A</v>
      </c>
      <c r="AL118" s="1091" t="e">
        <f>VLOOKUP($AB118,sample!$1:$1048576,11,FALSE)</f>
        <v>#N/A</v>
      </c>
      <c r="AM118" s="1091" t="e">
        <f>VLOOKUP($AB118,sample!$1:$1048576,12,FALSE)</f>
        <v>#N/A</v>
      </c>
      <c r="AN118" s="1091" t="e">
        <f>VLOOKUP($AB118,sample!$1:$1048576,13,FALSE)</f>
        <v>#N/A</v>
      </c>
      <c r="AP118" s="1111"/>
    </row>
    <row r="119" spans="1:42" ht="14">
      <c r="A119" s="920">
        <v>201900117</v>
      </c>
      <c r="B119" s="947">
        <v>43696</v>
      </c>
      <c r="C119" s="947" t="s">
        <v>137</v>
      </c>
      <c r="D119" s="1108" t="str">
        <f>IFERROR(VLOOKUP(G119,PosAggregate!$B$13:$B$87,1,FALSE),"")</f>
        <v/>
      </c>
      <c r="E119" s="880" t="s">
        <v>1255</v>
      </c>
      <c r="F119" s="1132" t="str">
        <f t="shared" si="15"/>
        <v/>
      </c>
      <c r="G119" s="664" t="s">
        <v>1205</v>
      </c>
      <c r="H119" s="664"/>
      <c r="I119" s="950" t="s">
        <v>1143</v>
      </c>
      <c r="J119" s="950" t="s">
        <v>123</v>
      </c>
      <c r="K119" s="855">
        <v>111038.806</v>
      </c>
      <c r="L119" s="951"/>
      <c r="M119" s="973">
        <v>670</v>
      </c>
      <c r="N119" s="1092">
        <f t="shared" si="22"/>
        <v>-74396000.019999996</v>
      </c>
      <c r="O119" s="997">
        <v>-111594</v>
      </c>
      <c r="P119" s="952"/>
      <c r="Q119" s="952"/>
      <c r="R119" s="1096">
        <f t="shared" si="23"/>
        <v>-74507594.019999996</v>
      </c>
      <c r="S119" s="855">
        <v>1338.9702702402999</v>
      </c>
      <c r="T119" s="1101">
        <f t="shared" si="24"/>
        <v>-55645.443125954094</v>
      </c>
      <c r="U119" s="956">
        <v>43698</v>
      </c>
      <c r="V119" s="948" t="s">
        <v>1230</v>
      </c>
      <c r="W119" s="1000">
        <v>43696.781007986108</v>
      </c>
      <c r="X119" s="1089">
        <f t="shared" si="25"/>
        <v>0.14999999995967525</v>
      </c>
      <c r="Y119" s="1090" t="e">
        <f>VLOOKUP(V119,'bic broker'!$A$1:$B$14,2,FALSE)</f>
        <v>#N/A</v>
      </c>
      <c r="Z119" s="1090" t="str">
        <f>VLOOKUP(AA119,'place of settlement'!A:C,2,FALSE)</f>
        <v>KSDCKRSEXXX</v>
      </c>
      <c r="AA119" s="1090" t="str">
        <f t="shared" si="26"/>
        <v>KR</v>
      </c>
      <c r="AB119" s="1090" t="str">
        <f t="shared" si="27"/>
        <v>SamsungKR</v>
      </c>
      <c r="AC119" s="1090" t="e">
        <f>VLOOKUP(AB119,sample!$1:$1048576,2,FALSE)</f>
        <v>#N/A</v>
      </c>
      <c r="AD119" s="1090" t="e">
        <f>VLOOKUP($AB119,sample!$1:$1048576,3,FALSE)</f>
        <v>#N/A</v>
      </c>
      <c r="AE119" s="1091" t="e">
        <f>VLOOKUP($AB119,sample!$1:$1048576,4,FALSE)</f>
        <v>#N/A</v>
      </c>
      <c r="AF119" s="1090" t="e">
        <f>VLOOKUP($AB119,sample!$1:$1048576,5,FALSE)</f>
        <v>#N/A</v>
      </c>
      <c r="AL119" s="1091" t="e">
        <f>VLOOKUP($AB119,sample!$1:$1048576,11,FALSE)</f>
        <v>#N/A</v>
      </c>
      <c r="AM119" s="1091" t="e">
        <f>VLOOKUP($AB119,sample!$1:$1048576,12,FALSE)</f>
        <v>#N/A</v>
      </c>
      <c r="AN119" s="1091" t="e">
        <f>VLOOKUP($AB119,sample!$1:$1048576,13,FALSE)</f>
        <v>#N/A</v>
      </c>
      <c r="AP119" s="1111"/>
    </row>
    <row r="120" spans="1:42">
      <c r="A120" s="920">
        <v>201900118</v>
      </c>
      <c r="B120" s="947">
        <v>43697</v>
      </c>
      <c r="C120" s="998" t="s">
        <v>137</v>
      </c>
      <c r="D120" s="1108" t="str">
        <f>IFERROR(VLOOKUP(G120,PosAggregate!$B$13:$B$87,1,FALSE),"")</f>
        <v/>
      </c>
      <c r="E120" s="880" t="s">
        <v>1683</v>
      </c>
      <c r="F120" s="1132" t="str">
        <f t="shared" si="15"/>
        <v/>
      </c>
      <c r="G120" s="664" t="s">
        <v>1682</v>
      </c>
      <c r="H120" s="664"/>
      <c r="I120" s="950" t="s">
        <v>1685</v>
      </c>
      <c r="J120" s="950" t="s">
        <v>125</v>
      </c>
      <c r="K120" s="855">
        <v>958.28570000000002</v>
      </c>
      <c r="M120" s="952">
        <v>700</v>
      </c>
      <c r="N120" s="1092">
        <f t="shared" si="22"/>
        <v>-670799.99</v>
      </c>
      <c r="O120" s="997">
        <v>-537</v>
      </c>
      <c r="R120" s="1096">
        <f t="shared" si="23"/>
        <v>-671336.99</v>
      </c>
      <c r="S120" s="855">
        <v>117.89384892006485</v>
      </c>
      <c r="T120" s="1101">
        <f t="shared" si="24"/>
        <v>-5694.4191418772343</v>
      </c>
      <c r="U120" s="956">
        <v>43699</v>
      </c>
      <c r="V120" s="701" t="s">
        <v>1229</v>
      </c>
      <c r="W120" s="1000">
        <v>43698.0352369213</v>
      </c>
      <c r="X120" s="1089">
        <f t="shared" si="25"/>
        <v>8.0053668456375501E-2</v>
      </c>
      <c r="Y120" s="1090" t="str">
        <f>VLOOKUP(V120,'bic broker'!$A$1:$B$14,2,FALSE)</f>
        <v>EMSIITM1XXX</v>
      </c>
      <c r="Z120" s="1090" t="str">
        <f>VLOOKUP(AA120,'place of settlement'!A:C,2,FALSE)</f>
        <v>JJSDJPJTXXX</v>
      </c>
      <c r="AA120" s="1090" t="str">
        <f t="shared" si="26"/>
        <v>JP</v>
      </c>
      <c r="AB120" s="1090" t="str">
        <f t="shared" si="27"/>
        <v>EquitaJP</v>
      </c>
      <c r="AC120" s="1090" t="str">
        <f>VLOOKUP(AB120,sample!$1:$1048576,2,FALSE)</f>
        <v>BCITITMMXXX</v>
      </c>
      <c r="AD120" s="1090" t="str">
        <f>VLOOKUP($AB120,sample!$1:$1048576,3,FALSE)</f>
        <v>JJSDJPJTXXX</v>
      </c>
      <c r="AE120" s="1091">
        <f>VLOOKUP($AB120,sample!$1:$1048576,4,FALSE)</f>
        <v>100502629</v>
      </c>
      <c r="AF120" s="1090" t="str">
        <f>VLOOKUP($AB120,sample!$1:$1048576,5,FALSE)</f>
        <v>N</v>
      </c>
      <c r="AL120" s="1091" t="str">
        <f>VLOOKUP($AB120,sample!$1:$1048576,11,FALSE)</f>
        <v xml:space="preserve">        </v>
      </c>
      <c r="AM120" s="1091" t="str">
        <f>VLOOKUP($AB120,sample!$1:$1048576,12,FALSE)</f>
        <v xml:space="preserve">        </v>
      </c>
      <c r="AN120" s="1091" t="str">
        <f>VLOOKUP($AB120,sample!$1:$1048576,13,FALSE)</f>
        <v>BOTKJPJTXXX</v>
      </c>
      <c r="AP120" s="1111"/>
    </row>
    <row r="121" spans="1:42" ht="14">
      <c r="A121" s="920">
        <v>201900119</v>
      </c>
      <c r="B121" s="947">
        <v>43698</v>
      </c>
      <c r="C121" s="998" t="s">
        <v>137</v>
      </c>
      <c r="D121" s="1108" t="str">
        <f>IFERROR(VLOOKUP(G121,PosAggregate!$B$13:$B$87,1,FALSE),"")</f>
        <v/>
      </c>
      <c r="E121" s="880" t="s">
        <v>1683</v>
      </c>
      <c r="F121" s="1132" t="str">
        <f t="shared" si="15"/>
        <v/>
      </c>
      <c r="G121" s="664" t="s">
        <v>1682</v>
      </c>
      <c r="H121" s="664"/>
      <c r="I121" s="950" t="s">
        <v>1685</v>
      </c>
      <c r="J121" s="950" t="s">
        <v>125</v>
      </c>
      <c r="K121" s="855">
        <v>966.47500000000002</v>
      </c>
      <c r="L121" s="951"/>
      <c r="M121" s="952">
        <v>400</v>
      </c>
      <c r="N121" s="1092">
        <f t="shared" si="22"/>
        <v>-386590</v>
      </c>
      <c r="O121" s="997">
        <v>-309</v>
      </c>
      <c r="P121" s="952"/>
      <c r="Q121" s="952"/>
      <c r="R121" s="1096">
        <f t="shared" si="23"/>
        <v>-386899</v>
      </c>
      <c r="S121" s="855">
        <v>117.89384892006485</v>
      </c>
      <c r="T121" s="1101">
        <f t="shared" si="24"/>
        <v>-3281.7573057804548</v>
      </c>
      <c r="U121" s="956">
        <v>43700</v>
      </c>
      <c r="V121" s="701" t="s">
        <v>1229</v>
      </c>
      <c r="W121" s="1000">
        <v>43698.037979398148</v>
      </c>
      <c r="X121" s="1089">
        <f t="shared" si="25"/>
        <v>7.9929641221966427E-2</v>
      </c>
      <c r="Y121" s="1090" t="str">
        <f>VLOOKUP(V121,'bic broker'!$A$1:$B$14,2,FALSE)</f>
        <v>EMSIITM1XXX</v>
      </c>
      <c r="Z121" s="1090" t="str">
        <f>VLOOKUP(AA121,'place of settlement'!A:C,2,FALSE)</f>
        <v>JJSDJPJTXXX</v>
      </c>
      <c r="AA121" s="1090" t="str">
        <f t="shared" si="26"/>
        <v>JP</v>
      </c>
      <c r="AB121" s="1090" t="str">
        <f t="shared" si="27"/>
        <v>EquitaJP</v>
      </c>
      <c r="AC121" s="1090" t="str">
        <f>VLOOKUP(AB121,sample!$1:$1048576,2,FALSE)</f>
        <v>BCITITMMXXX</v>
      </c>
      <c r="AD121" s="1090" t="str">
        <f>VLOOKUP($AB121,sample!$1:$1048576,3,FALSE)</f>
        <v>JJSDJPJTXXX</v>
      </c>
      <c r="AE121" s="1091">
        <f>VLOOKUP($AB121,sample!$1:$1048576,4,FALSE)</f>
        <v>100502629</v>
      </c>
      <c r="AF121" s="1090" t="str">
        <f>VLOOKUP($AB121,sample!$1:$1048576,5,FALSE)</f>
        <v>N</v>
      </c>
      <c r="AL121" s="1091" t="str">
        <f>VLOOKUP($AB121,sample!$1:$1048576,11,FALSE)</f>
        <v xml:space="preserve">        </v>
      </c>
      <c r="AM121" s="1091" t="str">
        <f>VLOOKUP($AB121,sample!$1:$1048576,12,FALSE)</f>
        <v xml:space="preserve">        </v>
      </c>
      <c r="AN121" s="1091" t="str">
        <f>VLOOKUP($AB121,sample!$1:$1048576,13,FALSE)</f>
        <v>BOTKJPJTXXX</v>
      </c>
      <c r="AP121" s="1111"/>
    </row>
    <row r="122" spans="1:42" ht="14">
      <c r="A122" s="920">
        <v>201900120</v>
      </c>
      <c r="B122" s="947">
        <v>43699</v>
      </c>
      <c r="C122" s="998" t="s">
        <v>137</v>
      </c>
      <c r="D122" s="1108" t="str">
        <f>IFERROR(VLOOKUP(G122,PosAggregate!$B$13:$B$87,1,FALSE),"")</f>
        <v/>
      </c>
      <c r="E122" s="880" t="s">
        <v>1696</v>
      </c>
      <c r="F122" s="1132" t="str">
        <f t="shared" si="15"/>
        <v/>
      </c>
      <c r="G122" s="664" t="s">
        <v>1684</v>
      </c>
      <c r="H122" s="664"/>
      <c r="I122" s="950" t="s">
        <v>1686</v>
      </c>
      <c r="J122" s="950" t="s">
        <v>2</v>
      </c>
      <c r="K122" s="855">
        <v>6.7412999999999998</v>
      </c>
      <c r="L122" s="951"/>
      <c r="M122" s="952">
        <v>3300</v>
      </c>
      <c r="N122" s="1092">
        <f t="shared" si="22"/>
        <v>-22246.29</v>
      </c>
      <c r="O122" s="997">
        <v>-17.8</v>
      </c>
      <c r="P122" s="952"/>
      <c r="Q122" s="952"/>
      <c r="R122" s="1096">
        <f t="shared" si="23"/>
        <v>-22264.09</v>
      </c>
      <c r="S122" s="855">
        <v>1</v>
      </c>
      <c r="T122" s="1101">
        <f t="shared" si="24"/>
        <v>-22264.09</v>
      </c>
      <c r="U122" s="956">
        <v>43703</v>
      </c>
      <c r="V122" s="701" t="s">
        <v>1229</v>
      </c>
      <c r="W122" s="1000">
        <v>43699.44091435185</v>
      </c>
      <c r="X122" s="1089">
        <f t="shared" si="25"/>
        <v>8.0013341550433797E-2</v>
      </c>
      <c r="Y122" s="1090" t="str">
        <f>VLOOKUP(V122,'bic broker'!$A$1:$B$14,2,FALSE)</f>
        <v>EMSIITM1XXX</v>
      </c>
      <c r="Z122" s="1090" t="str">
        <f>VLOOKUP(AA122,'place of settlement'!A:C,2,FALSE)</f>
        <v>DAKVDEFFXXX</v>
      </c>
      <c r="AA122" s="1090" t="str">
        <f t="shared" si="26"/>
        <v>DE</v>
      </c>
      <c r="AB122" s="1090" t="str">
        <f t="shared" si="27"/>
        <v>EquitaDE</v>
      </c>
      <c r="AC122" s="1090" t="str">
        <f>VLOOKUP(AB122,sample!$1:$1048576,2,FALSE)</f>
        <v>EMSIITM1XXX</v>
      </c>
      <c r="AD122" s="1090" t="str">
        <f>VLOOKUP($AB122,sample!$1:$1048576,3,FALSE)</f>
        <v>DAKVDEFFXXX</v>
      </c>
      <c r="AE122" s="1091" t="str">
        <f>VLOOKUP($AB122,sample!$1:$1048576,4,FALSE)</f>
        <v>DAKV8135000</v>
      </c>
      <c r="AF122" s="1090" t="str">
        <f>VLOOKUP($AB122,sample!$1:$1048576,5,FALSE)</f>
        <v>N</v>
      </c>
      <c r="AL122" s="1091" t="str">
        <f>VLOOKUP($AB122,sample!$1:$1048576,11,FALSE)</f>
        <v xml:space="preserve">        </v>
      </c>
      <c r="AM122" s="1091" t="str">
        <f>VLOOKUP($AB122,sample!$1:$1048576,12,FALSE)</f>
        <v xml:space="preserve">        </v>
      </c>
      <c r="AN122" s="1091" t="str">
        <f>VLOOKUP($AB122,sample!$1:$1048576,13,FALSE)</f>
        <v>BCITITMMD03</v>
      </c>
      <c r="AP122" s="1111"/>
    </row>
    <row r="123" spans="1:42" ht="14">
      <c r="A123" s="920">
        <v>201900121</v>
      </c>
      <c r="B123" s="947">
        <v>43700</v>
      </c>
      <c r="C123" s="998" t="s">
        <v>137</v>
      </c>
      <c r="D123" s="1108" t="str">
        <f>IFERROR(VLOOKUP(G123,PosAggregate!$B$13:$B$87,1,FALSE),"")</f>
        <v/>
      </c>
      <c r="E123" s="880" t="s">
        <v>1683</v>
      </c>
      <c r="F123" s="1132" t="str">
        <f t="shared" si="15"/>
        <v/>
      </c>
      <c r="G123" s="664" t="s">
        <v>1682</v>
      </c>
      <c r="H123" s="664"/>
      <c r="I123" s="950" t="s">
        <v>1685</v>
      </c>
      <c r="J123" s="950" t="s">
        <v>125</v>
      </c>
      <c r="K123" s="855">
        <v>943.4</v>
      </c>
      <c r="L123" s="951"/>
      <c r="M123" s="952">
        <v>1500</v>
      </c>
      <c r="N123" s="1092">
        <f t="shared" si="22"/>
        <v>-1415100</v>
      </c>
      <c r="O123" s="997">
        <v>-1132</v>
      </c>
      <c r="P123" s="952"/>
      <c r="Q123" s="952"/>
      <c r="R123" s="1096">
        <f t="shared" si="23"/>
        <v>-1416232</v>
      </c>
      <c r="S123" s="855">
        <v>117.89207812205744</v>
      </c>
      <c r="T123" s="1101">
        <f t="shared" si="24"/>
        <v>-12012.953054688965</v>
      </c>
      <c r="U123" s="956">
        <v>43704</v>
      </c>
      <c r="V123" s="701" t="s">
        <v>1229</v>
      </c>
      <c r="W123" s="1000">
        <v>43699.441921296297</v>
      </c>
      <c r="X123" s="1089">
        <f t="shared" si="25"/>
        <v>7.9994346689279905E-2</v>
      </c>
      <c r="Y123" s="1090" t="str">
        <f>VLOOKUP(V123,'bic broker'!$A$1:$B$14,2,FALSE)</f>
        <v>EMSIITM1XXX</v>
      </c>
      <c r="Z123" s="1090" t="str">
        <f>VLOOKUP(AA123,'place of settlement'!A:C,2,FALSE)</f>
        <v>JJSDJPJTXXX</v>
      </c>
      <c r="AA123" s="1090" t="str">
        <f t="shared" si="26"/>
        <v>JP</v>
      </c>
      <c r="AB123" s="1090" t="str">
        <f t="shared" si="27"/>
        <v>EquitaJP</v>
      </c>
      <c r="AC123" s="1090" t="str">
        <f>VLOOKUP(AB123,sample!$1:$1048576,2,FALSE)</f>
        <v>BCITITMMXXX</v>
      </c>
      <c r="AD123" s="1090" t="str">
        <f>VLOOKUP($AB123,sample!$1:$1048576,3,FALSE)</f>
        <v>JJSDJPJTXXX</v>
      </c>
      <c r="AE123" s="1091">
        <f>VLOOKUP($AB123,sample!$1:$1048576,4,FALSE)</f>
        <v>100502629</v>
      </c>
      <c r="AF123" s="1090" t="str">
        <f>VLOOKUP($AB123,sample!$1:$1048576,5,FALSE)</f>
        <v>N</v>
      </c>
      <c r="AL123" s="1091" t="str">
        <f>VLOOKUP($AB123,sample!$1:$1048576,11,FALSE)</f>
        <v xml:space="preserve">        </v>
      </c>
      <c r="AM123" s="1091" t="str">
        <f>VLOOKUP($AB123,sample!$1:$1048576,12,FALSE)</f>
        <v xml:space="preserve">        </v>
      </c>
      <c r="AN123" s="1091" t="str">
        <f>VLOOKUP($AB123,sample!$1:$1048576,13,FALSE)</f>
        <v>BOTKJPJTXXX</v>
      </c>
      <c r="AP123" s="1111"/>
    </row>
    <row r="124" spans="1:42" ht="14">
      <c r="A124" s="920">
        <v>201900122</v>
      </c>
      <c r="B124" s="947">
        <v>43700</v>
      </c>
      <c r="C124" s="947" t="s">
        <v>137</v>
      </c>
      <c r="D124" s="1108" t="str">
        <f>IFERROR(VLOOKUP(G124,PosAggregate!$B$13:$B$87,1,FALSE),"")</f>
        <v/>
      </c>
      <c r="E124" s="880" t="s">
        <v>1270</v>
      </c>
      <c r="F124" s="1132" t="str">
        <f t="shared" si="15"/>
        <v/>
      </c>
      <c r="G124" s="664" t="s">
        <v>1221</v>
      </c>
      <c r="H124" s="664"/>
      <c r="I124" s="950" t="s">
        <v>1136</v>
      </c>
      <c r="J124" s="950" t="s">
        <v>3</v>
      </c>
      <c r="K124" s="855">
        <v>60.9559</v>
      </c>
      <c r="L124" s="951"/>
      <c r="M124" s="952">
        <v>420</v>
      </c>
      <c r="N124" s="1092">
        <f t="shared" si="22"/>
        <v>-25601.477999999999</v>
      </c>
      <c r="O124" s="997">
        <v>-20.48</v>
      </c>
      <c r="P124" s="952"/>
      <c r="Q124" s="952"/>
      <c r="R124" s="1096">
        <f t="shared" si="23"/>
        <v>-25621.957999999999</v>
      </c>
      <c r="S124" s="855">
        <v>1.1078000199404003</v>
      </c>
      <c r="T124" s="1101">
        <f t="shared" si="24"/>
        <v>-23128.685267019999</v>
      </c>
      <c r="U124" s="956">
        <v>43704</v>
      </c>
      <c r="V124" s="948" t="s">
        <v>1229</v>
      </c>
      <c r="W124" s="1000">
        <v>43700.704092361113</v>
      </c>
      <c r="X124" s="1089">
        <f t="shared" si="25"/>
        <v>7.9995381516645259E-2</v>
      </c>
      <c r="Y124" s="1090" t="str">
        <f>VLOOKUP(V124,'bic broker'!$A$1:$B$14,2,FALSE)</f>
        <v>EMSIITM1XXX</v>
      </c>
      <c r="Z124" s="1090" t="str">
        <f>VLOOKUP(AA124,'place of settlement'!A:C,2,FALSE)</f>
        <v>DTCYUS33XXX</v>
      </c>
      <c r="AA124" s="1090" t="str">
        <f t="shared" si="26"/>
        <v>US</v>
      </c>
      <c r="AB124" s="1090" t="str">
        <f t="shared" si="27"/>
        <v>EquitaUS</v>
      </c>
      <c r="AC124" s="1090" t="str">
        <f>VLOOKUP(AB124,sample!$1:$1048576,2,FALSE)</f>
        <v>BCITITMMXXX</v>
      </c>
      <c r="AD124" s="1090" t="str">
        <f>VLOOKUP($AB124,sample!$1:$1048576,3,FALSE)</f>
        <v>DTCYUS33XXX</v>
      </c>
      <c r="AE124" s="1091">
        <f>VLOOKUP($AB124,sample!$1:$1048576,4,FALSE)</f>
        <v>236707</v>
      </c>
      <c r="AF124" s="1090" t="str">
        <f>VLOOKUP($AB124,sample!$1:$1048576,5,FALSE)</f>
        <v>N</v>
      </c>
      <c r="AL124" s="1091" t="str">
        <f>VLOOKUP($AB124,sample!$1:$1048576,11,FALSE)</f>
        <v>DTCYID</v>
      </c>
      <c r="AM124" s="1091">
        <f>VLOOKUP($AB124,sample!$1:$1048576,12,FALSE)</f>
        <v>908</v>
      </c>
      <c r="AN124" s="1091" t="str">
        <f>VLOOKUP($AB124,sample!$1:$1048576,13,FALSE)</f>
        <v xml:space="preserve">        </v>
      </c>
      <c r="AP124" s="1111"/>
    </row>
    <row r="125" spans="1:42" ht="14">
      <c r="A125" s="920">
        <v>201900123</v>
      </c>
      <c r="B125" s="947">
        <v>43703</v>
      </c>
      <c r="C125" s="947" t="s">
        <v>137</v>
      </c>
      <c r="D125" s="1108" t="str">
        <f>IFERROR(VLOOKUP(G125,PosAggregate!$B$13:$B$87,1,FALSE),"")</f>
        <v/>
      </c>
      <c r="E125" s="880" t="s">
        <v>1683</v>
      </c>
      <c r="F125" s="1132" t="str">
        <f t="shared" si="15"/>
        <v/>
      </c>
      <c r="G125" s="664" t="s">
        <v>1682</v>
      </c>
      <c r="H125" s="664"/>
      <c r="I125" s="950" t="s">
        <v>1685</v>
      </c>
      <c r="J125" s="950" t="s">
        <v>125</v>
      </c>
      <c r="K125" s="855">
        <v>935.63639999999998</v>
      </c>
      <c r="L125" s="951"/>
      <c r="M125" s="952">
        <v>1100</v>
      </c>
      <c r="N125" s="1092">
        <f t="shared" si="22"/>
        <v>-1029200.0399999999</v>
      </c>
      <c r="O125" s="952">
        <v>-823</v>
      </c>
      <c r="P125" s="952"/>
      <c r="Q125" s="952"/>
      <c r="R125" s="1096">
        <f t="shared" si="23"/>
        <v>-1030023.0399999999</v>
      </c>
      <c r="S125" s="855">
        <v>117.89207812205744</v>
      </c>
      <c r="T125" s="1101">
        <f t="shared" si="24"/>
        <v>-8736.9996051268517</v>
      </c>
      <c r="U125" s="956">
        <v>43705</v>
      </c>
      <c r="V125" s="948" t="s">
        <v>1229</v>
      </c>
      <c r="W125" s="1000">
        <v>43700.412138657404</v>
      </c>
      <c r="X125" s="1089">
        <f t="shared" si="25"/>
        <v>7.9965018267974419E-2</v>
      </c>
      <c r="Y125" s="1090" t="str">
        <f>VLOOKUP(V125,'bic broker'!$A$1:$B$14,2,FALSE)</f>
        <v>EMSIITM1XXX</v>
      </c>
      <c r="Z125" s="1090" t="str">
        <f>VLOOKUP(AA125,'place of settlement'!A:C,2,FALSE)</f>
        <v>JJSDJPJTXXX</v>
      </c>
      <c r="AA125" s="1090" t="str">
        <f t="shared" si="26"/>
        <v>JP</v>
      </c>
      <c r="AB125" s="1090" t="str">
        <f t="shared" si="27"/>
        <v>EquitaJP</v>
      </c>
      <c r="AC125" s="1090" t="str">
        <f>VLOOKUP(AB125,sample!$1:$1048576,2,FALSE)</f>
        <v>BCITITMMXXX</v>
      </c>
      <c r="AD125" s="1090" t="str">
        <f>VLOOKUP($AB125,sample!$1:$1048576,3,FALSE)</f>
        <v>JJSDJPJTXXX</v>
      </c>
      <c r="AE125" s="1091">
        <f>VLOOKUP($AB125,sample!$1:$1048576,4,FALSE)</f>
        <v>100502629</v>
      </c>
      <c r="AF125" s="1090" t="str">
        <f>VLOOKUP($AB125,sample!$1:$1048576,5,FALSE)</f>
        <v>N</v>
      </c>
      <c r="AL125" s="1091" t="str">
        <f>VLOOKUP($AB125,sample!$1:$1048576,11,FALSE)</f>
        <v xml:space="preserve">        </v>
      </c>
      <c r="AM125" s="1091" t="str">
        <f>VLOOKUP($AB125,sample!$1:$1048576,12,FALSE)</f>
        <v xml:space="preserve">        </v>
      </c>
      <c r="AN125" s="1091" t="str">
        <f>VLOOKUP($AB125,sample!$1:$1048576,13,FALSE)</f>
        <v>BOTKJPJTXXX</v>
      </c>
      <c r="AP125" s="1111"/>
    </row>
    <row r="126" spans="1:42" ht="14">
      <c r="A126" s="920">
        <v>201900124</v>
      </c>
      <c r="B126" s="947">
        <v>43704</v>
      </c>
      <c r="C126" s="947" t="s">
        <v>137</v>
      </c>
      <c r="D126" s="1108" t="str">
        <f>IFERROR(VLOOKUP(G126,PosAggregate!$B$13:$B$87,1,FALSE),"")</f>
        <v/>
      </c>
      <c r="E126" s="880" t="s">
        <v>1683</v>
      </c>
      <c r="F126" s="1132" t="str">
        <f t="shared" si="15"/>
        <v/>
      </c>
      <c r="G126" s="664" t="s">
        <v>1682</v>
      </c>
      <c r="H126" s="664"/>
      <c r="I126" s="950" t="s">
        <v>1685</v>
      </c>
      <c r="J126" s="950" t="s">
        <v>125</v>
      </c>
      <c r="K126" s="855">
        <v>954.5</v>
      </c>
      <c r="L126" s="951"/>
      <c r="M126" s="952">
        <v>200</v>
      </c>
      <c r="N126" s="1092">
        <f t="shared" si="22"/>
        <v>-190900</v>
      </c>
      <c r="O126" s="997">
        <v>-151</v>
      </c>
      <c r="P126" s="952"/>
      <c r="Q126" s="952"/>
      <c r="R126" s="1096">
        <f t="shared" si="23"/>
        <v>-191051</v>
      </c>
      <c r="S126" s="855">
        <v>117.79331779331774</v>
      </c>
      <c r="T126" s="1101">
        <f t="shared" si="24"/>
        <v>-1621.9171306068608</v>
      </c>
      <c r="U126" s="956">
        <v>43706</v>
      </c>
      <c r="V126" s="948" t="s">
        <v>1229</v>
      </c>
      <c r="W126" s="1000">
        <v>43704.694224537037</v>
      </c>
      <c r="X126" s="1089">
        <f t="shared" si="25"/>
        <v>7.9099004714510215E-2</v>
      </c>
      <c r="Y126" s="1090" t="str">
        <f>VLOOKUP(V126,'bic broker'!$A$1:$B$14,2,FALSE)</f>
        <v>EMSIITM1XXX</v>
      </c>
      <c r="Z126" s="1090" t="str">
        <f>VLOOKUP(AA126,'place of settlement'!A:C,2,FALSE)</f>
        <v>JJSDJPJTXXX</v>
      </c>
      <c r="AA126" s="1090" t="str">
        <f t="shared" si="26"/>
        <v>JP</v>
      </c>
      <c r="AB126" s="1090" t="str">
        <f t="shared" si="27"/>
        <v>EquitaJP</v>
      </c>
      <c r="AC126" s="1090" t="str">
        <f>VLOOKUP(AB126,sample!$1:$1048576,2,FALSE)</f>
        <v>BCITITMMXXX</v>
      </c>
      <c r="AD126" s="1090" t="str">
        <f>VLOOKUP($AB126,sample!$1:$1048576,3,FALSE)</f>
        <v>JJSDJPJTXXX</v>
      </c>
      <c r="AE126" s="1091">
        <f>VLOOKUP($AB126,sample!$1:$1048576,4,FALSE)</f>
        <v>100502629</v>
      </c>
      <c r="AF126" s="1090" t="str">
        <f>VLOOKUP($AB126,sample!$1:$1048576,5,FALSE)</f>
        <v>N</v>
      </c>
      <c r="AL126" s="1091" t="str">
        <f>VLOOKUP($AB126,sample!$1:$1048576,11,FALSE)</f>
        <v xml:space="preserve">        </v>
      </c>
      <c r="AM126" s="1091" t="str">
        <f>VLOOKUP($AB126,sample!$1:$1048576,12,FALSE)</f>
        <v xml:space="preserve">        </v>
      </c>
      <c r="AN126" s="1091" t="str">
        <f>VLOOKUP($AB126,sample!$1:$1048576,13,FALSE)</f>
        <v>BOTKJPJTXXX</v>
      </c>
      <c r="AP126" s="1111"/>
    </row>
    <row r="127" spans="1:42" ht="14">
      <c r="A127" s="920">
        <v>201900125</v>
      </c>
      <c r="B127" s="947">
        <v>43704</v>
      </c>
      <c r="C127" s="947" t="s">
        <v>137</v>
      </c>
      <c r="D127" s="1108" t="str">
        <f>IFERROR(VLOOKUP(G127,PosAggregate!$B$13:$B$87,1,FALSE),"")</f>
        <v/>
      </c>
      <c r="E127" s="880" t="s">
        <v>1698</v>
      </c>
      <c r="F127" s="1132" t="str">
        <f t="shared" si="15"/>
        <v/>
      </c>
      <c r="G127" s="664" t="s">
        <v>1687</v>
      </c>
      <c r="H127" s="664"/>
      <c r="I127" s="949" t="s">
        <v>1688</v>
      </c>
      <c r="J127" s="949" t="s">
        <v>3</v>
      </c>
      <c r="K127" s="995">
        <v>23.111499999999999</v>
      </c>
      <c r="L127" s="996"/>
      <c r="M127" s="997">
        <v>1700</v>
      </c>
      <c r="N127" s="1103">
        <f t="shared" si="22"/>
        <v>-39289.549999999996</v>
      </c>
      <c r="O127" s="997">
        <v>-31.43</v>
      </c>
      <c r="P127" s="952"/>
      <c r="Q127" s="952"/>
      <c r="R127" s="1096">
        <f t="shared" si="23"/>
        <v>-39320.979999999996</v>
      </c>
      <c r="S127" s="855">
        <v>1.1144047963982437</v>
      </c>
      <c r="T127" s="1101">
        <f t="shared" si="24"/>
        <v>-35284.288193199995</v>
      </c>
      <c r="U127" s="956">
        <v>43706</v>
      </c>
      <c r="V127" s="948" t="s">
        <v>1229</v>
      </c>
      <c r="W127" s="1000">
        <v>43703.367658912037</v>
      </c>
      <c r="X127" s="1089">
        <f t="shared" si="25"/>
        <v>7.9995825862093112E-2</v>
      </c>
      <c r="Y127" s="1090" t="str">
        <f>VLOOKUP(V127,'bic broker'!$A$1:$B$14,2,FALSE)</f>
        <v>EMSIITM1XXX</v>
      </c>
      <c r="Z127" s="1090" t="str">
        <f>VLOOKUP(AA127,'place of settlement'!A:C,2,FALSE)</f>
        <v>DTCYUS33XXX</v>
      </c>
      <c r="AA127" s="1090" t="str">
        <f t="shared" si="26"/>
        <v>US</v>
      </c>
      <c r="AB127" s="1090" t="str">
        <f t="shared" si="27"/>
        <v>EquitaUS</v>
      </c>
      <c r="AC127" s="1090" t="str">
        <f>VLOOKUP(AB127,sample!$1:$1048576,2,FALSE)</f>
        <v>BCITITMMXXX</v>
      </c>
      <c r="AD127" s="1090" t="str">
        <f>VLOOKUP($AB127,sample!$1:$1048576,3,FALSE)</f>
        <v>DTCYUS33XXX</v>
      </c>
      <c r="AE127" s="1091">
        <f>VLOOKUP($AB127,sample!$1:$1048576,4,FALSE)</f>
        <v>236707</v>
      </c>
      <c r="AF127" s="1090" t="str">
        <f>VLOOKUP($AB127,sample!$1:$1048576,5,FALSE)</f>
        <v>N</v>
      </c>
      <c r="AL127" s="1091" t="str">
        <f>VLOOKUP($AB127,sample!$1:$1048576,11,FALSE)</f>
        <v>DTCYID</v>
      </c>
      <c r="AM127" s="1091">
        <f>VLOOKUP($AB127,sample!$1:$1048576,12,FALSE)</f>
        <v>908</v>
      </c>
      <c r="AN127" s="1091" t="str">
        <f>VLOOKUP($AB127,sample!$1:$1048576,13,FALSE)</f>
        <v xml:space="preserve">        </v>
      </c>
      <c r="AP127" s="1111"/>
    </row>
    <row r="128" spans="1:42" ht="14">
      <c r="A128" s="920">
        <v>201900126</v>
      </c>
      <c r="B128" s="947">
        <v>43705</v>
      </c>
      <c r="C128" s="947" t="s">
        <v>137</v>
      </c>
      <c r="D128" s="1108" t="str">
        <f>IFERROR(VLOOKUP(G128,PosAggregate!$B$13:$B$87,1,FALSE),"")</f>
        <v/>
      </c>
      <c r="E128" s="880" t="s">
        <v>1697</v>
      </c>
      <c r="F128" s="1132" t="str">
        <f t="shared" si="15"/>
        <v/>
      </c>
      <c r="G128" s="664" t="s">
        <v>1689</v>
      </c>
      <c r="H128" s="664"/>
      <c r="I128" s="950" t="s">
        <v>1690</v>
      </c>
      <c r="J128" s="950" t="s">
        <v>125</v>
      </c>
      <c r="K128" s="855">
        <v>2545.9908999999998</v>
      </c>
      <c r="L128" s="951"/>
      <c r="M128" s="952">
        <v>1100</v>
      </c>
      <c r="N128" s="1092">
        <f t="shared" si="22"/>
        <v>-2800589.9899999998</v>
      </c>
      <c r="O128" s="952">
        <v>-2240</v>
      </c>
      <c r="P128" s="952"/>
      <c r="Q128" s="952"/>
      <c r="R128" s="1096">
        <f t="shared" si="23"/>
        <v>-2802829.9899999998</v>
      </c>
      <c r="S128" s="855">
        <v>117.24390325049072</v>
      </c>
      <c r="T128" s="1101">
        <f t="shared" si="24"/>
        <v>-23905.976449895006</v>
      </c>
      <c r="U128" s="956">
        <v>43707</v>
      </c>
      <c r="V128" s="948" t="s">
        <v>1229</v>
      </c>
      <c r="W128" s="1000">
        <v>43704.955766666666</v>
      </c>
      <c r="X128" s="1089">
        <f t="shared" si="25"/>
        <v>7.9983146694029297E-2</v>
      </c>
      <c r="Y128" s="1090" t="str">
        <f>VLOOKUP(V128,'bic broker'!$A$1:$B$14,2,FALSE)</f>
        <v>EMSIITM1XXX</v>
      </c>
      <c r="Z128" s="1090" t="str">
        <f>VLOOKUP(AA128,'place of settlement'!A:C,2,FALSE)</f>
        <v>JJSDJPJTXXX</v>
      </c>
      <c r="AA128" s="1090" t="str">
        <f t="shared" si="26"/>
        <v>JP</v>
      </c>
      <c r="AB128" s="1090" t="str">
        <f t="shared" si="27"/>
        <v>EquitaJP</v>
      </c>
      <c r="AC128" s="1090" t="str">
        <f>VLOOKUP(AB128,sample!$1:$1048576,2,FALSE)</f>
        <v>BCITITMMXXX</v>
      </c>
      <c r="AD128" s="1090" t="str">
        <f>VLOOKUP($AB128,sample!$1:$1048576,3,FALSE)</f>
        <v>JJSDJPJTXXX</v>
      </c>
      <c r="AE128" s="1091">
        <f>VLOOKUP($AB128,sample!$1:$1048576,4,FALSE)</f>
        <v>100502629</v>
      </c>
      <c r="AF128" s="1090" t="str">
        <f>VLOOKUP($AB128,sample!$1:$1048576,5,FALSE)</f>
        <v>N</v>
      </c>
      <c r="AL128" s="1091" t="str">
        <f>VLOOKUP($AB128,sample!$1:$1048576,11,FALSE)</f>
        <v xml:space="preserve">        </v>
      </c>
      <c r="AM128" s="1091" t="str">
        <f>VLOOKUP($AB128,sample!$1:$1048576,12,FALSE)</f>
        <v xml:space="preserve">        </v>
      </c>
      <c r="AN128" s="1091" t="str">
        <f>VLOOKUP($AB128,sample!$1:$1048576,13,FALSE)</f>
        <v>BOTKJPJTXXX</v>
      </c>
      <c r="AP128" s="1111"/>
    </row>
    <row r="129" spans="1:42" ht="14">
      <c r="A129" s="920">
        <v>201900127</v>
      </c>
      <c r="B129" s="947">
        <v>43705</v>
      </c>
      <c r="C129" s="947" t="s">
        <v>138</v>
      </c>
      <c r="D129" s="1108" t="str">
        <f>IFERROR(VLOOKUP(G129,PosAggregate!$B$13:$B$87,1,FALSE),"")</f>
        <v/>
      </c>
      <c r="E129" s="880" t="s">
        <v>1258</v>
      </c>
      <c r="F129" s="1132" t="str">
        <f t="shared" si="15"/>
        <v/>
      </c>
      <c r="G129" s="664" t="s">
        <v>1208</v>
      </c>
      <c r="H129" s="664"/>
      <c r="I129" s="950" t="s">
        <v>1142</v>
      </c>
      <c r="J129" s="950" t="s">
        <v>123</v>
      </c>
      <c r="K129" s="855">
        <v>72383.913</v>
      </c>
      <c r="L129" s="951"/>
      <c r="M129" s="952">
        <v>-690</v>
      </c>
      <c r="N129" s="1092">
        <f t="shared" si="22"/>
        <v>49944899.969999999</v>
      </c>
      <c r="O129" s="952">
        <v>-74917</v>
      </c>
      <c r="P129" s="952">
        <v>-124860</v>
      </c>
      <c r="Q129" s="952"/>
      <c r="R129" s="1096">
        <f t="shared" si="23"/>
        <v>49745122.969999999</v>
      </c>
      <c r="S129" s="855">
        <v>1343.8245112064858</v>
      </c>
      <c r="T129" s="1101">
        <f t="shared" si="24"/>
        <v>37017.573764403824</v>
      </c>
      <c r="U129" s="956">
        <v>43707</v>
      </c>
      <c r="V129" s="948" t="s">
        <v>1230</v>
      </c>
      <c r="W129" s="1000"/>
      <c r="X129" s="1089">
        <f t="shared" si="25"/>
        <v>-0.14999929931784786</v>
      </c>
      <c r="Y129" s="1090" t="e">
        <f>VLOOKUP(V129,'bic broker'!$A$1:$B$14,2,FALSE)</f>
        <v>#N/A</v>
      </c>
      <c r="Z129" s="1090" t="str">
        <f>VLOOKUP(AA129,'place of settlement'!A:C,2,FALSE)</f>
        <v>KSDCKRSEXXX</v>
      </c>
      <c r="AA129" s="1090" t="str">
        <f t="shared" si="26"/>
        <v>KR</v>
      </c>
      <c r="AB129" s="1090" t="str">
        <f t="shared" si="27"/>
        <v>SamsungKR</v>
      </c>
      <c r="AC129" s="1090" t="e">
        <f>VLOOKUP(AB129,sample!$1:$1048576,2,FALSE)</f>
        <v>#N/A</v>
      </c>
      <c r="AD129" s="1090" t="e">
        <f>VLOOKUP($AB129,sample!$1:$1048576,3,FALSE)</f>
        <v>#N/A</v>
      </c>
      <c r="AE129" s="1091" t="e">
        <f>VLOOKUP($AB129,sample!$1:$1048576,4,FALSE)</f>
        <v>#N/A</v>
      </c>
      <c r="AF129" s="1090" t="e">
        <f>VLOOKUP($AB129,sample!$1:$1048576,5,FALSE)</f>
        <v>#N/A</v>
      </c>
      <c r="AL129" s="1091" t="e">
        <f>VLOOKUP($AB129,sample!$1:$1048576,11,FALSE)</f>
        <v>#N/A</v>
      </c>
      <c r="AM129" s="1091" t="e">
        <f>VLOOKUP($AB129,sample!$1:$1048576,12,FALSE)</f>
        <v>#N/A</v>
      </c>
      <c r="AN129" s="1091" t="e">
        <f>VLOOKUP($AB129,sample!$1:$1048576,13,FALSE)</f>
        <v>#N/A</v>
      </c>
      <c r="AP129" s="1111"/>
    </row>
    <row r="130" spans="1:42" ht="14">
      <c r="A130" s="920">
        <v>201900128</v>
      </c>
      <c r="B130" s="947">
        <v>43706</v>
      </c>
      <c r="C130" s="947" t="s">
        <v>137</v>
      </c>
      <c r="D130" s="1108" t="str">
        <f>IFERROR(VLOOKUP(G130,PosAggregate!$B$13:$B$87,1,FALSE),"")</f>
        <v/>
      </c>
      <c r="E130" s="880" t="s">
        <v>1260</v>
      </c>
      <c r="F130" s="1132" t="str">
        <f t="shared" si="15"/>
        <v/>
      </c>
      <c r="G130" s="664" t="s">
        <v>1211</v>
      </c>
      <c r="H130" s="664"/>
      <c r="I130" s="950" t="s">
        <v>1226</v>
      </c>
      <c r="J130" s="950" t="s">
        <v>2</v>
      </c>
      <c r="K130" s="855">
        <v>36.426900000000003</v>
      </c>
      <c r="L130" s="951"/>
      <c r="M130" s="952">
        <v>420</v>
      </c>
      <c r="N130" s="1092">
        <f t="shared" si="22"/>
        <v>-15299.298000000001</v>
      </c>
      <c r="O130" s="952">
        <v>-12.24</v>
      </c>
      <c r="P130" s="952"/>
      <c r="Q130" s="952"/>
      <c r="R130" s="1096">
        <f t="shared" si="23"/>
        <v>-15311.538</v>
      </c>
      <c r="S130" s="855">
        <v>1</v>
      </c>
      <c r="T130" s="1101">
        <f t="shared" si="24"/>
        <v>-15311.538</v>
      </c>
      <c r="U130" s="956">
        <v>43710</v>
      </c>
      <c r="V130" s="948" t="s">
        <v>1229</v>
      </c>
      <c r="W130" s="1000">
        <v>43706.69808321759</v>
      </c>
      <c r="X130" s="1089">
        <f t="shared" si="25"/>
        <v>8.0003670756658249E-2</v>
      </c>
      <c r="Y130" s="1090" t="str">
        <f>VLOOKUP(V130,'bic broker'!$A$1:$B$14,2,FALSE)</f>
        <v>EMSIITM1XXX</v>
      </c>
      <c r="Z130" s="1090" t="str">
        <f>VLOOKUP(AA130,'place of settlement'!A:C,2,FALSE)</f>
        <v>SICVFRPPXXX</v>
      </c>
      <c r="AA130" s="1090" t="str">
        <f t="shared" si="26"/>
        <v>FR</v>
      </c>
      <c r="AB130" s="1090" t="str">
        <f t="shared" si="27"/>
        <v>EquitaFR</v>
      </c>
      <c r="AC130" s="1090" t="str">
        <f>VLOOKUP(AB130,sample!$1:$1048576,2,FALSE)</f>
        <v>EMSIITM1XXX</v>
      </c>
      <c r="AD130" s="1090" t="str">
        <f>VLOOKUP($AB130,sample!$1:$1048576,3,FALSE)</f>
        <v>SICVFRPPXXX</v>
      </c>
      <c r="AE130" s="1091" t="str">
        <f>VLOOKUP($AB130,sample!$1:$1048576,4,FALSE)</f>
        <v>SICVBCITITMMD00000L10</v>
      </c>
      <c r="AF130" s="1090" t="str">
        <f>VLOOKUP($AB130,sample!$1:$1048576,5,FALSE)</f>
        <v>N</v>
      </c>
      <c r="AL130" s="1091" t="str">
        <f>VLOOKUP($AB130,sample!$1:$1048576,11,FALSE)</f>
        <v xml:space="preserve">        </v>
      </c>
      <c r="AM130" s="1091" t="str">
        <f>VLOOKUP($AB130,sample!$1:$1048576,12,FALSE)</f>
        <v xml:space="preserve">        </v>
      </c>
      <c r="AN130" s="1091" t="str">
        <f>VLOOKUP($AB130,sample!$1:$1048576,13,FALSE)</f>
        <v>BCITITMMD00</v>
      </c>
      <c r="AP130" s="1111"/>
    </row>
    <row r="131" spans="1:42" ht="14">
      <c r="A131" s="920">
        <v>201900129</v>
      </c>
      <c r="B131" s="947">
        <v>43707</v>
      </c>
      <c r="C131" s="947" t="s">
        <v>137</v>
      </c>
      <c r="D131" s="1108" t="str">
        <f>IFERROR(VLOOKUP(G131,PosAggregate!$B$13:$B$87,1,FALSE),"")</f>
        <v/>
      </c>
      <c r="E131" s="880" t="s">
        <v>1237</v>
      </c>
      <c r="F131" s="1132" t="str">
        <f t="shared" si="15"/>
        <v/>
      </c>
      <c r="G131" s="664" t="s">
        <v>1691</v>
      </c>
      <c r="H131" s="664"/>
      <c r="I131" s="950" t="s">
        <v>1132</v>
      </c>
      <c r="J131" s="950" t="s">
        <v>125</v>
      </c>
      <c r="K131" s="855">
        <v>2705.1505999999999</v>
      </c>
      <c r="L131" s="951"/>
      <c r="M131" s="952">
        <v>1100</v>
      </c>
      <c r="N131" s="1092">
        <f t="shared" si="22"/>
        <v>-2975665.66</v>
      </c>
      <c r="O131" s="952">
        <v>-2381</v>
      </c>
      <c r="P131" s="952"/>
      <c r="Q131" s="952"/>
      <c r="R131" s="1096">
        <f t="shared" si="23"/>
        <v>-2978046.66</v>
      </c>
      <c r="S131" s="855">
        <v>116.80219780219767</v>
      </c>
      <c r="T131" s="1101">
        <f t="shared" si="24"/>
        <v>-25496.495066328</v>
      </c>
      <c r="U131" s="956">
        <v>43711</v>
      </c>
      <c r="V131" s="948" t="s">
        <v>1229</v>
      </c>
      <c r="W131" s="1000">
        <v>43709.979146874997</v>
      </c>
      <c r="X131" s="1089">
        <f t="shared" si="25"/>
        <v>8.0015709829443671E-2</v>
      </c>
      <c r="Y131" s="1090" t="str">
        <f>VLOOKUP(V131,'bic broker'!$A$1:$B$14,2,FALSE)</f>
        <v>EMSIITM1XXX</v>
      </c>
      <c r="Z131" s="1090" t="str">
        <f>VLOOKUP(AA131,'place of settlement'!A:C,2,FALSE)</f>
        <v>JJSDJPJTXXX</v>
      </c>
      <c r="AA131" s="1090" t="str">
        <f t="shared" si="26"/>
        <v>JP</v>
      </c>
      <c r="AB131" s="1090" t="str">
        <f t="shared" si="27"/>
        <v>EquitaJP</v>
      </c>
      <c r="AC131" s="1090" t="str">
        <f>VLOOKUP(AB131,sample!$1:$1048576,2,FALSE)</f>
        <v>BCITITMMXXX</v>
      </c>
      <c r="AD131" s="1090" t="str">
        <f>VLOOKUP($AB131,sample!$1:$1048576,3,FALSE)</f>
        <v>JJSDJPJTXXX</v>
      </c>
      <c r="AE131" s="1091">
        <f>VLOOKUP($AB131,sample!$1:$1048576,4,FALSE)</f>
        <v>100502629</v>
      </c>
      <c r="AF131" s="1090" t="str">
        <f>VLOOKUP($AB131,sample!$1:$1048576,5,FALSE)</f>
        <v>N</v>
      </c>
      <c r="AL131" s="1091" t="str">
        <f>VLOOKUP($AB131,sample!$1:$1048576,11,FALSE)</f>
        <v xml:space="preserve">        </v>
      </c>
      <c r="AM131" s="1091" t="str">
        <f>VLOOKUP($AB131,sample!$1:$1048576,12,FALSE)</f>
        <v xml:space="preserve">        </v>
      </c>
      <c r="AN131" s="1091" t="str">
        <f>VLOOKUP($AB131,sample!$1:$1048576,13,FALSE)</f>
        <v>BOTKJPJTXXX</v>
      </c>
      <c r="AP131" s="1111"/>
    </row>
    <row r="132" spans="1:42" ht="14">
      <c r="A132" s="920">
        <v>201900130</v>
      </c>
      <c r="B132" s="947">
        <v>43707</v>
      </c>
      <c r="C132" s="947" t="s">
        <v>137</v>
      </c>
      <c r="D132" s="1108" t="str">
        <f>IFERROR(VLOOKUP(G132,PosAggregate!$B$13:$B$87,1,FALSE),"")</f>
        <v/>
      </c>
      <c r="E132" s="880" t="s">
        <v>1239</v>
      </c>
      <c r="F132" s="1132" t="str">
        <f t="shared" si="15"/>
        <v/>
      </c>
      <c r="G132" s="664" t="s">
        <v>1188</v>
      </c>
      <c r="H132" s="664"/>
      <c r="I132" s="950" t="s">
        <v>1128</v>
      </c>
      <c r="J132" s="950" t="s">
        <v>125</v>
      </c>
      <c r="K132" s="855">
        <v>3540.5882000000001</v>
      </c>
      <c r="L132" s="951"/>
      <c r="M132" s="952">
        <v>1100</v>
      </c>
      <c r="N132" s="1092">
        <f t="shared" si="22"/>
        <v>-3894647.02</v>
      </c>
      <c r="O132" s="952">
        <v>-3116</v>
      </c>
      <c r="P132" s="952"/>
      <c r="Q132" s="952"/>
      <c r="R132" s="1096">
        <f t="shared" si="23"/>
        <v>-3897763.02</v>
      </c>
      <c r="S132" s="855">
        <v>116.80219780219785</v>
      </c>
      <c r="T132" s="1101">
        <f t="shared" si="24"/>
        <v>-33370.630804403037</v>
      </c>
      <c r="U132" s="956">
        <v>43711</v>
      </c>
      <c r="V132" s="948" t="s">
        <v>1229</v>
      </c>
      <c r="W132" s="957">
        <v>43709.980881134259</v>
      </c>
      <c r="X132" s="1089">
        <f t="shared" si="25"/>
        <v>8.0007250567215707E-2</v>
      </c>
      <c r="Y132" s="1090" t="str">
        <f>VLOOKUP(V132,'bic broker'!$A$1:$B$14,2,FALSE)</f>
        <v>EMSIITM1XXX</v>
      </c>
      <c r="Z132" s="1090" t="str">
        <f>VLOOKUP(AA132,'place of settlement'!A:C,2,FALSE)</f>
        <v>JJSDJPJTXXX</v>
      </c>
      <c r="AA132" s="1090" t="str">
        <f t="shared" si="26"/>
        <v>JP</v>
      </c>
      <c r="AB132" s="1090" t="str">
        <f t="shared" si="27"/>
        <v>EquitaJP</v>
      </c>
      <c r="AC132" s="1090" t="str">
        <f>VLOOKUP(AB132,sample!$1:$1048576,2,FALSE)</f>
        <v>BCITITMMXXX</v>
      </c>
      <c r="AD132" s="1090" t="str">
        <f>VLOOKUP($AB132,sample!$1:$1048576,3,FALSE)</f>
        <v>JJSDJPJTXXX</v>
      </c>
      <c r="AE132" s="1091">
        <f>VLOOKUP($AB132,sample!$1:$1048576,4,FALSE)</f>
        <v>100502629</v>
      </c>
      <c r="AF132" s="1090" t="str">
        <f>VLOOKUP($AB132,sample!$1:$1048576,5,FALSE)</f>
        <v>N</v>
      </c>
      <c r="AL132" s="1091" t="str">
        <f>VLOOKUP($AB132,sample!$1:$1048576,11,FALSE)</f>
        <v xml:space="preserve">        </v>
      </c>
      <c r="AM132" s="1091" t="str">
        <f>VLOOKUP($AB132,sample!$1:$1048576,12,FALSE)</f>
        <v xml:space="preserve">        </v>
      </c>
      <c r="AN132" s="1091" t="str">
        <f>VLOOKUP($AB132,sample!$1:$1048576,13,FALSE)</f>
        <v>BOTKJPJTXXX</v>
      </c>
      <c r="AP132" s="1111"/>
    </row>
    <row r="133" spans="1:42" ht="14">
      <c r="A133" s="920">
        <v>201900131</v>
      </c>
      <c r="B133" s="947">
        <v>43707</v>
      </c>
      <c r="C133" s="947" t="s">
        <v>138</v>
      </c>
      <c r="D133" s="1108" t="str">
        <f>IFERROR(VLOOKUP(G133,PosAggregate!$B$13:$B$87,1,FALSE),"")</f>
        <v/>
      </c>
      <c r="E133" s="880" t="s">
        <v>1238</v>
      </c>
      <c r="F133" s="1132" t="str">
        <f t="shared" si="15"/>
        <v/>
      </c>
      <c r="G133" s="664" t="s">
        <v>1693</v>
      </c>
      <c r="H133" s="664"/>
      <c r="I133" s="950" t="s">
        <v>1138</v>
      </c>
      <c r="J133" s="950" t="s">
        <v>125</v>
      </c>
      <c r="K133" s="855">
        <v>1015.9118</v>
      </c>
      <c r="L133" s="951"/>
      <c r="M133" s="952">
        <v>-8000</v>
      </c>
      <c r="N133" s="1092">
        <f t="shared" si="22"/>
        <v>8127294.3999999994</v>
      </c>
      <c r="O133" s="952">
        <v>-6502</v>
      </c>
      <c r="P133" s="952"/>
      <c r="Q133" s="952"/>
      <c r="R133" s="1096">
        <f t="shared" si="23"/>
        <v>8120792.3999999994</v>
      </c>
      <c r="S133" s="855">
        <v>116.80219780219775</v>
      </c>
      <c r="T133" s="1101">
        <f t="shared" si="24"/>
        <v>69526.023934518787</v>
      </c>
      <c r="U133" s="956">
        <v>43711</v>
      </c>
      <c r="V133" s="948" t="s">
        <v>1229</v>
      </c>
      <c r="W133" s="957">
        <v>43710.022547800902</v>
      </c>
      <c r="X133" s="1089">
        <f t="shared" si="25"/>
        <v>-8.0002023797735203E-2</v>
      </c>
      <c r="Y133" s="1090" t="str">
        <f>VLOOKUP(V133,'bic broker'!$A$1:$B$14,2,FALSE)</f>
        <v>EMSIITM1XXX</v>
      </c>
      <c r="Z133" s="1090" t="str">
        <f>VLOOKUP(AA133,'place of settlement'!A:C,2,FALSE)</f>
        <v>JJSDJPJTXXX</v>
      </c>
      <c r="AA133" s="1090" t="str">
        <f t="shared" si="26"/>
        <v>JP</v>
      </c>
      <c r="AB133" s="1090" t="str">
        <f t="shared" si="27"/>
        <v>EquitaJP</v>
      </c>
      <c r="AC133" s="1090" t="str">
        <f>VLOOKUP(AB133,sample!$1:$1048576,2,FALSE)</f>
        <v>BCITITMMXXX</v>
      </c>
      <c r="AD133" s="1090" t="str">
        <f>VLOOKUP($AB133,sample!$1:$1048576,3,FALSE)</f>
        <v>JJSDJPJTXXX</v>
      </c>
      <c r="AE133" s="1091">
        <f>VLOOKUP($AB133,sample!$1:$1048576,4,FALSE)</f>
        <v>100502629</v>
      </c>
      <c r="AF133" s="1090" t="str">
        <f>VLOOKUP($AB133,sample!$1:$1048576,5,FALSE)</f>
        <v>N</v>
      </c>
      <c r="AL133" s="1091" t="str">
        <f>VLOOKUP($AB133,sample!$1:$1048576,11,FALSE)</f>
        <v xml:space="preserve">        </v>
      </c>
      <c r="AM133" s="1091" t="str">
        <f>VLOOKUP($AB133,sample!$1:$1048576,12,FALSE)</f>
        <v xml:space="preserve">        </v>
      </c>
      <c r="AN133" s="1091" t="str">
        <f>VLOOKUP($AB133,sample!$1:$1048576,13,FALSE)</f>
        <v>BOTKJPJTXXX</v>
      </c>
      <c r="AP133" s="1111"/>
    </row>
    <row r="134" spans="1:42" ht="14">
      <c r="A134" s="920">
        <v>201900132</v>
      </c>
      <c r="B134" s="947">
        <v>43718</v>
      </c>
      <c r="C134" s="947" t="s">
        <v>137</v>
      </c>
      <c r="D134" s="1108" t="str">
        <f>IFERROR(VLOOKUP(G134,PosAggregate!$B$13:$B$87,1,FALSE),"")</f>
        <v/>
      </c>
      <c r="E134" s="880" t="s">
        <v>1273</v>
      </c>
      <c r="F134" s="1132" t="str">
        <f t="shared" si="15"/>
        <v/>
      </c>
      <c r="G134" s="664" t="s">
        <v>1209</v>
      </c>
      <c r="H134" s="664"/>
      <c r="I134" s="950" t="s">
        <v>1133</v>
      </c>
      <c r="J134" s="950" t="s">
        <v>1104</v>
      </c>
      <c r="K134" s="855">
        <v>0.48</v>
      </c>
      <c r="L134" s="951"/>
      <c r="M134" s="952">
        <v>90000</v>
      </c>
      <c r="N134" s="1092">
        <f t="shared" si="22"/>
        <v>-43200</v>
      </c>
      <c r="O134" s="997">
        <v>-34.56</v>
      </c>
      <c r="P134" s="952"/>
      <c r="Q134" s="952"/>
      <c r="R134" s="1096">
        <f t="shared" si="23"/>
        <v>-43234.559999999998</v>
      </c>
      <c r="S134" s="855">
        <v>1.6099568103743467</v>
      </c>
      <c r="T134" s="1101">
        <f t="shared" si="24"/>
        <v>-26854.48436964412</v>
      </c>
      <c r="U134" s="956">
        <v>43721</v>
      </c>
      <c r="V134" s="948" t="s">
        <v>1229</v>
      </c>
      <c r="W134" s="957">
        <v>43717.628078703703</v>
      </c>
      <c r="X134" s="1089">
        <f t="shared" si="25"/>
        <v>0.08</v>
      </c>
      <c r="Y134" s="1090" t="str">
        <f>VLOOKUP(V134,'bic broker'!$A$1:$B$14,2,FALSE)</f>
        <v>EMSIITM1XXX</v>
      </c>
      <c r="Z134" s="1090" t="str">
        <f>VLOOKUP(AA134,'place of settlement'!A:C,2,FALSE)</f>
        <v>CAETAU21XXX</v>
      </c>
      <c r="AA134" s="1090" t="str">
        <f t="shared" si="26"/>
        <v>AU</v>
      </c>
      <c r="AB134" s="1090" t="str">
        <f t="shared" si="27"/>
        <v>EquitaAU</v>
      </c>
      <c r="AC134" s="1090" t="str">
        <f>VLOOKUP(AB134,sample!$1:$1048576,2,FALSE)</f>
        <v>BCITITMMXXX</v>
      </c>
      <c r="AD134" s="1090" t="str">
        <f>VLOOKUP($AB134,sample!$1:$1048576,3,FALSE)</f>
        <v>CAETAU21XXX</v>
      </c>
      <c r="AE134" s="1091">
        <f>VLOOKUP($AB134,sample!$1:$1048576,4,FALSE)</f>
        <v>2099100983</v>
      </c>
      <c r="AF134" s="1090" t="str">
        <f>VLOOKUP($AB134,sample!$1:$1048576,5,FALSE)</f>
        <v>N</v>
      </c>
      <c r="AL134" s="1091" t="str">
        <f>VLOOKUP($AB134,sample!$1:$1048576,11,FALSE)</f>
        <v xml:space="preserve">        </v>
      </c>
      <c r="AM134" s="1091" t="str">
        <f>VLOOKUP($AB134,sample!$1:$1048576,12,FALSE)</f>
        <v xml:space="preserve">        </v>
      </c>
      <c r="AN134" s="1091" t="str">
        <f>VLOOKUP($AB134,sample!$1:$1048576,13,FALSE)</f>
        <v>CITIAU3XXXX</v>
      </c>
      <c r="AP134" s="1111"/>
    </row>
    <row r="135" spans="1:42" ht="14">
      <c r="A135" s="920">
        <v>201900133</v>
      </c>
      <c r="B135" s="947">
        <v>43720</v>
      </c>
      <c r="C135" s="947" t="s">
        <v>138</v>
      </c>
      <c r="D135" s="1108" t="str">
        <f>IFERROR(VLOOKUP(G135,PosAggregate!$B$13:$B$87,1,FALSE),"")</f>
        <v/>
      </c>
      <c r="E135" s="880" t="s">
        <v>1262</v>
      </c>
      <c r="F135" s="1132" t="str">
        <f t="shared" si="15"/>
        <v/>
      </c>
      <c r="G135" s="664" t="s">
        <v>1213</v>
      </c>
      <c r="H135" s="664"/>
      <c r="I135" s="950" t="s">
        <v>1096</v>
      </c>
      <c r="J135" s="950" t="s">
        <v>2</v>
      </c>
      <c r="K135" s="855">
        <v>44.3949</v>
      </c>
      <c r="L135" s="951"/>
      <c r="M135" s="952">
        <v>-700</v>
      </c>
      <c r="N135" s="1092">
        <f t="shared" si="22"/>
        <v>31076.43</v>
      </c>
      <c r="O135" s="952">
        <v>-24.86</v>
      </c>
      <c r="P135" s="952"/>
      <c r="Q135" s="952"/>
      <c r="R135" s="1096">
        <f t="shared" si="23"/>
        <v>31051.57</v>
      </c>
      <c r="S135" s="855">
        <v>1</v>
      </c>
      <c r="T135" s="1101">
        <f t="shared" si="24"/>
        <v>31051.57</v>
      </c>
      <c r="U135" s="956">
        <v>43725</v>
      </c>
      <c r="V135" s="948" t="s">
        <v>1229</v>
      </c>
      <c r="W135" s="957">
        <v>43717.621134259258</v>
      </c>
      <c r="X135" s="1089">
        <f t="shared" si="25"/>
        <v>-7.9996318753473281E-2</v>
      </c>
      <c r="Y135" s="1090" t="str">
        <f>VLOOKUP(V135,'bic broker'!$A$1:$B$14,2,FALSE)</f>
        <v>EMSIITM1XXX</v>
      </c>
      <c r="Z135" s="1090" t="str">
        <f>VLOOKUP(AA135,'place of settlement'!A:C,2,FALSE)</f>
        <v>DAKVDEFFXXX</v>
      </c>
      <c r="AA135" s="1090" t="str">
        <f t="shared" si="26"/>
        <v>DE</v>
      </c>
      <c r="AB135" s="1090" t="str">
        <f t="shared" si="27"/>
        <v>EquitaDE</v>
      </c>
      <c r="AC135" s="1090" t="str">
        <f>VLOOKUP(AB135,sample!$1:$1048576,2,FALSE)</f>
        <v>EMSIITM1XXX</v>
      </c>
      <c r="AD135" s="1090" t="str">
        <f>VLOOKUP($AB135,sample!$1:$1048576,3,FALSE)</f>
        <v>DAKVDEFFXXX</v>
      </c>
      <c r="AE135" s="1091" t="str">
        <f>VLOOKUP($AB135,sample!$1:$1048576,4,FALSE)</f>
        <v>DAKV8135000</v>
      </c>
      <c r="AF135" s="1090" t="str">
        <f>VLOOKUP($AB135,sample!$1:$1048576,5,FALSE)</f>
        <v>N</v>
      </c>
      <c r="AL135" s="1091" t="str">
        <f>VLOOKUP($AB135,sample!$1:$1048576,11,FALSE)</f>
        <v xml:space="preserve">        </v>
      </c>
      <c r="AM135" s="1091" t="str">
        <f>VLOOKUP($AB135,sample!$1:$1048576,12,FALSE)</f>
        <v xml:space="preserve">        </v>
      </c>
      <c r="AN135" s="1091" t="str">
        <f>VLOOKUP($AB135,sample!$1:$1048576,13,FALSE)</f>
        <v>BCITITMMD03</v>
      </c>
      <c r="AP135" s="1111"/>
    </row>
    <row r="136" spans="1:42" ht="14">
      <c r="A136" s="920">
        <v>201900134</v>
      </c>
      <c r="B136" s="947">
        <v>43755</v>
      </c>
      <c r="C136" s="947" t="s">
        <v>137</v>
      </c>
      <c r="D136" s="1108" t="str">
        <f>IFERROR(VLOOKUP(G136,PosAggregate!$B$13:$B$87,1,FALSE),"")</f>
        <v/>
      </c>
      <c r="E136" s="880" t="s">
        <v>1273</v>
      </c>
      <c r="F136" s="1132" t="str">
        <f t="shared" si="15"/>
        <v/>
      </c>
      <c r="G136" s="664" t="s">
        <v>1209</v>
      </c>
      <c r="H136" s="664"/>
      <c r="I136" s="950" t="s">
        <v>1133</v>
      </c>
      <c r="J136" s="950" t="s">
        <v>1104</v>
      </c>
      <c r="K136" s="995">
        <v>0.45</v>
      </c>
      <c r="L136" s="951"/>
      <c r="M136" s="952">
        <v>70000</v>
      </c>
      <c r="N136" s="1092">
        <f t="shared" si="22"/>
        <v>-31500</v>
      </c>
      <c r="O136" s="997">
        <v>-25.2</v>
      </c>
      <c r="P136" s="952"/>
      <c r="Q136" s="952"/>
      <c r="R136" s="1096">
        <f t="shared" si="23"/>
        <v>-31525.200000000001</v>
      </c>
      <c r="S136" s="855">
        <v>1.6300716255894638</v>
      </c>
      <c r="T136" s="1101">
        <f t="shared" si="24"/>
        <v>-19339.763667501364</v>
      </c>
      <c r="U136" s="956">
        <v>43759</v>
      </c>
      <c r="V136" s="948" t="s">
        <v>1229</v>
      </c>
      <c r="W136" s="957">
        <v>43756.421332986109</v>
      </c>
      <c r="X136" s="1089">
        <f t="shared" si="25"/>
        <v>7.9999999999999988E-2</v>
      </c>
      <c r="Y136" s="1090" t="str">
        <f>VLOOKUP(V136,'bic broker'!$A$1:$B$14,2,FALSE)</f>
        <v>EMSIITM1XXX</v>
      </c>
      <c r="Z136" s="1090" t="str">
        <f>VLOOKUP(AA136,'place of settlement'!A:C,2,FALSE)</f>
        <v>CAETAU21XXX</v>
      </c>
      <c r="AA136" s="1090" t="str">
        <f t="shared" si="26"/>
        <v>AU</v>
      </c>
      <c r="AB136" s="1090" t="str">
        <f t="shared" si="27"/>
        <v>EquitaAU</v>
      </c>
      <c r="AC136" s="1090" t="str">
        <f>VLOOKUP(AB136,sample!$1:$1048576,2,FALSE)</f>
        <v>BCITITMMXXX</v>
      </c>
      <c r="AD136" s="1090" t="str">
        <f>VLOOKUP($AB136,sample!$1:$1048576,3,FALSE)</f>
        <v>CAETAU21XXX</v>
      </c>
      <c r="AE136" s="1091">
        <f>VLOOKUP($AB136,sample!$1:$1048576,4,FALSE)</f>
        <v>2099100983</v>
      </c>
      <c r="AF136" s="1090" t="str">
        <f>VLOOKUP($AB136,sample!$1:$1048576,5,FALSE)</f>
        <v>N</v>
      </c>
      <c r="AL136" s="1091" t="str">
        <f>VLOOKUP($AB136,sample!$1:$1048576,11,FALSE)</f>
        <v xml:space="preserve">        </v>
      </c>
      <c r="AM136" s="1091" t="str">
        <f>VLOOKUP($AB136,sample!$1:$1048576,12,FALSE)</f>
        <v xml:space="preserve">        </v>
      </c>
      <c r="AN136" s="1091" t="str">
        <f>VLOOKUP($AB136,sample!$1:$1048576,13,FALSE)</f>
        <v>CITIAU3XXXX</v>
      </c>
      <c r="AP136" s="1111"/>
    </row>
    <row r="137" spans="1:42" ht="14">
      <c r="A137" s="920">
        <v>201900135</v>
      </c>
      <c r="B137" s="947">
        <v>43755</v>
      </c>
      <c r="C137" s="947" t="s">
        <v>137</v>
      </c>
      <c r="D137" s="1108" t="str">
        <f>IFERROR(VLOOKUP(G137,PosAggregate!$B$13:$B$87,1,FALSE),"")</f>
        <v/>
      </c>
      <c r="E137" s="880" t="s">
        <v>1673</v>
      </c>
      <c r="F137" s="1132" t="str">
        <f t="shared" si="15"/>
        <v/>
      </c>
      <c r="G137" s="664" t="s">
        <v>1640</v>
      </c>
      <c r="H137" s="664"/>
      <c r="I137" s="950" t="s">
        <v>1644</v>
      </c>
      <c r="J137" s="950" t="s">
        <v>123</v>
      </c>
      <c r="K137" s="995">
        <v>6298.45</v>
      </c>
      <c r="L137" s="951"/>
      <c r="M137" s="952">
        <v>4300</v>
      </c>
      <c r="N137" s="1092">
        <f t="shared" si="22"/>
        <v>-27083335</v>
      </c>
      <c r="O137" s="997">
        <v>-40625</v>
      </c>
      <c r="P137" s="952"/>
      <c r="Q137" s="952"/>
      <c r="R137" s="1096">
        <f t="shared" si="23"/>
        <v>-27123960</v>
      </c>
      <c r="S137" s="855">
        <v>1310.8372631016996</v>
      </c>
      <c r="T137" s="1101">
        <f t="shared" si="24"/>
        <v>-20692.087998642455</v>
      </c>
      <c r="U137" s="956">
        <v>43759</v>
      </c>
      <c r="V137" s="948" t="s">
        <v>1230</v>
      </c>
      <c r="W137" s="957">
        <v>43756.422031481481</v>
      </c>
      <c r="X137" s="1089">
        <f t="shared" si="25"/>
        <v>0.14999999076923135</v>
      </c>
      <c r="Y137" s="1090" t="e">
        <f>VLOOKUP(V137,'bic broker'!$A$1:$B$14,2,FALSE)</f>
        <v>#N/A</v>
      </c>
      <c r="Z137" s="1090" t="str">
        <f>VLOOKUP(AA137,'place of settlement'!A:C,2,FALSE)</f>
        <v>KSDCKRSEXXX</v>
      </c>
      <c r="AA137" s="1090" t="str">
        <f t="shared" si="26"/>
        <v>KR</v>
      </c>
      <c r="AB137" s="1090" t="str">
        <f t="shared" si="27"/>
        <v>SamsungKR</v>
      </c>
      <c r="AC137" s="1090" t="e">
        <f>VLOOKUP(AB137,sample!$1:$1048576,2,FALSE)</f>
        <v>#N/A</v>
      </c>
      <c r="AD137" s="1090" t="e">
        <f>VLOOKUP($AB137,sample!$1:$1048576,3,FALSE)</f>
        <v>#N/A</v>
      </c>
      <c r="AE137" s="1091" t="e">
        <f>VLOOKUP($AB137,sample!$1:$1048576,4,FALSE)</f>
        <v>#N/A</v>
      </c>
      <c r="AF137" s="1090" t="e">
        <f>VLOOKUP($AB137,sample!$1:$1048576,5,FALSE)</f>
        <v>#N/A</v>
      </c>
      <c r="AL137" s="1091" t="e">
        <f>VLOOKUP($AB137,sample!$1:$1048576,11,FALSE)</f>
        <v>#N/A</v>
      </c>
      <c r="AM137" s="1091" t="e">
        <f>VLOOKUP($AB137,sample!$1:$1048576,12,FALSE)</f>
        <v>#N/A</v>
      </c>
      <c r="AN137" s="1091" t="e">
        <f>VLOOKUP($AB137,sample!$1:$1048576,13,FALSE)</f>
        <v>#N/A</v>
      </c>
      <c r="AP137" s="1111"/>
    </row>
    <row r="138" spans="1:42" ht="14">
      <c r="A138" s="920">
        <v>201900136</v>
      </c>
      <c r="B138" s="947">
        <v>43756</v>
      </c>
      <c r="C138" s="947" t="s">
        <v>137</v>
      </c>
      <c r="D138" s="1108" t="str">
        <f>IFERROR(VLOOKUP(G138,PosAggregate!$B$13:$B$87,1,FALSE),"")</f>
        <v/>
      </c>
      <c r="E138" s="880" t="s">
        <v>1268</v>
      </c>
      <c r="F138" s="1132" t="str">
        <f t="shared" si="15"/>
        <v/>
      </c>
      <c r="G138" s="664" t="s">
        <v>1219</v>
      </c>
      <c r="H138" s="664"/>
      <c r="I138" s="950" t="s">
        <v>132</v>
      </c>
      <c r="J138" s="950" t="s">
        <v>2</v>
      </c>
      <c r="K138" s="995">
        <v>48.424050000000001</v>
      </c>
      <c r="L138" s="951"/>
      <c r="M138" s="952">
        <v>550</v>
      </c>
      <c r="N138" s="1092">
        <f t="shared" si="22"/>
        <v>-26633.227500000001</v>
      </c>
      <c r="O138" s="997">
        <v>-15.98</v>
      </c>
      <c r="P138" s="952">
        <v>-79.900000000000006</v>
      </c>
      <c r="Q138" s="952"/>
      <c r="R138" s="1096">
        <f t="shared" si="23"/>
        <v>-26729.107500000002</v>
      </c>
      <c r="S138" s="855">
        <v>1</v>
      </c>
      <c r="T138" s="1101">
        <f t="shared" si="24"/>
        <v>-26729.107500000002</v>
      </c>
      <c r="U138" s="956">
        <v>43760</v>
      </c>
      <c r="V138" s="948" t="s">
        <v>1695</v>
      </c>
      <c r="W138" s="957">
        <v>43756.426748148151</v>
      </c>
      <c r="X138" s="1089">
        <f t="shared" si="25"/>
        <v>6.000023842397622E-2</v>
      </c>
      <c r="Y138" s="1090" t="str">
        <f>VLOOKUP(V138,'bic broker'!$A$1:$B$14,2,FALSE)</f>
        <v>TAVSGB21XXX</v>
      </c>
      <c r="Z138" s="1090" t="str">
        <f>VLOOKUP(AA138,'place of settlement'!A:C,2,FALSE)</f>
        <v>SICVFRPPXXX</v>
      </c>
      <c r="AA138" s="1090" t="str">
        <f t="shared" si="26"/>
        <v>FR</v>
      </c>
      <c r="AB138" s="1090" t="str">
        <f t="shared" si="27"/>
        <v>TaviraFR</v>
      </c>
      <c r="AC138" s="1090" t="e">
        <f>VLOOKUP(AB138,sample!$1:$1048576,2,FALSE)</f>
        <v>#N/A</v>
      </c>
      <c r="AD138" s="1090" t="e">
        <f>VLOOKUP($AB138,sample!$1:$1048576,3,FALSE)</f>
        <v>#N/A</v>
      </c>
      <c r="AE138" s="1091" t="e">
        <f>VLOOKUP($AB138,sample!$1:$1048576,4,FALSE)</f>
        <v>#N/A</v>
      </c>
      <c r="AF138" s="1090" t="e">
        <f>VLOOKUP($AB138,sample!$1:$1048576,5,FALSE)</f>
        <v>#N/A</v>
      </c>
      <c r="AL138" s="1091" t="e">
        <f>VLOOKUP($AB138,sample!$1:$1048576,11,FALSE)</f>
        <v>#N/A</v>
      </c>
      <c r="AM138" s="1091" t="e">
        <f>VLOOKUP($AB138,sample!$1:$1048576,12,FALSE)</f>
        <v>#N/A</v>
      </c>
      <c r="AN138" s="1091" t="e">
        <f>VLOOKUP($AB138,sample!$1:$1048576,13,FALSE)</f>
        <v>#N/A</v>
      </c>
      <c r="AP138" s="1111"/>
    </row>
    <row r="139" spans="1:42" ht="14">
      <c r="A139" s="920">
        <v>201900137</v>
      </c>
      <c r="B139" s="947">
        <v>43759</v>
      </c>
      <c r="C139" s="947" t="s">
        <v>137</v>
      </c>
      <c r="D139" s="1108" t="str">
        <f>IFERROR(VLOOKUP(G139,PosAggregate!$B$13:$B$87,1,FALSE),"")</f>
        <v/>
      </c>
      <c r="E139" s="880" t="s">
        <v>1252</v>
      </c>
      <c r="F139" s="1132" t="str">
        <f t="shared" si="15"/>
        <v/>
      </c>
      <c r="G139" s="664" t="s">
        <v>1202</v>
      </c>
      <c r="H139" s="664"/>
      <c r="I139" s="950" t="s">
        <v>1121</v>
      </c>
      <c r="J139" s="950" t="s">
        <v>123</v>
      </c>
      <c r="K139" s="855">
        <v>165748.3333</v>
      </c>
      <c r="L139" s="951"/>
      <c r="M139" s="952">
        <v>600</v>
      </c>
      <c r="N139" s="1092">
        <f t="shared" ref="N139:N155" si="28">-K139*M139</f>
        <v>-99448999.980000004</v>
      </c>
      <c r="O139" s="997">
        <v>-59669</v>
      </c>
      <c r="P139" s="952"/>
      <c r="Q139" s="952"/>
      <c r="R139" s="1096">
        <f t="shared" si="23"/>
        <v>-99508668.980000004</v>
      </c>
      <c r="S139" s="855">
        <v>1310.8372631016944</v>
      </c>
      <c r="T139" s="1101">
        <f t="shared" si="24"/>
        <v>-75912.298025876415</v>
      </c>
      <c r="U139" s="956">
        <v>43761</v>
      </c>
      <c r="V139" s="948" t="s">
        <v>1230</v>
      </c>
      <c r="W139" s="957">
        <v>43756.645654513886</v>
      </c>
      <c r="X139" s="1089">
        <f t="shared" si="25"/>
        <v>5.9999597795855078E-2</v>
      </c>
      <c r="Y139" s="1090" t="e">
        <f>VLOOKUP(V139,'bic broker'!$A$1:$B$14,2,FALSE)</f>
        <v>#N/A</v>
      </c>
      <c r="Z139" s="1090" t="str">
        <f>VLOOKUP(AA139,'place of settlement'!A:C,2,FALSE)</f>
        <v>KSDCKRSEXXX</v>
      </c>
      <c r="AA139" s="1090" t="str">
        <f t="shared" si="26"/>
        <v>KR</v>
      </c>
      <c r="AB139" s="1090" t="str">
        <f t="shared" si="27"/>
        <v>SamsungKR</v>
      </c>
      <c r="AC139" s="1090" t="e">
        <f>VLOOKUP(AB139,sample!$1:$1048576,2,FALSE)</f>
        <v>#N/A</v>
      </c>
      <c r="AD139" s="1090" t="e">
        <f>VLOOKUP($AB139,sample!$1:$1048576,3,FALSE)</f>
        <v>#N/A</v>
      </c>
      <c r="AE139" s="1091" t="e">
        <f>VLOOKUP($AB139,sample!$1:$1048576,4,FALSE)</f>
        <v>#N/A</v>
      </c>
      <c r="AF139" s="1090" t="e">
        <f>VLOOKUP($AB139,sample!$1:$1048576,5,FALSE)</f>
        <v>#N/A</v>
      </c>
      <c r="AL139" s="1091" t="e">
        <f>VLOOKUP($AB139,sample!$1:$1048576,11,FALSE)</f>
        <v>#N/A</v>
      </c>
      <c r="AM139" s="1091" t="e">
        <f>VLOOKUP($AB139,sample!$1:$1048576,12,FALSE)</f>
        <v>#N/A</v>
      </c>
      <c r="AN139" s="1091" t="e">
        <f>VLOOKUP($AB139,sample!$1:$1048576,13,FALSE)</f>
        <v>#N/A</v>
      </c>
      <c r="AP139" s="1111"/>
    </row>
    <row r="140" spans="1:42" ht="14">
      <c r="A140" s="920">
        <v>201900138</v>
      </c>
      <c r="B140" s="947">
        <v>43760</v>
      </c>
      <c r="C140" s="947" t="s">
        <v>137</v>
      </c>
      <c r="D140" s="1108" t="str">
        <f>IFERROR(VLOOKUP(G140,PosAggregate!$B$13:$B$90,1,FALSE),"")</f>
        <v/>
      </c>
      <c r="E140" s="880" t="s">
        <v>1260</v>
      </c>
      <c r="F140" s="1132" t="str">
        <f t="shared" ref="F140:F203" si="29">IF(D140=G140,"YES","")</f>
        <v/>
      </c>
      <c r="G140" s="664" t="s">
        <v>1211</v>
      </c>
      <c r="H140" s="664"/>
      <c r="I140" s="950" t="s">
        <v>1226</v>
      </c>
      <c r="J140" s="950" t="s">
        <v>2</v>
      </c>
      <c r="K140" s="855">
        <v>32.761699999999998</v>
      </c>
      <c r="L140" s="951"/>
      <c r="M140" s="952">
        <v>690</v>
      </c>
      <c r="N140" s="1092">
        <f t="shared" si="28"/>
        <v>-22605.572999999997</v>
      </c>
      <c r="O140" s="952">
        <v>-18.079999999999998</v>
      </c>
      <c r="P140" s="952">
        <v>-67.819999999999993</v>
      </c>
      <c r="Q140" s="952"/>
      <c r="R140" s="1096">
        <f t="shared" si="23"/>
        <v>-22691.472999999998</v>
      </c>
      <c r="S140" s="855">
        <v>1</v>
      </c>
      <c r="T140" s="1101">
        <f t="shared" si="24"/>
        <v>-22691.472999999998</v>
      </c>
      <c r="U140" s="956">
        <v>43762</v>
      </c>
      <c r="V140" s="948" t="s">
        <v>1229</v>
      </c>
      <c r="W140" s="957">
        <v>43760.725090856482</v>
      </c>
      <c r="X140" s="1089">
        <f t="shared" si="25"/>
        <v>7.9980277429817864E-2</v>
      </c>
      <c r="Y140" s="1090" t="str">
        <f>VLOOKUP(V140,'bic broker'!$A$1:$B$14,2,FALSE)</f>
        <v>EMSIITM1XXX</v>
      </c>
      <c r="Z140" s="1090" t="str">
        <f>VLOOKUP(AA140,'place of settlement'!A:C,2,FALSE)</f>
        <v>SICVFRPPXXX</v>
      </c>
      <c r="AA140" s="1090" t="str">
        <f t="shared" si="26"/>
        <v>FR</v>
      </c>
      <c r="AB140" s="1090" t="str">
        <f t="shared" si="27"/>
        <v>EquitaFR</v>
      </c>
      <c r="AC140" s="1090" t="str">
        <f>VLOOKUP(AB140,sample!$1:$1048576,2,FALSE)</f>
        <v>EMSIITM1XXX</v>
      </c>
      <c r="AD140" s="1090" t="str">
        <f>VLOOKUP($AB140,sample!$1:$1048576,3,FALSE)</f>
        <v>SICVFRPPXXX</v>
      </c>
      <c r="AE140" s="1091" t="str">
        <f>VLOOKUP($AB140,sample!$1:$1048576,4,FALSE)</f>
        <v>SICVBCITITMMD00000L10</v>
      </c>
      <c r="AF140" s="1090" t="str">
        <f>VLOOKUP($AB140,sample!$1:$1048576,5,FALSE)</f>
        <v>N</v>
      </c>
      <c r="AL140" s="1091" t="str">
        <f>VLOOKUP($AB140,sample!$1:$1048576,11,FALSE)</f>
        <v xml:space="preserve">        </v>
      </c>
      <c r="AM140" s="1091" t="str">
        <f>VLOOKUP($AB140,sample!$1:$1048576,12,FALSE)</f>
        <v xml:space="preserve">        </v>
      </c>
      <c r="AN140" s="1091" t="str">
        <f>VLOOKUP($AB140,sample!$1:$1048576,13,FALSE)</f>
        <v>BCITITMMD00</v>
      </c>
      <c r="AP140" s="1111"/>
    </row>
    <row r="141" spans="1:42" ht="14">
      <c r="A141" s="920">
        <v>201900139</v>
      </c>
      <c r="B141" s="947">
        <v>43762</v>
      </c>
      <c r="C141" s="947" t="s">
        <v>138</v>
      </c>
      <c r="D141" s="1108" t="str">
        <f>IFERROR(VLOOKUP(G141,PosAggregate!$B$13:$B$87,1,FALSE),"")</f>
        <v/>
      </c>
      <c r="E141" s="880" t="s">
        <v>1241</v>
      </c>
      <c r="F141" s="1132" t="str">
        <f t="shared" si="29"/>
        <v/>
      </c>
      <c r="G141" s="664" t="s">
        <v>1190</v>
      </c>
      <c r="H141" s="664"/>
      <c r="I141" s="950" t="s">
        <v>1147</v>
      </c>
      <c r="J141" s="950" t="s">
        <v>125</v>
      </c>
      <c r="K141" s="855">
        <v>2387</v>
      </c>
      <c r="L141" s="951"/>
      <c r="M141" s="952">
        <v>-1700</v>
      </c>
      <c r="N141" s="1092">
        <f t="shared" si="28"/>
        <v>4057900</v>
      </c>
      <c r="O141" s="952">
        <v>-3246</v>
      </c>
      <c r="P141" s="952"/>
      <c r="Q141" s="952"/>
      <c r="R141" s="1096">
        <f t="shared" si="23"/>
        <v>4054654</v>
      </c>
      <c r="S141" s="855">
        <v>120.95042012130651</v>
      </c>
      <c r="T141" s="1101">
        <f t="shared" si="24"/>
        <v>33523.273387007743</v>
      </c>
      <c r="U141" s="956">
        <v>43767</v>
      </c>
      <c r="V141" s="948" t="s">
        <v>1229</v>
      </c>
      <c r="W141" s="957"/>
      <c r="X141" s="1089">
        <f t="shared" si="25"/>
        <v>-7.9992114147711874E-2</v>
      </c>
      <c r="Y141" s="1090" t="str">
        <f>VLOOKUP(V141,'bic broker'!$A$1:$B$14,2,FALSE)</f>
        <v>EMSIITM1XXX</v>
      </c>
      <c r="Z141" s="1090" t="str">
        <f>VLOOKUP(AA141,'place of settlement'!A:C,2,FALSE)</f>
        <v>JJSDJPJTXXX</v>
      </c>
      <c r="AA141" s="1090" t="str">
        <f t="shared" si="26"/>
        <v>JP</v>
      </c>
      <c r="AB141" s="1090" t="str">
        <f t="shared" si="27"/>
        <v>EquitaJP</v>
      </c>
      <c r="AC141" s="1090" t="str">
        <f>VLOOKUP(AB141,sample!$1:$1048576,2,FALSE)</f>
        <v>BCITITMMXXX</v>
      </c>
      <c r="AD141" s="1090" t="str">
        <f>VLOOKUP($AB141,sample!$1:$1048576,3,FALSE)</f>
        <v>JJSDJPJTXXX</v>
      </c>
      <c r="AE141" s="1091">
        <f>VLOOKUP($AB141,sample!$1:$1048576,4,FALSE)</f>
        <v>100502629</v>
      </c>
      <c r="AF141" s="1090" t="str">
        <f>VLOOKUP($AB141,sample!$1:$1048576,5,FALSE)</f>
        <v>N</v>
      </c>
      <c r="AL141" s="1091" t="str">
        <f>VLOOKUP($AB141,sample!$1:$1048576,11,FALSE)</f>
        <v xml:space="preserve">        </v>
      </c>
      <c r="AM141" s="1091" t="str">
        <f>VLOOKUP($AB141,sample!$1:$1048576,12,FALSE)</f>
        <v xml:space="preserve">        </v>
      </c>
      <c r="AN141" s="1091" t="str">
        <f>VLOOKUP($AB141,sample!$1:$1048576,13,FALSE)</f>
        <v>BOTKJPJTXXX</v>
      </c>
      <c r="AP141" s="1111"/>
    </row>
    <row r="142" spans="1:42" ht="14">
      <c r="A142" s="920">
        <v>201900140</v>
      </c>
      <c r="B142" s="947">
        <v>43762</v>
      </c>
      <c r="C142" s="947" t="s">
        <v>137</v>
      </c>
      <c r="D142" s="1108" t="str">
        <f>IFERROR(VLOOKUP(G142,PosAggregate!$B$13:$B$87,1,FALSE),"")</f>
        <v/>
      </c>
      <c r="E142" s="880" t="s">
        <v>1708</v>
      </c>
      <c r="F142" s="1132" t="str">
        <f t="shared" si="29"/>
        <v/>
      </c>
      <c r="G142" s="664" t="s">
        <v>1700</v>
      </c>
      <c r="H142" s="664"/>
      <c r="I142" s="950" t="s">
        <v>1705</v>
      </c>
      <c r="J142" s="950" t="s">
        <v>3</v>
      </c>
      <c r="K142" s="855">
        <v>9.6992999999999991</v>
      </c>
      <c r="L142" s="951"/>
      <c r="M142" s="952">
        <v>3200</v>
      </c>
      <c r="N142" s="1092">
        <f t="shared" si="28"/>
        <v>-31037.759999999998</v>
      </c>
      <c r="O142" s="952">
        <v>24.83</v>
      </c>
      <c r="P142" s="952"/>
      <c r="Q142" s="952"/>
      <c r="R142" s="1096">
        <f t="shared" si="23"/>
        <v>-31012.929999999997</v>
      </c>
      <c r="S142" s="855">
        <v>1.1129041233097769</v>
      </c>
      <c r="T142" s="1101">
        <f t="shared" si="24"/>
        <v>-27866.668251499996</v>
      </c>
      <c r="U142" s="956">
        <v>43766</v>
      </c>
      <c r="V142" s="948" t="s">
        <v>1229</v>
      </c>
      <c r="W142" s="957">
        <v>43762.697917824073</v>
      </c>
      <c r="X142" s="1089">
        <f t="shared" si="25"/>
        <v>-7.9999329848545769E-2</v>
      </c>
      <c r="Y142" s="1090" t="str">
        <f>VLOOKUP(V142,'bic broker'!$A$1:$B$14,2,FALSE)</f>
        <v>EMSIITM1XXX</v>
      </c>
      <c r="Z142" s="1090" t="str">
        <f>VLOOKUP(AA142,'place of settlement'!A:C,2,FALSE)</f>
        <v>DTCYUS33XXX</v>
      </c>
      <c r="AA142" s="1090" t="str">
        <f t="shared" si="26"/>
        <v>US</v>
      </c>
      <c r="AB142" s="1090" t="str">
        <f t="shared" si="27"/>
        <v>EquitaUS</v>
      </c>
      <c r="AC142" s="1090" t="str">
        <f>VLOOKUP(AB142,sample!$1:$1048576,2,FALSE)</f>
        <v>BCITITMMXXX</v>
      </c>
      <c r="AD142" s="1090" t="str">
        <f>VLOOKUP($AB142,sample!$1:$1048576,3,FALSE)</f>
        <v>DTCYUS33XXX</v>
      </c>
      <c r="AE142" s="1091">
        <f>VLOOKUP($AB142,sample!$1:$1048576,4,FALSE)</f>
        <v>236707</v>
      </c>
      <c r="AF142" s="1090" t="str">
        <f>VLOOKUP($AB142,sample!$1:$1048576,5,FALSE)</f>
        <v>N</v>
      </c>
      <c r="AL142" s="1091" t="str">
        <f>VLOOKUP($AB142,sample!$1:$1048576,11,FALSE)</f>
        <v>DTCYID</v>
      </c>
      <c r="AM142" s="1091">
        <f>VLOOKUP($AB142,sample!$1:$1048576,12,FALSE)</f>
        <v>908</v>
      </c>
      <c r="AN142" s="1091" t="str">
        <f>VLOOKUP($AB142,sample!$1:$1048576,13,FALSE)</f>
        <v xml:space="preserve">        </v>
      </c>
      <c r="AP142" s="1111"/>
    </row>
    <row r="143" spans="1:42" ht="14">
      <c r="A143" s="920">
        <v>201900141</v>
      </c>
      <c r="B143" s="947">
        <v>43762</v>
      </c>
      <c r="C143" s="947" t="s">
        <v>137</v>
      </c>
      <c r="D143" s="1108" t="str">
        <f>IFERROR(VLOOKUP(G143,PosAggregate!$B$13:$B$87,1,FALSE),"")</f>
        <v/>
      </c>
      <c r="E143" s="880" t="s">
        <v>1709</v>
      </c>
      <c r="F143" s="1132" t="str">
        <f t="shared" si="29"/>
        <v/>
      </c>
      <c r="G143" s="664" t="s">
        <v>1701</v>
      </c>
      <c r="H143" s="664"/>
      <c r="I143" s="950" t="s">
        <v>1706</v>
      </c>
      <c r="J143" s="950" t="s">
        <v>1104</v>
      </c>
      <c r="K143" s="855">
        <v>0.28289999999999998</v>
      </c>
      <c r="L143" s="951"/>
      <c r="M143" s="952">
        <v>150000</v>
      </c>
      <c r="N143" s="1092">
        <f t="shared" si="28"/>
        <v>-42435</v>
      </c>
      <c r="O143" s="952">
        <v>-33.950000000000003</v>
      </c>
      <c r="P143" s="952"/>
      <c r="Q143" s="952"/>
      <c r="R143" s="1096">
        <f t="shared" si="23"/>
        <v>-42468.95</v>
      </c>
      <c r="S143" s="855">
        <v>1.6239608257748599</v>
      </c>
      <c r="T143" s="1101">
        <f t="shared" si="24"/>
        <v>-26151.462107921401</v>
      </c>
      <c r="U143" s="956">
        <v>43767</v>
      </c>
      <c r="V143" s="948" t="s">
        <v>1229</v>
      </c>
      <c r="W143" s="957">
        <v>43762.710692245368</v>
      </c>
      <c r="X143" s="1089">
        <f t="shared" si="25"/>
        <v>8.0004713090609178E-2</v>
      </c>
      <c r="Y143" s="1090" t="str">
        <f>VLOOKUP(V143,'bic broker'!$A$1:$B$14,2,FALSE)</f>
        <v>EMSIITM1XXX</v>
      </c>
      <c r="Z143" s="1090" t="str">
        <f>VLOOKUP(AA143,'place of settlement'!A:C,2,FALSE)</f>
        <v>CAETAU21XXX</v>
      </c>
      <c r="AA143" s="1090" t="str">
        <f t="shared" si="26"/>
        <v>AU</v>
      </c>
      <c r="AB143" s="1090" t="str">
        <f t="shared" si="27"/>
        <v>EquitaAU</v>
      </c>
      <c r="AC143" s="1090" t="str">
        <f>VLOOKUP(AB143,sample!$1:$1048576,2,FALSE)</f>
        <v>BCITITMMXXX</v>
      </c>
      <c r="AD143" s="1090" t="str">
        <f>VLOOKUP($AB143,sample!$1:$1048576,3,FALSE)</f>
        <v>CAETAU21XXX</v>
      </c>
      <c r="AE143" s="1091">
        <f>VLOOKUP($AB143,sample!$1:$1048576,4,FALSE)</f>
        <v>2099100983</v>
      </c>
      <c r="AF143" s="1090" t="str">
        <f>VLOOKUP($AB143,sample!$1:$1048576,5,FALSE)</f>
        <v>N</v>
      </c>
      <c r="AL143" s="1091" t="str">
        <f>VLOOKUP($AB143,sample!$1:$1048576,11,FALSE)</f>
        <v xml:space="preserve">        </v>
      </c>
      <c r="AM143" s="1091" t="str">
        <f>VLOOKUP($AB143,sample!$1:$1048576,12,FALSE)</f>
        <v xml:space="preserve">        </v>
      </c>
      <c r="AN143" s="1091" t="str">
        <f>VLOOKUP($AB143,sample!$1:$1048576,13,FALSE)</f>
        <v>CITIAU3XXXX</v>
      </c>
      <c r="AP143" s="1111"/>
    </row>
    <row r="144" spans="1:42" ht="14">
      <c r="A144" s="920">
        <v>201900142</v>
      </c>
      <c r="B144" s="947">
        <v>43762</v>
      </c>
      <c r="C144" s="947" t="s">
        <v>138</v>
      </c>
      <c r="D144" s="1108" t="str">
        <f>IFERROR(VLOOKUP(G144,PosAggregate!$B$13:$B$87,1,FALSE),"")</f>
        <v/>
      </c>
      <c r="E144" s="880" t="s">
        <v>1248</v>
      </c>
      <c r="F144" s="1132" t="str">
        <f t="shared" si="29"/>
        <v/>
      </c>
      <c r="G144" s="664" t="s">
        <v>1197</v>
      </c>
      <c r="H144" s="664"/>
      <c r="I144" s="950" t="s">
        <v>1146</v>
      </c>
      <c r="J144" s="950" t="s">
        <v>125</v>
      </c>
      <c r="K144" s="855">
        <v>10690</v>
      </c>
      <c r="L144" s="951"/>
      <c r="M144" s="952">
        <v>-600</v>
      </c>
      <c r="N144" s="1092">
        <f t="shared" si="28"/>
        <v>6414000</v>
      </c>
      <c r="O144" s="952">
        <v>-5131</v>
      </c>
      <c r="P144" s="952"/>
      <c r="Q144" s="952"/>
      <c r="R144" s="1096">
        <f t="shared" si="23"/>
        <v>6408869</v>
      </c>
      <c r="S144" s="855">
        <v>120.95042012130651</v>
      </c>
      <c r="T144" s="1101">
        <f t="shared" si="24"/>
        <v>52987.571217795383</v>
      </c>
      <c r="U144" s="956">
        <v>43767</v>
      </c>
      <c r="V144" s="948" t="s">
        <v>1229</v>
      </c>
      <c r="W144" s="957"/>
      <c r="X144" s="1089">
        <f t="shared" si="25"/>
        <v>-7.9996881821016524E-2</v>
      </c>
      <c r="Y144" s="1090" t="str">
        <f>VLOOKUP(V144,'bic broker'!$A$1:$B$14,2,FALSE)</f>
        <v>EMSIITM1XXX</v>
      </c>
      <c r="Z144" s="1090" t="str">
        <f>VLOOKUP(AA144,'place of settlement'!A:C,2,FALSE)</f>
        <v>JJSDJPJTXXX</v>
      </c>
      <c r="AA144" s="1090" t="str">
        <f t="shared" si="26"/>
        <v>JP</v>
      </c>
      <c r="AB144" s="1090" t="str">
        <f t="shared" si="27"/>
        <v>EquitaJP</v>
      </c>
      <c r="AC144" s="1090" t="str">
        <f>VLOOKUP(AB144,sample!$1:$1048576,2,FALSE)</f>
        <v>BCITITMMXXX</v>
      </c>
      <c r="AD144" s="1090" t="str">
        <f>VLOOKUP($AB144,sample!$1:$1048576,3,FALSE)</f>
        <v>JJSDJPJTXXX</v>
      </c>
      <c r="AE144" s="1091">
        <f>VLOOKUP($AB144,sample!$1:$1048576,4,FALSE)</f>
        <v>100502629</v>
      </c>
      <c r="AF144" s="1090" t="str">
        <f>VLOOKUP($AB144,sample!$1:$1048576,5,FALSE)</f>
        <v>N</v>
      </c>
      <c r="AL144" s="1091" t="str">
        <f>VLOOKUP($AB144,sample!$1:$1048576,11,FALSE)</f>
        <v xml:space="preserve">        </v>
      </c>
      <c r="AM144" s="1091" t="str">
        <f>VLOOKUP($AB144,sample!$1:$1048576,12,FALSE)</f>
        <v xml:space="preserve">        </v>
      </c>
      <c r="AN144" s="1091" t="str">
        <f>VLOOKUP($AB144,sample!$1:$1048576,13,FALSE)</f>
        <v>BOTKJPJTXXX</v>
      </c>
      <c r="AP144" s="1111"/>
    </row>
    <row r="145" spans="1:42" ht="14">
      <c r="A145" s="920">
        <v>201900143</v>
      </c>
      <c r="B145" s="947">
        <v>43762</v>
      </c>
      <c r="C145" s="947" t="s">
        <v>138</v>
      </c>
      <c r="D145" s="1108" t="str">
        <f>IFERROR(VLOOKUP(G145,PosAggregate!$B$13:$B$87,1,FALSE),"")</f>
        <v/>
      </c>
      <c r="E145" s="880" t="s">
        <v>1235</v>
      </c>
      <c r="F145" s="1132" t="str">
        <f t="shared" si="29"/>
        <v/>
      </c>
      <c r="G145" s="664" t="s">
        <v>1649</v>
      </c>
      <c r="H145" s="664"/>
      <c r="I145" s="950" t="s">
        <v>1127</v>
      </c>
      <c r="J145" s="950" t="s">
        <v>125</v>
      </c>
      <c r="K145" s="855">
        <v>3255</v>
      </c>
      <c r="L145" s="951"/>
      <c r="M145" s="952">
        <v>-2000</v>
      </c>
      <c r="N145" s="1092">
        <f t="shared" si="28"/>
        <v>6510000</v>
      </c>
      <c r="O145" s="952">
        <v>-5208</v>
      </c>
      <c r="P145" s="952"/>
      <c r="Q145" s="952"/>
      <c r="R145" s="1096">
        <f t="shared" si="23"/>
        <v>6504792</v>
      </c>
      <c r="S145" s="855">
        <v>120.95042012130675</v>
      </c>
      <c r="T145" s="1101">
        <f t="shared" si="24"/>
        <v>53780.648248067635</v>
      </c>
      <c r="U145" s="956">
        <v>43767</v>
      </c>
      <c r="V145" s="948" t="s">
        <v>1229</v>
      </c>
      <c r="W145" s="957"/>
      <c r="X145" s="1089">
        <f t="shared" si="25"/>
        <v>-0.08</v>
      </c>
      <c r="Y145" s="1090" t="str">
        <f>VLOOKUP(V145,'bic broker'!$A$1:$B$14,2,FALSE)</f>
        <v>EMSIITM1XXX</v>
      </c>
      <c r="Z145" s="1090" t="str">
        <f>VLOOKUP(AA145,'place of settlement'!A:C,2,FALSE)</f>
        <v>JJSDJPJTXXX</v>
      </c>
      <c r="AA145" s="1090" t="str">
        <f t="shared" si="26"/>
        <v>JP</v>
      </c>
      <c r="AB145" s="1090" t="str">
        <f t="shared" si="27"/>
        <v>EquitaJP</v>
      </c>
      <c r="AC145" s="1090" t="str">
        <f>VLOOKUP(AB145,sample!$1:$1048576,2,FALSE)</f>
        <v>BCITITMMXXX</v>
      </c>
      <c r="AD145" s="1090" t="str">
        <f>VLOOKUP($AB145,sample!$1:$1048576,3,FALSE)</f>
        <v>JJSDJPJTXXX</v>
      </c>
      <c r="AE145" s="1091">
        <f>VLOOKUP($AB145,sample!$1:$1048576,4,FALSE)</f>
        <v>100502629</v>
      </c>
      <c r="AF145" s="1090" t="str">
        <f>VLOOKUP($AB145,sample!$1:$1048576,5,FALSE)</f>
        <v>N</v>
      </c>
      <c r="AL145" s="1091" t="str">
        <f>VLOOKUP($AB145,sample!$1:$1048576,11,FALSE)</f>
        <v xml:space="preserve">        </v>
      </c>
      <c r="AM145" s="1091" t="str">
        <f>VLOOKUP($AB145,sample!$1:$1048576,12,FALSE)</f>
        <v xml:space="preserve">        </v>
      </c>
      <c r="AN145" s="1091" t="str">
        <f>VLOOKUP($AB145,sample!$1:$1048576,13,FALSE)</f>
        <v>BOTKJPJTXXX</v>
      </c>
      <c r="AP145" s="1111"/>
    </row>
    <row r="146" spans="1:42" ht="14">
      <c r="A146" s="920">
        <v>201900144</v>
      </c>
      <c r="B146" s="947">
        <v>43763</v>
      </c>
      <c r="C146" s="947" t="s">
        <v>137</v>
      </c>
      <c r="D146" s="1108" t="str">
        <f>IFERROR(VLOOKUP(G146,PosAggregate!$B$13:$B$87,1,FALSE),"")</f>
        <v/>
      </c>
      <c r="E146" s="880" t="s">
        <v>1270</v>
      </c>
      <c r="F146" s="1132" t="str">
        <f t="shared" si="29"/>
        <v/>
      </c>
      <c r="G146" s="664" t="s">
        <v>1221</v>
      </c>
      <c r="H146" s="664"/>
      <c r="I146" s="950" t="s">
        <v>1136</v>
      </c>
      <c r="J146" s="950" t="s">
        <v>3</v>
      </c>
      <c r="K146" s="855">
        <v>64.81</v>
      </c>
      <c r="L146" s="951"/>
      <c r="M146" s="952">
        <v>475</v>
      </c>
      <c r="N146" s="1092">
        <f t="shared" si="28"/>
        <v>-30784.75</v>
      </c>
      <c r="O146" s="952">
        <v>-64.879099999999994</v>
      </c>
      <c r="P146" s="952"/>
      <c r="Q146" s="952"/>
      <c r="R146" s="1096">
        <f t="shared" si="23"/>
        <v>-30849.629099999998</v>
      </c>
      <c r="S146" s="855">
        <v>1.1103955228852518</v>
      </c>
      <c r="T146" s="1101">
        <f t="shared" si="24"/>
        <v>-27782.558974877997</v>
      </c>
      <c r="U146" s="956">
        <v>43767</v>
      </c>
      <c r="V146" s="948" t="s">
        <v>1229</v>
      </c>
      <c r="W146" s="957">
        <v>43763.650407986112</v>
      </c>
      <c r="X146" s="1089">
        <f t="shared" si="25"/>
        <v>0.21075077757655983</v>
      </c>
      <c r="Y146" s="1090" t="str">
        <f>VLOOKUP(V146,'bic broker'!$A$1:$B$14,2,FALSE)</f>
        <v>EMSIITM1XXX</v>
      </c>
      <c r="Z146" s="1090" t="str">
        <f>VLOOKUP(AA146,'place of settlement'!A:C,2,FALSE)</f>
        <v>DTCYUS33XXX</v>
      </c>
      <c r="AA146" s="1090" t="str">
        <f t="shared" si="26"/>
        <v>US</v>
      </c>
      <c r="AB146" s="1090" t="str">
        <f t="shared" si="27"/>
        <v>EquitaUS</v>
      </c>
      <c r="AC146" s="1090" t="str">
        <f>VLOOKUP(AB146,sample!$1:$1048576,2,FALSE)</f>
        <v>BCITITMMXXX</v>
      </c>
      <c r="AD146" s="1090" t="str">
        <f>VLOOKUP($AB146,sample!$1:$1048576,3,FALSE)</f>
        <v>DTCYUS33XXX</v>
      </c>
      <c r="AE146" s="1091">
        <f>VLOOKUP($AB146,sample!$1:$1048576,4,FALSE)</f>
        <v>236707</v>
      </c>
      <c r="AF146" s="1090" t="str">
        <f>VLOOKUP($AB146,sample!$1:$1048576,5,FALSE)</f>
        <v>N</v>
      </c>
      <c r="AL146" s="1091" t="str">
        <f>VLOOKUP($AB146,sample!$1:$1048576,11,FALSE)</f>
        <v>DTCYID</v>
      </c>
      <c r="AM146" s="1091">
        <f>VLOOKUP($AB146,sample!$1:$1048576,12,FALSE)</f>
        <v>908</v>
      </c>
      <c r="AN146" s="1091" t="str">
        <f>VLOOKUP($AB146,sample!$1:$1048576,13,FALSE)</f>
        <v xml:space="preserve">        </v>
      </c>
      <c r="AP146" s="1111"/>
    </row>
    <row r="147" spans="1:42" ht="14">
      <c r="A147" s="920">
        <v>201900145</v>
      </c>
      <c r="B147" s="947">
        <v>43763</v>
      </c>
      <c r="C147" s="947" t="s">
        <v>138</v>
      </c>
      <c r="D147" s="1108" t="str">
        <f>IFERROR(VLOOKUP(G147,PosAggregate!$B$13:$B$87,1,FALSE),"")</f>
        <v/>
      </c>
      <c r="E147" s="880" t="s">
        <v>1266</v>
      </c>
      <c r="F147" s="1132" t="str">
        <f t="shared" si="29"/>
        <v/>
      </c>
      <c r="G147" s="664" t="s">
        <v>1217</v>
      </c>
      <c r="H147" s="664"/>
      <c r="I147" s="950" t="s">
        <v>1098</v>
      </c>
      <c r="J147" s="950" t="s">
        <v>2</v>
      </c>
      <c r="K147" s="855">
        <v>65.827100000000002</v>
      </c>
      <c r="L147" s="951"/>
      <c r="M147" s="952">
        <v>-900</v>
      </c>
      <c r="N147" s="1092">
        <f t="shared" si="28"/>
        <v>59244.39</v>
      </c>
      <c r="O147" s="952">
        <v>-47.4</v>
      </c>
      <c r="P147" s="952"/>
      <c r="Q147" s="952"/>
      <c r="R147" s="1096">
        <f t="shared" si="23"/>
        <v>59196.99</v>
      </c>
      <c r="S147" s="855">
        <v>1</v>
      </c>
      <c r="T147" s="1101">
        <f t="shared" si="24"/>
        <v>59196.99</v>
      </c>
      <c r="U147" s="956">
        <v>43767</v>
      </c>
      <c r="V147" s="948" t="s">
        <v>1229</v>
      </c>
      <c r="W147" s="957"/>
      <c r="X147" s="1089">
        <f t="shared" si="25"/>
        <v>-8.0007575400810105E-2</v>
      </c>
      <c r="Y147" s="1090" t="str">
        <f>VLOOKUP(V147,'bic broker'!$A$1:$B$14,2,FALSE)</f>
        <v>EMSIITM1XXX</v>
      </c>
      <c r="Z147" s="1090" t="str">
        <f>VLOOKUP(AA147,'place of settlement'!A:C,2,FALSE)</f>
        <v>DAKVDEFFXXX</v>
      </c>
      <c r="AA147" s="1090" t="str">
        <f t="shared" si="26"/>
        <v>DE</v>
      </c>
      <c r="AB147" s="1090" t="str">
        <f t="shared" si="27"/>
        <v>EquitaDE</v>
      </c>
      <c r="AC147" s="1090" t="str">
        <f>VLOOKUP(AB147,sample!$1:$1048576,2,FALSE)</f>
        <v>EMSIITM1XXX</v>
      </c>
      <c r="AD147" s="1090" t="str">
        <f>VLOOKUP($AB147,sample!$1:$1048576,3,FALSE)</f>
        <v>DAKVDEFFXXX</v>
      </c>
      <c r="AE147" s="1091" t="str">
        <f>VLOOKUP($AB147,sample!$1:$1048576,4,FALSE)</f>
        <v>DAKV8135000</v>
      </c>
      <c r="AF147" s="1090" t="str">
        <f>VLOOKUP($AB147,sample!$1:$1048576,5,FALSE)</f>
        <v>N</v>
      </c>
      <c r="AL147" s="1091" t="str">
        <f>VLOOKUP($AB147,sample!$1:$1048576,11,FALSE)</f>
        <v xml:space="preserve">        </v>
      </c>
      <c r="AM147" s="1091" t="str">
        <f>VLOOKUP($AB147,sample!$1:$1048576,12,FALSE)</f>
        <v xml:space="preserve">        </v>
      </c>
      <c r="AN147" s="1091" t="str">
        <f>VLOOKUP($AB147,sample!$1:$1048576,13,FALSE)</f>
        <v>BCITITMMD03</v>
      </c>
      <c r="AP147" s="1111"/>
    </row>
    <row r="148" spans="1:42" ht="14">
      <c r="A148" s="920">
        <v>201900146</v>
      </c>
      <c r="B148" s="947">
        <v>43763</v>
      </c>
      <c r="C148" s="947" t="s">
        <v>137</v>
      </c>
      <c r="D148" s="1108" t="str">
        <f>IFERROR(VLOOKUP(G148,PosAggregate!$B$13:$B$87,1,FALSE),"")</f>
        <v/>
      </c>
      <c r="E148" s="880" t="s">
        <v>1710</v>
      </c>
      <c r="F148" s="1132" t="str">
        <f t="shared" si="29"/>
        <v/>
      </c>
      <c r="G148" s="664" t="s">
        <v>1704</v>
      </c>
      <c r="H148" s="664"/>
      <c r="I148" s="950" t="s">
        <v>1703</v>
      </c>
      <c r="J148" s="950" t="s">
        <v>2</v>
      </c>
      <c r="K148" s="855">
        <v>170.82990000000001</v>
      </c>
      <c r="L148" s="951"/>
      <c r="M148" s="952">
        <v>370</v>
      </c>
      <c r="N148" s="1092">
        <f t="shared" si="28"/>
        <v>-63207.063000000002</v>
      </c>
      <c r="O148" s="952">
        <v>-50.57</v>
      </c>
      <c r="P148" s="952"/>
      <c r="Q148" s="952"/>
      <c r="R148" s="1096">
        <f t="shared" si="23"/>
        <v>-63257.633000000002</v>
      </c>
      <c r="S148" s="855">
        <v>1</v>
      </c>
      <c r="T148" s="1101">
        <f t="shared" si="24"/>
        <v>-63257.633000000002</v>
      </c>
      <c r="U148" s="956">
        <v>43767</v>
      </c>
      <c r="V148" s="948" t="s">
        <v>1229</v>
      </c>
      <c r="W148" s="957">
        <v>43763.677882638891</v>
      </c>
      <c r="X148" s="1089">
        <f t="shared" si="25"/>
        <v>8.0006881509428779E-2</v>
      </c>
      <c r="Y148" s="1090" t="str">
        <f>VLOOKUP(V148,'bic broker'!$A$1:$B$14,2,FALSE)</f>
        <v>EMSIITM1XXX</v>
      </c>
      <c r="Z148" s="1090" t="str">
        <f>VLOOKUP(AA148,'place of settlement'!A:C,2,FALSE)</f>
        <v>DAKVDEFFXXX</v>
      </c>
      <c r="AA148" s="1090" t="str">
        <f t="shared" si="26"/>
        <v>DE</v>
      </c>
      <c r="AB148" s="1090" t="str">
        <f t="shared" si="27"/>
        <v>EquitaDE</v>
      </c>
      <c r="AC148" s="1090" t="str">
        <f>VLOOKUP(AB148,sample!$1:$1048576,2,FALSE)</f>
        <v>EMSIITM1XXX</v>
      </c>
      <c r="AD148" s="1090" t="str">
        <f>VLOOKUP($AB148,sample!$1:$1048576,3,FALSE)</f>
        <v>DAKVDEFFXXX</v>
      </c>
      <c r="AE148" s="1091" t="str">
        <f>VLOOKUP($AB148,sample!$1:$1048576,4,FALSE)</f>
        <v>DAKV8135000</v>
      </c>
      <c r="AF148" s="1090" t="str">
        <f>VLOOKUP($AB148,sample!$1:$1048576,5,FALSE)</f>
        <v>N</v>
      </c>
      <c r="AL148" s="1091" t="str">
        <f>VLOOKUP($AB148,sample!$1:$1048576,11,FALSE)</f>
        <v xml:space="preserve">        </v>
      </c>
      <c r="AM148" s="1091" t="str">
        <f>VLOOKUP($AB148,sample!$1:$1048576,12,FALSE)</f>
        <v xml:space="preserve">        </v>
      </c>
      <c r="AN148" s="1091" t="str">
        <f>VLOOKUP($AB148,sample!$1:$1048576,13,FALSE)</f>
        <v>BCITITMMD03</v>
      </c>
      <c r="AP148" s="1111"/>
    </row>
    <row r="149" spans="1:42" ht="14">
      <c r="A149" s="920">
        <v>201900147</v>
      </c>
      <c r="B149" s="947">
        <v>43766</v>
      </c>
      <c r="C149" s="947" t="s">
        <v>138</v>
      </c>
      <c r="D149" s="1108" t="str">
        <f>IFERROR(VLOOKUP(G149,PosAggregate!$B$13:$B$87,1,FALSE),"")</f>
        <v/>
      </c>
      <c r="E149" s="880" t="s">
        <v>1670</v>
      </c>
      <c r="F149" s="1132" t="str">
        <f t="shared" si="29"/>
        <v/>
      </c>
      <c r="G149" s="664" t="s">
        <v>1632</v>
      </c>
      <c r="H149" s="664"/>
      <c r="I149" s="950" t="s">
        <v>1642</v>
      </c>
      <c r="J149" s="950" t="s">
        <v>2</v>
      </c>
      <c r="K149" s="1003">
        <v>28.058800000000002</v>
      </c>
      <c r="L149" s="951"/>
      <c r="M149" s="952">
        <v>-2220</v>
      </c>
      <c r="N149" s="1092">
        <f t="shared" si="28"/>
        <v>62290.536</v>
      </c>
      <c r="O149" s="997">
        <v>-49.83</v>
      </c>
      <c r="P149" s="952"/>
      <c r="Q149" s="952"/>
      <c r="R149" s="1096">
        <f t="shared" ref="R149:R155" si="30">SUM(N149:Q149)</f>
        <v>62240.705999999998</v>
      </c>
      <c r="S149" s="855">
        <v>1</v>
      </c>
      <c r="T149" s="1101">
        <f t="shared" ref="T149:T155" si="31">+R149/S149</f>
        <v>62240.705999999998</v>
      </c>
      <c r="U149" s="956">
        <v>43768</v>
      </c>
      <c r="V149" s="948" t="s">
        <v>1229</v>
      </c>
      <c r="W149" s="957"/>
      <c r="X149" s="1089">
        <f t="shared" ref="X149:X155" si="32">+O149/N149*100</f>
        <v>-7.9996100852302826E-2</v>
      </c>
      <c r="Y149" s="1090" t="str">
        <f>VLOOKUP(V149,'bic broker'!$A$1:$B$14,2,FALSE)</f>
        <v>EMSIITM1XXX</v>
      </c>
      <c r="Z149" s="1090" t="str">
        <f>VLOOKUP(AA149,'place of settlement'!A:C,2,FALSE)</f>
        <v>DAKVDEFFXXX</v>
      </c>
      <c r="AA149" s="1090" t="str">
        <f t="shared" ref="AA149:AA155" si="33">LEFT(E149,2)</f>
        <v>DE</v>
      </c>
      <c r="AB149" s="1090" t="str">
        <f t="shared" ref="AB149:AB155" si="34">CONCATENATE(V149,AA149)</f>
        <v>EquitaDE</v>
      </c>
      <c r="AC149" s="1090" t="str">
        <f>VLOOKUP(AB149,sample!$1:$1048576,2,FALSE)</f>
        <v>EMSIITM1XXX</v>
      </c>
      <c r="AD149" s="1090" t="str">
        <f>VLOOKUP($AB149,sample!$1:$1048576,3,FALSE)</f>
        <v>DAKVDEFFXXX</v>
      </c>
      <c r="AE149" s="1091" t="str">
        <f>VLOOKUP($AB149,sample!$1:$1048576,4,FALSE)</f>
        <v>DAKV8135000</v>
      </c>
      <c r="AF149" s="1090" t="str">
        <f>VLOOKUP($AB149,sample!$1:$1048576,5,FALSE)</f>
        <v>N</v>
      </c>
      <c r="AL149" s="1091" t="str">
        <f>VLOOKUP($AB149,sample!$1:$1048576,11,FALSE)</f>
        <v xml:space="preserve">        </v>
      </c>
      <c r="AM149" s="1091" t="str">
        <f>VLOOKUP($AB149,sample!$1:$1048576,12,FALSE)</f>
        <v xml:space="preserve">        </v>
      </c>
      <c r="AN149" s="1091" t="str">
        <f>VLOOKUP($AB149,sample!$1:$1048576,13,FALSE)</f>
        <v>BCITITMMD03</v>
      </c>
      <c r="AP149" s="1111"/>
    </row>
    <row r="150" spans="1:42" ht="14">
      <c r="A150" s="920">
        <v>201900148</v>
      </c>
      <c r="B150" s="947">
        <v>43769</v>
      </c>
      <c r="C150" s="947" t="s">
        <v>137</v>
      </c>
      <c r="D150" s="1108" t="str">
        <f>IFERROR(VLOOKUP(G150,PosAggregate!$B$13:$B$87,1,FALSE),"")</f>
        <v/>
      </c>
      <c r="E150" s="880" t="s">
        <v>1273</v>
      </c>
      <c r="F150" s="1132" t="str">
        <f t="shared" si="29"/>
        <v/>
      </c>
      <c r="G150" s="664" t="s">
        <v>1209</v>
      </c>
      <c r="H150" s="664"/>
      <c r="I150" s="950" t="s">
        <v>1133</v>
      </c>
      <c r="J150" s="950" t="s">
        <v>1104</v>
      </c>
      <c r="K150" s="855">
        <v>0.40450000000000003</v>
      </c>
      <c r="L150" s="951"/>
      <c r="M150" s="952">
        <v>91000</v>
      </c>
      <c r="N150" s="1092">
        <f t="shared" si="28"/>
        <v>-36809.5</v>
      </c>
      <c r="O150" s="952">
        <v>-29.45</v>
      </c>
      <c r="P150" s="952"/>
      <c r="Q150" s="952"/>
      <c r="R150" s="1096">
        <f t="shared" si="30"/>
        <v>-36838.949999999997</v>
      </c>
      <c r="S150" s="855">
        <v>1.6151925263650699</v>
      </c>
      <c r="T150" s="1101">
        <f t="shared" si="31"/>
        <v>-22807.776409729104</v>
      </c>
      <c r="U150" s="956">
        <v>43774</v>
      </c>
      <c r="V150" s="948" t="s">
        <v>1229</v>
      </c>
      <c r="W150" s="957">
        <v>43769.445779398149</v>
      </c>
      <c r="X150" s="1089">
        <f t="shared" si="32"/>
        <v>8.0006520055963815E-2</v>
      </c>
      <c r="Y150" s="1090" t="str">
        <f>VLOOKUP(V150,'bic broker'!$A$1:$B$14,2,FALSE)</f>
        <v>EMSIITM1XXX</v>
      </c>
      <c r="Z150" s="1090" t="str">
        <f>VLOOKUP(AA150,'place of settlement'!A:C,2,FALSE)</f>
        <v>CAETAU21XXX</v>
      </c>
      <c r="AA150" s="1090" t="str">
        <f t="shared" si="33"/>
        <v>AU</v>
      </c>
      <c r="AB150" s="1090" t="str">
        <f t="shared" si="34"/>
        <v>EquitaAU</v>
      </c>
      <c r="AC150" s="1090" t="str">
        <f>VLOOKUP(AB150,sample!$1:$1048576,2,FALSE)</f>
        <v>BCITITMMXXX</v>
      </c>
      <c r="AD150" s="1090" t="str">
        <f>VLOOKUP($AB150,sample!$1:$1048576,3,FALSE)</f>
        <v>CAETAU21XXX</v>
      </c>
      <c r="AE150" s="1091">
        <f>VLOOKUP($AB150,sample!$1:$1048576,4,FALSE)</f>
        <v>2099100983</v>
      </c>
      <c r="AF150" s="1090" t="str">
        <f>VLOOKUP($AB150,sample!$1:$1048576,5,FALSE)</f>
        <v>N</v>
      </c>
      <c r="AL150" s="1091" t="str">
        <f>VLOOKUP($AB150,sample!$1:$1048576,11,FALSE)</f>
        <v xml:space="preserve">        </v>
      </c>
      <c r="AM150" s="1091" t="str">
        <f>VLOOKUP($AB150,sample!$1:$1048576,12,FALSE)</f>
        <v xml:space="preserve">        </v>
      </c>
      <c r="AN150" s="1091" t="str">
        <f>VLOOKUP($AB150,sample!$1:$1048576,13,FALSE)</f>
        <v>CITIAU3XXXX</v>
      </c>
      <c r="AP150" s="1111"/>
    </row>
    <row r="151" spans="1:42" ht="14">
      <c r="A151" s="920">
        <v>201900149</v>
      </c>
      <c r="B151" s="947">
        <v>43770</v>
      </c>
      <c r="C151" s="947" t="s">
        <v>137</v>
      </c>
      <c r="D151" s="1108" t="str">
        <f>IFERROR(VLOOKUP(G151,PosAggregate!$B$13:$B$87,1,FALSE),"")</f>
        <v/>
      </c>
      <c r="E151" s="880" t="s">
        <v>1675</v>
      </c>
      <c r="F151" s="1132" t="str">
        <f t="shared" si="29"/>
        <v/>
      </c>
      <c r="G151" s="664" t="s">
        <v>1647</v>
      </c>
      <c r="H151" s="664"/>
      <c r="I151" s="950" t="s">
        <v>1651</v>
      </c>
      <c r="J151" s="950" t="s">
        <v>3</v>
      </c>
      <c r="K151" s="855">
        <v>17.2302</v>
      </c>
      <c r="L151" s="951"/>
      <c r="M151" s="952">
        <v>1250</v>
      </c>
      <c r="N151" s="1092">
        <f t="shared" si="28"/>
        <v>-21537.75</v>
      </c>
      <c r="O151" s="952">
        <v>-17.23</v>
      </c>
      <c r="P151" s="952"/>
      <c r="Q151" s="952"/>
      <c r="R151" s="1096">
        <f t="shared" si="30"/>
        <v>-21554.98</v>
      </c>
      <c r="S151" s="855">
        <v>1.1150012265013491</v>
      </c>
      <c r="T151" s="1101">
        <f t="shared" si="31"/>
        <v>-19331.7993628</v>
      </c>
      <c r="U151" s="956">
        <v>43774</v>
      </c>
      <c r="V151" s="948" t="s">
        <v>1229</v>
      </c>
      <c r="W151" s="957">
        <v>43770.436891319441</v>
      </c>
      <c r="X151" s="1089">
        <f t="shared" si="32"/>
        <v>7.9999071397894403E-2</v>
      </c>
      <c r="Y151" s="1090" t="str">
        <f>VLOOKUP(V151,'bic broker'!$A$1:$B$14,2,FALSE)</f>
        <v>EMSIITM1XXX</v>
      </c>
      <c r="Z151" s="1090" t="str">
        <f>VLOOKUP(AA151,'place of settlement'!A:C,2,FALSE)</f>
        <v>DTCYUS33XXX</v>
      </c>
      <c r="AA151" s="1090" t="str">
        <f t="shared" si="33"/>
        <v>US</v>
      </c>
      <c r="AB151" s="1090" t="str">
        <f t="shared" si="34"/>
        <v>EquitaUS</v>
      </c>
      <c r="AC151" s="1090" t="str">
        <f>VLOOKUP(AB151,sample!$1:$1048576,2,FALSE)</f>
        <v>BCITITMMXXX</v>
      </c>
      <c r="AD151" s="1090" t="str">
        <f>VLOOKUP($AB151,sample!$1:$1048576,3,FALSE)</f>
        <v>DTCYUS33XXX</v>
      </c>
      <c r="AE151" s="1091">
        <f>VLOOKUP($AB151,sample!$1:$1048576,4,FALSE)</f>
        <v>236707</v>
      </c>
      <c r="AF151" s="1090" t="str">
        <f>VLOOKUP($AB151,sample!$1:$1048576,5,FALSE)</f>
        <v>N</v>
      </c>
      <c r="AL151" s="1091" t="str">
        <f>VLOOKUP($AB151,sample!$1:$1048576,11,FALSE)</f>
        <v>DTCYID</v>
      </c>
      <c r="AM151" s="1091">
        <f>VLOOKUP($AB151,sample!$1:$1048576,12,FALSE)</f>
        <v>908</v>
      </c>
      <c r="AN151" s="1091" t="str">
        <f>VLOOKUP($AB151,sample!$1:$1048576,13,FALSE)</f>
        <v xml:space="preserve">        </v>
      </c>
      <c r="AP151" s="1111"/>
    </row>
    <row r="152" spans="1:42" ht="14">
      <c r="A152" s="920">
        <v>201900150</v>
      </c>
      <c r="B152" s="947">
        <v>43774</v>
      </c>
      <c r="C152" s="947" t="s">
        <v>138</v>
      </c>
      <c r="D152" s="1108" t="str">
        <f>IFERROR(VLOOKUP(G152,PosAggregate!$B$13:$B$87,1,FALSE),"")</f>
        <v/>
      </c>
      <c r="E152" s="880" t="s">
        <v>1259</v>
      </c>
      <c r="F152" s="1132" t="str">
        <f t="shared" si="29"/>
        <v/>
      </c>
      <c r="G152" s="664" t="s">
        <v>1210</v>
      </c>
      <c r="H152" s="664"/>
      <c r="I152" s="950" t="s">
        <v>1225</v>
      </c>
      <c r="J152" s="950" t="s">
        <v>2</v>
      </c>
      <c r="K152" s="855">
        <v>39.218000000000004</v>
      </c>
      <c r="L152" s="951"/>
      <c r="M152" s="952">
        <v>-900</v>
      </c>
      <c r="N152" s="1092">
        <f t="shared" si="28"/>
        <v>35296.200000000004</v>
      </c>
      <c r="O152" s="952">
        <v>-28.24</v>
      </c>
      <c r="P152" s="952"/>
      <c r="Q152" s="952"/>
      <c r="R152" s="1096">
        <f t="shared" si="30"/>
        <v>35267.960000000006</v>
      </c>
      <c r="S152" s="855">
        <v>1</v>
      </c>
      <c r="T152" s="1101">
        <f t="shared" si="31"/>
        <v>35267.960000000006</v>
      </c>
      <c r="U152" s="956">
        <v>43776</v>
      </c>
      <c r="V152" s="948" t="s">
        <v>1229</v>
      </c>
      <c r="W152" s="957"/>
      <c r="X152" s="1089">
        <f t="shared" si="32"/>
        <v>-8.0008612825176628E-2</v>
      </c>
      <c r="Y152" s="1090" t="str">
        <f>VLOOKUP(V152,'bic broker'!$A$1:$B$14,2,FALSE)</f>
        <v>EMSIITM1XXX</v>
      </c>
      <c r="Z152" s="1090" t="str">
        <f>VLOOKUP(AA152,'place of settlement'!A:C,2,FALSE)</f>
        <v>CIKBBEBBXXX</v>
      </c>
      <c r="AA152" s="1090" t="str">
        <f t="shared" si="33"/>
        <v>BE</v>
      </c>
      <c r="AB152" s="1090" t="str">
        <f t="shared" si="34"/>
        <v>EquitaBE</v>
      </c>
      <c r="AC152" s="1090" t="str">
        <f>VLOOKUP(AB152,sample!$1:$1048576,2,FALSE)</f>
        <v>EMSIITM1XXX</v>
      </c>
      <c r="AD152" s="1090" t="str">
        <f>VLOOKUP($AB152,sample!$1:$1048576,3,FALSE)</f>
        <v>CIKBBEBBXXX</v>
      </c>
      <c r="AE152" s="1091" t="str">
        <f>VLOOKUP($AB152,sample!$1:$1048576,4,FALSE)</f>
        <v>CIKBBCITITMMD00000L10</v>
      </c>
      <c r="AF152" s="1090" t="str">
        <f>VLOOKUP($AB152,sample!$1:$1048576,5,FALSE)</f>
        <v>N</v>
      </c>
      <c r="AL152" s="1091" t="str">
        <f>VLOOKUP($AB152,sample!$1:$1048576,11,FALSE)</f>
        <v xml:space="preserve">        </v>
      </c>
      <c r="AM152" s="1091" t="str">
        <f>VLOOKUP($AB152,sample!$1:$1048576,12,FALSE)</f>
        <v xml:space="preserve">        </v>
      </c>
      <c r="AN152" s="1091" t="str">
        <f>VLOOKUP($AB152,sample!$1:$1048576,13,FALSE)</f>
        <v>BCITITMMD00</v>
      </c>
      <c r="AP152" s="1111"/>
    </row>
    <row r="153" spans="1:42" ht="14">
      <c r="A153" s="920">
        <v>201900151</v>
      </c>
      <c r="B153" s="947">
        <v>43774</v>
      </c>
      <c r="C153" s="947" t="s">
        <v>138</v>
      </c>
      <c r="D153" s="1108" t="str">
        <f>IFERROR(VLOOKUP(G153,PosAggregate!$B$13:$B$87,1,FALSE),"")</f>
        <v/>
      </c>
      <c r="E153" s="880" t="s">
        <v>1248</v>
      </c>
      <c r="F153" s="1132" t="str">
        <f t="shared" si="29"/>
        <v/>
      </c>
      <c r="G153" s="664" t="s">
        <v>1197</v>
      </c>
      <c r="H153" s="664"/>
      <c r="I153" s="950" t="s">
        <v>1146</v>
      </c>
      <c r="J153" s="950" t="s">
        <v>125</v>
      </c>
      <c r="K153" s="855">
        <v>11400</v>
      </c>
      <c r="L153" s="951"/>
      <c r="M153" s="952">
        <v>-900</v>
      </c>
      <c r="N153" s="1092">
        <f t="shared" si="28"/>
        <v>10260000</v>
      </c>
      <c r="O153" s="952">
        <v>8208</v>
      </c>
      <c r="P153" s="952"/>
      <c r="Q153" s="952"/>
      <c r="R153" s="1096">
        <f t="shared" si="30"/>
        <v>10268208</v>
      </c>
      <c r="S153" s="855">
        <v>120.78326657765905</v>
      </c>
      <c r="T153" s="1101">
        <f t="shared" si="31"/>
        <v>85013.498069270485</v>
      </c>
      <c r="U153" s="956">
        <v>43777</v>
      </c>
      <c r="V153" s="948" t="s">
        <v>1229</v>
      </c>
      <c r="W153" s="957"/>
      <c r="X153" s="1089">
        <f t="shared" si="32"/>
        <v>0.08</v>
      </c>
      <c r="Y153" s="1090" t="str">
        <f>VLOOKUP(V153,'bic broker'!$A$1:$B$14,2,FALSE)</f>
        <v>EMSIITM1XXX</v>
      </c>
      <c r="Z153" s="1090" t="str">
        <f>VLOOKUP(AA153,'place of settlement'!A:C,2,FALSE)</f>
        <v>JJSDJPJTXXX</v>
      </c>
      <c r="AA153" s="1090" t="str">
        <f t="shared" si="33"/>
        <v>JP</v>
      </c>
      <c r="AB153" s="1090" t="str">
        <f t="shared" si="34"/>
        <v>EquitaJP</v>
      </c>
      <c r="AC153" s="1090" t="str">
        <f>VLOOKUP(AB153,sample!$1:$1048576,2,FALSE)</f>
        <v>BCITITMMXXX</v>
      </c>
      <c r="AD153" s="1090" t="str">
        <f>VLOOKUP($AB153,sample!$1:$1048576,3,FALSE)</f>
        <v>JJSDJPJTXXX</v>
      </c>
      <c r="AE153" s="1091">
        <f>VLOOKUP($AB153,sample!$1:$1048576,4,FALSE)</f>
        <v>100502629</v>
      </c>
      <c r="AF153" s="1090" t="str">
        <f>VLOOKUP($AB153,sample!$1:$1048576,5,FALSE)</f>
        <v>N</v>
      </c>
      <c r="AL153" s="1091" t="str">
        <f>VLOOKUP($AB153,sample!$1:$1048576,11,FALSE)</f>
        <v xml:space="preserve">        </v>
      </c>
      <c r="AM153" s="1091" t="str">
        <f>VLOOKUP($AB153,sample!$1:$1048576,12,FALSE)</f>
        <v xml:space="preserve">        </v>
      </c>
      <c r="AN153" s="1091" t="str">
        <f>VLOOKUP($AB153,sample!$1:$1048576,13,FALSE)</f>
        <v>BOTKJPJTXXX</v>
      </c>
      <c r="AP153" s="1111"/>
    </row>
    <row r="154" spans="1:42" ht="14">
      <c r="A154" s="920">
        <v>201900152</v>
      </c>
      <c r="B154" s="1004">
        <v>43796</v>
      </c>
      <c r="C154" s="947" t="s">
        <v>137</v>
      </c>
      <c r="D154" s="1108" t="str">
        <f>IFERROR(VLOOKUP(G154,PosAggregate!$B$13:$B$87,1,FALSE),"")</f>
        <v/>
      </c>
      <c r="E154" s="880" t="s">
        <v>1252</v>
      </c>
      <c r="F154" s="1132" t="str">
        <f t="shared" si="29"/>
        <v/>
      </c>
      <c r="G154" s="664" t="s">
        <v>1202</v>
      </c>
      <c r="H154" s="664"/>
      <c r="I154" s="950" t="s">
        <v>1121</v>
      </c>
      <c r="J154" s="950" t="s">
        <v>123</v>
      </c>
      <c r="K154" s="855">
        <v>168408.92860000001</v>
      </c>
      <c r="L154" s="951"/>
      <c r="M154" s="952">
        <v>280</v>
      </c>
      <c r="N154" s="1092">
        <f t="shared" si="28"/>
        <v>-47154500.008000001</v>
      </c>
      <c r="O154" s="997">
        <v>-70732</v>
      </c>
      <c r="P154" s="952"/>
      <c r="Q154" s="952"/>
      <c r="R154" s="1096">
        <f t="shared" si="30"/>
        <v>-47225232.008000001</v>
      </c>
      <c r="S154" s="855">
        <v>1291.7116363075659</v>
      </c>
      <c r="T154" s="1101">
        <f t="shared" si="31"/>
        <v>-36560.197090889509</v>
      </c>
      <c r="U154" s="956">
        <v>43798</v>
      </c>
      <c r="V154" s="1005" t="s">
        <v>1230</v>
      </c>
      <c r="W154" s="957">
        <v>43795.726104629626</v>
      </c>
      <c r="X154" s="1089">
        <f t="shared" si="32"/>
        <v>0.15000053014664552</v>
      </c>
      <c r="Y154" s="1090" t="e">
        <f>VLOOKUP(V154,'bic broker'!$A$1:$B$14,2,FALSE)</f>
        <v>#N/A</v>
      </c>
      <c r="Z154" s="1090" t="str">
        <f>VLOOKUP(AA154,'place of settlement'!A:C,2,FALSE)</f>
        <v>KSDCKRSEXXX</v>
      </c>
      <c r="AA154" s="1090" t="str">
        <f t="shared" si="33"/>
        <v>KR</v>
      </c>
      <c r="AB154" s="1090" t="str">
        <f t="shared" si="34"/>
        <v>SamsungKR</v>
      </c>
      <c r="AC154" s="1090" t="e">
        <f>VLOOKUP(AB154,sample!$1:$1048576,2,FALSE)</f>
        <v>#N/A</v>
      </c>
      <c r="AD154" s="1090" t="e">
        <f>VLOOKUP($AB154,sample!$1:$1048576,3,FALSE)</f>
        <v>#N/A</v>
      </c>
      <c r="AE154" s="1091" t="e">
        <f>VLOOKUP($AB154,sample!$1:$1048576,4,FALSE)</f>
        <v>#N/A</v>
      </c>
      <c r="AF154" s="1090" t="e">
        <f>VLOOKUP($AB154,sample!$1:$1048576,5,FALSE)</f>
        <v>#N/A</v>
      </c>
      <c r="AL154" s="1091" t="e">
        <f>VLOOKUP($AB154,sample!$1:$1048576,11,FALSE)</f>
        <v>#N/A</v>
      </c>
      <c r="AM154" s="1091" t="e">
        <f>VLOOKUP($AB154,sample!$1:$1048576,12,FALSE)</f>
        <v>#N/A</v>
      </c>
      <c r="AN154" s="1091" t="e">
        <f>VLOOKUP($AB154,sample!$1:$1048576,13,FALSE)</f>
        <v>#N/A</v>
      </c>
      <c r="AP154" s="1111"/>
    </row>
    <row r="155" spans="1:42" ht="14">
      <c r="A155" s="920">
        <v>201900153</v>
      </c>
      <c r="B155" s="1004">
        <v>43796</v>
      </c>
      <c r="C155" s="947" t="s">
        <v>137</v>
      </c>
      <c r="D155" s="1108" t="str">
        <f>IFERROR(VLOOKUP(G155,PosAggregate!$B$13:$B$93,1,FALSE),"")</f>
        <v/>
      </c>
      <c r="E155" s="880" t="s">
        <v>1273</v>
      </c>
      <c r="F155" s="1132" t="str">
        <f t="shared" si="29"/>
        <v/>
      </c>
      <c r="G155" s="664" t="s">
        <v>1209</v>
      </c>
      <c r="H155" s="664"/>
      <c r="I155" s="950" t="s">
        <v>1133</v>
      </c>
      <c r="J155" s="950" t="s">
        <v>1104</v>
      </c>
      <c r="K155" s="855">
        <v>0.37295</v>
      </c>
      <c r="L155" s="951"/>
      <c r="M155" s="952">
        <v>160000</v>
      </c>
      <c r="N155" s="1092">
        <f t="shared" si="28"/>
        <v>-59672</v>
      </c>
      <c r="O155" s="997">
        <v>-8.73</v>
      </c>
      <c r="P155" s="952"/>
      <c r="Q155" s="952"/>
      <c r="R155" s="1096">
        <f t="shared" si="30"/>
        <v>-59680.73</v>
      </c>
      <c r="S155" s="855">
        <v>1.6250523116230919</v>
      </c>
      <c r="T155" s="1101">
        <f t="shared" si="31"/>
        <v>-36725.420820694242</v>
      </c>
      <c r="U155" s="956">
        <v>43798</v>
      </c>
      <c r="V155" s="1005" t="s">
        <v>1695</v>
      </c>
      <c r="W155" s="957">
        <v>43795.727863194443</v>
      </c>
      <c r="X155" s="1089">
        <f t="shared" si="32"/>
        <v>1.4629977208741119E-2</v>
      </c>
      <c r="Y155" s="1090" t="str">
        <f>VLOOKUP(V155,'bic broker'!$A$1:$B$14,2,FALSE)</f>
        <v>TAVSGB21XXX</v>
      </c>
      <c r="Z155" s="1090" t="str">
        <f>VLOOKUP(AA155,'place of settlement'!A:C,2,FALSE)</f>
        <v>CAETAU21XXX</v>
      </c>
      <c r="AA155" s="1090" t="str">
        <f t="shared" si="33"/>
        <v>AU</v>
      </c>
      <c r="AB155" s="1090" t="str">
        <f t="shared" si="34"/>
        <v>TaviraAU</v>
      </c>
      <c r="AC155" s="1090" t="e">
        <f>VLOOKUP(AB155,sample!$1:$1048576,2,FALSE)</f>
        <v>#N/A</v>
      </c>
      <c r="AD155" s="1090" t="e">
        <f>VLOOKUP($AB155,sample!$1:$1048576,3,FALSE)</f>
        <v>#N/A</v>
      </c>
      <c r="AE155" s="1091" t="e">
        <f>VLOOKUP($AB155,sample!$1:$1048576,4,FALSE)</f>
        <v>#N/A</v>
      </c>
      <c r="AF155" s="1090" t="e">
        <f>VLOOKUP($AB155,sample!$1:$1048576,5,FALSE)</f>
        <v>#N/A</v>
      </c>
      <c r="AL155" s="1091" t="e">
        <f>VLOOKUP($AB155,sample!$1:$1048576,11,FALSE)</f>
        <v>#N/A</v>
      </c>
      <c r="AM155" s="1091" t="e">
        <f>VLOOKUP($AB155,sample!$1:$1048576,12,FALSE)</f>
        <v>#N/A</v>
      </c>
      <c r="AN155" s="1091" t="e">
        <f>VLOOKUP($AB155,sample!$1:$1048576,13,FALSE)</f>
        <v>#N/A</v>
      </c>
      <c r="AP155" s="1111"/>
    </row>
    <row r="156" spans="1:42" s="1019" customFormat="1" ht="14">
      <c r="A156" s="1006" t="s">
        <v>2106</v>
      </c>
      <c r="B156" s="1007">
        <v>43796</v>
      </c>
      <c r="C156" s="1008"/>
      <c r="D156" s="1110" t="str">
        <f>IFERROR(VLOOKUP(G156,PosAggregate!$B$13:$B$93,1,FALSE),"")</f>
        <v/>
      </c>
      <c r="E156" s="1009" t="s">
        <v>1273</v>
      </c>
      <c r="F156" s="1132" t="str">
        <f t="shared" si="29"/>
        <v/>
      </c>
      <c r="G156" s="1010" t="s">
        <v>1209</v>
      </c>
      <c r="H156" s="1010"/>
      <c r="I156" s="1011"/>
      <c r="J156" s="1011"/>
      <c r="K156" s="1012"/>
      <c r="L156" s="1013"/>
      <c r="M156" s="1014">
        <v>11480</v>
      </c>
      <c r="N156" s="953"/>
      <c r="O156" s="1015"/>
      <c r="P156" s="1014"/>
      <c r="Q156" s="1014"/>
      <c r="R156" s="1016"/>
      <c r="S156" s="1012"/>
      <c r="T156" s="955"/>
      <c r="U156" s="1017"/>
      <c r="V156" s="1005"/>
      <c r="W156" s="957"/>
      <c r="X156" s="1018"/>
      <c r="AE156" s="1020"/>
      <c r="AL156" s="1020"/>
      <c r="AM156" s="1020"/>
      <c r="AN156" s="1020"/>
      <c r="AP156" s="1111"/>
    </row>
    <row r="157" spans="1:42" ht="14">
      <c r="A157" s="920">
        <v>201900154</v>
      </c>
      <c r="B157" s="1004">
        <v>43796</v>
      </c>
      <c r="C157" s="947" t="s">
        <v>137</v>
      </c>
      <c r="D157" s="1108" t="str">
        <f>IFERROR(VLOOKUP(G157,PosAggregate!$B$13:$B$93,1,FALSE),"")</f>
        <v/>
      </c>
      <c r="E157" s="880" t="s">
        <v>1242</v>
      </c>
      <c r="F157" s="1132" t="str">
        <f t="shared" si="29"/>
        <v/>
      </c>
      <c r="G157" s="664" t="s">
        <v>1191</v>
      </c>
      <c r="H157" s="664"/>
      <c r="I157" s="950" t="s">
        <v>1129</v>
      </c>
      <c r="J157" s="950" t="s">
        <v>125</v>
      </c>
      <c r="K157" s="855">
        <v>504</v>
      </c>
      <c r="L157" s="951"/>
      <c r="M157" s="952">
        <v>8900</v>
      </c>
      <c r="N157" s="1092">
        <f t="shared" ref="N157:N188" si="35">-K157*M157</f>
        <v>-4485600</v>
      </c>
      <c r="O157" s="997">
        <v>-1346</v>
      </c>
      <c r="P157" s="952"/>
      <c r="Q157" s="952"/>
      <c r="R157" s="1096">
        <f t="shared" ref="R157:R188" si="36">SUM(N157:Q157)</f>
        <v>-4486946</v>
      </c>
      <c r="S157" s="855">
        <v>119.93127904671694</v>
      </c>
      <c r="T157" s="1101">
        <f t="shared" ref="T157:T188" si="37">+R157/S157</f>
        <v>-37412.641936822802</v>
      </c>
      <c r="U157" s="956">
        <v>43798</v>
      </c>
      <c r="V157" s="1005" t="s">
        <v>1695</v>
      </c>
      <c r="W157" s="957">
        <v>43795.728642476854</v>
      </c>
      <c r="X157" s="1089">
        <f t="shared" ref="X157:X188" si="38">+O157/N157*100</f>
        <v>3.0007133939718208E-2</v>
      </c>
      <c r="Y157" s="1090" t="str">
        <f>VLOOKUP(V157,'bic broker'!$A$1:$B$14,2,FALSE)</f>
        <v>TAVSGB21XXX</v>
      </c>
      <c r="Z157" s="1090" t="str">
        <f>VLOOKUP(AA157,'place of settlement'!A:C,2,FALSE)</f>
        <v>JJSDJPJTXXX</v>
      </c>
      <c r="AA157" s="1090" t="str">
        <f t="shared" ref="AA157:AA188" si="39">LEFT(E157,2)</f>
        <v>JP</v>
      </c>
      <c r="AB157" s="1090" t="str">
        <f t="shared" ref="AB157:AB188" si="40">CONCATENATE(V157,AA157)</f>
        <v>TaviraJP</v>
      </c>
      <c r="AC157" s="1090" t="e">
        <f>VLOOKUP(AB157,sample!$1:$1048576,2,FALSE)</f>
        <v>#N/A</v>
      </c>
      <c r="AD157" s="1090" t="e">
        <f>VLOOKUP($AB157,sample!$1:$1048576,3,FALSE)</f>
        <v>#N/A</v>
      </c>
      <c r="AE157" s="1091" t="e">
        <f>VLOOKUP($AB157,sample!$1:$1048576,4,FALSE)</f>
        <v>#N/A</v>
      </c>
      <c r="AF157" s="1090" t="e">
        <f>VLOOKUP($AB157,sample!$1:$1048576,5,FALSE)</f>
        <v>#N/A</v>
      </c>
      <c r="AL157" s="1091" t="e">
        <f>VLOOKUP($AB157,sample!$1:$1048576,11,FALSE)</f>
        <v>#N/A</v>
      </c>
      <c r="AM157" s="1091" t="e">
        <f>VLOOKUP($AB157,sample!$1:$1048576,12,FALSE)</f>
        <v>#N/A</v>
      </c>
      <c r="AN157" s="1091" t="e">
        <f>VLOOKUP($AB157,sample!$1:$1048576,13,FALSE)</f>
        <v>#N/A</v>
      </c>
      <c r="AP157" s="1111"/>
    </row>
    <row r="158" spans="1:42" ht="14">
      <c r="A158" s="920">
        <v>201900155</v>
      </c>
      <c r="B158" s="1004">
        <v>43796</v>
      </c>
      <c r="C158" s="947" t="s">
        <v>137</v>
      </c>
      <c r="D158" s="1108" t="str">
        <f>IFERROR(VLOOKUP(G158,PosAggregate!$B$13:$B$93,1,FALSE),"")</f>
        <v/>
      </c>
      <c r="E158" s="880" t="s">
        <v>1246</v>
      </c>
      <c r="F158" s="1132" t="str">
        <f t="shared" si="29"/>
        <v/>
      </c>
      <c r="G158" s="664" t="s">
        <v>1195</v>
      </c>
      <c r="H158" s="664"/>
      <c r="I158" s="950" t="s">
        <v>1139</v>
      </c>
      <c r="J158" s="950" t="s">
        <v>125</v>
      </c>
      <c r="K158" s="855">
        <v>2353.1667000000002</v>
      </c>
      <c r="L158" s="951"/>
      <c r="M158" s="952">
        <v>1920</v>
      </c>
      <c r="N158" s="1092">
        <f t="shared" si="35"/>
        <v>-4518080.0640000002</v>
      </c>
      <c r="O158" s="997">
        <v>-1355</v>
      </c>
      <c r="P158" s="952"/>
      <c r="Q158" s="952"/>
      <c r="R158" s="1096">
        <f t="shared" si="36"/>
        <v>-4519435.0640000002</v>
      </c>
      <c r="S158" s="855">
        <v>119.93127904671688</v>
      </c>
      <c r="T158" s="1101">
        <f t="shared" si="37"/>
        <v>-37683.539272849266</v>
      </c>
      <c r="U158" s="956">
        <v>43798</v>
      </c>
      <c r="V158" s="1005" t="s">
        <v>1695</v>
      </c>
      <c r="W158" s="957">
        <v>43795.72945810185</v>
      </c>
      <c r="X158" s="1089">
        <f t="shared" si="38"/>
        <v>2.9990615057856575E-2</v>
      </c>
      <c r="Y158" s="1090" t="str">
        <f>VLOOKUP(V158,'bic broker'!$A$1:$B$14,2,FALSE)</f>
        <v>TAVSGB21XXX</v>
      </c>
      <c r="Z158" s="1090" t="str">
        <f>VLOOKUP(AA158,'place of settlement'!A:C,2,FALSE)</f>
        <v>JJSDJPJTXXX</v>
      </c>
      <c r="AA158" s="1090" t="str">
        <f t="shared" si="39"/>
        <v>JP</v>
      </c>
      <c r="AB158" s="1090" t="str">
        <f t="shared" si="40"/>
        <v>TaviraJP</v>
      </c>
      <c r="AC158" s="1090" t="e">
        <f>VLOOKUP(AB158,sample!$1:$1048576,2,FALSE)</f>
        <v>#N/A</v>
      </c>
      <c r="AD158" s="1090" t="e">
        <f>VLOOKUP($AB158,sample!$1:$1048576,3,FALSE)</f>
        <v>#N/A</v>
      </c>
      <c r="AE158" s="1091" t="e">
        <f>VLOOKUP($AB158,sample!$1:$1048576,4,FALSE)</f>
        <v>#N/A</v>
      </c>
      <c r="AF158" s="1090" t="e">
        <f>VLOOKUP($AB158,sample!$1:$1048576,5,FALSE)</f>
        <v>#N/A</v>
      </c>
      <c r="AL158" s="1091" t="e">
        <f>VLOOKUP($AB158,sample!$1:$1048576,11,FALSE)</f>
        <v>#N/A</v>
      </c>
      <c r="AM158" s="1091" t="e">
        <f>VLOOKUP($AB158,sample!$1:$1048576,12,FALSE)</f>
        <v>#N/A</v>
      </c>
      <c r="AN158" s="1091" t="e">
        <f>VLOOKUP($AB158,sample!$1:$1048576,13,FALSE)</f>
        <v>#N/A</v>
      </c>
      <c r="AP158" s="1111"/>
    </row>
    <row r="159" spans="1:42" ht="14">
      <c r="A159" s="920">
        <v>201900156</v>
      </c>
      <c r="B159" s="1004">
        <v>43796</v>
      </c>
      <c r="C159" s="947" t="s">
        <v>137</v>
      </c>
      <c r="D159" s="1108" t="str">
        <f>IFERROR(VLOOKUP(G159,PosAggregate!$B$13:$B$93,1,FALSE),"")</f>
        <v/>
      </c>
      <c r="E159" s="880" t="s">
        <v>1245</v>
      </c>
      <c r="F159" s="1132" t="str">
        <f t="shared" si="29"/>
        <v/>
      </c>
      <c r="G159" s="664" t="s">
        <v>1194</v>
      </c>
      <c r="H159" s="664"/>
      <c r="I159" s="950" t="s">
        <v>1125</v>
      </c>
      <c r="J159" s="950" t="s">
        <v>125</v>
      </c>
      <c r="K159" s="855">
        <v>827.3</v>
      </c>
      <c r="L159" s="951"/>
      <c r="M159" s="952">
        <v>5500</v>
      </c>
      <c r="N159" s="1092">
        <f t="shared" si="35"/>
        <v>-4550150</v>
      </c>
      <c r="O159" s="997">
        <v>-1365</v>
      </c>
      <c r="P159" s="952"/>
      <c r="Q159" s="952"/>
      <c r="R159" s="1096">
        <f t="shared" si="36"/>
        <v>-4551515</v>
      </c>
      <c r="S159" s="855">
        <v>119.93127904671699</v>
      </c>
      <c r="T159" s="1101">
        <f t="shared" si="37"/>
        <v>-37951.025255280088</v>
      </c>
      <c r="U159" s="956">
        <v>43798</v>
      </c>
      <c r="V159" s="1005" t="s">
        <v>1695</v>
      </c>
      <c r="W159" s="957">
        <v>43795.730583449076</v>
      </c>
      <c r="X159" s="1089">
        <f t="shared" si="38"/>
        <v>2.9999011021614674E-2</v>
      </c>
      <c r="Y159" s="1090" t="str">
        <f>VLOOKUP(V159,'bic broker'!$A$1:$B$14,2,FALSE)</f>
        <v>TAVSGB21XXX</v>
      </c>
      <c r="Z159" s="1090" t="str">
        <f>VLOOKUP(AA159,'place of settlement'!A:C,2,FALSE)</f>
        <v>JJSDJPJTXXX</v>
      </c>
      <c r="AA159" s="1090" t="str">
        <f t="shared" si="39"/>
        <v>JP</v>
      </c>
      <c r="AB159" s="1090" t="str">
        <f t="shared" si="40"/>
        <v>TaviraJP</v>
      </c>
      <c r="AC159" s="1090" t="e">
        <f>VLOOKUP(AB159,sample!$1:$1048576,2,FALSE)</f>
        <v>#N/A</v>
      </c>
      <c r="AD159" s="1090" t="e">
        <f>VLOOKUP($AB159,sample!$1:$1048576,3,FALSE)</f>
        <v>#N/A</v>
      </c>
      <c r="AE159" s="1091" t="e">
        <f>VLOOKUP($AB159,sample!$1:$1048576,4,FALSE)</f>
        <v>#N/A</v>
      </c>
      <c r="AF159" s="1090" t="e">
        <f>VLOOKUP($AB159,sample!$1:$1048576,5,FALSE)</f>
        <v>#N/A</v>
      </c>
      <c r="AL159" s="1091" t="e">
        <f>VLOOKUP($AB159,sample!$1:$1048576,11,FALSE)</f>
        <v>#N/A</v>
      </c>
      <c r="AM159" s="1091" t="e">
        <f>VLOOKUP($AB159,sample!$1:$1048576,12,FALSE)</f>
        <v>#N/A</v>
      </c>
      <c r="AN159" s="1091" t="e">
        <f>VLOOKUP($AB159,sample!$1:$1048576,13,FALSE)</f>
        <v>#N/A</v>
      </c>
      <c r="AP159" s="1111"/>
    </row>
    <row r="160" spans="1:42" ht="14">
      <c r="A160" s="920">
        <v>201900157</v>
      </c>
      <c r="B160" s="1004">
        <v>43796</v>
      </c>
      <c r="C160" s="947" t="s">
        <v>137</v>
      </c>
      <c r="D160" s="1108" t="str">
        <f>IFERROR(VLOOKUP(G160,PosAggregate!$B$13:$B$93,1,FALSE),"")</f>
        <v/>
      </c>
      <c r="E160" s="880" t="s">
        <v>1254</v>
      </c>
      <c r="F160" s="1132" t="str">
        <f t="shared" si="29"/>
        <v/>
      </c>
      <c r="G160" s="664" t="s">
        <v>1204</v>
      </c>
      <c r="H160" s="664"/>
      <c r="I160" s="950" t="s">
        <v>1123</v>
      </c>
      <c r="J160" s="950" t="s">
        <v>123</v>
      </c>
      <c r="K160" s="855">
        <v>89581.25</v>
      </c>
      <c r="L160" s="951"/>
      <c r="M160" s="952">
        <v>240</v>
      </c>
      <c r="N160" s="1092">
        <f t="shared" si="35"/>
        <v>-21499500</v>
      </c>
      <c r="O160" s="997">
        <v>-32249</v>
      </c>
      <c r="P160" s="952"/>
      <c r="Q160" s="952"/>
      <c r="R160" s="1096">
        <f t="shared" si="36"/>
        <v>-21531749</v>
      </c>
      <c r="S160" s="855">
        <v>1291.7116363075697</v>
      </c>
      <c r="T160" s="1101">
        <f t="shared" si="37"/>
        <v>-16669.16082102482</v>
      </c>
      <c r="U160" s="956">
        <v>43798</v>
      </c>
      <c r="V160" s="1005" t="s">
        <v>1230</v>
      </c>
      <c r="W160" s="957">
        <v>43795.732494212964</v>
      </c>
      <c r="X160" s="1089">
        <f t="shared" si="38"/>
        <v>0.14999883718226006</v>
      </c>
      <c r="Y160" s="1090" t="e">
        <f>VLOOKUP(V160,'bic broker'!$A$1:$B$14,2,FALSE)</f>
        <v>#N/A</v>
      </c>
      <c r="Z160" s="1090" t="str">
        <f>VLOOKUP(AA160,'place of settlement'!A:C,2,FALSE)</f>
        <v>KSDCKRSEXXX</v>
      </c>
      <c r="AA160" s="1090" t="str">
        <f t="shared" si="39"/>
        <v>KR</v>
      </c>
      <c r="AB160" s="1090" t="str">
        <f t="shared" si="40"/>
        <v>SamsungKR</v>
      </c>
      <c r="AC160" s="1090" t="e">
        <f>VLOOKUP(AB160,sample!$1:$1048576,2,FALSE)</f>
        <v>#N/A</v>
      </c>
      <c r="AD160" s="1090" t="e">
        <f>VLOOKUP($AB160,sample!$1:$1048576,3,FALSE)</f>
        <v>#N/A</v>
      </c>
      <c r="AE160" s="1091" t="e">
        <f>VLOOKUP($AB160,sample!$1:$1048576,4,FALSE)</f>
        <v>#N/A</v>
      </c>
      <c r="AF160" s="1090" t="e">
        <f>VLOOKUP($AB160,sample!$1:$1048576,5,FALSE)</f>
        <v>#N/A</v>
      </c>
      <c r="AL160" s="1091" t="e">
        <f>VLOOKUP($AB160,sample!$1:$1048576,11,FALSE)</f>
        <v>#N/A</v>
      </c>
      <c r="AM160" s="1091" t="e">
        <f>VLOOKUP($AB160,sample!$1:$1048576,12,FALSE)</f>
        <v>#N/A</v>
      </c>
      <c r="AN160" s="1091" t="e">
        <f>VLOOKUP($AB160,sample!$1:$1048576,13,FALSE)</f>
        <v>#N/A</v>
      </c>
      <c r="AP160" s="1111"/>
    </row>
    <row r="161" spans="1:42" ht="14">
      <c r="A161" s="920">
        <v>201900158</v>
      </c>
      <c r="B161" s="1004">
        <v>43796</v>
      </c>
      <c r="C161" s="947" t="s">
        <v>137</v>
      </c>
      <c r="D161" s="1108" t="str">
        <f>IFERROR(VLOOKUP(G161,PosAggregate!$B$13:$B$93,1,FALSE),"")</f>
        <v/>
      </c>
      <c r="E161" s="880" t="s">
        <v>1255</v>
      </c>
      <c r="F161" s="1132" t="str">
        <f t="shared" si="29"/>
        <v/>
      </c>
      <c r="G161" s="664" t="s">
        <v>1205</v>
      </c>
      <c r="H161" s="664"/>
      <c r="I161" s="950" t="s">
        <v>1143</v>
      </c>
      <c r="J161" s="950" t="s">
        <v>123</v>
      </c>
      <c r="K161" s="855">
        <v>111374.7126</v>
      </c>
      <c r="L161" s="951"/>
      <c r="M161" s="973">
        <v>435</v>
      </c>
      <c r="N161" s="1092">
        <f t="shared" si="35"/>
        <v>-48447999.980999999</v>
      </c>
      <c r="O161" s="997">
        <v>-72672</v>
      </c>
      <c r="P161" s="952"/>
      <c r="Q161" s="952"/>
      <c r="R161" s="1096">
        <f t="shared" si="36"/>
        <v>-48520671.980999999</v>
      </c>
      <c r="S161" s="855">
        <v>1291.7116363075704</v>
      </c>
      <c r="T161" s="1101">
        <f t="shared" si="37"/>
        <v>-37563.083444613876</v>
      </c>
      <c r="U161" s="956">
        <v>43798</v>
      </c>
      <c r="V161" s="1005" t="s">
        <v>1230</v>
      </c>
      <c r="W161" s="957">
        <v>43795.733664467596</v>
      </c>
      <c r="X161" s="1089">
        <f t="shared" si="38"/>
        <v>0.15000000005882597</v>
      </c>
      <c r="Y161" s="1090" t="e">
        <f>VLOOKUP(V161,'bic broker'!$A$1:$B$14,2,FALSE)</f>
        <v>#N/A</v>
      </c>
      <c r="Z161" s="1090" t="str">
        <f>VLOOKUP(AA161,'place of settlement'!A:C,2,FALSE)</f>
        <v>KSDCKRSEXXX</v>
      </c>
      <c r="AA161" s="1090" t="str">
        <f t="shared" si="39"/>
        <v>KR</v>
      </c>
      <c r="AB161" s="1090" t="str">
        <f t="shared" si="40"/>
        <v>SamsungKR</v>
      </c>
      <c r="AC161" s="1090" t="e">
        <f>VLOOKUP(AB161,sample!$1:$1048576,2,FALSE)</f>
        <v>#N/A</v>
      </c>
      <c r="AD161" s="1090" t="e">
        <f>VLOOKUP($AB161,sample!$1:$1048576,3,FALSE)</f>
        <v>#N/A</v>
      </c>
      <c r="AE161" s="1091" t="e">
        <f>VLOOKUP($AB161,sample!$1:$1048576,4,FALSE)</f>
        <v>#N/A</v>
      </c>
      <c r="AF161" s="1090" t="e">
        <f>VLOOKUP($AB161,sample!$1:$1048576,5,FALSE)</f>
        <v>#N/A</v>
      </c>
      <c r="AL161" s="1091" t="e">
        <f>VLOOKUP($AB161,sample!$1:$1048576,11,FALSE)</f>
        <v>#N/A</v>
      </c>
      <c r="AM161" s="1091" t="e">
        <f>VLOOKUP($AB161,sample!$1:$1048576,12,FALSE)</f>
        <v>#N/A</v>
      </c>
      <c r="AN161" s="1091" t="e">
        <f>VLOOKUP($AB161,sample!$1:$1048576,13,FALSE)</f>
        <v>#N/A</v>
      </c>
      <c r="AP161" s="1111"/>
    </row>
    <row r="162" spans="1:42" ht="14">
      <c r="A162" s="920">
        <v>201900159</v>
      </c>
      <c r="B162" s="1004">
        <v>43796</v>
      </c>
      <c r="C162" s="947" t="s">
        <v>137</v>
      </c>
      <c r="D162" s="1108" t="str">
        <f>IFERROR(VLOOKUP(G162,PosAggregate!$B$13:$B$93,1,FALSE),"")</f>
        <v/>
      </c>
      <c r="E162" s="880" t="s">
        <v>1232</v>
      </c>
      <c r="F162" s="1132" t="str">
        <f t="shared" si="29"/>
        <v/>
      </c>
      <c r="G162" s="664" t="s">
        <v>1180</v>
      </c>
      <c r="H162" s="664"/>
      <c r="I162" s="950" t="s">
        <v>1122</v>
      </c>
      <c r="J162" s="950" t="s">
        <v>125</v>
      </c>
      <c r="K162" s="855">
        <v>984.59892000000002</v>
      </c>
      <c r="L162" s="951"/>
      <c r="M162" s="952">
        <v>4650</v>
      </c>
      <c r="N162" s="1092">
        <f t="shared" si="35"/>
        <v>-4578384.9780000001</v>
      </c>
      <c r="O162" s="997">
        <v>-1374</v>
      </c>
      <c r="P162" s="952"/>
      <c r="Q162" s="952"/>
      <c r="R162" s="1096">
        <f t="shared" si="36"/>
        <v>-4579758.9780000001</v>
      </c>
      <c r="S162" s="855">
        <v>119.93127904671704</v>
      </c>
      <c r="T162" s="1101">
        <f t="shared" si="37"/>
        <v>-38186.526604256745</v>
      </c>
      <c r="U162" s="956">
        <v>43798</v>
      </c>
      <c r="V162" s="1005" t="s">
        <v>1695</v>
      </c>
      <c r="W162" s="957">
        <v>43795.734506597226</v>
      </c>
      <c r="X162" s="1089">
        <f t="shared" si="38"/>
        <v>3.0010582478370167E-2</v>
      </c>
      <c r="Y162" s="1090" t="str">
        <f>VLOOKUP(V162,'bic broker'!$A$1:$B$14,2,FALSE)</f>
        <v>TAVSGB21XXX</v>
      </c>
      <c r="Z162" s="1090" t="str">
        <f>VLOOKUP(AA162,'place of settlement'!A:C,2,FALSE)</f>
        <v>JJSDJPJTXXX</v>
      </c>
      <c r="AA162" s="1090" t="str">
        <f t="shared" si="39"/>
        <v>JP</v>
      </c>
      <c r="AB162" s="1090" t="str">
        <f t="shared" si="40"/>
        <v>TaviraJP</v>
      </c>
      <c r="AC162" s="1090" t="e">
        <f>VLOOKUP(AB162,sample!$1:$1048576,2,FALSE)</f>
        <v>#N/A</v>
      </c>
      <c r="AD162" s="1090" t="e">
        <f>VLOOKUP($AB162,sample!$1:$1048576,3,FALSE)</f>
        <v>#N/A</v>
      </c>
      <c r="AE162" s="1091" t="e">
        <f>VLOOKUP($AB162,sample!$1:$1048576,4,FALSE)</f>
        <v>#N/A</v>
      </c>
      <c r="AF162" s="1090" t="e">
        <f>VLOOKUP($AB162,sample!$1:$1048576,5,FALSE)</f>
        <v>#N/A</v>
      </c>
      <c r="AL162" s="1091" t="e">
        <f>VLOOKUP($AB162,sample!$1:$1048576,11,FALSE)</f>
        <v>#N/A</v>
      </c>
      <c r="AM162" s="1091" t="e">
        <f>VLOOKUP($AB162,sample!$1:$1048576,12,FALSE)</f>
        <v>#N/A</v>
      </c>
      <c r="AN162" s="1091" t="e">
        <f>VLOOKUP($AB162,sample!$1:$1048576,13,FALSE)</f>
        <v>#N/A</v>
      </c>
      <c r="AP162" s="1111"/>
    </row>
    <row r="163" spans="1:42" ht="14">
      <c r="A163" s="920">
        <v>201900160</v>
      </c>
      <c r="B163" s="1004">
        <v>43796</v>
      </c>
      <c r="C163" s="947" t="s">
        <v>137</v>
      </c>
      <c r="D163" s="1108" t="str">
        <f>IFERROR(VLOOKUP(G163,PosAggregate!$B$13:$B$93,1,FALSE),"")</f>
        <v/>
      </c>
      <c r="E163" s="880" t="s">
        <v>1709</v>
      </c>
      <c r="F163" s="1132" t="str">
        <f t="shared" si="29"/>
        <v/>
      </c>
      <c r="G163" s="664" t="s">
        <v>1701</v>
      </c>
      <c r="H163" s="664"/>
      <c r="I163" s="950" t="s">
        <v>1706</v>
      </c>
      <c r="J163" s="950" t="s">
        <v>1104</v>
      </c>
      <c r="K163" s="855">
        <v>0.30499999999999999</v>
      </c>
      <c r="L163" s="951"/>
      <c r="M163" s="952">
        <v>110000</v>
      </c>
      <c r="N163" s="1092">
        <f t="shared" si="35"/>
        <v>-33550</v>
      </c>
      <c r="O163" s="997">
        <v>-10.07</v>
      </c>
      <c r="P163" s="952"/>
      <c r="Q163" s="952"/>
      <c r="R163" s="1096">
        <f t="shared" si="36"/>
        <v>-33560.07</v>
      </c>
      <c r="S163" s="855">
        <v>1.6250523116230884</v>
      </c>
      <c r="T163" s="1101">
        <f t="shared" si="37"/>
        <v>-20651.685954946573</v>
      </c>
      <c r="U163" s="956">
        <v>43798</v>
      </c>
      <c r="V163" s="1005" t="s">
        <v>1695</v>
      </c>
      <c r="W163" s="957">
        <v>43795.735314467594</v>
      </c>
      <c r="X163" s="1089">
        <f t="shared" si="38"/>
        <v>3.0014903129657232E-2</v>
      </c>
      <c r="Y163" s="1090" t="str">
        <f>VLOOKUP(V163,'bic broker'!$A$1:$B$14,2,FALSE)</f>
        <v>TAVSGB21XXX</v>
      </c>
      <c r="Z163" s="1090" t="str">
        <f>VLOOKUP(AA163,'place of settlement'!A:C,2,FALSE)</f>
        <v>CAETAU21XXX</v>
      </c>
      <c r="AA163" s="1090" t="str">
        <f t="shared" si="39"/>
        <v>AU</v>
      </c>
      <c r="AB163" s="1090" t="str">
        <f t="shared" si="40"/>
        <v>TaviraAU</v>
      </c>
      <c r="AC163" s="1090" t="e">
        <f>VLOOKUP(AB163,sample!$1:$1048576,2,FALSE)</f>
        <v>#N/A</v>
      </c>
      <c r="AD163" s="1090" t="e">
        <f>VLOOKUP($AB163,sample!$1:$1048576,3,FALSE)</f>
        <v>#N/A</v>
      </c>
      <c r="AE163" s="1091" t="e">
        <f>VLOOKUP($AB163,sample!$1:$1048576,4,FALSE)</f>
        <v>#N/A</v>
      </c>
      <c r="AF163" s="1090" t="e">
        <f>VLOOKUP($AB163,sample!$1:$1048576,5,FALSE)</f>
        <v>#N/A</v>
      </c>
      <c r="AL163" s="1091" t="e">
        <f>VLOOKUP($AB163,sample!$1:$1048576,11,FALSE)</f>
        <v>#N/A</v>
      </c>
      <c r="AM163" s="1091" t="e">
        <f>VLOOKUP($AB163,sample!$1:$1048576,12,FALSE)</f>
        <v>#N/A</v>
      </c>
      <c r="AN163" s="1091" t="e">
        <f>VLOOKUP($AB163,sample!$1:$1048576,13,FALSE)</f>
        <v>#N/A</v>
      </c>
      <c r="AP163" s="1111"/>
    </row>
    <row r="164" spans="1:42" ht="14">
      <c r="A164" s="920">
        <v>201900161</v>
      </c>
      <c r="B164" s="1004">
        <v>43795</v>
      </c>
      <c r="C164" s="998" t="s">
        <v>137</v>
      </c>
      <c r="D164" s="1108" t="str">
        <f>IFERROR(VLOOKUP(G164,PosAggregate!$B$13:$B$93,1,FALSE),"")</f>
        <v/>
      </c>
      <c r="E164" s="880" t="s">
        <v>1270</v>
      </c>
      <c r="F164" s="1132" t="str">
        <f t="shared" si="29"/>
        <v/>
      </c>
      <c r="G164" s="701" t="s">
        <v>1221</v>
      </c>
      <c r="I164" s="950" t="s">
        <v>1136</v>
      </c>
      <c r="J164" s="950" t="s">
        <v>3</v>
      </c>
      <c r="K164" s="855">
        <v>65.498260000000002</v>
      </c>
      <c r="L164" s="951"/>
      <c r="M164" s="952">
        <v>690</v>
      </c>
      <c r="N164" s="1092">
        <f t="shared" si="35"/>
        <v>-45193.799400000004</v>
      </c>
      <c r="O164" s="997">
        <v>-13.56</v>
      </c>
      <c r="P164" s="952"/>
      <c r="Q164" s="952"/>
      <c r="R164" s="1096">
        <f t="shared" si="36"/>
        <v>-45207.359400000001</v>
      </c>
      <c r="S164" s="855">
        <v>1.101794823767918</v>
      </c>
      <c r="T164" s="1101">
        <f t="shared" si="37"/>
        <v>-41030.651465033996</v>
      </c>
      <c r="U164" s="956">
        <v>43798</v>
      </c>
      <c r="V164" s="1005" t="s">
        <v>1695</v>
      </c>
      <c r="W164" s="957">
        <v>43796.453060648149</v>
      </c>
      <c r="X164" s="1089">
        <f t="shared" si="38"/>
        <v>3.0004116007117557E-2</v>
      </c>
      <c r="Y164" s="1090" t="str">
        <f>VLOOKUP(V164,'bic broker'!$A$1:$B$14,2,FALSE)</f>
        <v>TAVSGB21XXX</v>
      </c>
      <c r="Z164" s="1090" t="str">
        <f>VLOOKUP(AA164,'place of settlement'!A:C,2,FALSE)</f>
        <v>DTCYUS33XXX</v>
      </c>
      <c r="AA164" s="1090" t="str">
        <f t="shared" si="39"/>
        <v>US</v>
      </c>
      <c r="AB164" s="1090" t="str">
        <f t="shared" si="40"/>
        <v>TaviraUS</v>
      </c>
      <c r="AC164" s="1090" t="e">
        <f>VLOOKUP(AB164,sample!$1:$1048576,2,FALSE)</f>
        <v>#N/A</v>
      </c>
      <c r="AD164" s="1090" t="e">
        <f>VLOOKUP($AB164,sample!$1:$1048576,3,FALSE)</f>
        <v>#N/A</v>
      </c>
      <c r="AE164" s="1091" t="e">
        <f>VLOOKUP($AB164,sample!$1:$1048576,4,FALSE)</f>
        <v>#N/A</v>
      </c>
      <c r="AF164" s="1090" t="e">
        <f>VLOOKUP($AB164,sample!$1:$1048576,5,FALSE)</f>
        <v>#N/A</v>
      </c>
      <c r="AL164" s="1091" t="e">
        <f>VLOOKUP($AB164,sample!$1:$1048576,11,FALSE)</f>
        <v>#N/A</v>
      </c>
      <c r="AM164" s="1091" t="e">
        <f>VLOOKUP($AB164,sample!$1:$1048576,12,FALSE)</f>
        <v>#N/A</v>
      </c>
      <c r="AN164" s="1091" t="e">
        <f>VLOOKUP($AB164,sample!$1:$1048576,13,FALSE)</f>
        <v>#N/A</v>
      </c>
      <c r="AP164" s="1111"/>
    </row>
    <row r="165" spans="1:42" ht="14">
      <c r="A165" s="920">
        <v>201900162</v>
      </c>
      <c r="B165" s="1004">
        <v>43795</v>
      </c>
      <c r="C165" s="998" t="s">
        <v>137</v>
      </c>
      <c r="D165" s="1108" t="str">
        <f>IFERROR(VLOOKUP(G165,PosAggregate!$B$13:$B$93,1,FALSE),"")</f>
        <v/>
      </c>
      <c r="E165" s="880" t="s">
        <v>1269</v>
      </c>
      <c r="F165" s="1132" t="str">
        <f t="shared" si="29"/>
        <v/>
      </c>
      <c r="G165" s="701" t="s">
        <v>1220</v>
      </c>
      <c r="I165" s="950" t="s">
        <v>1137</v>
      </c>
      <c r="J165" s="950" t="s">
        <v>3</v>
      </c>
      <c r="K165" s="855">
        <v>23.223179999999999</v>
      </c>
      <c r="L165" s="951"/>
      <c r="M165" s="952">
        <v>1100</v>
      </c>
      <c r="N165" s="1092">
        <f t="shared" si="35"/>
        <v>-25545.498</v>
      </c>
      <c r="O165" s="997">
        <v>-7.66</v>
      </c>
      <c r="P165" s="952"/>
      <c r="Q165" s="952"/>
      <c r="R165" s="1096">
        <f t="shared" si="36"/>
        <v>-25553.157999999999</v>
      </c>
      <c r="S165" s="855">
        <v>1.101794823767918</v>
      </c>
      <c r="T165" s="1101">
        <f t="shared" si="37"/>
        <v>-23192.301732379998</v>
      </c>
      <c r="U165" s="956">
        <v>43798</v>
      </c>
      <c r="V165" s="1005" t="s">
        <v>1695</v>
      </c>
      <c r="W165" s="957">
        <v>43796.453653819444</v>
      </c>
      <c r="X165" s="1089">
        <f t="shared" si="38"/>
        <v>2.9985714116827943E-2</v>
      </c>
      <c r="Y165" s="1090" t="str">
        <f>VLOOKUP(V165,'bic broker'!$A$1:$B$14,2,FALSE)</f>
        <v>TAVSGB21XXX</v>
      </c>
      <c r="Z165" s="1090" t="str">
        <f>VLOOKUP(AA165,'place of settlement'!A:C,2,FALSE)</f>
        <v>DTCYUS33XXX</v>
      </c>
      <c r="AA165" s="1090" t="str">
        <f t="shared" si="39"/>
        <v>US</v>
      </c>
      <c r="AB165" s="1090" t="str">
        <f t="shared" si="40"/>
        <v>TaviraUS</v>
      </c>
      <c r="AC165" s="1090" t="e">
        <f>VLOOKUP(AB165,sample!$1:$1048576,2,FALSE)</f>
        <v>#N/A</v>
      </c>
      <c r="AD165" s="1090" t="e">
        <f>VLOOKUP($AB165,sample!$1:$1048576,3,FALSE)</f>
        <v>#N/A</v>
      </c>
      <c r="AE165" s="1091" t="e">
        <f>VLOOKUP($AB165,sample!$1:$1048576,4,FALSE)</f>
        <v>#N/A</v>
      </c>
      <c r="AF165" s="1090" t="e">
        <f>VLOOKUP($AB165,sample!$1:$1048576,5,FALSE)</f>
        <v>#N/A</v>
      </c>
      <c r="AL165" s="1091" t="e">
        <f>VLOOKUP($AB165,sample!$1:$1048576,11,FALSE)</f>
        <v>#N/A</v>
      </c>
      <c r="AM165" s="1091" t="e">
        <f>VLOOKUP($AB165,sample!$1:$1048576,12,FALSE)</f>
        <v>#N/A</v>
      </c>
      <c r="AN165" s="1091" t="e">
        <f>VLOOKUP($AB165,sample!$1:$1048576,13,FALSE)</f>
        <v>#N/A</v>
      </c>
      <c r="AP165" s="1111"/>
    </row>
    <row r="166" spans="1:42" ht="14">
      <c r="A166" s="920">
        <v>201900163</v>
      </c>
      <c r="B166" s="1004">
        <v>43795</v>
      </c>
      <c r="C166" s="998" t="s">
        <v>137</v>
      </c>
      <c r="D166" s="1108" t="str">
        <f>IFERROR(VLOOKUP(G166,PosAggregate!$B$13:$B$93,1,FALSE),"")</f>
        <v/>
      </c>
      <c r="E166" s="880" t="s">
        <v>1675</v>
      </c>
      <c r="F166" s="1132" t="str">
        <f t="shared" si="29"/>
        <v/>
      </c>
      <c r="G166" s="701" t="s">
        <v>1647</v>
      </c>
      <c r="I166" s="950" t="s">
        <v>1651</v>
      </c>
      <c r="J166" s="950" t="s">
        <v>3</v>
      </c>
      <c r="K166" s="855">
        <v>17.716000000000001</v>
      </c>
      <c r="L166" s="951"/>
      <c r="M166" s="952">
        <v>2500</v>
      </c>
      <c r="N166" s="1092">
        <f t="shared" si="35"/>
        <v>-44290</v>
      </c>
      <c r="O166" s="997">
        <v>-13.29</v>
      </c>
      <c r="P166" s="952"/>
      <c r="Q166" s="952"/>
      <c r="R166" s="1096">
        <f t="shared" si="36"/>
        <v>-44303.29</v>
      </c>
      <c r="S166" s="855">
        <v>1.101794823767918</v>
      </c>
      <c r="T166" s="1101">
        <f t="shared" si="37"/>
        <v>-40210.109036899994</v>
      </c>
      <c r="U166" s="956">
        <v>43798</v>
      </c>
      <c r="V166" s="1005" t="s">
        <v>1695</v>
      </c>
      <c r="W166" s="957">
        <v>43796.453947569447</v>
      </c>
      <c r="X166" s="1089">
        <f t="shared" si="38"/>
        <v>3.0006773538044703E-2</v>
      </c>
      <c r="Y166" s="1090" t="str">
        <f>VLOOKUP(V166,'bic broker'!$A$1:$B$14,2,FALSE)</f>
        <v>TAVSGB21XXX</v>
      </c>
      <c r="Z166" s="1090" t="str">
        <f>VLOOKUP(AA166,'place of settlement'!A:C,2,FALSE)</f>
        <v>DTCYUS33XXX</v>
      </c>
      <c r="AA166" s="1090" t="str">
        <f t="shared" si="39"/>
        <v>US</v>
      </c>
      <c r="AB166" s="1090" t="str">
        <f t="shared" si="40"/>
        <v>TaviraUS</v>
      </c>
      <c r="AC166" s="1090" t="e">
        <f>VLOOKUP(AB166,sample!$1:$1048576,2,FALSE)</f>
        <v>#N/A</v>
      </c>
      <c r="AD166" s="1090" t="e">
        <f>VLOOKUP($AB166,sample!$1:$1048576,3,FALSE)</f>
        <v>#N/A</v>
      </c>
      <c r="AE166" s="1091" t="e">
        <f>VLOOKUP($AB166,sample!$1:$1048576,4,FALSE)</f>
        <v>#N/A</v>
      </c>
      <c r="AF166" s="1090" t="e">
        <f>VLOOKUP($AB166,sample!$1:$1048576,5,FALSE)</f>
        <v>#N/A</v>
      </c>
      <c r="AL166" s="1091" t="e">
        <f>VLOOKUP($AB166,sample!$1:$1048576,11,FALSE)</f>
        <v>#N/A</v>
      </c>
      <c r="AM166" s="1091" t="e">
        <f>VLOOKUP($AB166,sample!$1:$1048576,12,FALSE)</f>
        <v>#N/A</v>
      </c>
      <c r="AN166" s="1091" t="e">
        <f>VLOOKUP($AB166,sample!$1:$1048576,13,FALSE)</f>
        <v>#N/A</v>
      </c>
      <c r="AP166" s="1111"/>
    </row>
    <row r="167" spans="1:42" ht="14">
      <c r="A167" s="920">
        <v>201900164</v>
      </c>
      <c r="B167" s="1004">
        <v>43795</v>
      </c>
      <c r="C167" s="998" t="s">
        <v>137</v>
      </c>
      <c r="D167" s="1108" t="str">
        <f>IFERROR(VLOOKUP(G167,PosAggregate!$B$13:$B$93,1,FALSE),"")</f>
        <v/>
      </c>
      <c r="E167" s="880" t="s">
        <v>1272</v>
      </c>
      <c r="F167" s="1132" t="str">
        <f t="shared" si="29"/>
        <v/>
      </c>
      <c r="G167" s="701" t="s">
        <v>1224</v>
      </c>
      <c r="I167" s="950" t="s">
        <v>1130</v>
      </c>
      <c r="J167" s="950" t="s">
        <v>3</v>
      </c>
      <c r="K167" s="855">
        <v>16.718409999999999</v>
      </c>
      <c r="L167" s="951"/>
      <c r="M167" s="952">
        <v>2200</v>
      </c>
      <c r="N167" s="1092">
        <f t="shared" si="35"/>
        <v>-36780.502</v>
      </c>
      <c r="O167" s="997">
        <v>-11.03</v>
      </c>
      <c r="P167" s="952"/>
      <c r="Q167" s="952"/>
      <c r="R167" s="1096">
        <f t="shared" si="36"/>
        <v>-36791.531999999999</v>
      </c>
      <c r="S167" s="855">
        <v>1.101794823767918</v>
      </c>
      <c r="T167" s="1101">
        <f t="shared" si="37"/>
        <v>-33392.362358519997</v>
      </c>
      <c r="U167" s="956">
        <v>43798</v>
      </c>
      <c r="V167" s="1005" t="s">
        <v>1695</v>
      </c>
      <c r="W167" s="957">
        <v>43796.454254861113</v>
      </c>
      <c r="X167" s="1089">
        <f t="shared" si="38"/>
        <v>2.9988715216556858E-2</v>
      </c>
      <c r="Y167" s="1090" t="str">
        <f>VLOOKUP(V167,'bic broker'!$A$1:$B$14,2,FALSE)</f>
        <v>TAVSGB21XXX</v>
      </c>
      <c r="Z167" s="1090" t="str">
        <f>VLOOKUP(AA167,'place of settlement'!A:C,2,FALSE)</f>
        <v>DTCYUS33XXX</v>
      </c>
      <c r="AA167" s="1090" t="str">
        <f t="shared" si="39"/>
        <v>US</v>
      </c>
      <c r="AB167" s="1090" t="str">
        <f t="shared" si="40"/>
        <v>TaviraUS</v>
      </c>
      <c r="AC167" s="1090" t="e">
        <f>VLOOKUP(AB167,sample!$1:$1048576,2,FALSE)</f>
        <v>#N/A</v>
      </c>
      <c r="AD167" s="1090" t="e">
        <f>VLOOKUP($AB167,sample!$1:$1048576,3,FALSE)</f>
        <v>#N/A</v>
      </c>
      <c r="AE167" s="1091" t="e">
        <f>VLOOKUP($AB167,sample!$1:$1048576,4,FALSE)</f>
        <v>#N/A</v>
      </c>
      <c r="AF167" s="1090" t="e">
        <f>VLOOKUP($AB167,sample!$1:$1048576,5,FALSE)</f>
        <v>#N/A</v>
      </c>
      <c r="AL167" s="1091" t="e">
        <f>VLOOKUP($AB167,sample!$1:$1048576,11,FALSE)</f>
        <v>#N/A</v>
      </c>
      <c r="AM167" s="1091" t="e">
        <f>VLOOKUP($AB167,sample!$1:$1048576,12,FALSE)</f>
        <v>#N/A</v>
      </c>
      <c r="AN167" s="1091" t="e">
        <f>VLOOKUP($AB167,sample!$1:$1048576,13,FALSE)</f>
        <v>#N/A</v>
      </c>
      <c r="AP167" s="1111"/>
    </row>
    <row r="168" spans="1:42" ht="14">
      <c r="A168" s="920">
        <v>201900165</v>
      </c>
      <c r="B168" s="1004">
        <v>43795</v>
      </c>
      <c r="C168" s="947" t="s">
        <v>138</v>
      </c>
      <c r="D168" s="1108" t="str">
        <f>IFERROR(VLOOKUP(G168,PosAggregate!$B$13:$B$93,1,FALSE),"")</f>
        <v/>
      </c>
      <c r="E168" s="880" t="s">
        <v>12789</v>
      </c>
      <c r="F168" s="1132" t="str">
        <f t="shared" si="29"/>
        <v/>
      </c>
      <c r="G168" s="664" t="s">
        <v>1641</v>
      </c>
      <c r="H168" s="664"/>
      <c r="I168" s="950" t="s">
        <v>1645</v>
      </c>
      <c r="J168" s="950" t="s">
        <v>3</v>
      </c>
      <c r="K168" s="855">
        <v>26.515879999999999</v>
      </c>
      <c r="L168" s="951"/>
      <c r="M168" s="952">
        <v>-1700</v>
      </c>
      <c r="N168" s="1092">
        <f t="shared" si="35"/>
        <v>45076.995999999999</v>
      </c>
      <c r="O168" s="997">
        <v>-13.52</v>
      </c>
      <c r="P168" s="952">
        <v>-0.93</v>
      </c>
      <c r="Q168" s="952"/>
      <c r="R168" s="1096">
        <f t="shared" si="36"/>
        <v>45062.546000000002</v>
      </c>
      <c r="S168" s="855">
        <v>1.1012973282526817</v>
      </c>
      <c r="T168" s="1101">
        <f t="shared" si="37"/>
        <v>40917.693018919999</v>
      </c>
      <c r="U168" s="956">
        <v>43798</v>
      </c>
      <c r="V168" s="1005" t="s">
        <v>1695</v>
      </c>
      <c r="W168" s="957"/>
      <c r="X168" s="1089">
        <f t="shared" si="38"/>
        <v>-2.999312554013138E-2</v>
      </c>
      <c r="Y168" s="1090" t="str">
        <f>VLOOKUP(V168,'bic broker'!$A$1:$B$14,2,FALSE)</f>
        <v>TAVSGB21XXX</v>
      </c>
      <c r="Z168" s="1090" t="e">
        <f>VLOOKUP(AA168,'place of settlement'!A:C,2,FALSE)</f>
        <v>#N/A</v>
      </c>
      <c r="AA168" s="1090" t="str">
        <f t="shared" si="39"/>
        <v>NU</v>
      </c>
      <c r="AB168" s="1090" t="str">
        <f t="shared" si="40"/>
        <v>TaviraNU</v>
      </c>
      <c r="AC168" s="1090" t="e">
        <f>VLOOKUP(AB168,sample!$1:$1048576,2,FALSE)</f>
        <v>#N/A</v>
      </c>
      <c r="AD168" s="1090" t="e">
        <f>VLOOKUP($AB168,sample!$1:$1048576,3,FALSE)</f>
        <v>#N/A</v>
      </c>
      <c r="AE168" s="1091" t="e">
        <f>VLOOKUP($AB168,sample!$1:$1048576,4,FALSE)</f>
        <v>#N/A</v>
      </c>
      <c r="AF168" s="1090" t="e">
        <f>VLOOKUP($AB168,sample!$1:$1048576,5,FALSE)</f>
        <v>#N/A</v>
      </c>
      <c r="AL168" s="1091" t="e">
        <f>VLOOKUP($AB168,sample!$1:$1048576,11,FALSE)</f>
        <v>#N/A</v>
      </c>
      <c r="AM168" s="1091" t="e">
        <f>VLOOKUP($AB168,sample!$1:$1048576,12,FALSE)</f>
        <v>#N/A</v>
      </c>
      <c r="AN168" s="1091" t="e">
        <f>VLOOKUP($AB168,sample!$1:$1048576,13,FALSE)</f>
        <v>#N/A</v>
      </c>
      <c r="AP168" s="1111"/>
    </row>
    <row r="169" spans="1:42" ht="14">
      <c r="A169" s="920">
        <v>201900166</v>
      </c>
      <c r="B169" s="1004">
        <v>43796</v>
      </c>
      <c r="C169" s="947" t="s">
        <v>138</v>
      </c>
      <c r="D169" s="1108" t="str">
        <f>IFERROR(VLOOKUP(G169,PosAggregate!$B$13:$B$93,1,FALSE),"")</f>
        <v/>
      </c>
      <c r="E169" s="880" t="s">
        <v>1250</v>
      </c>
      <c r="F169" s="1132" t="str">
        <f t="shared" si="29"/>
        <v/>
      </c>
      <c r="G169" s="664" t="s">
        <v>1199</v>
      </c>
      <c r="H169" s="664"/>
      <c r="I169" s="950" t="s">
        <v>1201</v>
      </c>
      <c r="J169" s="950" t="s">
        <v>125</v>
      </c>
      <c r="K169" s="855">
        <v>6399</v>
      </c>
      <c r="L169" s="951"/>
      <c r="M169" s="952">
        <v>-1500</v>
      </c>
      <c r="N169" s="1092">
        <f t="shared" si="35"/>
        <v>9598500</v>
      </c>
      <c r="O169" s="997">
        <v>-2880</v>
      </c>
      <c r="P169" s="952"/>
      <c r="Q169" s="952"/>
      <c r="R169" s="1096">
        <f t="shared" si="36"/>
        <v>9595620</v>
      </c>
      <c r="S169" s="855">
        <v>119.93127904671695</v>
      </c>
      <c r="T169" s="1101">
        <f t="shared" si="37"/>
        <v>80009.319305785175</v>
      </c>
      <c r="U169" s="956">
        <v>43798</v>
      </c>
      <c r="V169" s="1005" t="s">
        <v>1695</v>
      </c>
      <c r="W169" s="957"/>
      <c r="X169" s="1089">
        <f t="shared" si="38"/>
        <v>-3.0004688232536332E-2</v>
      </c>
      <c r="Y169" s="1090" t="str">
        <f>VLOOKUP(V169,'bic broker'!$A$1:$B$14,2,FALSE)</f>
        <v>TAVSGB21XXX</v>
      </c>
      <c r="Z169" s="1090" t="str">
        <f>VLOOKUP(AA169,'place of settlement'!A:C,2,FALSE)</f>
        <v>JJSDJPJTXXX</v>
      </c>
      <c r="AA169" s="1090" t="str">
        <f t="shared" si="39"/>
        <v>JP</v>
      </c>
      <c r="AB169" s="1090" t="str">
        <f t="shared" si="40"/>
        <v>TaviraJP</v>
      </c>
      <c r="AC169" s="1090" t="e">
        <f>VLOOKUP(AB169,sample!$1:$1048576,2,FALSE)</f>
        <v>#N/A</v>
      </c>
      <c r="AD169" s="1090" t="e">
        <f>VLOOKUP($AB169,sample!$1:$1048576,3,FALSE)</f>
        <v>#N/A</v>
      </c>
      <c r="AE169" s="1091" t="e">
        <f>VLOOKUP($AB169,sample!$1:$1048576,4,FALSE)</f>
        <v>#N/A</v>
      </c>
      <c r="AF169" s="1090" t="e">
        <f>VLOOKUP($AB169,sample!$1:$1048576,5,FALSE)</f>
        <v>#N/A</v>
      </c>
      <c r="AL169" s="1091" t="e">
        <f>VLOOKUP($AB169,sample!$1:$1048576,11,FALSE)</f>
        <v>#N/A</v>
      </c>
      <c r="AM169" s="1091" t="e">
        <f>VLOOKUP($AB169,sample!$1:$1048576,12,FALSE)</f>
        <v>#N/A</v>
      </c>
      <c r="AN169" s="1091" t="e">
        <f>VLOOKUP($AB169,sample!$1:$1048576,13,FALSE)</f>
        <v>#N/A</v>
      </c>
      <c r="AP169" s="1111"/>
    </row>
    <row r="170" spans="1:42" ht="14">
      <c r="A170" s="920">
        <v>201900167</v>
      </c>
      <c r="B170" s="1004">
        <v>43796</v>
      </c>
      <c r="C170" s="947" t="s">
        <v>137</v>
      </c>
      <c r="D170" s="1108" t="str">
        <f>IFERROR(VLOOKUP(G170,PosAggregate!$B$13:$B$93,1,FALSE),"")</f>
        <v/>
      </c>
      <c r="E170" s="880" t="s">
        <v>1244</v>
      </c>
      <c r="F170" s="1132" t="str">
        <f t="shared" si="29"/>
        <v/>
      </c>
      <c r="G170" s="972" t="s">
        <v>1193</v>
      </c>
      <c r="H170" s="664"/>
      <c r="I170" s="950" t="s">
        <v>1134</v>
      </c>
      <c r="J170" s="950" t="s">
        <v>125</v>
      </c>
      <c r="K170" s="855">
        <v>1348.5909099999999</v>
      </c>
      <c r="L170" s="951"/>
      <c r="M170" s="952">
        <v>2200</v>
      </c>
      <c r="N170" s="1092">
        <f t="shared" si="35"/>
        <v>-2966900.0019999999</v>
      </c>
      <c r="O170" s="997">
        <v>-890</v>
      </c>
      <c r="P170" s="952"/>
      <c r="Q170" s="952"/>
      <c r="R170" s="1096">
        <f t="shared" si="36"/>
        <v>-2967790.0019999999</v>
      </c>
      <c r="S170" s="855">
        <v>119.93127904671695</v>
      </c>
      <c r="T170" s="1101">
        <f t="shared" si="37"/>
        <v>-24745.754615390648</v>
      </c>
      <c r="U170" s="956">
        <v>43798</v>
      </c>
      <c r="V170" s="1005" t="s">
        <v>1695</v>
      </c>
      <c r="W170" s="957"/>
      <c r="X170" s="1089">
        <f t="shared" si="38"/>
        <v>2.9997640614784698E-2</v>
      </c>
      <c r="Y170" s="1090" t="str">
        <f>VLOOKUP(V170,'bic broker'!$A$1:$B$14,2,FALSE)</f>
        <v>TAVSGB21XXX</v>
      </c>
      <c r="Z170" s="1090" t="str">
        <f>VLOOKUP(AA170,'place of settlement'!A:C,2,FALSE)</f>
        <v>JJSDJPJTXXX</v>
      </c>
      <c r="AA170" s="1090" t="str">
        <f t="shared" si="39"/>
        <v>JP</v>
      </c>
      <c r="AB170" s="1090" t="str">
        <f t="shared" si="40"/>
        <v>TaviraJP</v>
      </c>
      <c r="AC170" s="1090" t="e">
        <f>VLOOKUP(AB170,sample!$1:$1048576,2,FALSE)</f>
        <v>#N/A</v>
      </c>
      <c r="AD170" s="1090" t="e">
        <f>VLOOKUP($AB170,sample!$1:$1048576,3,FALSE)</f>
        <v>#N/A</v>
      </c>
      <c r="AE170" s="1091" t="e">
        <f>VLOOKUP($AB170,sample!$1:$1048576,4,FALSE)</f>
        <v>#N/A</v>
      </c>
      <c r="AF170" s="1090" t="e">
        <f>VLOOKUP($AB170,sample!$1:$1048576,5,FALSE)</f>
        <v>#N/A</v>
      </c>
      <c r="AL170" s="1091" t="e">
        <f>VLOOKUP($AB170,sample!$1:$1048576,11,FALSE)</f>
        <v>#N/A</v>
      </c>
      <c r="AM170" s="1091" t="e">
        <f>VLOOKUP($AB170,sample!$1:$1048576,12,FALSE)</f>
        <v>#N/A</v>
      </c>
      <c r="AN170" s="1091" t="e">
        <f>VLOOKUP($AB170,sample!$1:$1048576,13,FALSE)</f>
        <v>#N/A</v>
      </c>
      <c r="AP170" s="1111"/>
    </row>
    <row r="171" spans="1:42" ht="14">
      <c r="A171" s="920">
        <v>201900168</v>
      </c>
      <c r="B171" s="1004">
        <v>43796</v>
      </c>
      <c r="C171" s="947" t="s">
        <v>137</v>
      </c>
      <c r="D171" s="1108" t="str">
        <f>IFERROR(VLOOKUP(G171,PosAggregate!$B$13:$B$93,1,FALSE),"")</f>
        <v/>
      </c>
      <c r="E171" s="880" t="s">
        <v>1236</v>
      </c>
      <c r="F171" s="1132" t="str">
        <f t="shared" si="29"/>
        <v/>
      </c>
      <c r="G171" s="972" t="s">
        <v>1656</v>
      </c>
      <c r="H171" s="664"/>
      <c r="I171" s="950" t="s">
        <v>1126</v>
      </c>
      <c r="J171" s="950" t="s">
        <v>125</v>
      </c>
      <c r="K171" s="855">
        <v>2235.645</v>
      </c>
      <c r="L171" s="951"/>
      <c r="M171" s="952">
        <v>2000</v>
      </c>
      <c r="N171" s="1092">
        <f t="shared" si="35"/>
        <v>-4471290</v>
      </c>
      <c r="O171" s="997">
        <v>-1341</v>
      </c>
      <c r="P171" s="952"/>
      <c r="Q171" s="952"/>
      <c r="R171" s="1096">
        <f t="shared" si="36"/>
        <v>-4472631</v>
      </c>
      <c r="S171" s="855">
        <v>119.93127904671695</v>
      </c>
      <c r="T171" s="1101">
        <f t="shared" si="37"/>
        <v>-37293.281915702508</v>
      </c>
      <c r="U171" s="956">
        <v>43798</v>
      </c>
      <c r="V171" s="1005" t="s">
        <v>1695</v>
      </c>
      <c r="W171" s="957"/>
      <c r="X171" s="1089">
        <f t="shared" si="38"/>
        <v>2.9991344779694451E-2</v>
      </c>
      <c r="Y171" s="1090" t="str">
        <f>VLOOKUP(V171,'bic broker'!$A$1:$B$14,2,FALSE)</f>
        <v>TAVSGB21XXX</v>
      </c>
      <c r="Z171" s="1090" t="str">
        <f>VLOOKUP(AA171,'place of settlement'!A:C,2,FALSE)</f>
        <v>JJSDJPJTXXX</v>
      </c>
      <c r="AA171" s="1090" t="str">
        <f t="shared" si="39"/>
        <v>JP</v>
      </c>
      <c r="AB171" s="1090" t="str">
        <f t="shared" si="40"/>
        <v>TaviraJP</v>
      </c>
      <c r="AC171" s="1090" t="e">
        <f>VLOOKUP(AB171,sample!$1:$1048576,2,FALSE)</f>
        <v>#N/A</v>
      </c>
      <c r="AD171" s="1090" t="e">
        <f>VLOOKUP($AB171,sample!$1:$1048576,3,FALSE)</f>
        <v>#N/A</v>
      </c>
      <c r="AE171" s="1091" t="e">
        <f>VLOOKUP($AB171,sample!$1:$1048576,4,FALSE)</f>
        <v>#N/A</v>
      </c>
      <c r="AF171" s="1090" t="e">
        <f>VLOOKUP($AB171,sample!$1:$1048576,5,FALSE)</f>
        <v>#N/A</v>
      </c>
      <c r="AL171" s="1091" t="e">
        <f>VLOOKUP($AB171,sample!$1:$1048576,11,FALSE)</f>
        <v>#N/A</v>
      </c>
      <c r="AM171" s="1091" t="e">
        <f>VLOOKUP($AB171,sample!$1:$1048576,12,FALSE)</f>
        <v>#N/A</v>
      </c>
      <c r="AN171" s="1091" t="e">
        <f>VLOOKUP($AB171,sample!$1:$1048576,13,FALSE)</f>
        <v>#N/A</v>
      </c>
      <c r="AP171" s="1111"/>
    </row>
    <row r="172" spans="1:42" ht="14">
      <c r="A172" s="920">
        <v>201900169</v>
      </c>
      <c r="B172" s="1004">
        <v>43796</v>
      </c>
      <c r="C172" s="947" t="s">
        <v>137</v>
      </c>
      <c r="D172" s="1108" t="str">
        <f>IFERROR(VLOOKUP(G172,PosAggregate!$B$13:$B$93,1,FALSE),"")</f>
        <v/>
      </c>
      <c r="E172" s="880" t="s">
        <v>1234</v>
      </c>
      <c r="F172" s="1132" t="str">
        <f t="shared" si="29"/>
        <v/>
      </c>
      <c r="G172" s="972" t="s">
        <v>1713</v>
      </c>
      <c r="H172" s="664"/>
      <c r="I172" s="950" t="s">
        <v>1184</v>
      </c>
      <c r="J172" s="950" t="s">
        <v>125</v>
      </c>
      <c r="K172" s="855">
        <v>943</v>
      </c>
      <c r="L172" s="951"/>
      <c r="M172" s="952">
        <v>4200</v>
      </c>
      <c r="N172" s="1092">
        <f t="shared" si="35"/>
        <v>-3960600</v>
      </c>
      <c r="O172" s="997">
        <v>-1188</v>
      </c>
      <c r="P172" s="952"/>
      <c r="Q172" s="952"/>
      <c r="R172" s="1096">
        <f t="shared" si="36"/>
        <v>-3961788</v>
      </c>
      <c r="S172" s="855">
        <v>119.93127904671695</v>
      </c>
      <c r="T172" s="1101">
        <f t="shared" si="37"/>
        <v>-33033.817628650162</v>
      </c>
      <c r="U172" s="956">
        <v>43798</v>
      </c>
      <c r="V172" s="1005" t="s">
        <v>1695</v>
      </c>
      <c r="W172" s="957"/>
      <c r="X172" s="1089">
        <f t="shared" si="38"/>
        <v>2.9995455234055449E-2</v>
      </c>
      <c r="Y172" s="1090" t="str">
        <f>VLOOKUP(V172,'bic broker'!$A$1:$B$14,2,FALSE)</f>
        <v>TAVSGB21XXX</v>
      </c>
      <c r="Z172" s="1090" t="str">
        <f>VLOOKUP(AA172,'place of settlement'!A:C,2,FALSE)</f>
        <v>JJSDJPJTXXX</v>
      </c>
      <c r="AA172" s="1090" t="str">
        <f t="shared" si="39"/>
        <v>JP</v>
      </c>
      <c r="AB172" s="1090" t="str">
        <f t="shared" si="40"/>
        <v>TaviraJP</v>
      </c>
      <c r="AC172" s="1090" t="e">
        <f>VLOOKUP(AB172,sample!$1:$1048576,2,FALSE)</f>
        <v>#N/A</v>
      </c>
      <c r="AD172" s="1090" t="e">
        <f>VLOOKUP($AB172,sample!$1:$1048576,3,FALSE)</f>
        <v>#N/A</v>
      </c>
      <c r="AE172" s="1091" t="e">
        <f>VLOOKUP($AB172,sample!$1:$1048576,4,FALSE)</f>
        <v>#N/A</v>
      </c>
      <c r="AF172" s="1090" t="e">
        <f>VLOOKUP($AB172,sample!$1:$1048576,5,FALSE)</f>
        <v>#N/A</v>
      </c>
      <c r="AL172" s="1091" t="e">
        <f>VLOOKUP($AB172,sample!$1:$1048576,11,FALSE)</f>
        <v>#N/A</v>
      </c>
      <c r="AM172" s="1091" t="e">
        <f>VLOOKUP($AB172,sample!$1:$1048576,12,FALSE)</f>
        <v>#N/A</v>
      </c>
      <c r="AN172" s="1091" t="e">
        <f>VLOOKUP($AB172,sample!$1:$1048576,13,FALSE)</f>
        <v>#N/A</v>
      </c>
      <c r="AP172" s="1111"/>
    </row>
    <row r="173" spans="1:42" ht="14">
      <c r="A173" s="920">
        <v>201900170</v>
      </c>
      <c r="B173" s="1004">
        <v>43796</v>
      </c>
      <c r="C173" s="947" t="s">
        <v>137</v>
      </c>
      <c r="D173" s="1108" t="str">
        <f>IFERROR(VLOOKUP(G173,PosAggregate!$B$13:$B$93,1,FALSE),"")</f>
        <v/>
      </c>
      <c r="E173" s="880" t="s">
        <v>1723</v>
      </c>
      <c r="F173" s="1132" t="str">
        <f t="shared" si="29"/>
        <v/>
      </c>
      <c r="G173" s="972" t="s">
        <v>1714</v>
      </c>
      <c r="H173" s="664"/>
      <c r="I173" s="950" t="s">
        <v>1716</v>
      </c>
      <c r="J173" s="950" t="s">
        <v>1104</v>
      </c>
      <c r="K173" s="855">
        <v>2.9037000000000002</v>
      </c>
      <c r="L173" s="951"/>
      <c r="M173" s="952">
        <v>22000</v>
      </c>
      <c r="N173" s="1092">
        <f t="shared" si="35"/>
        <v>-63881.4</v>
      </c>
      <c r="O173" s="997">
        <v>-19.16</v>
      </c>
      <c r="P173" s="952"/>
      <c r="Q173" s="952"/>
      <c r="R173" s="1096">
        <f t="shared" si="36"/>
        <v>-63900.560000000005</v>
      </c>
      <c r="S173" s="855">
        <v>1.1012973282526817</v>
      </c>
      <c r="T173" s="1101">
        <f t="shared" si="37"/>
        <v>-58022.986491200005</v>
      </c>
      <c r="U173" s="956">
        <v>43798</v>
      </c>
      <c r="V173" s="1005" t="s">
        <v>1695</v>
      </c>
      <c r="W173" s="957"/>
      <c r="X173" s="1089">
        <f t="shared" si="38"/>
        <v>2.9993080928094874E-2</v>
      </c>
      <c r="Y173" s="1090" t="str">
        <f>VLOOKUP(V173,'bic broker'!$A$1:$B$14,2,FALSE)</f>
        <v>TAVSGB21XXX</v>
      </c>
      <c r="Z173" s="1090" t="str">
        <f>VLOOKUP(AA173,'place of settlement'!A:C,2,FALSE)</f>
        <v>CAETAU21XXX</v>
      </c>
      <c r="AA173" s="1090" t="str">
        <f t="shared" si="39"/>
        <v>AU</v>
      </c>
      <c r="AB173" s="1090" t="str">
        <f t="shared" si="40"/>
        <v>TaviraAU</v>
      </c>
      <c r="AC173" s="1090" t="e">
        <f>VLOOKUP(AB173,sample!$1:$1048576,2,FALSE)</f>
        <v>#N/A</v>
      </c>
      <c r="AD173" s="1090" t="e">
        <f>VLOOKUP($AB173,sample!$1:$1048576,3,FALSE)</f>
        <v>#N/A</v>
      </c>
      <c r="AE173" s="1091" t="e">
        <f>VLOOKUP($AB173,sample!$1:$1048576,4,FALSE)</f>
        <v>#N/A</v>
      </c>
      <c r="AF173" s="1090" t="e">
        <f>VLOOKUP($AB173,sample!$1:$1048576,5,FALSE)</f>
        <v>#N/A</v>
      </c>
      <c r="AL173" s="1091" t="e">
        <f>VLOOKUP($AB173,sample!$1:$1048576,11,FALSE)</f>
        <v>#N/A</v>
      </c>
      <c r="AM173" s="1091" t="e">
        <f>VLOOKUP($AB173,sample!$1:$1048576,12,FALSE)</f>
        <v>#N/A</v>
      </c>
      <c r="AN173" s="1091" t="e">
        <f>VLOOKUP($AB173,sample!$1:$1048576,13,FALSE)</f>
        <v>#N/A</v>
      </c>
      <c r="AP173" s="1111"/>
    </row>
    <row r="174" spans="1:42" ht="14">
      <c r="A174" s="920">
        <v>201900171</v>
      </c>
      <c r="B174" s="1004">
        <v>43796</v>
      </c>
      <c r="C174" s="947" t="s">
        <v>137</v>
      </c>
      <c r="D174" s="1108" t="str">
        <f>IFERROR(VLOOKUP(G174,PosAggregate!$B$13:$B$93,1,FALSE),"")</f>
        <v/>
      </c>
      <c r="E174" s="880" t="s">
        <v>1673</v>
      </c>
      <c r="F174" s="1132" t="str">
        <f t="shared" si="29"/>
        <v/>
      </c>
      <c r="G174" s="972" t="s">
        <v>1640</v>
      </c>
      <c r="H174" s="664"/>
      <c r="I174" s="950" t="s">
        <v>1644</v>
      </c>
      <c r="J174" s="950" t="s">
        <v>123</v>
      </c>
      <c r="K174" s="855">
        <v>4910.9537</v>
      </c>
      <c r="L174" s="951"/>
      <c r="M174" s="952">
        <v>6700</v>
      </c>
      <c r="N174" s="1092">
        <f t="shared" si="35"/>
        <v>-32903389.789999999</v>
      </c>
      <c r="O174" s="997">
        <v>-49657</v>
      </c>
      <c r="P174" s="952"/>
      <c r="Q174" s="952"/>
      <c r="R174" s="1096">
        <f t="shared" si="36"/>
        <v>-32953046.789999999</v>
      </c>
      <c r="S174" s="855">
        <v>1291.7116363075697</v>
      </c>
      <c r="T174" s="1101">
        <f t="shared" si="37"/>
        <v>-25511.148048645078</v>
      </c>
      <c r="U174" s="956">
        <v>43798</v>
      </c>
      <c r="V174" s="1005" t="s">
        <v>1230</v>
      </c>
      <c r="W174" s="957"/>
      <c r="X174" s="1089">
        <f t="shared" si="38"/>
        <v>0.1509175811882208</v>
      </c>
      <c r="Y174" s="1090" t="e">
        <f>VLOOKUP(V174,'bic broker'!$A$1:$B$14,2,FALSE)</f>
        <v>#N/A</v>
      </c>
      <c r="Z174" s="1090" t="str">
        <f>VLOOKUP(AA174,'place of settlement'!A:C,2,FALSE)</f>
        <v>KSDCKRSEXXX</v>
      </c>
      <c r="AA174" s="1090" t="str">
        <f t="shared" si="39"/>
        <v>KR</v>
      </c>
      <c r="AB174" s="1090" t="str">
        <f t="shared" si="40"/>
        <v>SamsungKR</v>
      </c>
      <c r="AC174" s="1090" t="e">
        <f>VLOOKUP(AB174,sample!$1:$1048576,2,FALSE)</f>
        <v>#N/A</v>
      </c>
      <c r="AD174" s="1090" t="e">
        <f>VLOOKUP($AB174,sample!$1:$1048576,3,FALSE)</f>
        <v>#N/A</v>
      </c>
      <c r="AE174" s="1091" t="e">
        <f>VLOOKUP($AB174,sample!$1:$1048576,4,FALSE)</f>
        <v>#N/A</v>
      </c>
      <c r="AF174" s="1090" t="e">
        <f>VLOOKUP($AB174,sample!$1:$1048576,5,FALSE)</f>
        <v>#N/A</v>
      </c>
      <c r="AL174" s="1091" t="e">
        <f>VLOOKUP($AB174,sample!$1:$1048576,11,FALSE)</f>
        <v>#N/A</v>
      </c>
      <c r="AM174" s="1091" t="e">
        <f>VLOOKUP($AB174,sample!$1:$1048576,12,FALSE)</f>
        <v>#N/A</v>
      </c>
      <c r="AN174" s="1091" t="e">
        <f>VLOOKUP($AB174,sample!$1:$1048576,13,FALSE)</f>
        <v>#N/A</v>
      </c>
      <c r="AP174" s="1111"/>
    </row>
    <row r="175" spans="1:42" ht="14">
      <c r="A175" s="920">
        <v>201900172</v>
      </c>
      <c r="B175" s="1004">
        <v>43796</v>
      </c>
      <c r="C175" s="947" t="s">
        <v>137</v>
      </c>
      <c r="D175" s="1108" t="str">
        <f>IFERROR(VLOOKUP(G175,PosAggregate!$B$13:$B$93,1,FALSE),"")</f>
        <v/>
      </c>
      <c r="E175" s="880" t="s">
        <v>1672</v>
      </c>
      <c r="F175" s="1132" t="str">
        <f t="shared" si="29"/>
        <v/>
      </c>
      <c r="G175" s="972" t="s">
        <v>1639</v>
      </c>
      <c r="H175" s="664"/>
      <c r="I175" s="950" t="s">
        <v>1643</v>
      </c>
      <c r="J175" s="950" t="s">
        <v>123</v>
      </c>
      <c r="K175" s="855">
        <v>7799.9452000000001</v>
      </c>
      <c r="L175" s="951"/>
      <c r="M175" s="952">
        <v>4200</v>
      </c>
      <c r="N175" s="1092">
        <f t="shared" si="35"/>
        <v>-32759769.84</v>
      </c>
      <c r="O175" s="997">
        <v>-49140</v>
      </c>
      <c r="P175" s="952"/>
      <c r="Q175" s="952"/>
      <c r="R175" s="1096">
        <f t="shared" si="36"/>
        <v>-32808909.84</v>
      </c>
      <c r="S175" s="855">
        <v>1291.7116363075697</v>
      </c>
      <c r="T175" s="1101">
        <f t="shared" si="37"/>
        <v>-25399.562036760861</v>
      </c>
      <c r="U175" s="956">
        <v>43798</v>
      </c>
      <c r="V175" s="1005" t="s">
        <v>1230</v>
      </c>
      <c r="W175" s="957"/>
      <c r="X175" s="1089">
        <f t="shared" si="38"/>
        <v>0.15000105385355786</v>
      </c>
      <c r="Y175" s="1090" t="e">
        <f>VLOOKUP(V175,'bic broker'!$A$1:$B$14,2,FALSE)</f>
        <v>#N/A</v>
      </c>
      <c r="Z175" s="1090" t="str">
        <f>VLOOKUP(AA175,'place of settlement'!A:C,2,FALSE)</f>
        <v>KSDCKRSEXXX</v>
      </c>
      <c r="AA175" s="1090" t="str">
        <f t="shared" si="39"/>
        <v>KR</v>
      </c>
      <c r="AB175" s="1090" t="str">
        <f t="shared" si="40"/>
        <v>SamsungKR</v>
      </c>
      <c r="AC175" s="1090" t="e">
        <f>VLOOKUP(AB175,sample!$1:$1048576,2,FALSE)</f>
        <v>#N/A</v>
      </c>
      <c r="AD175" s="1090" t="e">
        <f>VLOOKUP($AB175,sample!$1:$1048576,3,FALSE)</f>
        <v>#N/A</v>
      </c>
      <c r="AE175" s="1091" t="e">
        <f>VLOOKUP($AB175,sample!$1:$1048576,4,FALSE)</f>
        <v>#N/A</v>
      </c>
      <c r="AF175" s="1090" t="e">
        <f>VLOOKUP($AB175,sample!$1:$1048576,5,FALSE)</f>
        <v>#N/A</v>
      </c>
      <c r="AL175" s="1091" t="e">
        <f>VLOOKUP($AB175,sample!$1:$1048576,11,FALSE)</f>
        <v>#N/A</v>
      </c>
      <c r="AM175" s="1091" t="e">
        <f>VLOOKUP($AB175,sample!$1:$1048576,12,FALSE)</f>
        <v>#N/A</v>
      </c>
      <c r="AN175" s="1091" t="e">
        <f>VLOOKUP($AB175,sample!$1:$1048576,13,FALSE)</f>
        <v>#N/A</v>
      </c>
      <c r="AP175" s="1111"/>
    </row>
    <row r="176" spans="1:42" ht="14">
      <c r="A176" s="920">
        <v>201900173</v>
      </c>
      <c r="B176" s="1004">
        <v>43796</v>
      </c>
      <c r="C176" s="947" t="s">
        <v>137</v>
      </c>
      <c r="D176" s="1108" t="str">
        <f>IFERROR(VLOOKUP(G176,PosAggregate!$B$13:$B$93,1,FALSE),"")</f>
        <v/>
      </c>
      <c r="E176" s="880" t="s">
        <v>1256</v>
      </c>
      <c r="F176" s="1132" t="str">
        <f t="shared" si="29"/>
        <v/>
      </c>
      <c r="G176" s="972" t="s">
        <v>1206</v>
      </c>
      <c r="H176" s="664"/>
      <c r="I176" s="950" t="s">
        <v>1149</v>
      </c>
      <c r="J176" s="950" t="s">
        <v>123</v>
      </c>
      <c r="K176" s="855">
        <v>3667.8216000000002</v>
      </c>
      <c r="L176" s="951"/>
      <c r="M176" s="952">
        <v>482</v>
      </c>
      <c r="N176" s="1092">
        <f t="shared" si="35"/>
        <v>-1767890.0112000001</v>
      </c>
      <c r="O176" s="997">
        <v>-2652</v>
      </c>
      <c r="P176" s="952"/>
      <c r="Q176" s="952"/>
      <c r="R176" s="1096">
        <f t="shared" si="36"/>
        <v>-1770542.0112000001</v>
      </c>
      <c r="S176" s="855">
        <v>1291.7116363075697</v>
      </c>
      <c r="T176" s="1101">
        <f t="shared" si="37"/>
        <v>-1370.6944812088198</v>
      </c>
      <c r="U176" s="956">
        <v>43798</v>
      </c>
      <c r="V176" s="1005" t="s">
        <v>1230</v>
      </c>
      <c r="W176" s="957"/>
      <c r="X176" s="1089">
        <f t="shared" si="38"/>
        <v>0.15000933220952406</v>
      </c>
      <c r="Y176" s="1090" t="e">
        <f>VLOOKUP(V176,'bic broker'!$A$1:$B$14,2,FALSE)</f>
        <v>#N/A</v>
      </c>
      <c r="Z176" s="1090" t="str">
        <f>VLOOKUP(AA176,'place of settlement'!A:C,2,FALSE)</f>
        <v>KSDCKRSEXXX</v>
      </c>
      <c r="AA176" s="1090" t="str">
        <f t="shared" si="39"/>
        <v>KR</v>
      </c>
      <c r="AB176" s="1090" t="str">
        <f t="shared" si="40"/>
        <v>SamsungKR</v>
      </c>
      <c r="AC176" s="1090" t="e">
        <f>VLOOKUP(AB176,sample!$1:$1048576,2,FALSE)</f>
        <v>#N/A</v>
      </c>
      <c r="AD176" s="1090" t="e">
        <f>VLOOKUP($AB176,sample!$1:$1048576,3,FALSE)</f>
        <v>#N/A</v>
      </c>
      <c r="AE176" s="1091" t="e">
        <f>VLOOKUP($AB176,sample!$1:$1048576,4,FALSE)</f>
        <v>#N/A</v>
      </c>
      <c r="AF176" s="1090" t="e">
        <f>VLOOKUP($AB176,sample!$1:$1048576,5,FALSE)</f>
        <v>#N/A</v>
      </c>
      <c r="AL176" s="1091" t="e">
        <f>VLOOKUP($AB176,sample!$1:$1048576,11,FALSE)</f>
        <v>#N/A</v>
      </c>
      <c r="AM176" s="1091" t="e">
        <f>VLOOKUP($AB176,sample!$1:$1048576,12,FALSE)</f>
        <v>#N/A</v>
      </c>
      <c r="AN176" s="1091" t="e">
        <f>VLOOKUP($AB176,sample!$1:$1048576,13,FALSE)</f>
        <v>#N/A</v>
      </c>
      <c r="AP176" s="1111"/>
    </row>
    <row r="177" spans="1:42" ht="14">
      <c r="A177" s="920">
        <v>201900174</v>
      </c>
      <c r="B177" s="1004">
        <v>43796</v>
      </c>
      <c r="C177" s="947" t="s">
        <v>137</v>
      </c>
      <c r="D177" s="1108" t="str">
        <f>IFERROR(VLOOKUP(G177,PosAggregate!$B$13:$B$93,1,FALSE),"")</f>
        <v/>
      </c>
      <c r="E177" s="880" t="s">
        <v>1261</v>
      </c>
      <c r="F177" s="1132" t="str">
        <f t="shared" si="29"/>
        <v/>
      </c>
      <c r="G177" s="972" t="s">
        <v>1212</v>
      </c>
      <c r="H177" s="664"/>
      <c r="I177" s="950" t="s">
        <v>1099</v>
      </c>
      <c r="J177" s="950" t="s">
        <v>2</v>
      </c>
      <c r="K177" s="855">
        <v>42.64</v>
      </c>
      <c r="L177" s="951"/>
      <c r="M177" s="952">
        <v>1100</v>
      </c>
      <c r="N177" s="1092">
        <f t="shared" si="35"/>
        <v>-46904</v>
      </c>
      <c r="O177" s="997">
        <v>-23.45</v>
      </c>
      <c r="P177" s="952">
        <v>-140.71</v>
      </c>
      <c r="Q177" s="952"/>
      <c r="R177" s="1096">
        <f t="shared" si="36"/>
        <v>-47068.159999999996</v>
      </c>
      <c r="S177" s="855">
        <v>1</v>
      </c>
      <c r="T177" s="1101">
        <f t="shared" si="37"/>
        <v>-47068.159999999996</v>
      </c>
      <c r="U177" s="956">
        <v>43798</v>
      </c>
      <c r="V177" s="1005" t="s">
        <v>2112</v>
      </c>
      <c r="W177" s="957"/>
      <c r="X177" s="1089">
        <f t="shared" si="38"/>
        <v>4.9995735971345726E-2</v>
      </c>
      <c r="Y177" s="1090" t="str">
        <f>VLOOKUP(V177,'bic broker'!$A$1:$B$14,2,FALSE)</f>
        <v>JBBRFRPPXXX</v>
      </c>
      <c r="Z177" s="1090" t="str">
        <f>VLOOKUP(AA177,'place of settlement'!A:C,2,FALSE)</f>
        <v>SICVFRPPXXX</v>
      </c>
      <c r="AA177" s="1090" t="str">
        <f t="shared" si="39"/>
        <v>FR</v>
      </c>
      <c r="AB177" s="1090" t="str">
        <f t="shared" si="40"/>
        <v>keplerFR</v>
      </c>
      <c r="AC177" s="1090" t="str">
        <f>VLOOKUP(AB177,sample!$1:$1048576,2,FALSE)</f>
        <v>JBBRFRPPXXX</v>
      </c>
      <c r="AD177" s="1090" t="str">
        <f>VLOOKUP($AB177,sample!$1:$1048576,3,FALSE)</f>
        <v>SICVFRPPXXX</v>
      </c>
      <c r="AE177" s="1091" t="str">
        <f>VLOOKUP($AB177,sample!$1:$1048576,4,FALSE)</f>
        <v>SICVPAREFRPPKCH000L10</v>
      </c>
      <c r="AF177" s="1090" t="str">
        <f>VLOOKUP($AB177,sample!$1:$1048576,5,FALSE)</f>
        <v>N</v>
      </c>
      <c r="AL177" s="1091" t="str">
        <f>VLOOKUP($AB177,sample!$1:$1048576,11,FALSE)</f>
        <v xml:space="preserve">        </v>
      </c>
      <c r="AM177" s="1091" t="str">
        <f>VLOOKUP($AB177,sample!$1:$1048576,12,FALSE)</f>
        <v xml:space="preserve">        </v>
      </c>
      <c r="AN177" s="1091" t="str">
        <f>VLOOKUP($AB177,sample!$1:$1048576,13,FALSE)</f>
        <v>PAREFRPPKCH</v>
      </c>
      <c r="AP177" s="1111"/>
    </row>
    <row r="178" spans="1:42" ht="14">
      <c r="A178" s="920">
        <v>201900175</v>
      </c>
      <c r="B178" s="1004">
        <v>43796</v>
      </c>
      <c r="C178" s="947" t="s">
        <v>137</v>
      </c>
      <c r="D178" s="1108" t="str">
        <f>IFERROR(VLOOKUP(G178,PosAggregate!$B$13:$B$93,1,FALSE),"")</f>
        <v/>
      </c>
      <c r="E178" s="880" t="s">
        <v>1260</v>
      </c>
      <c r="F178" s="1132" t="str">
        <f t="shared" si="29"/>
        <v/>
      </c>
      <c r="G178" s="972" t="s">
        <v>1211</v>
      </c>
      <c r="H178" s="664"/>
      <c r="I178" s="950" t="s">
        <v>1226</v>
      </c>
      <c r="J178" s="950" t="s">
        <v>2</v>
      </c>
      <c r="K178" s="855">
        <v>37.78</v>
      </c>
      <c r="L178" s="951"/>
      <c r="M178" s="952">
        <v>1170</v>
      </c>
      <c r="N178" s="1092">
        <f t="shared" si="35"/>
        <v>-44202.6</v>
      </c>
      <c r="O178" s="997">
        <v>-22.1</v>
      </c>
      <c r="P178" s="952">
        <v>-132.61000000000001</v>
      </c>
      <c r="Q178" s="952"/>
      <c r="R178" s="1096">
        <f t="shared" si="36"/>
        <v>-44357.31</v>
      </c>
      <c r="S178" s="855">
        <v>1</v>
      </c>
      <c r="T178" s="1101">
        <f t="shared" si="37"/>
        <v>-44357.31</v>
      </c>
      <c r="U178" s="956">
        <v>43798</v>
      </c>
      <c r="V178" s="1005" t="s">
        <v>2112</v>
      </c>
      <c r="W178" s="957"/>
      <c r="X178" s="1089">
        <f t="shared" si="38"/>
        <v>4.999705899652962E-2</v>
      </c>
      <c r="Y178" s="1090" t="str">
        <f>VLOOKUP(V178,'bic broker'!$A$1:$B$14,2,FALSE)</f>
        <v>JBBRFRPPXXX</v>
      </c>
      <c r="Z178" s="1090" t="str">
        <f>VLOOKUP(AA178,'place of settlement'!A:C,2,FALSE)</f>
        <v>SICVFRPPXXX</v>
      </c>
      <c r="AA178" s="1090" t="str">
        <f t="shared" si="39"/>
        <v>FR</v>
      </c>
      <c r="AB178" s="1090" t="str">
        <f t="shared" si="40"/>
        <v>keplerFR</v>
      </c>
      <c r="AC178" s="1090" t="str">
        <f>VLOOKUP(AB178,sample!$1:$1048576,2,FALSE)</f>
        <v>JBBRFRPPXXX</v>
      </c>
      <c r="AD178" s="1090" t="str">
        <f>VLOOKUP($AB178,sample!$1:$1048576,3,FALSE)</f>
        <v>SICVFRPPXXX</v>
      </c>
      <c r="AE178" s="1091" t="str">
        <f>VLOOKUP($AB178,sample!$1:$1048576,4,FALSE)</f>
        <v>SICVPAREFRPPKCH000L10</v>
      </c>
      <c r="AF178" s="1090" t="str">
        <f>VLOOKUP($AB178,sample!$1:$1048576,5,FALSE)</f>
        <v>N</v>
      </c>
      <c r="AL178" s="1091" t="str">
        <f>VLOOKUP($AB178,sample!$1:$1048576,11,FALSE)</f>
        <v xml:space="preserve">        </v>
      </c>
      <c r="AM178" s="1091" t="str">
        <f>VLOOKUP($AB178,sample!$1:$1048576,12,FALSE)</f>
        <v xml:space="preserve">        </v>
      </c>
      <c r="AN178" s="1091" t="str">
        <f>VLOOKUP($AB178,sample!$1:$1048576,13,FALSE)</f>
        <v>PAREFRPPKCH</v>
      </c>
      <c r="AP178" s="1111"/>
    </row>
    <row r="179" spans="1:42" ht="14">
      <c r="A179" s="920">
        <v>201900176</v>
      </c>
      <c r="B179" s="1004">
        <v>43796</v>
      </c>
      <c r="C179" s="947" t="s">
        <v>137</v>
      </c>
      <c r="D179" s="1108" t="str">
        <f>IFERROR(VLOOKUP(G179,PosAggregate!$B$13:$B$93,1,FALSE),"")</f>
        <v/>
      </c>
      <c r="E179" s="880" t="s">
        <v>1702</v>
      </c>
      <c r="F179" s="1132" t="str">
        <f t="shared" si="29"/>
        <v/>
      </c>
      <c r="G179" s="972" t="s">
        <v>1715</v>
      </c>
      <c r="H179" s="664"/>
      <c r="I179" s="950" t="s">
        <v>1703</v>
      </c>
      <c r="J179" s="950" t="s">
        <v>2</v>
      </c>
      <c r="K179" s="855">
        <v>176.68700000000001</v>
      </c>
      <c r="L179" s="951"/>
      <c r="M179" s="952">
        <v>220</v>
      </c>
      <c r="N179" s="1092">
        <f t="shared" si="35"/>
        <v>-38871.14</v>
      </c>
      <c r="O179" s="997">
        <v>-19.440000000000001</v>
      </c>
      <c r="P179" s="952"/>
      <c r="Q179" s="952"/>
      <c r="R179" s="1096">
        <f t="shared" si="36"/>
        <v>-38890.58</v>
      </c>
      <c r="S179" s="855">
        <v>1</v>
      </c>
      <c r="T179" s="1101">
        <f t="shared" si="37"/>
        <v>-38890.58</v>
      </c>
      <c r="U179" s="956">
        <v>43798</v>
      </c>
      <c r="V179" s="1005" t="s">
        <v>2112</v>
      </c>
      <c r="W179" s="957"/>
      <c r="X179" s="1089">
        <f t="shared" si="38"/>
        <v>5.0011396629993356E-2</v>
      </c>
      <c r="Y179" s="1090" t="str">
        <f>VLOOKUP(V179,'bic broker'!$A$1:$B$14,2,FALSE)</f>
        <v>JBBRFRPPXXX</v>
      </c>
      <c r="Z179" s="1090" t="str">
        <f>VLOOKUP(AA179,'place of settlement'!A:C,2,FALSE)</f>
        <v>DAKVDEFFXXX</v>
      </c>
      <c r="AA179" s="1090" t="str">
        <f t="shared" si="39"/>
        <v>DE</v>
      </c>
      <c r="AB179" s="1090" t="str">
        <f t="shared" si="40"/>
        <v>keplerDE</v>
      </c>
      <c r="AC179" s="1090" t="str">
        <f>VLOOKUP(AB179,sample!$1:$1048576,2,FALSE)</f>
        <v>PAREFRPPXXX</v>
      </c>
      <c r="AD179" s="1090" t="str">
        <f>VLOOKUP($AB179,sample!$1:$1048576,3,FALSE)</f>
        <v>DAKVDEFFXXX</v>
      </c>
      <c r="AE179" s="1091" t="str">
        <f>VLOOKUP($AB179,sample!$1:$1048576,4,FALSE)</f>
        <v>DAKV 8448</v>
      </c>
      <c r="AF179" s="1090" t="str">
        <f>VLOOKUP($AB179,sample!$1:$1048576,5,FALSE)</f>
        <v>N</v>
      </c>
      <c r="AL179" s="1091" t="str">
        <f>VLOOKUP($AB179,sample!$1:$1048576,11,FALSE)</f>
        <v xml:space="preserve">        </v>
      </c>
      <c r="AM179" s="1091" t="str">
        <f>VLOOKUP($AB179,sample!$1:$1048576,12,FALSE)</f>
        <v xml:space="preserve">        </v>
      </c>
      <c r="AN179" s="1091" t="str">
        <f>VLOOKUP($AB179,sample!$1:$1048576,13,FALSE)</f>
        <v>SGABCHZZ448</v>
      </c>
      <c r="AP179" s="1111"/>
    </row>
    <row r="180" spans="1:42" ht="14">
      <c r="A180" s="920">
        <v>201900177</v>
      </c>
      <c r="B180" s="1004">
        <v>43796</v>
      </c>
      <c r="C180" s="998" t="s">
        <v>137</v>
      </c>
      <c r="D180" s="1108" t="str">
        <f>IFERROR(VLOOKUP(G180,PosAggregate!$B$13:$B$93,1,FALSE),"")</f>
        <v/>
      </c>
      <c r="E180" s="880" t="s">
        <v>1268</v>
      </c>
      <c r="F180" s="1132" t="str">
        <f t="shared" si="29"/>
        <v/>
      </c>
      <c r="G180" s="701" t="s">
        <v>1219</v>
      </c>
      <c r="I180" s="950" t="s">
        <v>132</v>
      </c>
      <c r="J180" s="950" t="s">
        <v>2</v>
      </c>
      <c r="K180" s="855">
        <v>43.7834</v>
      </c>
      <c r="L180" s="951"/>
      <c r="M180" s="952">
        <v>1170</v>
      </c>
      <c r="N180" s="1092">
        <f t="shared" si="35"/>
        <v>-51226.578000000001</v>
      </c>
      <c r="O180" s="997">
        <v>-25.31</v>
      </c>
      <c r="P180" s="952">
        <v>-153.68</v>
      </c>
      <c r="Q180" s="952"/>
      <c r="R180" s="1096">
        <f t="shared" si="36"/>
        <v>-51405.567999999999</v>
      </c>
      <c r="S180" s="855">
        <v>1</v>
      </c>
      <c r="T180" s="1101">
        <f t="shared" si="37"/>
        <v>-51405.567999999999</v>
      </c>
      <c r="U180" s="956">
        <v>43798</v>
      </c>
      <c r="V180" s="1005" t="s">
        <v>2112</v>
      </c>
      <c r="W180" s="957">
        <v>43796.44989398148</v>
      </c>
      <c r="X180" s="1089">
        <f t="shared" si="38"/>
        <v>4.9407946008027316E-2</v>
      </c>
      <c r="Y180" s="1090" t="str">
        <f>VLOOKUP(V180,'bic broker'!$A$1:$B$14,2,FALSE)</f>
        <v>JBBRFRPPXXX</v>
      </c>
      <c r="Z180" s="1090" t="str">
        <f>VLOOKUP(AA180,'place of settlement'!A:C,2,FALSE)</f>
        <v>SICVFRPPXXX</v>
      </c>
      <c r="AA180" s="1090" t="str">
        <f t="shared" si="39"/>
        <v>FR</v>
      </c>
      <c r="AB180" s="1090" t="str">
        <f t="shared" si="40"/>
        <v>keplerFR</v>
      </c>
      <c r="AC180" s="1090" t="str">
        <f>VLOOKUP(AB180,sample!$1:$1048576,2,FALSE)</f>
        <v>JBBRFRPPXXX</v>
      </c>
      <c r="AD180" s="1090" t="str">
        <f>VLOOKUP($AB180,sample!$1:$1048576,3,FALSE)</f>
        <v>SICVFRPPXXX</v>
      </c>
      <c r="AE180" s="1091" t="str">
        <f>VLOOKUP($AB180,sample!$1:$1048576,4,FALSE)</f>
        <v>SICVPAREFRPPKCH000L10</v>
      </c>
      <c r="AF180" s="1090" t="str">
        <f>VLOOKUP($AB180,sample!$1:$1048576,5,FALSE)</f>
        <v>N</v>
      </c>
      <c r="AL180" s="1091" t="str">
        <f>VLOOKUP($AB180,sample!$1:$1048576,11,FALSE)</f>
        <v xml:space="preserve">        </v>
      </c>
      <c r="AM180" s="1091" t="str">
        <f>VLOOKUP($AB180,sample!$1:$1048576,12,FALSE)</f>
        <v xml:space="preserve">        </v>
      </c>
      <c r="AN180" s="1091" t="str">
        <f>VLOOKUP($AB180,sample!$1:$1048576,13,FALSE)</f>
        <v>PAREFRPPKCH</v>
      </c>
      <c r="AP180" s="1111"/>
    </row>
    <row r="181" spans="1:42" ht="14">
      <c r="A181" s="920">
        <v>201900178</v>
      </c>
      <c r="B181" s="1004">
        <v>43797</v>
      </c>
      <c r="C181" s="998" t="s">
        <v>137</v>
      </c>
      <c r="D181" s="1108" t="str">
        <f>IFERROR(VLOOKUP(G181,PosAggregate!$B$13:$B$93,1,FALSE),"")</f>
        <v/>
      </c>
      <c r="E181" s="880" t="s">
        <v>1252</v>
      </c>
      <c r="F181" s="1132" t="str">
        <f t="shared" si="29"/>
        <v/>
      </c>
      <c r="G181" s="701" t="s">
        <v>1202</v>
      </c>
      <c r="I181" s="950" t="s">
        <v>1121</v>
      </c>
      <c r="J181" s="950" t="s">
        <v>123</v>
      </c>
      <c r="K181" s="855">
        <v>170420</v>
      </c>
      <c r="L181" s="951"/>
      <c r="M181" s="952">
        <v>300</v>
      </c>
      <c r="N181" s="1092">
        <f t="shared" si="35"/>
        <v>-51126000</v>
      </c>
      <c r="O181" s="997">
        <v>-76689</v>
      </c>
      <c r="R181" s="1096">
        <f t="shared" si="36"/>
        <v>-51202689</v>
      </c>
      <c r="S181" s="855">
        <v>1296.7276089421171</v>
      </c>
      <c r="T181" s="1101">
        <f t="shared" si="37"/>
        <v>-39486.079147934273</v>
      </c>
      <c r="U181" s="956">
        <v>43801</v>
      </c>
      <c r="V181" s="1005" t="s">
        <v>1230</v>
      </c>
      <c r="W181" s="957">
        <v>43798.527963194443</v>
      </c>
      <c r="X181" s="1089">
        <f t="shared" si="38"/>
        <v>0.15</v>
      </c>
      <c r="Y181" s="1090" t="e">
        <f>VLOOKUP(V181,'bic broker'!$A$1:$B$14,2,FALSE)</f>
        <v>#N/A</v>
      </c>
      <c r="Z181" s="1090" t="str">
        <f>VLOOKUP(AA181,'place of settlement'!A:C,2,FALSE)</f>
        <v>KSDCKRSEXXX</v>
      </c>
      <c r="AA181" s="1090" t="str">
        <f t="shared" si="39"/>
        <v>KR</v>
      </c>
      <c r="AB181" s="1090" t="str">
        <f t="shared" si="40"/>
        <v>SamsungKR</v>
      </c>
      <c r="AC181" s="1090" t="e">
        <f>VLOOKUP(AB181,sample!$1:$1048576,2,FALSE)</f>
        <v>#N/A</v>
      </c>
      <c r="AD181" s="1090" t="e">
        <f>VLOOKUP($AB181,sample!$1:$1048576,3,FALSE)</f>
        <v>#N/A</v>
      </c>
      <c r="AE181" s="1091" t="e">
        <f>VLOOKUP($AB181,sample!$1:$1048576,4,FALSE)</f>
        <v>#N/A</v>
      </c>
      <c r="AF181" s="1090" t="e">
        <f>VLOOKUP($AB181,sample!$1:$1048576,5,FALSE)</f>
        <v>#N/A</v>
      </c>
      <c r="AL181" s="1091" t="e">
        <f>VLOOKUP($AB181,sample!$1:$1048576,11,FALSE)</f>
        <v>#N/A</v>
      </c>
      <c r="AM181" s="1091" t="e">
        <f>VLOOKUP($AB181,sample!$1:$1048576,12,FALSE)</f>
        <v>#N/A</v>
      </c>
      <c r="AN181" s="1091" t="e">
        <f>VLOOKUP($AB181,sample!$1:$1048576,13,FALSE)</f>
        <v>#N/A</v>
      </c>
      <c r="AP181" s="1111"/>
    </row>
    <row r="182" spans="1:42" ht="14">
      <c r="A182" s="920">
        <v>201900179</v>
      </c>
      <c r="B182" s="1004">
        <v>43797</v>
      </c>
      <c r="C182" s="998" t="s">
        <v>137</v>
      </c>
      <c r="D182" s="1108" t="str">
        <f>IFERROR(VLOOKUP(G182,PosAggregate!$B$13:$B$93,1,FALSE),"")</f>
        <v/>
      </c>
      <c r="E182" s="880" t="s">
        <v>1254</v>
      </c>
      <c r="F182" s="1132" t="str">
        <f t="shared" si="29"/>
        <v/>
      </c>
      <c r="G182" s="701" t="s">
        <v>1204</v>
      </c>
      <c r="I182" s="950" t="s">
        <v>1123</v>
      </c>
      <c r="J182" s="950" t="s">
        <v>123</v>
      </c>
      <c r="K182" s="855">
        <v>90097</v>
      </c>
      <c r="L182" s="951"/>
      <c r="M182" s="952">
        <v>500</v>
      </c>
      <c r="N182" s="1092">
        <f t="shared" si="35"/>
        <v>-45048500</v>
      </c>
      <c r="O182" s="997">
        <v>-67573</v>
      </c>
      <c r="R182" s="1096">
        <f t="shared" si="36"/>
        <v>-45116073</v>
      </c>
      <c r="S182" s="855">
        <v>1296.7276089421148</v>
      </c>
      <c r="T182" s="1101">
        <f t="shared" si="37"/>
        <v>-34792.251424959024</v>
      </c>
      <c r="U182" s="956">
        <v>43801</v>
      </c>
      <c r="V182" s="1005" t="s">
        <v>1230</v>
      </c>
      <c r="W182" s="957">
        <v>43798.528320254627</v>
      </c>
      <c r="X182" s="1089">
        <f t="shared" si="38"/>
        <v>0.15000055495743475</v>
      </c>
      <c r="Y182" s="1090" t="e">
        <f>VLOOKUP(V182,'bic broker'!$A$1:$B$14,2,FALSE)</f>
        <v>#N/A</v>
      </c>
      <c r="Z182" s="1090" t="str">
        <f>VLOOKUP(AA182,'place of settlement'!A:C,2,FALSE)</f>
        <v>KSDCKRSEXXX</v>
      </c>
      <c r="AA182" s="1090" t="str">
        <f t="shared" si="39"/>
        <v>KR</v>
      </c>
      <c r="AB182" s="1090" t="str">
        <f t="shared" si="40"/>
        <v>SamsungKR</v>
      </c>
      <c r="AC182" s="1090" t="e">
        <f>VLOOKUP(AB182,sample!$1:$1048576,2,FALSE)</f>
        <v>#N/A</v>
      </c>
      <c r="AD182" s="1090" t="e">
        <f>VLOOKUP($AB182,sample!$1:$1048576,3,FALSE)</f>
        <v>#N/A</v>
      </c>
      <c r="AE182" s="1091" t="e">
        <f>VLOOKUP($AB182,sample!$1:$1048576,4,FALSE)</f>
        <v>#N/A</v>
      </c>
      <c r="AF182" s="1090" t="e">
        <f>VLOOKUP($AB182,sample!$1:$1048576,5,FALSE)</f>
        <v>#N/A</v>
      </c>
      <c r="AL182" s="1091" t="e">
        <f>VLOOKUP($AB182,sample!$1:$1048576,11,FALSE)</f>
        <v>#N/A</v>
      </c>
      <c r="AM182" s="1091" t="e">
        <f>VLOOKUP($AB182,sample!$1:$1048576,12,FALSE)</f>
        <v>#N/A</v>
      </c>
      <c r="AN182" s="1091" t="e">
        <f>VLOOKUP($AB182,sample!$1:$1048576,13,FALSE)</f>
        <v>#N/A</v>
      </c>
      <c r="AP182" s="1111"/>
    </row>
    <row r="183" spans="1:42" ht="14">
      <c r="A183" s="920">
        <v>201900180</v>
      </c>
      <c r="B183" s="1004">
        <v>43797</v>
      </c>
      <c r="C183" s="998" t="s">
        <v>137</v>
      </c>
      <c r="D183" s="1108" t="str">
        <f>IFERROR(VLOOKUP(G183,PosAggregate!$B$13:$B$93,1,FALSE),"")</f>
        <v/>
      </c>
      <c r="E183" s="880" t="s">
        <v>1255</v>
      </c>
      <c r="F183" s="1132" t="str">
        <f t="shared" si="29"/>
        <v/>
      </c>
      <c r="G183" s="701" t="s">
        <v>1718</v>
      </c>
      <c r="I183" s="950" t="s">
        <v>1143</v>
      </c>
      <c r="J183" s="950" t="s">
        <v>123</v>
      </c>
      <c r="K183" s="855">
        <v>112594.04760000001</v>
      </c>
      <c r="L183" s="951"/>
      <c r="M183" s="973">
        <v>420</v>
      </c>
      <c r="N183" s="1092">
        <f t="shared" si="35"/>
        <v>-47289499.991999999</v>
      </c>
      <c r="O183" s="997">
        <v>-70934</v>
      </c>
      <c r="R183" s="1096">
        <f t="shared" si="36"/>
        <v>-47360433.991999999</v>
      </c>
      <c r="S183" s="855">
        <v>1296.7276089421146</v>
      </c>
      <c r="T183" s="1101">
        <f t="shared" si="37"/>
        <v>-36523.039738960433</v>
      </c>
      <c r="U183" s="956">
        <v>43801</v>
      </c>
      <c r="V183" s="1005" t="s">
        <v>1230</v>
      </c>
      <c r="W183" s="957">
        <v>43798.5287537037</v>
      </c>
      <c r="X183" s="1089">
        <f t="shared" si="38"/>
        <v>0.14999947136679381</v>
      </c>
      <c r="Y183" s="1090" t="e">
        <f>VLOOKUP(V183,'bic broker'!$A$1:$B$14,2,FALSE)</f>
        <v>#N/A</v>
      </c>
      <c r="Z183" s="1090" t="str">
        <f>VLOOKUP(AA183,'place of settlement'!A:C,2,FALSE)</f>
        <v>KSDCKRSEXXX</v>
      </c>
      <c r="AA183" s="1090" t="str">
        <f t="shared" si="39"/>
        <v>KR</v>
      </c>
      <c r="AB183" s="1090" t="str">
        <f t="shared" si="40"/>
        <v>SamsungKR</v>
      </c>
      <c r="AC183" s="1090" t="e">
        <f>VLOOKUP(AB183,sample!$1:$1048576,2,FALSE)</f>
        <v>#N/A</v>
      </c>
      <c r="AD183" s="1090" t="e">
        <f>VLOOKUP($AB183,sample!$1:$1048576,3,FALSE)</f>
        <v>#N/A</v>
      </c>
      <c r="AE183" s="1091" t="e">
        <f>VLOOKUP($AB183,sample!$1:$1048576,4,FALSE)</f>
        <v>#N/A</v>
      </c>
      <c r="AF183" s="1090" t="e">
        <f>VLOOKUP($AB183,sample!$1:$1048576,5,FALSE)</f>
        <v>#N/A</v>
      </c>
      <c r="AL183" s="1091" t="e">
        <f>VLOOKUP($AB183,sample!$1:$1048576,11,FALSE)</f>
        <v>#N/A</v>
      </c>
      <c r="AM183" s="1091" t="e">
        <f>VLOOKUP($AB183,sample!$1:$1048576,12,FALSE)</f>
        <v>#N/A</v>
      </c>
      <c r="AN183" s="1091" t="e">
        <f>VLOOKUP($AB183,sample!$1:$1048576,13,FALSE)</f>
        <v>#N/A</v>
      </c>
      <c r="AP183" s="1111"/>
    </row>
    <row r="184" spans="1:42" ht="14">
      <c r="A184" s="920">
        <v>201900181</v>
      </c>
      <c r="B184" s="1004">
        <v>43797</v>
      </c>
      <c r="C184" s="998" t="s">
        <v>137</v>
      </c>
      <c r="D184" s="1108" t="str">
        <f>IFERROR(VLOOKUP(G184,PosAggregate!$B$13:$B$93,1,FALSE),"")</f>
        <v/>
      </c>
      <c r="E184" s="880" t="s">
        <v>1673</v>
      </c>
      <c r="F184" s="1132" t="str">
        <f t="shared" si="29"/>
        <v/>
      </c>
      <c r="G184" s="701" t="s">
        <v>1640</v>
      </c>
      <c r="I184" s="950" t="s">
        <v>1644</v>
      </c>
      <c r="J184" s="950" t="s">
        <v>123</v>
      </c>
      <c r="K184" s="855">
        <v>4608.7475999999997</v>
      </c>
      <c r="L184" s="951"/>
      <c r="M184" s="952">
        <v>4200</v>
      </c>
      <c r="N184" s="1092">
        <f t="shared" si="35"/>
        <v>-19356739.919999998</v>
      </c>
      <c r="O184" s="997">
        <v>-29035</v>
      </c>
      <c r="R184" s="1096">
        <f t="shared" si="36"/>
        <v>-19385774.919999998</v>
      </c>
      <c r="S184" s="855">
        <v>1296.7276089421143</v>
      </c>
      <c r="T184" s="1101">
        <f t="shared" si="37"/>
        <v>-14949.766463147293</v>
      </c>
      <c r="U184" s="956">
        <v>43801</v>
      </c>
      <c r="V184" s="1005" t="s">
        <v>1230</v>
      </c>
      <c r="W184" s="957">
        <v>43798.529049074074</v>
      </c>
      <c r="X184" s="1089">
        <f t="shared" si="38"/>
        <v>0.14999943234242724</v>
      </c>
      <c r="Y184" s="1090" t="e">
        <f>VLOOKUP(V184,'bic broker'!$A$1:$B$14,2,FALSE)</f>
        <v>#N/A</v>
      </c>
      <c r="Z184" s="1090" t="str">
        <f>VLOOKUP(AA184,'place of settlement'!A:C,2,FALSE)</f>
        <v>KSDCKRSEXXX</v>
      </c>
      <c r="AA184" s="1090" t="str">
        <f t="shared" si="39"/>
        <v>KR</v>
      </c>
      <c r="AB184" s="1090" t="str">
        <f t="shared" si="40"/>
        <v>SamsungKR</v>
      </c>
      <c r="AC184" s="1090" t="e">
        <f>VLOOKUP(AB184,sample!$1:$1048576,2,FALSE)</f>
        <v>#N/A</v>
      </c>
      <c r="AD184" s="1090" t="e">
        <f>VLOOKUP($AB184,sample!$1:$1048576,3,FALSE)</f>
        <v>#N/A</v>
      </c>
      <c r="AE184" s="1091" t="e">
        <f>VLOOKUP($AB184,sample!$1:$1048576,4,FALSE)</f>
        <v>#N/A</v>
      </c>
      <c r="AF184" s="1090" t="e">
        <f>VLOOKUP($AB184,sample!$1:$1048576,5,FALSE)</f>
        <v>#N/A</v>
      </c>
      <c r="AL184" s="1091" t="e">
        <f>VLOOKUP($AB184,sample!$1:$1048576,11,FALSE)</f>
        <v>#N/A</v>
      </c>
      <c r="AM184" s="1091" t="e">
        <f>VLOOKUP($AB184,sample!$1:$1048576,12,FALSE)</f>
        <v>#N/A</v>
      </c>
      <c r="AN184" s="1091" t="e">
        <f>VLOOKUP($AB184,sample!$1:$1048576,13,FALSE)</f>
        <v>#N/A</v>
      </c>
      <c r="AP184" s="1111"/>
    </row>
    <row r="185" spans="1:42" ht="14">
      <c r="A185" s="920">
        <v>201900182</v>
      </c>
      <c r="B185" s="1004">
        <v>43797</v>
      </c>
      <c r="C185" s="998" t="s">
        <v>137</v>
      </c>
      <c r="D185" s="1108" t="str">
        <f>IFERROR(VLOOKUP(G185,PosAggregate!$B$13:$B$93,1,FALSE),"")</f>
        <v/>
      </c>
      <c r="E185" s="880" t="s">
        <v>1256</v>
      </c>
      <c r="F185" s="1132" t="str">
        <f t="shared" si="29"/>
        <v/>
      </c>
      <c r="G185" s="701" t="s">
        <v>1206</v>
      </c>
      <c r="I185" s="950" t="s">
        <v>1149</v>
      </c>
      <c r="J185" s="950" t="s">
        <v>123</v>
      </c>
      <c r="K185" s="855">
        <v>3642.1055999999999</v>
      </c>
      <c r="L185" s="951"/>
      <c r="M185" s="952">
        <v>729</v>
      </c>
      <c r="N185" s="1092">
        <f t="shared" si="35"/>
        <v>-2655094.9824000001</v>
      </c>
      <c r="O185" s="997">
        <v>-3983</v>
      </c>
      <c r="R185" s="1096">
        <f t="shared" si="36"/>
        <v>-2659077.9824000001</v>
      </c>
      <c r="S185" s="855">
        <v>1296.7276089421123</v>
      </c>
      <c r="T185" s="1101">
        <f t="shared" si="37"/>
        <v>-2050.6064373606664</v>
      </c>
      <c r="U185" s="956">
        <v>43801</v>
      </c>
      <c r="V185" s="1005" t="s">
        <v>1230</v>
      </c>
      <c r="W185" s="957">
        <v>43798.529292129628</v>
      </c>
      <c r="X185" s="1089">
        <f t="shared" si="38"/>
        <v>0.1500134656726923</v>
      </c>
      <c r="Y185" s="1090" t="e">
        <f>VLOOKUP(V185,'bic broker'!$A$1:$B$14,2,FALSE)</f>
        <v>#N/A</v>
      </c>
      <c r="Z185" s="1090" t="str">
        <f>VLOOKUP(AA185,'place of settlement'!A:C,2,FALSE)</f>
        <v>KSDCKRSEXXX</v>
      </c>
      <c r="AA185" s="1090" t="str">
        <f t="shared" si="39"/>
        <v>KR</v>
      </c>
      <c r="AB185" s="1090" t="str">
        <f t="shared" si="40"/>
        <v>SamsungKR</v>
      </c>
      <c r="AC185" s="1090" t="e">
        <f>VLOOKUP(AB185,sample!$1:$1048576,2,FALSE)</f>
        <v>#N/A</v>
      </c>
      <c r="AD185" s="1090" t="e">
        <f>VLOOKUP($AB185,sample!$1:$1048576,3,FALSE)</f>
        <v>#N/A</v>
      </c>
      <c r="AE185" s="1091" t="e">
        <f>VLOOKUP($AB185,sample!$1:$1048576,4,FALSE)</f>
        <v>#N/A</v>
      </c>
      <c r="AF185" s="1090" t="e">
        <f>VLOOKUP($AB185,sample!$1:$1048576,5,FALSE)</f>
        <v>#N/A</v>
      </c>
      <c r="AL185" s="1091" t="e">
        <f>VLOOKUP($AB185,sample!$1:$1048576,11,FALSE)</f>
        <v>#N/A</v>
      </c>
      <c r="AM185" s="1091" t="e">
        <f>VLOOKUP($AB185,sample!$1:$1048576,12,FALSE)</f>
        <v>#N/A</v>
      </c>
      <c r="AN185" s="1091" t="e">
        <f>VLOOKUP($AB185,sample!$1:$1048576,13,FALSE)</f>
        <v>#N/A</v>
      </c>
      <c r="AP185" s="1111"/>
    </row>
    <row r="186" spans="1:42" ht="14">
      <c r="A186" s="920">
        <v>201900183</v>
      </c>
      <c r="B186" s="1004">
        <v>43812</v>
      </c>
      <c r="C186" s="998" t="s">
        <v>137</v>
      </c>
      <c r="D186" s="1108" t="str">
        <f>IFERROR(VLOOKUP(G186,PosAggregate!$B$13:$B$93,1,FALSE),"")</f>
        <v/>
      </c>
      <c r="E186" s="880" t="s">
        <v>1709</v>
      </c>
      <c r="F186" s="1132" t="str">
        <f t="shared" si="29"/>
        <v/>
      </c>
      <c r="G186" s="701" t="s">
        <v>1701</v>
      </c>
      <c r="I186" s="950" t="s">
        <v>1706</v>
      </c>
      <c r="J186" s="950" t="s">
        <v>1104</v>
      </c>
      <c r="K186" s="855">
        <v>0.26663999999999999</v>
      </c>
      <c r="L186" s="951"/>
      <c r="M186" s="952">
        <v>230000</v>
      </c>
      <c r="N186" s="1092">
        <f t="shared" si="35"/>
        <v>-61327.199999999997</v>
      </c>
      <c r="O186" s="997">
        <v>-49.06</v>
      </c>
      <c r="R186" s="1096">
        <f t="shared" si="36"/>
        <v>-61376.259999999995</v>
      </c>
      <c r="S186" s="855">
        <v>1.6188642711683332</v>
      </c>
      <c r="T186" s="1101">
        <f t="shared" si="37"/>
        <v>-37913.15991902446</v>
      </c>
      <c r="U186" s="956">
        <v>43816</v>
      </c>
      <c r="V186" s="1005" t="s">
        <v>1695</v>
      </c>
      <c r="W186" s="957">
        <v>43811.648815740744</v>
      </c>
      <c r="X186" s="1089">
        <f t="shared" si="38"/>
        <v>7.9997130147797399E-2</v>
      </c>
      <c r="Y186" s="1090" t="str">
        <f>VLOOKUP(V186,'bic broker'!$A$1:$B$14,2,FALSE)</f>
        <v>TAVSGB21XXX</v>
      </c>
      <c r="Z186" s="1090" t="str">
        <f>VLOOKUP(AA186,'place of settlement'!A:C,2,FALSE)</f>
        <v>CAETAU21XXX</v>
      </c>
      <c r="AA186" s="1090" t="str">
        <f t="shared" si="39"/>
        <v>AU</v>
      </c>
      <c r="AB186" s="1090" t="str">
        <f t="shared" si="40"/>
        <v>TaviraAU</v>
      </c>
      <c r="AC186" s="1090" t="e">
        <f>VLOOKUP(AB186,sample!$1:$1048576,2,FALSE)</f>
        <v>#N/A</v>
      </c>
      <c r="AD186" s="1090" t="e">
        <f>VLOOKUP($AB186,sample!$1:$1048576,3,FALSE)</f>
        <v>#N/A</v>
      </c>
      <c r="AE186" s="1091" t="e">
        <f>VLOOKUP($AB186,sample!$1:$1048576,4,FALSE)</f>
        <v>#N/A</v>
      </c>
      <c r="AF186" s="1090" t="e">
        <f>VLOOKUP($AB186,sample!$1:$1048576,5,FALSE)</f>
        <v>#N/A</v>
      </c>
      <c r="AL186" s="1091" t="e">
        <f>VLOOKUP($AB186,sample!$1:$1048576,11,FALSE)</f>
        <v>#N/A</v>
      </c>
      <c r="AM186" s="1091" t="e">
        <f>VLOOKUP($AB186,sample!$1:$1048576,12,FALSE)</f>
        <v>#N/A</v>
      </c>
      <c r="AN186" s="1091" t="e">
        <f>VLOOKUP($AB186,sample!$1:$1048576,13,FALSE)</f>
        <v>#N/A</v>
      </c>
      <c r="AP186" s="1111"/>
    </row>
    <row r="187" spans="1:42" ht="14">
      <c r="A187" s="920">
        <v>201900184</v>
      </c>
      <c r="B187" s="1004">
        <v>43812</v>
      </c>
      <c r="C187" s="998" t="s">
        <v>137</v>
      </c>
      <c r="D187" s="1108" t="str">
        <f>IFERROR(VLOOKUP(G187,PosAggregate!$B$13:$B$93,1,FALSE),"")</f>
        <v/>
      </c>
      <c r="E187" s="880" t="s">
        <v>1254</v>
      </c>
      <c r="F187" s="1132" t="str">
        <f t="shared" si="29"/>
        <v/>
      </c>
      <c r="G187" s="701" t="s">
        <v>1720</v>
      </c>
      <c r="I187" s="950" t="s">
        <v>1123</v>
      </c>
      <c r="J187" s="950" t="s">
        <v>123</v>
      </c>
      <c r="K187" s="855">
        <v>91435.6</v>
      </c>
      <c r="L187" s="951"/>
      <c r="M187" s="952">
        <v>750</v>
      </c>
      <c r="N187" s="1092">
        <f t="shared" si="35"/>
        <v>-68576700</v>
      </c>
      <c r="O187" s="997">
        <v>-102865</v>
      </c>
      <c r="R187" s="1096">
        <f t="shared" si="36"/>
        <v>-68679565</v>
      </c>
      <c r="S187" s="855">
        <v>1322.6912077273173</v>
      </c>
      <c r="T187" s="1101">
        <f t="shared" si="37"/>
        <v>-51924.110932896445</v>
      </c>
      <c r="U187" s="956">
        <v>43816</v>
      </c>
      <c r="V187" s="1005" t="s">
        <v>1230</v>
      </c>
      <c r="W187" s="957">
        <v>43811.657576967591</v>
      </c>
      <c r="X187" s="1089">
        <f t="shared" si="38"/>
        <v>0.14999992708893836</v>
      </c>
      <c r="Y187" s="1090" t="e">
        <f>VLOOKUP(V187,'bic broker'!$A$1:$B$14,2,FALSE)</f>
        <v>#N/A</v>
      </c>
      <c r="Z187" s="1090" t="str">
        <f>VLOOKUP(AA187,'place of settlement'!A:C,2,FALSE)</f>
        <v>KSDCKRSEXXX</v>
      </c>
      <c r="AA187" s="1090" t="str">
        <f t="shared" si="39"/>
        <v>KR</v>
      </c>
      <c r="AB187" s="1090" t="str">
        <f t="shared" si="40"/>
        <v>SamsungKR</v>
      </c>
      <c r="AC187" s="1090" t="e">
        <f>VLOOKUP(AB187,sample!$1:$1048576,2,FALSE)</f>
        <v>#N/A</v>
      </c>
      <c r="AD187" s="1090" t="e">
        <f>VLOOKUP($AB187,sample!$1:$1048576,3,FALSE)</f>
        <v>#N/A</v>
      </c>
      <c r="AE187" s="1091" t="e">
        <f>VLOOKUP($AB187,sample!$1:$1048576,4,FALSE)</f>
        <v>#N/A</v>
      </c>
      <c r="AF187" s="1090" t="e">
        <f>VLOOKUP($AB187,sample!$1:$1048576,5,FALSE)</f>
        <v>#N/A</v>
      </c>
      <c r="AL187" s="1091" t="e">
        <f>VLOOKUP($AB187,sample!$1:$1048576,11,FALSE)</f>
        <v>#N/A</v>
      </c>
      <c r="AM187" s="1091" t="e">
        <f>VLOOKUP($AB187,sample!$1:$1048576,12,FALSE)</f>
        <v>#N/A</v>
      </c>
      <c r="AN187" s="1091" t="e">
        <f>VLOOKUP($AB187,sample!$1:$1048576,13,FALSE)</f>
        <v>#N/A</v>
      </c>
      <c r="AP187" s="1111"/>
    </row>
    <row r="188" spans="1:42" ht="14">
      <c r="A188" s="920">
        <v>201900185</v>
      </c>
      <c r="B188" s="1004">
        <v>43812</v>
      </c>
      <c r="C188" s="998" t="s">
        <v>137</v>
      </c>
      <c r="D188" s="1108" t="str">
        <f>IFERROR(VLOOKUP(G188,PosAggregate!$B$13:$B$93,1,FALSE),"")</f>
        <v/>
      </c>
      <c r="E188" s="880" t="s">
        <v>1723</v>
      </c>
      <c r="F188" s="1132" t="str">
        <f t="shared" si="29"/>
        <v/>
      </c>
      <c r="G188" s="701" t="s">
        <v>1714</v>
      </c>
      <c r="I188" s="950" t="s">
        <v>1724</v>
      </c>
      <c r="J188" s="950" t="s">
        <v>1104</v>
      </c>
      <c r="K188" s="855">
        <v>3.0557699999999999</v>
      </c>
      <c r="L188" s="951"/>
      <c r="M188" s="952">
        <v>23500</v>
      </c>
      <c r="N188" s="1092">
        <f t="shared" si="35"/>
        <v>-71810.595000000001</v>
      </c>
      <c r="O188" s="997">
        <v>-57.45</v>
      </c>
      <c r="R188" s="1096">
        <f t="shared" si="36"/>
        <v>-71868.044999999998</v>
      </c>
      <c r="S188" s="855">
        <v>1.6188642711683294</v>
      </c>
      <c r="T188" s="1101">
        <f t="shared" si="37"/>
        <v>-44394.113997051187</v>
      </c>
      <c r="U188" s="956">
        <v>43816</v>
      </c>
      <c r="V188" s="1005" t="s">
        <v>1695</v>
      </c>
      <c r="W188" s="957">
        <v>43811.661746180558</v>
      </c>
      <c r="X188" s="1089">
        <f t="shared" si="38"/>
        <v>8.0002122249509283E-2</v>
      </c>
      <c r="Y188" s="1090" t="str">
        <f>VLOOKUP(V188,'bic broker'!$A$1:$B$14,2,FALSE)</f>
        <v>TAVSGB21XXX</v>
      </c>
      <c r="Z188" s="1090" t="str">
        <f>VLOOKUP(AA188,'place of settlement'!A:C,2,FALSE)</f>
        <v>CAETAU21XXX</v>
      </c>
      <c r="AA188" s="1090" t="str">
        <f t="shared" si="39"/>
        <v>AU</v>
      </c>
      <c r="AB188" s="1090" t="str">
        <f t="shared" si="40"/>
        <v>TaviraAU</v>
      </c>
      <c r="AC188" s="1090" t="e">
        <f>VLOOKUP(AB188,sample!$1:$1048576,2,FALSE)</f>
        <v>#N/A</v>
      </c>
      <c r="AD188" s="1090" t="e">
        <f>VLOOKUP($AB188,sample!$1:$1048576,3,FALSE)</f>
        <v>#N/A</v>
      </c>
      <c r="AE188" s="1091" t="e">
        <f>VLOOKUP($AB188,sample!$1:$1048576,4,FALSE)</f>
        <v>#N/A</v>
      </c>
      <c r="AF188" s="1090" t="e">
        <f>VLOOKUP($AB188,sample!$1:$1048576,5,FALSE)</f>
        <v>#N/A</v>
      </c>
      <c r="AL188" s="1091" t="e">
        <f>VLOOKUP($AB188,sample!$1:$1048576,11,FALSE)</f>
        <v>#N/A</v>
      </c>
      <c r="AM188" s="1091" t="e">
        <f>VLOOKUP($AB188,sample!$1:$1048576,12,FALSE)</f>
        <v>#N/A</v>
      </c>
      <c r="AN188" s="1091" t="e">
        <f>VLOOKUP($AB188,sample!$1:$1048576,13,FALSE)</f>
        <v>#N/A</v>
      </c>
      <c r="AP188" s="1111"/>
    </row>
    <row r="189" spans="1:42" ht="14">
      <c r="A189" s="920">
        <v>201900186</v>
      </c>
      <c r="B189" s="1004">
        <v>43833</v>
      </c>
      <c r="C189" s="998" t="s">
        <v>137</v>
      </c>
      <c r="D189" s="1108" t="str">
        <f>IFERROR(VLOOKUP(G189,PosAggregate!$B$13:$B$93,1,FALSE),"")</f>
        <v/>
      </c>
      <c r="E189" s="880" t="s">
        <v>1723</v>
      </c>
      <c r="F189" s="1132" t="str">
        <f t="shared" si="29"/>
        <v/>
      </c>
      <c r="G189" s="701" t="s">
        <v>1714</v>
      </c>
      <c r="I189" s="950" t="s">
        <v>1724</v>
      </c>
      <c r="J189" s="950" t="s">
        <v>1104</v>
      </c>
      <c r="K189" s="855">
        <v>3.04392</v>
      </c>
      <c r="L189" s="951"/>
      <c r="M189" s="952">
        <v>40000</v>
      </c>
      <c r="N189" s="1092">
        <f t="shared" ref="N189:N220" si="41">-K189*M189</f>
        <v>-121756.8</v>
      </c>
      <c r="O189" s="997">
        <v>-36.53</v>
      </c>
      <c r="R189" s="1096">
        <f t="shared" ref="R189:R220" si="42">SUM(N189:Q189)</f>
        <v>-121793.33</v>
      </c>
      <c r="S189" s="855">
        <v>1.5975494921866287</v>
      </c>
      <c r="T189" s="1101">
        <f t="shared" ref="T189:T220" si="43">+R189/S189</f>
        <v>-76237.594262758459</v>
      </c>
      <c r="U189" s="956">
        <v>43837</v>
      </c>
      <c r="V189" s="948" t="s">
        <v>1695</v>
      </c>
      <c r="W189" s="957">
        <v>43832.973064583333</v>
      </c>
      <c r="X189" s="1089">
        <f t="shared" ref="X189:X220" si="44">+O189/N189*100</f>
        <v>3.000243107571815E-2</v>
      </c>
      <c r="Y189" s="1090" t="str">
        <f>VLOOKUP(V189,'bic broker'!$A$1:$B$14,2,FALSE)</f>
        <v>TAVSGB21XXX</v>
      </c>
      <c r="Z189" s="1090" t="str">
        <f>VLOOKUP(AA189,'place of settlement'!A:C,2,FALSE)</f>
        <v>CAETAU21XXX</v>
      </c>
      <c r="AA189" s="1090" t="str">
        <f t="shared" ref="AA189:AA220" si="45">LEFT(E189,2)</f>
        <v>AU</v>
      </c>
      <c r="AB189" s="1090" t="str">
        <f t="shared" ref="AB189:AB220" si="46">CONCATENATE(V189,AA189)</f>
        <v>TaviraAU</v>
      </c>
      <c r="AC189" s="1090" t="e">
        <f>VLOOKUP(AB189,sample!$1:$1048576,2,FALSE)</f>
        <v>#N/A</v>
      </c>
      <c r="AD189" s="1090" t="e">
        <f>VLOOKUP($AB189,sample!$1:$1048576,3,FALSE)</f>
        <v>#N/A</v>
      </c>
      <c r="AE189" s="1091" t="e">
        <f>VLOOKUP($AB189,sample!$1:$1048576,4,FALSE)</f>
        <v>#N/A</v>
      </c>
      <c r="AF189" s="1090" t="e">
        <f>VLOOKUP($AB189,sample!$1:$1048576,5,FALSE)</f>
        <v>#N/A</v>
      </c>
      <c r="AL189" s="1091" t="e">
        <f>VLOOKUP($AB189,sample!$1:$1048576,11,FALSE)</f>
        <v>#N/A</v>
      </c>
      <c r="AM189" s="1091" t="e">
        <f>VLOOKUP($AB189,sample!$1:$1048576,12,FALSE)</f>
        <v>#N/A</v>
      </c>
      <c r="AN189" s="1091" t="e">
        <f>VLOOKUP($AB189,sample!$1:$1048576,13,FALSE)</f>
        <v>#N/A</v>
      </c>
      <c r="AP189" s="1111"/>
    </row>
    <row r="190" spans="1:42" ht="14">
      <c r="A190" s="920">
        <v>201900187</v>
      </c>
      <c r="B190" s="1004">
        <v>43833</v>
      </c>
      <c r="C190" s="998" t="s">
        <v>137</v>
      </c>
      <c r="D190" s="1108" t="str">
        <f>IFERROR(VLOOKUP(G190,PosAggregate!$B$13:$B$93,1,FALSE),"")</f>
        <v/>
      </c>
      <c r="E190" s="880" t="s">
        <v>1677</v>
      </c>
      <c r="F190" s="1132" t="str">
        <f t="shared" si="29"/>
        <v/>
      </c>
      <c r="G190" s="701" t="s">
        <v>1667</v>
      </c>
      <c r="I190" s="999" t="s">
        <v>1668</v>
      </c>
      <c r="J190" s="950" t="s">
        <v>1100</v>
      </c>
      <c r="K190" s="855">
        <v>4.4669717999999996</v>
      </c>
      <c r="L190" s="951"/>
      <c r="M190" s="952">
        <v>142000</v>
      </c>
      <c r="N190" s="1092">
        <f t="shared" si="41"/>
        <v>-634309.99559999991</v>
      </c>
      <c r="O190" s="997">
        <v>-951.47</v>
      </c>
      <c r="R190" s="1096">
        <f t="shared" si="42"/>
        <v>-635261.46559999988</v>
      </c>
      <c r="S190" s="855">
        <v>8.6994839487970061</v>
      </c>
      <c r="T190" s="1101">
        <f t="shared" si="43"/>
        <v>-73022.890706964972</v>
      </c>
      <c r="U190" s="956">
        <v>43837</v>
      </c>
      <c r="V190" s="948" t="s">
        <v>1669</v>
      </c>
      <c r="W190" s="957">
        <v>43833.408938078705</v>
      </c>
      <c r="X190" s="1089">
        <f t="shared" si="44"/>
        <v>0.15000078929861344</v>
      </c>
      <c r="Y190" s="1090" t="str">
        <f>VLOOKUP(V190,'bic broker'!$A$1:$B$14,2,FALSE)</f>
        <v>DBSVHKH1XXX</v>
      </c>
      <c r="Z190" s="1090" t="str">
        <f>VLOOKUP(AA190,'place of settlement'!A:C,2,FALSE)</f>
        <v>XHKCHKH1XXX</v>
      </c>
      <c r="AA190" s="1090" t="str">
        <f t="shared" si="45"/>
        <v>CN</v>
      </c>
      <c r="AB190" s="1090" t="str">
        <f t="shared" si="46"/>
        <v>DBSCN</v>
      </c>
      <c r="AC190" s="1090" t="e">
        <f>VLOOKUP(AB190,sample!$1:$1048576,2,FALSE)</f>
        <v>#N/A</v>
      </c>
      <c r="AD190" s="1090" t="e">
        <f>VLOOKUP($AB190,sample!$1:$1048576,3,FALSE)</f>
        <v>#N/A</v>
      </c>
      <c r="AE190" s="1091" t="e">
        <f>VLOOKUP($AB190,sample!$1:$1048576,4,FALSE)</f>
        <v>#N/A</v>
      </c>
      <c r="AF190" s="1090" t="e">
        <f>VLOOKUP($AB190,sample!$1:$1048576,5,FALSE)</f>
        <v>#N/A</v>
      </c>
      <c r="AL190" s="1091" t="e">
        <f>VLOOKUP($AB190,sample!$1:$1048576,11,FALSE)</f>
        <v>#N/A</v>
      </c>
      <c r="AM190" s="1091" t="e">
        <f>VLOOKUP($AB190,sample!$1:$1048576,12,FALSE)</f>
        <v>#N/A</v>
      </c>
      <c r="AN190" s="1091" t="e">
        <f>VLOOKUP($AB190,sample!$1:$1048576,13,FALSE)</f>
        <v>#N/A</v>
      </c>
      <c r="AP190" s="1111"/>
    </row>
    <row r="191" spans="1:42" ht="14">
      <c r="A191" s="920">
        <v>201900188</v>
      </c>
      <c r="B191" s="1004">
        <v>43833</v>
      </c>
      <c r="C191" s="998" t="s">
        <v>137</v>
      </c>
      <c r="D191" s="1108" t="str">
        <f>IFERROR(VLOOKUP(G191,PosAggregate!$B$13:$B$93,1,FALSE),"")</f>
        <v/>
      </c>
      <c r="E191" s="880" t="s">
        <v>1254</v>
      </c>
      <c r="F191" s="1132" t="str">
        <f t="shared" si="29"/>
        <v/>
      </c>
      <c r="G191" s="701" t="s">
        <v>1204</v>
      </c>
      <c r="I191" s="950" t="s">
        <v>1123</v>
      </c>
      <c r="J191" s="950" t="s">
        <v>123</v>
      </c>
      <c r="K191" s="855">
        <v>92826.59</v>
      </c>
      <c r="L191" s="951"/>
      <c r="M191" s="952">
        <v>1700</v>
      </c>
      <c r="N191" s="1092">
        <f t="shared" si="41"/>
        <v>-157805203</v>
      </c>
      <c r="O191" s="997">
        <v>-236708</v>
      </c>
      <c r="R191" s="1096">
        <f t="shared" si="42"/>
        <v>-158041911</v>
      </c>
      <c r="S191" s="855">
        <v>1292.7529432790479</v>
      </c>
      <c r="T191" s="1101">
        <f t="shared" si="43"/>
        <v>-122252.21518284007</v>
      </c>
      <c r="U191" s="956">
        <v>43837</v>
      </c>
      <c r="V191" s="948" t="s">
        <v>1230</v>
      </c>
      <c r="W191" s="957">
        <v>43833.41056689815</v>
      </c>
      <c r="X191" s="1089">
        <f t="shared" si="44"/>
        <v>0.15000012388691647</v>
      </c>
      <c r="Y191" s="1090" t="e">
        <f>VLOOKUP(V191,'bic broker'!$A$1:$B$14,2,FALSE)</f>
        <v>#N/A</v>
      </c>
      <c r="Z191" s="1090" t="str">
        <f>VLOOKUP(AA191,'place of settlement'!A:C,2,FALSE)</f>
        <v>KSDCKRSEXXX</v>
      </c>
      <c r="AA191" s="1090" t="str">
        <f t="shared" si="45"/>
        <v>KR</v>
      </c>
      <c r="AB191" s="1090" t="str">
        <f t="shared" si="46"/>
        <v>SamsungKR</v>
      </c>
      <c r="AC191" s="1090" t="e">
        <f>VLOOKUP(AB191,sample!$1:$1048576,2,FALSE)</f>
        <v>#N/A</v>
      </c>
      <c r="AD191" s="1090" t="e">
        <f>VLOOKUP($AB191,sample!$1:$1048576,3,FALSE)</f>
        <v>#N/A</v>
      </c>
      <c r="AE191" s="1091" t="e">
        <f>VLOOKUP($AB191,sample!$1:$1048576,4,FALSE)</f>
        <v>#N/A</v>
      </c>
      <c r="AF191" s="1090" t="e">
        <f>VLOOKUP($AB191,sample!$1:$1048576,5,FALSE)</f>
        <v>#N/A</v>
      </c>
      <c r="AL191" s="1091" t="e">
        <f>VLOOKUP($AB191,sample!$1:$1048576,11,FALSE)</f>
        <v>#N/A</v>
      </c>
      <c r="AM191" s="1091" t="e">
        <f>VLOOKUP($AB191,sample!$1:$1048576,12,FALSE)</f>
        <v>#N/A</v>
      </c>
      <c r="AN191" s="1091" t="e">
        <f>VLOOKUP($AB191,sample!$1:$1048576,13,FALSE)</f>
        <v>#N/A</v>
      </c>
      <c r="AP191" s="1111"/>
    </row>
    <row r="192" spans="1:42" ht="14">
      <c r="A192" s="920">
        <v>201900189</v>
      </c>
      <c r="B192" s="1004">
        <v>43833</v>
      </c>
      <c r="C192" s="998" t="s">
        <v>137</v>
      </c>
      <c r="D192" s="1108" t="str">
        <f>IFERROR(VLOOKUP(G192,PosAggregate!$B$13:$B$93,1,FALSE),"")</f>
        <v/>
      </c>
      <c r="E192" s="880" t="s">
        <v>1255</v>
      </c>
      <c r="F192" s="1132" t="str">
        <f t="shared" si="29"/>
        <v/>
      </c>
      <c r="G192" s="701" t="s">
        <v>1205</v>
      </c>
      <c r="I192" s="950" t="s">
        <v>1143</v>
      </c>
      <c r="J192" s="950" t="s">
        <v>123</v>
      </c>
      <c r="K192" s="855">
        <v>111414.29</v>
      </c>
      <c r="L192" s="951"/>
      <c r="M192" s="973">
        <v>420</v>
      </c>
      <c r="N192" s="1092">
        <f t="shared" si="41"/>
        <v>-46794001.799999997</v>
      </c>
      <c r="O192" s="997">
        <v>-70191</v>
      </c>
      <c r="R192" s="1096">
        <f t="shared" si="42"/>
        <v>-46864192.799999997</v>
      </c>
      <c r="S192" s="855">
        <v>1292.7529432790473</v>
      </c>
      <c r="T192" s="1101">
        <f t="shared" si="43"/>
        <v>-36251.468653499811</v>
      </c>
      <c r="U192" s="956">
        <v>43837</v>
      </c>
      <c r="V192" s="948" t="s">
        <v>1230</v>
      </c>
      <c r="W192" s="957">
        <v>43833.410884375</v>
      </c>
      <c r="X192" s="1089">
        <f t="shared" si="44"/>
        <v>0.14999999423002972</v>
      </c>
      <c r="Y192" s="1090" t="e">
        <f>VLOOKUP(V192,'bic broker'!$A$1:$B$14,2,FALSE)</f>
        <v>#N/A</v>
      </c>
      <c r="Z192" s="1090" t="str">
        <f>VLOOKUP(AA192,'place of settlement'!A:C,2,FALSE)</f>
        <v>KSDCKRSEXXX</v>
      </c>
      <c r="AA192" s="1090" t="str">
        <f t="shared" si="45"/>
        <v>KR</v>
      </c>
      <c r="AB192" s="1090" t="str">
        <f t="shared" si="46"/>
        <v>SamsungKR</v>
      </c>
      <c r="AC192" s="1090" t="e">
        <f>VLOOKUP(AB192,sample!$1:$1048576,2,FALSE)</f>
        <v>#N/A</v>
      </c>
      <c r="AD192" s="1090" t="e">
        <f>VLOOKUP($AB192,sample!$1:$1048576,3,FALSE)</f>
        <v>#N/A</v>
      </c>
      <c r="AE192" s="1091" t="e">
        <f>VLOOKUP($AB192,sample!$1:$1048576,4,FALSE)</f>
        <v>#N/A</v>
      </c>
      <c r="AF192" s="1090" t="e">
        <f>VLOOKUP($AB192,sample!$1:$1048576,5,FALSE)</f>
        <v>#N/A</v>
      </c>
      <c r="AL192" s="1091" t="e">
        <f>VLOOKUP($AB192,sample!$1:$1048576,11,FALSE)</f>
        <v>#N/A</v>
      </c>
      <c r="AM192" s="1091" t="e">
        <f>VLOOKUP($AB192,sample!$1:$1048576,12,FALSE)</f>
        <v>#N/A</v>
      </c>
      <c r="AN192" s="1091" t="e">
        <f>VLOOKUP($AB192,sample!$1:$1048576,13,FALSE)</f>
        <v>#N/A</v>
      </c>
      <c r="AP192" s="1111"/>
    </row>
    <row r="193" spans="1:42" ht="14">
      <c r="A193" s="920">
        <v>201900190</v>
      </c>
      <c r="B193" s="1004">
        <v>43833</v>
      </c>
      <c r="C193" s="998" t="s">
        <v>137</v>
      </c>
      <c r="D193" s="1108" t="str">
        <f>IFERROR(VLOOKUP(G193,PosAggregate!$B$13:$B$93,1,FALSE),"")</f>
        <v/>
      </c>
      <c r="E193" s="880" t="s">
        <v>1256</v>
      </c>
      <c r="F193" s="1132" t="str">
        <f t="shared" si="29"/>
        <v/>
      </c>
      <c r="G193" s="701" t="s">
        <v>1206</v>
      </c>
      <c r="I193" s="950" t="s">
        <v>1149</v>
      </c>
      <c r="J193" s="950" t="s">
        <v>123</v>
      </c>
      <c r="K193" s="855">
        <v>3569.5182</v>
      </c>
      <c r="L193" s="951"/>
      <c r="M193" s="952">
        <v>11000</v>
      </c>
      <c r="N193" s="1092">
        <f t="shared" si="41"/>
        <v>-39264700.200000003</v>
      </c>
      <c r="O193" s="997">
        <v>-58897</v>
      </c>
      <c r="R193" s="1096">
        <f t="shared" si="42"/>
        <v>-39323597.200000003</v>
      </c>
      <c r="S193" s="855">
        <v>1292.7529432790461</v>
      </c>
      <c r="T193" s="1101">
        <f t="shared" si="43"/>
        <v>-30418.493652976227</v>
      </c>
      <c r="U193" s="956">
        <v>43837</v>
      </c>
      <c r="V193" s="948" t="s">
        <v>1230</v>
      </c>
      <c r="W193" s="957">
        <v>43833.411221064816</v>
      </c>
      <c r="X193" s="1089">
        <f t="shared" si="44"/>
        <v>0.14999987189511255</v>
      </c>
      <c r="Y193" s="1090" t="e">
        <f>VLOOKUP(V193,'bic broker'!$A$1:$B$14,2,FALSE)</f>
        <v>#N/A</v>
      </c>
      <c r="Z193" s="1090" t="str">
        <f>VLOOKUP(AA193,'place of settlement'!A:C,2,FALSE)</f>
        <v>KSDCKRSEXXX</v>
      </c>
      <c r="AA193" s="1090" t="str">
        <f t="shared" si="45"/>
        <v>KR</v>
      </c>
      <c r="AB193" s="1090" t="str">
        <f t="shared" si="46"/>
        <v>SamsungKR</v>
      </c>
      <c r="AC193" s="1090" t="e">
        <f>VLOOKUP(AB193,sample!$1:$1048576,2,FALSE)</f>
        <v>#N/A</v>
      </c>
      <c r="AD193" s="1090" t="e">
        <f>VLOOKUP($AB193,sample!$1:$1048576,3,FALSE)</f>
        <v>#N/A</v>
      </c>
      <c r="AE193" s="1091" t="e">
        <f>VLOOKUP($AB193,sample!$1:$1048576,4,FALSE)</f>
        <v>#N/A</v>
      </c>
      <c r="AF193" s="1090" t="e">
        <f>VLOOKUP($AB193,sample!$1:$1048576,5,FALSE)</f>
        <v>#N/A</v>
      </c>
      <c r="AL193" s="1091" t="e">
        <f>VLOOKUP($AB193,sample!$1:$1048576,11,FALSE)</f>
        <v>#N/A</v>
      </c>
      <c r="AM193" s="1091" t="e">
        <f>VLOOKUP($AB193,sample!$1:$1048576,12,FALSE)</f>
        <v>#N/A</v>
      </c>
      <c r="AN193" s="1091" t="e">
        <f>VLOOKUP($AB193,sample!$1:$1048576,13,FALSE)</f>
        <v>#N/A</v>
      </c>
      <c r="AP193" s="1111"/>
    </row>
    <row r="194" spans="1:42" ht="14">
      <c r="A194" s="920">
        <v>201900191</v>
      </c>
      <c r="B194" s="1004">
        <v>43833</v>
      </c>
      <c r="C194" s="998" t="s">
        <v>138</v>
      </c>
      <c r="D194" s="701" t="s">
        <v>1665</v>
      </c>
      <c r="E194" s="880" t="s">
        <v>1679</v>
      </c>
      <c r="F194" s="1132" t="str">
        <f t="shared" si="29"/>
        <v>YES</v>
      </c>
      <c r="G194" s="701" t="s">
        <v>1665</v>
      </c>
      <c r="I194" s="950" t="s">
        <v>1666</v>
      </c>
      <c r="J194" s="950" t="s">
        <v>2</v>
      </c>
      <c r="K194" s="855">
        <v>4.7443600000000004</v>
      </c>
      <c r="L194" s="951"/>
      <c r="M194" s="952">
        <v>-17000</v>
      </c>
      <c r="N194" s="1092">
        <f t="shared" si="41"/>
        <v>80654.12000000001</v>
      </c>
      <c r="O194" s="997">
        <v>-24.2</v>
      </c>
      <c r="R194" s="1096">
        <f t="shared" si="42"/>
        <v>80629.920000000013</v>
      </c>
      <c r="S194" s="855">
        <v>1</v>
      </c>
      <c r="T194" s="1101">
        <f t="shared" si="43"/>
        <v>80629.920000000013</v>
      </c>
      <c r="U194" s="956">
        <v>43837</v>
      </c>
      <c r="V194" s="948" t="s">
        <v>1695</v>
      </c>
      <c r="W194" s="957">
        <v>43833.457060185188</v>
      </c>
      <c r="X194" s="1089">
        <f t="shared" si="44"/>
        <v>-3.0004666841569896E-2</v>
      </c>
      <c r="Y194" s="1090" t="str">
        <f>VLOOKUP(V194,'bic broker'!$A$1:$B$14,2,FALSE)</f>
        <v>TAVSGB21XXX</v>
      </c>
      <c r="Z194" s="1090" t="str">
        <f>VLOOKUP(AA194,'place of settlement'!A:C,2,FALSE)</f>
        <v>DAKVDEFFXXX</v>
      </c>
      <c r="AA194" s="1090" t="str">
        <f t="shared" si="45"/>
        <v>DE</v>
      </c>
      <c r="AB194" s="1090" t="str">
        <f t="shared" si="46"/>
        <v>TaviraDE</v>
      </c>
      <c r="AC194" s="1090" t="e">
        <f>VLOOKUP(AB194,sample!$1:$1048576,2,FALSE)</f>
        <v>#N/A</v>
      </c>
      <c r="AD194" s="1090" t="e">
        <f>VLOOKUP($AB194,sample!$1:$1048576,3,FALSE)</f>
        <v>#N/A</v>
      </c>
      <c r="AE194" s="1091" t="e">
        <f>VLOOKUP($AB194,sample!$1:$1048576,4,FALSE)</f>
        <v>#N/A</v>
      </c>
      <c r="AF194" s="1090" t="e">
        <f>VLOOKUP($AB194,sample!$1:$1048576,5,FALSE)</f>
        <v>#N/A</v>
      </c>
      <c r="AL194" s="1091" t="e">
        <f>VLOOKUP($AB194,sample!$1:$1048576,11,FALSE)</f>
        <v>#N/A</v>
      </c>
      <c r="AM194" s="1091" t="e">
        <f>VLOOKUP($AB194,sample!$1:$1048576,12,FALSE)</f>
        <v>#N/A</v>
      </c>
      <c r="AN194" s="1091" t="e">
        <f>VLOOKUP($AB194,sample!$1:$1048576,13,FALSE)</f>
        <v>#N/A</v>
      </c>
      <c r="AP194" s="1111"/>
    </row>
    <row r="195" spans="1:42" ht="14">
      <c r="A195" s="920">
        <v>201900192</v>
      </c>
      <c r="B195" s="1004">
        <v>43833</v>
      </c>
      <c r="C195" s="998" t="s">
        <v>137</v>
      </c>
      <c r="D195" s="1108" t="str">
        <f>IFERROR(VLOOKUP(G195,PosAggregate!$B$13:$B$93,1,FALSE),"")</f>
        <v/>
      </c>
      <c r="E195" s="880" t="s">
        <v>1264</v>
      </c>
      <c r="F195" s="1132" t="str">
        <f t="shared" si="29"/>
        <v/>
      </c>
      <c r="G195" s="701" t="s">
        <v>1215</v>
      </c>
      <c r="I195" s="950" t="s">
        <v>1095</v>
      </c>
      <c r="J195" s="950" t="s">
        <v>2</v>
      </c>
      <c r="K195" s="855">
        <v>114.184268656716</v>
      </c>
      <c r="L195" s="951"/>
      <c r="M195" s="952">
        <v>670</v>
      </c>
      <c r="N195" s="1092">
        <f t="shared" si="41"/>
        <v>-76503.459999999715</v>
      </c>
      <c r="O195" s="997">
        <v>-22.95</v>
      </c>
      <c r="R195" s="1096">
        <f t="shared" si="42"/>
        <v>-76526.409999999712</v>
      </c>
      <c r="S195" s="855">
        <v>1</v>
      </c>
      <c r="T195" s="1101">
        <f t="shared" si="43"/>
        <v>-76526.409999999712</v>
      </c>
      <c r="U195" s="956">
        <v>43837</v>
      </c>
      <c r="V195" s="948" t="s">
        <v>1695</v>
      </c>
      <c r="W195" s="957">
        <v>43833.45717361111</v>
      </c>
      <c r="X195" s="1089">
        <f t="shared" si="44"/>
        <v>2.9998643198621458E-2</v>
      </c>
      <c r="Y195" s="1090" t="str">
        <f>VLOOKUP(V195,'bic broker'!$A$1:$B$14,2,FALSE)</f>
        <v>TAVSGB21XXX</v>
      </c>
      <c r="Z195" s="1090" t="str">
        <f>VLOOKUP(AA195,'place of settlement'!A:C,2,FALSE)</f>
        <v>DAKVDEFFXXX</v>
      </c>
      <c r="AA195" s="1090" t="str">
        <f t="shared" si="45"/>
        <v>DE</v>
      </c>
      <c r="AB195" s="1090" t="str">
        <f t="shared" si="46"/>
        <v>TaviraDE</v>
      </c>
      <c r="AC195" s="1090" t="e">
        <f>VLOOKUP(AB195,sample!$1:$1048576,2,FALSE)</f>
        <v>#N/A</v>
      </c>
      <c r="AD195" s="1090" t="e">
        <f>VLOOKUP($AB195,sample!$1:$1048576,3,FALSE)</f>
        <v>#N/A</v>
      </c>
      <c r="AE195" s="1091" t="e">
        <f>VLOOKUP($AB195,sample!$1:$1048576,4,FALSE)</f>
        <v>#N/A</v>
      </c>
      <c r="AF195" s="1090" t="e">
        <f>VLOOKUP($AB195,sample!$1:$1048576,5,FALSE)</f>
        <v>#N/A</v>
      </c>
      <c r="AL195" s="1091" t="e">
        <f>VLOOKUP($AB195,sample!$1:$1048576,11,FALSE)</f>
        <v>#N/A</v>
      </c>
      <c r="AM195" s="1091" t="e">
        <f>VLOOKUP($AB195,sample!$1:$1048576,12,FALSE)</f>
        <v>#N/A</v>
      </c>
      <c r="AN195" s="1091" t="e">
        <f>VLOOKUP($AB195,sample!$1:$1048576,13,FALSE)</f>
        <v>#N/A</v>
      </c>
      <c r="AP195" s="1111"/>
    </row>
    <row r="196" spans="1:42" s="690" customFormat="1" ht="14">
      <c r="A196" s="920">
        <v>201900193</v>
      </c>
      <c r="B196" s="1004">
        <v>43837</v>
      </c>
      <c r="C196" s="933" t="s">
        <v>137</v>
      </c>
      <c r="D196" s="1127" t="str">
        <f>IFERROR(VLOOKUP(G196,PosAggregate!$B$13:$B$93,1,FALSE),"")</f>
        <v/>
      </c>
      <c r="E196" s="1022" t="s">
        <v>1254</v>
      </c>
      <c r="F196" s="1132" t="str">
        <f t="shared" si="29"/>
        <v/>
      </c>
      <c r="G196" s="667" t="s">
        <v>1204</v>
      </c>
      <c r="I196" s="949" t="s">
        <v>1123</v>
      </c>
      <c r="J196" s="949" t="s">
        <v>123</v>
      </c>
      <c r="K196" s="995">
        <v>92521.926900000006</v>
      </c>
      <c r="L196" s="996"/>
      <c r="M196" s="997">
        <v>301</v>
      </c>
      <c r="N196" s="1103">
        <f t="shared" si="41"/>
        <v>-27849099.996900003</v>
      </c>
      <c r="O196" s="997">
        <v>-41774</v>
      </c>
      <c r="R196" s="1100">
        <f t="shared" si="42"/>
        <v>-27890873.996900003</v>
      </c>
      <c r="S196" s="995">
        <v>1306.1494034160862</v>
      </c>
      <c r="T196" s="1118">
        <f t="shared" si="43"/>
        <v>-21353.509731700349</v>
      </c>
      <c r="U196" s="1024">
        <v>43839</v>
      </c>
      <c r="V196" s="1025" t="s">
        <v>1727</v>
      </c>
      <c r="W196" s="959">
        <v>43837.120826967592</v>
      </c>
      <c r="X196" s="1089">
        <f t="shared" si="44"/>
        <v>0.15000125678980664</v>
      </c>
      <c r="Y196" s="1111" t="e">
        <f>VLOOKUP(V196,'bic broker'!$A$1:$B$14,2,FALSE)</f>
        <v>#N/A</v>
      </c>
      <c r="Z196" s="1090" t="str">
        <f>VLOOKUP(AA196,'place of settlement'!A:C,2,FALSE)</f>
        <v>KSDCKRSEXXX</v>
      </c>
      <c r="AA196" s="1090" t="str">
        <f t="shared" si="45"/>
        <v>KR</v>
      </c>
      <c r="AB196" s="1090" t="str">
        <f t="shared" si="46"/>
        <v>samsungKR</v>
      </c>
      <c r="AC196" s="1090" t="e">
        <f>VLOOKUP(AB196,sample!$1:$1048576,2,FALSE)</f>
        <v>#N/A</v>
      </c>
      <c r="AD196" s="1090" t="e">
        <f>VLOOKUP($AB196,sample!$1:$1048576,3,FALSE)</f>
        <v>#N/A</v>
      </c>
      <c r="AE196" s="1091" t="e">
        <f>VLOOKUP($AB196,sample!$1:$1048576,4,FALSE)</f>
        <v>#N/A</v>
      </c>
      <c r="AF196" s="1090" t="e">
        <f>VLOOKUP($AB196,sample!$1:$1048576,5,FALSE)</f>
        <v>#N/A</v>
      </c>
      <c r="AL196" s="1091" t="e">
        <f>VLOOKUP($AB196,sample!$1:$1048576,11,FALSE)</f>
        <v>#N/A</v>
      </c>
      <c r="AM196" s="1091" t="e">
        <f>VLOOKUP($AB196,sample!$1:$1048576,12,FALSE)</f>
        <v>#N/A</v>
      </c>
      <c r="AN196" s="1091" t="e">
        <f>VLOOKUP($AB196,sample!$1:$1048576,13,FALSE)</f>
        <v>#N/A</v>
      </c>
      <c r="AP196" s="1111"/>
    </row>
    <row r="197" spans="1:42" s="690" customFormat="1" ht="14">
      <c r="A197" s="920">
        <v>201900194</v>
      </c>
      <c r="B197" s="1004">
        <v>43838</v>
      </c>
      <c r="C197" s="933" t="s">
        <v>137</v>
      </c>
      <c r="D197" s="1127" t="str">
        <f>IFERROR(VLOOKUP(G197,PosAggregate!$B$13:$B$93,1,FALSE),"")</f>
        <v/>
      </c>
      <c r="E197" s="1022" t="s">
        <v>1254</v>
      </c>
      <c r="F197" s="1132" t="str">
        <f t="shared" si="29"/>
        <v/>
      </c>
      <c r="G197" s="667" t="s">
        <v>1204</v>
      </c>
      <c r="I197" s="949" t="s">
        <v>1123</v>
      </c>
      <c r="J197" s="949" t="s">
        <v>123</v>
      </c>
      <c r="K197" s="995">
        <v>91347.164199999999</v>
      </c>
      <c r="L197" s="996"/>
      <c r="M197" s="997">
        <v>670</v>
      </c>
      <c r="N197" s="1103">
        <f t="shared" si="41"/>
        <v>-61202600.013999999</v>
      </c>
      <c r="O197" s="997">
        <v>-91804</v>
      </c>
      <c r="R197" s="1100">
        <f t="shared" si="42"/>
        <v>-61294404.013999999</v>
      </c>
      <c r="S197" s="995">
        <v>1301.6570396306793</v>
      </c>
      <c r="T197" s="1118">
        <f t="shared" si="43"/>
        <v>-47089.519088216308</v>
      </c>
      <c r="U197" s="1024">
        <v>43840</v>
      </c>
      <c r="V197" s="1025" t="s">
        <v>1230</v>
      </c>
      <c r="W197" s="959">
        <v>43838.050056250002</v>
      </c>
      <c r="X197" s="1089">
        <f t="shared" si="44"/>
        <v>0.15000016335743904</v>
      </c>
      <c r="Y197" s="1111" t="e">
        <f>VLOOKUP(V197,'bic broker'!$A$1:$B$14,2,FALSE)</f>
        <v>#N/A</v>
      </c>
      <c r="Z197" s="1090" t="str">
        <f>VLOOKUP(AA197,'place of settlement'!A:C,2,FALSE)</f>
        <v>KSDCKRSEXXX</v>
      </c>
      <c r="AA197" s="1090" t="str">
        <f t="shared" si="45"/>
        <v>KR</v>
      </c>
      <c r="AB197" s="1090" t="str">
        <f t="shared" si="46"/>
        <v>SamsungKR</v>
      </c>
      <c r="AC197" s="1090" t="e">
        <f>VLOOKUP(AB197,sample!$1:$1048576,2,FALSE)</f>
        <v>#N/A</v>
      </c>
      <c r="AD197" s="1090" t="e">
        <f>VLOOKUP($AB197,sample!$1:$1048576,3,FALSE)</f>
        <v>#N/A</v>
      </c>
      <c r="AE197" s="1091" t="e">
        <f>VLOOKUP($AB197,sample!$1:$1048576,4,FALSE)</f>
        <v>#N/A</v>
      </c>
      <c r="AF197" s="1090" t="e">
        <f>VLOOKUP($AB197,sample!$1:$1048576,5,FALSE)</f>
        <v>#N/A</v>
      </c>
      <c r="AL197" s="1091" t="e">
        <f>VLOOKUP($AB197,sample!$1:$1048576,11,FALSE)</f>
        <v>#N/A</v>
      </c>
      <c r="AM197" s="1091" t="e">
        <f>VLOOKUP($AB197,sample!$1:$1048576,12,FALSE)</f>
        <v>#N/A</v>
      </c>
      <c r="AN197" s="1091" t="e">
        <f>VLOOKUP($AB197,sample!$1:$1048576,13,FALSE)</f>
        <v>#N/A</v>
      </c>
      <c r="AP197" s="1111"/>
    </row>
    <row r="198" spans="1:42" s="690" customFormat="1" ht="14">
      <c r="A198" s="920">
        <v>201900195</v>
      </c>
      <c r="B198" s="1004">
        <v>43838</v>
      </c>
      <c r="C198" s="933" t="s">
        <v>137</v>
      </c>
      <c r="D198" s="1127" t="str">
        <f>IFERROR(VLOOKUP(G198,PosAggregate!$B$13:$B$93,1,FALSE),"")</f>
        <v/>
      </c>
      <c r="E198" s="1022" t="s">
        <v>1255</v>
      </c>
      <c r="F198" s="1132" t="str">
        <f t="shared" si="29"/>
        <v/>
      </c>
      <c r="G198" s="667" t="s">
        <v>1205</v>
      </c>
      <c r="I198" s="949" t="s">
        <v>1143</v>
      </c>
      <c r="J198" s="949" t="s">
        <v>123</v>
      </c>
      <c r="K198" s="995">
        <v>103358.9552</v>
      </c>
      <c r="L198" s="996"/>
      <c r="M198" s="973">
        <v>670</v>
      </c>
      <c r="N198" s="1103">
        <f t="shared" si="41"/>
        <v>-69250499.983999997</v>
      </c>
      <c r="O198" s="997">
        <v>-103876</v>
      </c>
      <c r="R198" s="1100">
        <f t="shared" si="42"/>
        <v>-69354375.983999997</v>
      </c>
      <c r="S198" s="995">
        <v>1301.6570396306788</v>
      </c>
      <c r="T198" s="1118">
        <f t="shared" si="43"/>
        <v>-53281.604810187193</v>
      </c>
      <c r="U198" s="1024">
        <v>43840</v>
      </c>
      <c r="V198" s="1025" t="s">
        <v>1230</v>
      </c>
      <c r="W198" s="959">
        <v>43838.544846990742</v>
      </c>
      <c r="X198" s="1089">
        <f t="shared" si="44"/>
        <v>0.15000036104288064</v>
      </c>
      <c r="Y198" s="1111" t="e">
        <f>VLOOKUP(V198,'bic broker'!$A$1:$B$14,2,FALSE)</f>
        <v>#N/A</v>
      </c>
      <c r="Z198" s="1090" t="str">
        <f>VLOOKUP(AA198,'place of settlement'!A:C,2,FALSE)</f>
        <v>KSDCKRSEXXX</v>
      </c>
      <c r="AA198" s="1090" t="str">
        <f t="shared" si="45"/>
        <v>KR</v>
      </c>
      <c r="AB198" s="1090" t="str">
        <f t="shared" si="46"/>
        <v>SamsungKR</v>
      </c>
      <c r="AC198" s="1090" t="e">
        <f>VLOOKUP(AB198,sample!$1:$1048576,2,FALSE)</f>
        <v>#N/A</v>
      </c>
      <c r="AD198" s="1090" t="e">
        <f>VLOOKUP($AB198,sample!$1:$1048576,3,FALSE)</f>
        <v>#N/A</v>
      </c>
      <c r="AE198" s="1091" t="e">
        <f>VLOOKUP($AB198,sample!$1:$1048576,4,FALSE)</f>
        <v>#N/A</v>
      </c>
      <c r="AF198" s="1090" t="e">
        <f>VLOOKUP($AB198,sample!$1:$1048576,5,FALSE)</f>
        <v>#N/A</v>
      </c>
      <c r="AL198" s="1091" t="e">
        <f>VLOOKUP($AB198,sample!$1:$1048576,11,FALSE)</f>
        <v>#N/A</v>
      </c>
      <c r="AM198" s="1091" t="e">
        <f>VLOOKUP($AB198,sample!$1:$1048576,12,FALSE)</f>
        <v>#N/A</v>
      </c>
      <c r="AN198" s="1091" t="e">
        <f>VLOOKUP($AB198,sample!$1:$1048576,13,FALSE)</f>
        <v>#N/A</v>
      </c>
      <c r="AP198" s="1111"/>
    </row>
    <row r="199" spans="1:42" s="690" customFormat="1" ht="14">
      <c r="A199" s="920">
        <v>201900196</v>
      </c>
      <c r="B199" s="1004">
        <v>43838</v>
      </c>
      <c r="C199" s="933" t="s">
        <v>137</v>
      </c>
      <c r="D199" s="1127" t="str">
        <f>IFERROR(VLOOKUP(G199,PosAggregate!$B$13:$B$93,1,FALSE),"")</f>
        <v/>
      </c>
      <c r="E199" s="1022" t="s">
        <v>1256</v>
      </c>
      <c r="F199" s="1132" t="str">
        <f t="shared" si="29"/>
        <v/>
      </c>
      <c r="G199" s="667" t="s">
        <v>1206</v>
      </c>
      <c r="I199" s="949" t="s">
        <v>1149</v>
      </c>
      <c r="J199" s="949" t="s">
        <v>123</v>
      </c>
      <c r="K199" s="995">
        <v>3538.5877</v>
      </c>
      <c r="L199" s="996"/>
      <c r="M199" s="997">
        <v>6900</v>
      </c>
      <c r="N199" s="1103">
        <f t="shared" si="41"/>
        <v>-24416255.129999999</v>
      </c>
      <c r="O199" s="997">
        <v>-36624</v>
      </c>
      <c r="R199" s="1100">
        <f t="shared" si="42"/>
        <v>-24452879.129999999</v>
      </c>
      <c r="S199" s="995">
        <v>1301.6570396306795</v>
      </c>
      <c r="T199" s="1118">
        <f t="shared" si="43"/>
        <v>-18785.961574746325</v>
      </c>
      <c r="U199" s="1024">
        <v>43840</v>
      </c>
      <c r="V199" s="1025" t="s">
        <v>1230</v>
      </c>
      <c r="W199" s="959">
        <v>43838.545520717591</v>
      </c>
      <c r="X199" s="1089">
        <f t="shared" si="44"/>
        <v>0.14999843262204643</v>
      </c>
      <c r="Y199" s="1111" t="e">
        <f>VLOOKUP(V199,'bic broker'!$A$1:$B$14,2,FALSE)</f>
        <v>#N/A</v>
      </c>
      <c r="Z199" s="1090" t="str">
        <f>VLOOKUP(AA199,'place of settlement'!A:C,2,FALSE)</f>
        <v>KSDCKRSEXXX</v>
      </c>
      <c r="AA199" s="1090" t="str">
        <f t="shared" si="45"/>
        <v>KR</v>
      </c>
      <c r="AB199" s="1090" t="str">
        <f t="shared" si="46"/>
        <v>SamsungKR</v>
      </c>
      <c r="AC199" s="1090" t="e">
        <f>VLOOKUP(AB199,sample!$1:$1048576,2,FALSE)</f>
        <v>#N/A</v>
      </c>
      <c r="AD199" s="1090" t="e">
        <f>VLOOKUP($AB199,sample!$1:$1048576,3,FALSE)</f>
        <v>#N/A</v>
      </c>
      <c r="AE199" s="1091" t="e">
        <f>VLOOKUP($AB199,sample!$1:$1048576,4,FALSE)</f>
        <v>#N/A</v>
      </c>
      <c r="AF199" s="1090" t="e">
        <f>VLOOKUP($AB199,sample!$1:$1048576,5,FALSE)</f>
        <v>#N/A</v>
      </c>
      <c r="AL199" s="1091" t="e">
        <f>VLOOKUP($AB199,sample!$1:$1048576,11,FALSE)</f>
        <v>#N/A</v>
      </c>
      <c r="AM199" s="1091" t="e">
        <f>VLOOKUP($AB199,sample!$1:$1048576,12,FALSE)</f>
        <v>#N/A</v>
      </c>
      <c r="AN199" s="1091" t="e">
        <f>VLOOKUP($AB199,sample!$1:$1048576,13,FALSE)</f>
        <v>#N/A</v>
      </c>
      <c r="AP199" s="1111"/>
    </row>
    <row r="200" spans="1:42" s="690" customFormat="1" ht="14">
      <c r="A200" s="920">
        <v>201900197</v>
      </c>
      <c r="B200" s="1004">
        <v>43838</v>
      </c>
      <c r="C200" s="933" t="s">
        <v>137</v>
      </c>
      <c r="D200" s="1127" t="str">
        <f>IFERROR(VLOOKUP(G200,PosAggregate!$B$13:$B$93,1,FALSE),"")</f>
        <v/>
      </c>
      <c r="E200" s="1022" t="s">
        <v>1252</v>
      </c>
      <c r="F200" s="1132" t="str">
        <f t="shared" si="29"/>
        <v/>
      </c>
      <c r="G200" s="667" t="s">
        <v>1202</v>
      </c>
      <c r="I200" s="950" t="s">
        <v>1121</v>
      </c>
      <c r="J200" s="949" t="s">
        <v>123</v>
      </c>
      <c r="K200" s="995">
        <v>164832.08960000001</v>
      </c>
      <c r="L200" s="996"/>
      <c r="M200" s="997">
        <v>670</v>
      </c>
      <c r="N200" s="1103">
        <f t="shared" si="41"/>
        <v>-110437500.03200001</v>
      </c>
      <c r="O200" s="997">
        <v>-165656</v>
      </c>
      <c r="R200" s="1100">
        <f t="shared" si="42"/>
        <v>-110603156.03200001</v>
      </c>
      <c r="S200" s="995">
        <v>1301.6570396306811</v>
      </c>
      <c r="T200" s="1118">
        <f t="shared" si="43"/>
        <v>-84971.042805085905</v>
      </c>
      <c r="U200" s="1024">
        <v>43840</v>
      </c>
      <c r="V200" s="1025" t="s">
        <v>1230</v>
      </c>
      <c r="W200" s="959">
        <v>43838.546578472226</v>
      </c>
      <c r="X200" s="1089">
        <f t="shared" si="44"/>
        <v>0.14999977358415401</v>
      </c>
      <c r="Y200" s="1111" t="e">
        <f>VLOOKUP(V200,'bic broker'!$A$1:$B$14,2,FALSE)</f>
        <v>#N/A</v>
      </c>
      <c r="Z200" s="1090" t="str">
        <f>VLOOKUP(AA200,'place of settlement'!A:C,2,FALSE)</f>
        <v>KSDCKRSEXXX</v>
      </c>
      <c r="AA200" s="1090" t="str">
        <f t="shared" si="45"/>
        <v>KR</v>
      </c>
      <c r="AB200" s="1090" t="str">
        <f t="shared" si="46"/>
        <v>SamsungKR</v>
      </c>
      <c r="AC200" s="1090" t="e">
        <f>VLOOKUP(AB200,sample!$1:$1048576,2,FALSE)</f>
        <v>#N/A</v>
      </c>
      <c r="AD200" s="1090" t="e">
        <f>VLOOKUP($AB200,sample!$1:$1048576,3,FALSE)</f>
        <v>#N/A</v>
      </c>
      <c r="AE200" s="1091" t="e">
        <f>VLOOKUP($AB200,sample!$1:$1048576,4,FALSE)</f>
        <v>#N/A</v>
      </c>
      <c r="AF200" s="1090" t="e">
        <f>VLOOKUP($AB200,sample!$1:$1048576,5,FALSE)</f>
        <v>#N/A</v>
      </c>
      <c r="AL200" s="1091" t="e">
        <f>VLOOKUP($AB200,sample!$1:$1048576,11,FALSE)</f>
        <v>#N/A</v>
      </c>
      <c r="AM200" s="1091" t="e">
        <f>VLOOKUP($AB200,sample!$1:$1048576,12,FALSE)</f>
        <v>#N/A</v>
      </c>
      <c r="AN200" s="1091" t="e">
        <f>VLOOKUP($AB200,sample!$1:$1048576,13,FALSE)</f>
        <v>#N/A</v>
      </c>
      <c r="AP200" s="1111"/>
    </row>
    <row r="201" spans="1:42" s="690" customFormat="1" ht="14">
      <c r="A201" s="920">
        <v>201900198</v>
      </c>
      <c r="B201" s="1004">
        <v>43840</v>
      </c>
      <c r="C201" s="933" t="s">
        <v>137</v>
      </c>
      <c r="D201" s="1127" t="str">
        <f>IFERROR(VLOOKUP(G201,PosAggregate!$B$13:$B$93,1,FALSE),"")</f>
        <v/>
      </c>
      <c r="E201" s="1022" t="s">
        <v>1252</v>
      </c>
      <c r="F201" s="1132" t="str">
        <f t="shared" si="29"/>
        <v/>
      </c>
      <c r="G201" s="667" t="s">
        <v>1202</v>
      </c>
      <c r="I201" s="949" t="s">
        <v>1121</v>
      </c>
      <c r="J201" s="949" t="s">
        <v>123</v>
      </c>
      <c r="K201" s="995">
        <v>174220.23809999999</v>
      </c>
      <c r="L201" s="996"/>
      <c r="M201" s="997">
        <v>420</v>
      </c>
      <c r="N201" s="1103">
        <f t="shared" si="41"/>
        <v>-73172500.001999989</v>
      </c>
      <c r="O201" s="934">
        <v>-109759</v>
      </c>
      <c r="R201" s="1100">
        <f t="shared" si="42"/>
        <v>-73282259.001999989</v>
      </c>
      <c r="S201" s="995">
        <v>1286.751804553031</v>
      </c>
      <c r="T201" s="1118">
        <f t="shared" si="43"/>
        <v>-56951.35514300326</v>
      </c>
      <c r="U201" s="1024">
        <v>43844</v>
      </c>
      <c r="V201" s="1025" t="s">
        <v>1230</v>
      </c>
      <c r="W201" s="959">
        <v>43840.035303240744</v>
      </c>
      <c r="X201" s="1089">
        <f t="shared" si="44"/>
        <v>0.15000034165431003</v>
      </c>
      <c r="Y201" s="1111" t="e">
        <f>VLOOKUP(V201,'bic broker'!$A$1:$B$14,2,FALSE)</f>
        <v>#N/A</v>
      </c>
      <c r="Z201" s="1090" t="str">
        <f>VLOOKUP(AA201,'place of settlement'!A:C,2,FALSE)</f>
        <v>KSDCKRSEXXX</v>
      </c>
      <c r="AA201" s="1090" t="str">
        <f t="shared" si="45"/>
        <v>KR</v>
      </c>
      <c r="AB201" s="1090" t="str">
        <f t="shared" si="46"/>
        <v>SamsungKR</v>
      </c>
      <c r="AC201" s="1090" t="e">
        <f>VLOOKUP(AB201,sample!$1:$1048576,2,FALSE)</f>
        <v>#N/A</v>
      </c>
      <c r="AD201" s="1090" t="e">
        <f>VLOOKUP($AB201,sample!$1:$1048576,3,FALSE)</f>
        <v>#N/A</v>
      </c>
      <c r="AE201" s="1091" t="e">
        <f>VLOOKUP($AB201,sample!$1:$1048576,4,FALSE)</f>
        <v>#N/A</v>
      </c>
      <c r="AF201" s="1090" t="e">
        <f>VLOOKUP($AB201,sample!$1:$1048576,5,FALSE)</f>
        <v>#N/A</v>
      </c>
      <c r="AL201" s="1091" t="e">
        <f>VLOOKUP($AB201,sample!$1:$1048576,11,FALSE)</f>
        <v>#N/A</v>
      </c>
      <c r="AM201" s="1091" t="e">
        <f>VLOOKUP($AB201,sample!$1:$1048576,12,FALSE)</f>
        <v>#N/A</v>
      </c>
      <c r="AN201" s="1091" t="e">
        <f>VLOOKUP($AB201,sample!$1:$1048576,13,FALSE)</f>
        <v>#N/A</v>
      </c>
      <c r="AP201" s="1111"/>
    </row>
    <row r="202" spans="1:42" ht="14">
      <c r="A202" s="920">
        <v>201900199</v>
      </c>
      <c r="B202" s="1004">
        <v>43840</v>
      </c>
      <c r="C202" s="998" t="s">
        <v>137</v>
      </c>
      <c r="D202" s="1108" t="str">
        <f>IFERROR(VLOOKUP(G202,PosAggregate!$B$13:$B$93,1,FALSE),"")</f>
        <v/>
      </c>
      <c r="E202" s="880" t="s">
        <v>1255</v>
      </c>
      <c r="F202" s="1132" t="str">
        <f t="shared" si="29"/>
        <v/>
      </c>
      <c r="G202" s="701" t="s">
        <v>1205</v>
      </c>
      <c r="I202" s="950" t="s">
        <v>1143</v>
      </c>
      <c r="J202" s="950" t="s">
        <v>123</v>
      </c>
      <c r="K202" s="855">
        <v>104702.38099999999</v>
      </c>
      <c r="L202" s="951"/>
      <c r="M202" s="973">
        <v>420</v>
      </c>
      <c r="N202" s="1092">
        <f t="shared" si="41"/>
        <v>-43975000.019999996</v>
      </c>
      <c r="O202" s="1002">
        <v>-65963</v>
      </c>
      <c r="R202" s="1096">
        <f t="shared" si="42"/>
        <v>-44040963.019999996</v>
      </c>
      <c r="S202" s="855">
        <v>1286.751804553026</v>
      </c>
      <c r="T202" s="1101">
        <f t="shared" si="43"/>
        <v>-34226.462993225286</v>
      </c>
      <c r="U202" s="956">
        <v>43844</v>
      </c>
      <c r="V202" s="948" t="s">
        <v>1230</v>
      </c>
      <c r="W202" s="957">
        <v>43840.035945023148</v>
      </c>
      <c r="X202" s="1089">
        <f t="shared" si="44"/>
        <v>0.15000113694144349</v>
      </c>
      <c r="Y202" s="1090" t="e">
        <f>VLOOKUP(V202,'bic broker'!$A$1:$B$14,2,FALSE)</f>
        <v>#N/A</v>
      </c>
      <c r="Z202" s="1090" t="str">
        <f>VLOOKUP(AA202,'place of settlement'!A:C,2,FALSE)</f>
        <v>KSDCKRSEXXX</v>
      </c>
      <c r="AA202" s="1090" t="str">
        <f t="shared" si="45"/>
        <v>KR</v>
      </c>
      <c r="AB202" s="1090" t="str">
        <f t="shared" si="46"/>
        <v>SamsungKR</v>
      </c>
      <c r="AC202" s="1090" t="e">
        <f>VLOOKUP(AB202,sample!$1:$1048576,2,FALSE)</f>
        <v>#N/A</v>
      </c>
      <c r="AD202" s="1090" t="e">
        <f>VLOOKUP($AB202,sample!$1:$1048576,3,FALSE)</f>
        <v>#N/A</v>
      </c>
      <c r="AE202" s="1091" t="e">
        <f>VLOOKUP($AB202,sample!$1:$1048576,4,FALSE)</f>
        <v>#N/A</v>
      </c>
      <c r="AF202" s="1090" t="e">
        <f>VLOOKUP($AB202,sample!$1:$1048576,5,FALSE)</f>
        <v>#N/A</v>
      </c>
      <c r="AL202" s="1091" t="e">
        <f>VLOOKUP($AB202,sample!$1:$1048576,11,FALSE)</f>
        <v>#N/A</v>
      </c>
      <c r="AM202" s="1091" t="e">
        <f>VLOOKUP($AB202,sample!$1:$1048576,12,FALSE)</f>
        <v>#N/A</v>
      </c>
      <c r="AN202" s="1091" t="e">
        <f>VLOOKUP($AB202,sample!$1:$1048576,13,FALSE)</f>
        <v>#N/A</v>
      </c>
      <c r="AP202" s="1111"/>
    </row>
    <row r="203" spans="1:42" ht="14">
      <c r="A203" s="920">
        <v>201900200</v>
      </c>
      <c r="B203" s="1004">
        <v>43843</v>
      </c>
      <c r="C203" s="998" t="s">
        <v>137</v>
      </c>
      <c r="D203" s="1108" t="str">
        <f>IFERROR(VLOOKUP(G203,PosAggregate!$B$13:$B$93,1,FALSE),"")</f>
        <v/>
      </c>
      <c r="E203" s="880" t="s">
        <v>1232</v>
      </c>
      <c r="F203" s="1132" t="str">
        <f t="shared" si="29"/>
        <v/>
      </c>
      <c r="G203" s="701" t="s">
        <v>1180</v>
      </c>
      <c r="I203" s="950" t="s">
        <v>1122</v>
      </c>
      <c r="J203" s="950" t="s">
        <v>125</v>
      </c>
      <c r="K203" s="855">
        <v>1055.7</v>
      </c>
      <c r="L203" s="951"/>
      <c r="M203" s="952">
        <v>6700</v>
      </c>
      <c r="N203" s="1092">
        <f t="shared" si="41"/>
        <v>-7073190</v>
      </c>
      <c r="O203" s="1002">
        <v>-2122</v>
      </c>
      <c r="R203" s="1096">
        <f t="shared" si="42"/>
        <v>-7075312</v>
      </c>
      <c r="S203" s="855">
        <v>121.71959790054272</v>
      </c>
      <c r="T203" s="1101">
        <f t="shared" si="43"/>
        <v>-58127.960673853428</v>
      </c>
      <c r="U203" s="956">
        <v>43846</v>
      </c>
      <c r="V203" s="948" t="s">
        <v>1695</v>
      </c>
      <c r="W203" s="957">
        <v>43843.914539583333</v>
      </c>
      <c r="X203" s="1089">
        <f t="shared" si="44"/>
        <v>3.0000607929378399E-2</v>
      </c>
      <c r="Y203" s="1090" t="str">
        <f>VLOOKUP(V203,'bic broker'!$A$1:$B$14,2,FALSE)</f>
        <v>TAVSGB21XXX</v>
      </c>
      <c r="Z203" s="1090" t="str">
        <f>VLOOKUP(AA203,'place of settlement'!A:C,2,FALSE)</f>
        <v>JJSDJPJTXXX</v>
      </c>
      <c r="AA203" s="1090" t="str">
        <f t="shared" si="45"/>
        <v>JP</v>
      </c>
      <c r="AB203" s="1090" t="str">
        <f t="shared" si="46"/>
        <v>TaviraJP</v>
      </c>
      <c r="AC203" s="1090" t="e">
        <f>VLOOKUP(AB203,sample!$1:$1048576,2,FALSE)</f>
        <v>#N/A</v>
      </c>
      <c r="AD203" s="1090" t="e">
        <f>VLOOKUP($AB203,sample!$1:$1048576,3,FALSE)</f>
        <v>#N/A</v>
      </c>
      <c r="AE203" s="1091" t="e">
        <f>VLOOKUP($AB203,sample!$1:$1048576,4,FALSE)</f>
        <v>#N/A</v>
      </c>
      <c r="AF203" s="1090" t="e">
        <f>VLOOKUP($AB203,sample!$1:$1048576,5,FALSE)</f>
        <v>#N/A</v>
      </c>
      <c r="AL203" s="1091" t="e">
        <f>VLOOKUP($AB203,sample!$1:$1048576,11,FALSE)</f>
        <v>#N/A</v>
      </c>
      <c r="AM203" s="1091" t="e">
        <f>VLOOKUP($AB203,sample!$1:$1048576,12,FALSE)</f>
        <v>#N/A</v>
      </c>
      <c r="AN203" s="1091" t="e">
        <f>VLOOKUP($AB203,sample!$1:$1048576,13,FALSE)</f>
        <v>#N/A</v>
      </c>
      <c r="AP203" s="1111"/>
    </row>
    <row r="204" spans="1:42" ht="14">
      <c r="A204" s="920">
        <v>201900201</v>
      </c>
      <c r="B204" s="1004">
        <v>43843</v>
      </c>
      <c r="C204" s="998" t="s">
        <v>137</v>
      </c>
      <c r="D204" s="1108" t="str">
        <f>IFERROR(VLOOKUP(G204,PosAggregate!$B$13:$B$93,1,FALSE),"")</f>
        <v/>
      </c>
      <c r="E204" s="880" t="s">
        <v>1242</v>
      </c>
      <c r="F204" s="1132" t="str">
        <f t="shared" ref="F204:F267" si="47">IF(D204=G204,"YES","")</f>
        <v/>
      </c>
      <c r="G204" s="701" t="s">
        <v>1191</v>
      </c>
      <c r="I204" s="950" t="s">
        <v>1129</v>
      </c>
      <c r="J204" s="950" t="s">
        <v>125</v>
      </c>
      <c r="K204" s="855">
        <v>485.78679</v>
      </c>
      <c r="L204" s="951"/>
      <c r="M204" s="952">
        <v>15900</v>
      </c>
      <c r="N204" s="1092">
        <f t="shared" si="41"/>
        <v>-7724009.9610000001</v>
      </c>
      <c r="O204" s="1002">
        <v>-2317</v>
      </c>
      <c r="R204" s="1096">
        <f t="shared" si="42"/>
        <v>-7726326.9610000001</v>
      </c>
      <c r="S204" s="855">
        <v>121.71959790054262</v>
      </c>
      <c r="T204" s="1101">
        <f t="shared" si="43"/>
        <v>-63476.44170919132</v>
      </c>
      <c r="U204" s="956">
        <v>43846</v>
      </c>
      <c r="V204" s="948" t="s">
        <v>1695</v>
      </c>
      <c r="W204" s="957">
        <v>43843.93230335648</v>
      </c>
      <c r="X204" s="1089">
        <f t="shared" si="44"/>
        <v>2.9997371982933414E-2</v>
      </c>
      <c r="Y204" s="1090" t="str">
        <f>VLOOKUP(V204,'bic broker'!$A$1:$B$14,2,FALSE)</f>
        <v>TAVSGB21XXX</v>
      </c>
      <c r="Z204" s="1090" t="str">
        <f>VLOOKUP(AA204,'place of settlement'!A:C,2,FALSE)</f>
        <v>JJSDJPJTXXX</v>
      </c>
      <c r="AA204" s="1090" t="str">
        <f t="shared" si="45"/>
        <v>JP</v>
      </c>
      <c r="AB204" s="1090" t="str">
        <f t="shared" si="46"/>
        <v>TaviraJP</v>
      </c>
      <c r="AC204" s="1090" t="e">
        <f>VLOOKUP(AB204,sample!$1:$1048576,2,FALSE)</f>
        <v>#N/A</v>
      </c>
      <c r="AD204" s="1090" t="e">
        <f>VLOOKUP($AB204,sample!$1:$1048576,3,FALSE)</f>
        <v>#N/A</v>
      </c>
      <c r="AE204" s="1091" t="e">
        <f>VLOOKUP($AB204,sample!$1:$1048576,4,FALSE)</f>
        <v>#N/A</v>
      </c>
      <c r="AF204" s="1090" t="e">
        <f>VLOOKUP($AB204,sample!$1:$1048576,5,FALSE)</f>
        <v>#N/A</v>
      </c>
      <c r="AL204" s="1091" t="e">
        <f>VLOOKUP($AB204,sample!$1:$1048576,11,FALSE)</f>
        <v>#N/A</v>
      </c>
      <c r="AM204" s="1091" t="e">
        <f>VLOOKUP($AB204,sample!$1:$1048576,12,FALSE)</f>
        <v>#N/A</v>
      </c>
      <c r="AN204" s="1091" t="e">
        <f>VLOOKUP($AB204,sample!$1:$1048576,13,FALSE)</f>
        <v>#N/A</v>
      </c>
      <c r="AP204" s="1111"/>
    </row>
    <row r="205" spans="1:42" ht="14">
      <c r="A205" s="920">
        <v>201900202</v>
      </c>
      <c r="B205" s="1004">
        <v>43843</v>
      </c>
      <c r="C205" s="998" t="s">
        <v>137</v>
      </c>
      <c r="D205" s="1108" t="str">
        <f>IFERROR(VLOOKUP(G205,PosAggregate!$B$13:$B$93,1,FALSE),"")</f>
        <v/>
      </c>
      <c r="E205" s="880" t="s">
        <v>1236</v>
      </c>
      <c r="F205" s="1132" t="str">
        <f t="shared" si="47"/>
        <v/>
      </c>
      <c r="G205" s="701" t="s">
        <v>1656</v>
      </c>
      <c r="I205" s="950" t="s">
        <v>1126</v>
      </c>
      <c r="J205" s="950" t="s">
        <v>125</v>
      </c>
      <c r="K205" s="855">
        <v>2150.5250000000001</v>
      </c>
      <c r="L205" s="951"/>
      <c r="M205" s="952">
        <v>2000</v>
      </c>
      <c r="N205" s="1092">
        <f t="shared" si="41"/>
        <v>-4301050</v>
      </c>
      <c r="O205" s="1002">
        <v>-1290</v>
      </c>
      <c r="R205" s="1096">
        <f t="shared" si="42"/>
        <v>-4302340</v>
      </c>
      <c r="S205" s="855">
        <v>121.71959790054248</v>
      </c>
      <c r="T205" s="1101">
        <f t="shared" si="43"/>
        <v>-35346.321169376992</v>
      </c>
      <c r="U205" s="956">
        <v>43846</v>
      </c>
      <c r="V205" s="948" t="s">
        <v>1695</v>
      </c>
      <c r="W205" s="957">
        <v>43843.937213425925</v>
      </c>
      <c r="X205" s="1089">
        <f t="shared" si="44"/>
        <v>2.9992676206972716E-2</v>
      </c>
      <c r="Y205" s="1090" t="str">
        <f>VLOOKUP(V205,'bic broker'!$A$1:$B$14,2,FALSE)</f>
        <v>TAVSGB21XXX</v>
      </c>
      <c r="Z205" s="1090" t="str">
        <f>VLOOKUP(AA205,'place of settlement'!A:C,2,FALSE)</f>
        <v>JJSDJPJTXXX</v>
      </c>
      <c r="AA205" s="1090" t="str">
        <f t="shared" si="45"/>
        <v>JP</v>
      </c>
      <c r="AB205" s="1090" t="str">
        <f t="shared" si="46"/>
        <v>TaviraJP</v>
      </c>
      <c r="AC205" s="1090" t="e">
        <f>VLOOKUP(AB205,sample!$1:$1048576,2,FALSE)</f>
        <v>#N/A</v>
      </c>
      <c r="AD205" s="1090" t="e">
        <f>VLOOKUP($AB205,sample!$1:$1048576,3,FALSE)</f>
        <v>#N/A</v>
      </c>
      <c r="AE205" s="1091" t="e">
        <f>VLOOKUP($AB205,sample!$1:$1048576,4,FALSE)</f>
        <v>#N/A</v>
      </c>
      <c r="AF205" s="1090" t="e">
        <f>VLOOKUP($AB205,sample!$1:$1048576,5,FALSE)</f>
        <v>#N/A</v>
      </c>
      <c r="AL205" s="1091" t="e">
        <f>VLOOKUP($AB205,sample!$1:$1048576,11,FALSE)</f>
        <v>#N/A</v>
      </c>
      <c r="AM205" s="1091" t="e">
        <f>VLOOKUP($AB205,sample!$1:$1048576,12,FALSE)</f>
        <v>#N/A</v>
      </c>
      <c r="AN205" s="1091" t="e">
        <f>VLOOKUP($AB205,sample!$1:$1048576,13,FALSE)</f>
        <v>#N/A</v>
      </c>
      <c r="AP205" s="1111"/>
    </row>
    <row r="206" spans="1:42" ht="14">
      <c r="A206" s="920">
        <v>201900203</v>
      </c>
      <c r="B206" s="1004">
        <v>43843</v>
      </c>
      <c r="C206" s="998" t="s">
        <v>137</v>
      </c>
      <c r="D206" s="1108" t="str">
        <f>IFERROR(VLOOKUP(G206,PosAggregate!$B$13:$B$93,1,FALSE),"")</f>
        <v/>
      </c>
      <c r="E206" s="880" t="s">
        <v>1723</v>
      </c>
      <c r="F206" s="1132" t="str">
        <f t="shared" si="47"/>
        <v/>
      </c>
      <c r="G206" s="701" t="s">
        <v>1714</v>
      </c>
      <c r="I206" s="950" t="s">
        <v>1724</v>
      </c>
      <c r="J206" s="950" t="s">
        <v>1104</v>
      </c>
      <c r="K206" s="855">
        <v>3.0045600000000001</v>
      </c>
      <c r="L206" s="951"/>
      <c r="M206" s="952">
        <v>17000</v>
      </c>
      <c r="N206" s="1092">
        <f t="shared" si="41"/>
        <v>-51077.520000000004</v>
      </c>
      <c r="O206" s="1002">
        <v>-15.32</v>
      </c>
      <c r="R206" s="1096">
        <f t="shared" si="42"/>
        <v>-51092.840000000004</v>
      </c>
      <c r="S206" s="855">
        <v>1.6127829175155552</v>
      </c>
      <c r="T206" s="1101">
        <f t="shared" si="43"/>
        <v>-31679.923841645734</v>
      </c>
      <c r="U206" s="956">
        <v>43846</v>
      </c>
      <c r="V206" s="948" t="s">
        <v>1695</v>
      </c>
      <c r="W206" s="957">
        <v>43843.947643865744</v>
      </c>
      <c r="X206" s="1089">
        <f t="shared" si="44"/>
        <v>2.9993625375703437E-2</v>
      </c>
      <c r="Y206" s="1090" t="str">
        <f>VLOOKUP(V206,'bic broker'!$A$1:$B$14,2,FALSE)</f>
        <v>TAVSGB21XXX</v>
      </c>
      <c r="Z206" s="1090" t="str">
        <f>VLOOKUP(AA206,'place of settlement'!A:C,2,FALSE)</f>
        <v>CAETAU21XXX</v>
      </c>
      <c r="AA206" s="1090" t="str">
        <f t="shared" si="45"/>
        <v>AU</v>
      </c>
      <c r="AB206" s="1090" t="str">
        <f t="shared" si="46"/>
        <v>TaviraAU</v>
      </c>
      <c r="AC206" s="1090" t="e">
        <f>VLOOKUP(AB206,sample!$1:$1048576,2,FALSE)</f>
        <v>#N/A</v>
      </c>
      <c r="AD206" s="1090" t="e">
        <f>VLOOKUP($AB206,sample!$1:$1048576,3,FALSE)</f>
        <v>#N/A</v>
      </c>
      <c r="AE206" s="1091" t="e">
        <f>VLOOKUP($AB206,sample!$1:$1048576,4,FALSE)</f>
        <v>#N/A</v>
      </c>
      <c r="AF206" s="1090" t="e">
        <f>VLOOKUP($AB206,sample!$1:$1048576,5,FALSE)</f>
        <v>#N/A</v>
      </c>
      <c r="AL206" s="1091" t="e">
        <f>VLOOKUP($AB206,sample!$1:$1048576,11,FALSE)</f>
        <v>#N/A</v>
      </c>
      <c r="AM206" s="1091" t="e">
        <f>VLOOKUP($AB206,sample!$1:$1048576,12,FALSE)</f>
        <v>#N/A</v>
      </c>
      <c r="AN206" s="1091" t="e">
        <f>VLOOKUP($AB206,sample!$1:$1048576,13,FALSE)</f>
        <v>#N/A</v>
      </c>
      <c r="AP206" s="1111"/>
    </row>
    <row r="207" spans="1:42" ht="14">
      <c r="A207" s="920">
        <v>201900204</v>
      </c>
      <c r="B207" s="1004">
        <v>43850</v>
      </c>
      <c r="C207" s="998" t="s">
        <v>137</v>
      </c>
      <c r="D207" s="1108" t="str">
        <f>IFERROR(VLOOKUP(G207,PosAggregate!$B$13:$B$93,1,FALSE),"")</f>
        <v/>
      </c>
      <c r="E207" s="880" t="s">
        <v>1723</v>
      </c>
      <c r="F207" s="1132" t="str">
        <f t="shared" si="47"/>
        <v/>
      </c>
      <c r="G207" s="701" t="s">
        <v>1714</v>
      </c>
      <c r="I207" s="950" t="s">
        <v>1724</v>
      </c>
      <c r="J207" s="950" t="s">
        <v>1104</v>
      </c>
      <c r="K207" s="855">
        <v>2.8706999999999998</v>
      </c>
      <c r="L207" s="951"/>
      <c r="M207" s="952">
        <v>22000</v>
      </c>
      <c r="N207" s="1092">
        <f t="shared" si="41"/>
        <v>-63155.399999999994</v>
      </c>
      <c r="O207" s="1002">
        <v>-31.58</v>
      </c>
      <c r="R207" s="1096">
        <f t="shared" si="42"/>
        <v>-63186.979999999996</v>
      </c>
      <c r="S207" s="855">
        <v>1.6134962522730258</v>
      </c>
      <c r="T207" s="1101">
        <f t="shared" si="43"/>
        <v>-39161.528829698138</v>
      </c>
      <c r="U207" s="956">
        <v>43853</v>
      </c>
      <c r="V207" s="948" t="s">
        <v>1113</v>
      </c>
      <c r="W207" s="957">
        <v>43850.691771759259</v>
      </c>
      <c r="X207" s="1089">
        <f t="shared" si="44"/>
        <v>5.0003641810518182E-2</v>
      </c>
      <c r="Y207" s="1090" t="str">
        <f>VLOOKUP(V207,'bic broker'!$A$1:$B$14,2,FALSE)</f>
        <v>JBBRFRPPXXX</v>
      </c>
      <c r="Z207" s="1090" t="str">
        <f>VLOOKUP(AA207,'place of settlement'!A:C,2,FALSE)</f>
        <v>CAETAU21XXX</v>
      </c>
      <c r="AA207" s="1090" t="str">
        <f t="shared" si="45"/>
        <v>AU</v>
      </c>
      <c r="AB207" s="1090" t="str">
        <f t="shared" si="46"/>
        <v>KeplerAU</v>
      </c>
      <c r="AC207" s="1090" t="str">
        <f>VLOOKUP(AB207,sample!$1:$1048576,2,FALSE)</f>
        <v>SOGEFRPPTIT</v>
      </c>
      <c r="AD207" s="1090" t="str">
        <f>VLOOKUP($AB207,sample!$1:$1048576,3,FALSE)</f>
        <v>CAETAU21</v>
      </c>
      <c r="AE207" s="1091">
        <f>VLOOKUP($AB207,sample!$1:$1048576,4,FALSE)</f>
        <v>2063630000</v>
      </c>
      <c r="AF207" s="1090" t="str">
        <f>VLOOKUP($AB207,sample!$1:$1048576,5,FALSE)</f>
        <v>N</v>
      </c>
      <c r="AL207" s="1091" t="str">
        <f>VLOOKUP($AB207,sample!$1:$1048576,11,FALSE)</f>
        <v xml:space="preserve">        </v>
      </c>
      <c r="AM207" s="1091" t="str">
        <f>VLOOKUP($AB207,sample!$1:$1048576,12,FALSE)</f>
        <v xml:space="preserve">        </v>
      </c>
      <c r="AN207" s="1091" t="str">
        <f>VLOOKUP($AB207,sample!$1:$1048576,13,FALSE)</f>
        <v>CITIAU3XXXX</v>
      </c>
      <c r="AP207" s="1111"/>
    </row>
    <row r="208" spans="1:42" ht="14">
      <c r="A208" s="920">
        <v>201900205</v>
      </c>
      <c r="B208" s="1004">
        <v>43850</v>
      </c>
      <c r="C208" s="998" t="s">
        <v>137</v>
      </c>
      <c r="D208" s="1108" t="str">
        <f>IFERROR(VLOOKUP(G208,PosAggregate!$B$13:$B$93,1,FALSE),"")</f>
        <v/>
      </c>
      <c r="E208" s="880" t="s">
        <v>1676</v>
      </c>
      <c r="F208" s="1132" t="str">
        <f t="shared" si="47"/>
        <v/>
      </c>
      <c r="G208" s="701" t="s">
        <v>1648</v>
      </c>
      <c r="I208" s="950" t="s">
        <v>1652</v>
      </c>
      <c r="J208" s="950" t="s">
        <v>125</v>
      </c>
      <c r="K208" s="855">
        <v>1673</v>
      </c>
      <c r="L208" s="951"/>
      <c r="M208" s="952">
        <v>4200</v>
      </c>
      <c r="N208" s="1092">
        <f t="shared" si="41"/>
        <v>-7026600</v>
      </c>
      <c r="O208" s="1002">
        <v>-3513</v>
      </c>
      <c r="R208" s="1096">
        <f t="shared" si="42"/>
        <v>-7030113</v>
      </c>
      <c r="S208" s="855">
        <v>122.12267707455554</v>
      </c>
      <c r="T208" s="1101">
        <f t="shared" si="43"/>
        <v>-57565.99157835474</v>
      </c>
      <c r="U208" s="956">
        <v>43853</v>
      </c>
      <c r="V208" s="948" t="s">
        <v>1113</v>
      </c>
      <c r="W208" s="957">
        <v>43850.69378854167</v>
      </c>
      <c r="X208" s="1089">
        <f t="shared" si="44"/>
        <v>4.9995730509777139E-2</v>
      </c>
      <c r="Y208" s="1090" t="str">
        <f>VLOOKUP(V208,'bic broker'!$A$1:$B$14,2,FALSE)</f>
        <v>JBBRFRPPXXX</v>
      </c>
      <c r="Z208" s="1090" t="str">
        <f>VLOOKUP(AA208,'place of settlement'!A:C,2,FALSE)</f>
        <v>JJSDJPJTXXX</v>
      </c>
      <c r="AA208" s="1090" t="str">
        <f t="shared" si="45"/>
        <v>JP</v>
      </c>
      <c r="AB208" s="1090" t="str">
        <f t="shared" si="46"/>
        <v>KeplerJP</v>
      </c>
      <c r="AC208" s="1090" t="str">
        <f>VLOOKUP(AB208,sample!$1:$1048576,2,FALSE)</f>
        <v>SOGEFRPPTIT</v>
      </c>
      <c r="AD208" s="1090" t="str">
        <f>VLOOKUP($AB208,sample!$1:$1048576,3,FALSE)</f>
        <v>JJSDJPJTXXX</v>
      </c>
      <c r="AE208" s="1091">
        <f>VLOOKUP($AB208,sample!$1:$1048576,4,FALSE)</f>
        <v>222446</v>
      </c>
      <c r="AF208" s="1090" t="str">
        <f>VLOOKUP($AB208,sample!$1:$1048576,5,FALSE)</f>
        <v>N</v>
      </c>
      <c r="AL208" s="1091" t="str">
        <f>VLOOKUP($AB208,sample!$1:$1048576,11,FALSE)</f>
        <v xml:space="preserve">        </v>
      </c>
      <c r="AM208" s="1091" t="str">
        <f>VLOOKUP($AB208,sample!$1:$1048576,12,FALSE)</f>
        <v xml:space="preserve">        </v>
      </c>
      <c r="AN208" s="1091" t="str">
        <f>VLOOKUP($AB208,sample!$1:$1048576,13,FALSE)</f>
        <v>CITIJPJTXXX</v>
      </c>
      <c r="AP208" s="1111"/>
    </row>
    <row r="209" spans="1:42" ht="14">
      <c r="A209" s="920">
        <v>201900206</v>
      </c>
      <c r="B209" s="1004">
        <v>43851</v>
      </c>
      <c r="C209" s="998" t="s">
        <v>137</v>
      </c>
      <c r="D209" s="1108" t="str">
        <f>IFERROR(VLOOKUP(G209,PosAggregate!$B$13:$B$93,1,FALSE),"")</f>
        <v/>
      </c>
      <c r="E209" s="880" t="s">
        <v>1236</v>
      </c>
      <c r="F209" s="1132" t="str">
        <f t="shared" si="47"/>
        <v/>
      </c>
      <c r="G209" s="701" t="s">
        <v>1656</v>
      </c>
      <c r="I209" s="950" t="s">
        <v>1126</v>
      </c>
      <c r="J209" s="950" t="s">
        <v>125</v>
      </c>
      <c r="K209" s="855">
        <v>2157.9090999999999</v>
      </c>
      <c r="L209" s="951"/>
      <c r="M209" s="952">
        <v>1100</v>
      </c>
      <c r="N209" s="1092">
        <f t="shared" si="41"/>
        <v>-2373700.0099999998</v>
      </c>
      <c r="O209" s="1002">
        <v>-1187</v>
      </c>
      <c r="R209" s="1096">
        <f t="shared" si="42"/>
        <v>-2374887.0099999998</v>
      </c>
      <c r="S209" s="855">
        <v>121.34317952672721</v>
      </c>
      <c r="T209" s="1101">
        <f t="shared" si="43"/>
        <v>-19571.656349064961</v>
      </c>
      <c r="U209" s="956">
        <v>43853</v>
      </c>
      <c r="V209" s="948" t="s">
        <v>1113</v>
      </c>
      <c r="W209" s="957">
        <v>43851.70028125</v>
      </c>
      <c r="X209" s="1089">
        <f t="shared" si="44"/>
        <v>5.0006319037762495E-2</v>
      </c>
      <c r="Y209" s="1090" t="str">
        <f>VLOOKUP(V209,'bic broker'!$A$1:$B$14,2,FALSE)</f>
        <v>JBBRFRPPXXX</v>
      </c>
      <c r="Z209" s="1090" t="str">
        <f>VLOOKUP(AA209,'place of settlement'!A:C,2,FALSE)</f>
        <v>JJSDJPJTXXX</v>
      </c>
      <c r="AA209" s="1090" t="str">
        <f t="shared" si="45"/>
        <v>JP</v>
      </c>
      <c r="AB209" s="1090" t="str">
        <f t="shared" si="46"/>
        <v>KeplerJP</v>
      </c>
      <c r="AC209" s="1090" t="str">
        <f>VLOOKUP(AB209,sample!$1:$1048576,2,FALSE)</f>
        <v>SOGEFRPPTIT</v>
      </c>
      <c r="AD209" s="1090" t="str">
        <f>VLOOKUP($AB209,sample!$1:$1048576,3,FALSE)</f>
        <v>JJSDJPJTXXX</v>
      </c>
      <c r="AE209" s="1091">
        <f>VLOOKUP($AB209,sample!$1:$1048576,4,FALSE)</f>
        <v>222446</v>
      </c>
      <c r="AF209" s="1090" t="str">
        <f>VLOOKUP($AB209,sample!$1:$1048576,5,FALSE)</f>
        <v>N</v>
      </c>
      <c r="AL209" s="1091" t="str">
        <f>VLOOKUP($AB209,sample!$1:$1048576,11,FALSE)</f>
        <v xml:space="preserve">        </v>
      </c>
      <c r="AM209" s="1091" t="str">
        <f>VLOOKUP($AB209,sample!$1:$1048576,12,FALSE)</f>
        <v xml:space="preserve">        </v>
      </c>
      <c r="AN209" s="1091" t="str">
        <f>VLOOKUP($AB209,sample!$1:$1048576,13,FALSE)</f>
        <v>CITIJPJTXXX</v>
      </c>
      <c r="AP209" s="1111"/>
    </row>
    <row r="210" spans="1:42" ht="14">
      <c r="A210" s="920">
        <v>201900207</v>
      </c>
      <c r="B210" s="1004">
        <v>43852</v>
      </c>
      <c r="C210" s="998" t="s">
        <v>137</v>
      </c>
      <c r="D210" s="1108" t="str">
        <f>IFERROR(VLOOKUP(G210,PosAggregate!$B$13:$B$93,1,FALSE),"")</f>
        <v/>
      </c>
      <c r="E210" s="880" t="s">
        <v>1702</v>
      </c>
      <c r="F210" s="1132" t="str">
        <f t="shared" si="47"/>
        <v/>
      </c>
      <c r="G210" s="701" t="s">
        <v>1715</v>
      </c>
      <c r="I210" s="950" t="s">
        <v>1703</v>
      </c>
      <c r="J210" s="950" t="s">
        <v>2</v>
      </c>
      <c r="K210" s="855">
        <v>179.63229999999999</v>
      </c>
      <c r="L210" s="951"/>
      <c r="M210" s="952">
        <v>320</v>
      </c>
      <c r="N210" s="1092">
        <f t="shared" si="41"/>
        <v>-57482.335999999996</v>
      </c>
      <c r="O210" s="1002">
        <v>-28.74</v>
      </c>
      <c r="R210" s="1096">
        <f t="shared" si="42"/>
        <v>-57511.075999999994</v>
      </c>
      <c r="S210" s="855">
        <v>1</v>
      </c>
      <c r="T210" s="1101">
        <f t="shared" si="43"/>
        <v>-57511.075999999994</v>
      </c>
      <c r="U210" s="956">
        <v>43854</v>
      </c>
      <c r="V210" s="948" t="s">
        <v>1113</v>
      </c>
      <c r="W210" s="957">
        <v>43852.484681712966</v>
      </c>
      <c r="X210" s="1089">
        <f t="shared" si="44"/>
        <v>4.9997968071443716E-2</v>
      </c>
      <c r="Y210" s="1090" t="str">
        <f>VLOOKUP(V210,'bic broker'!$A$1:$B$14,2,FALSE)</f>
        <v>JBBRFRPPXXX</v>
      </c>
      <c r="Z210" s="1090" t="str">
        <f>VLOOKUP(AA210,'place of settlement'!A:C,2,FALSE)</f>
        <v>DAKVDEFFXXX</v>
      </c>
      <c r="AA210" s="1090" t="str">
        <f t="shared" si="45"/>
        <v>DE</v>
      </c>
      <c r="AB210" s="1090" t="str">
        <f t="shared" si="46"/>
        <v>KeplerDE</v>
      </c>
      <c r="AC210" s="1090" t="str">
        <f>VLOOKUP(AB210,sample!$1:$1048576,2,FALSE)</f>
        <v>PAREFRPPXXX</v>
      </c>
      <c r="AD210" s="1090" t="str">
        <f>VLOOKUP($AB210,sample!$1:$1048576,3,FALSE)</f>
        <v>DAKVDEFFXXX</v>
      </c>
      <c r="AE210" s="1091" t="str">
        <f>VLOOKUP($AB210,sample!$1:$1048576,4,FALSE)</f>
        <v>DAKV 8448</v>
      </c>
      <c r="AF210" s="1090" t="str">
        <f>VLOOKUP($AB210,sample!$1:$1048576,5,FALSE)</f>
        <v>N</v>
      </c>
      <c r="AL210" s="1091" t="str">
        <f>VLOOKUP($AB210,sample!$1:$1048576,11,FALSE)</f>
        <v xml:space="preserve">        </v>
      </c>
      <c r="AM210" s="1091" t="str">
        <f>VLOOKUP($AB210,sample!$1:$1048576,12,FALSE)</f>
        <v xml:space="preserve">        </v>
      </c>
      <c r="AN210" s="1091" t="str">
        <f>VLOOKUP($AB210,sample!$1:$1048576,13,FALSE)</f>
        <v>SGABCHZZ448</v>
      </c>
      <c r="AP210" s="1111"/>
    </row>
    <row r="211" spans="1:42" ht="14">
      <c r="A211" s="920">
        <v>201900208</v>
      </c>
      <c r="B211" s="1004">
        <v>43852</v>
      </c>
      <c r="C211" s="998" t="s">
        <v>137</v>
      </c>
      <c r="D211" s="1108" t="str">
        <f>IFERROR(VLOOKUP(G211,PosAggregate!$B$13:$B$93,1,FALSE),"")</f>
        <v/>
      </c>
      <c r="E211" s="880" t="s">
        <v>1236</v>
      </c>
      <c r="F211" s="1132" t="str">
        <f t="shared" si="47"/>
        <v/>
      </c>
      <c r="G211" s="701" t="s">
        <v>1656</v>
      </c>
      <c r="I211" s="950" t="s">
        <v>1126</v>
      </c>
      <c r="J211" s="950" t="s">
        <v>125</v>
      </c>
      <c r="K211" s="855">
        <v>2169.7647000000002</v>
      </c>
      <c r="L211" s="951"/>
      <c r="M211" s="952">
        <v>1700</v>
      </c>
      <c r="N211" s="1092">
        <f t="shared" si="41"/>
        <v>-3688599.99</v>
      </c>
      <c r="O211" s="1002">
        <v>-1844</v>
      </c>
      <c r="R211" s="1096">
        <f t="shared" si="42"/>
        <v>-3690443.99</v>
      </c>
      <c r="S211" s="855">
        <v>121.74741788199846</v>
      </c>
      <c r="T211" s="1101">
        <f t="shared" si="43"/>
        <v>-30312.297822832661</v>
      </c>
      <c r="U211" s="956">
        <v>43854</v>
      </c>
      <c r="V211" s="948" t="s">
        <v>1113</v>
      </c>
      <c r="W211" s="957">
        <v>43852.702439930552</v>
      </c>
      <c r="X211" s="1089">
        <f t="shared" si="44"/>
        <v>4.9991866968475483E-2</v>
      </c>
      <c r="Y211" s="1090" t="str">
        <f>VLOOKUP(V211,'bic broker'!$A$1:$B$14,2,FALSE)</f>
        <v>JBBRFRPPXXX</v>
      </c>
      <c r="Z211" s="1090" t="str">
        <f>VLOOKUP(AA211,'place of settlement'!A:C,2,FALSE)</f>
        <v>JJSDJPJTXXX</v>
      </c>
      <c r="AA211" s="1090" t="str">
        <f t="shared" si="45"/>
        <v>JP</v>
      </c>
      <c r="AB211" s="1090" t="str">
        <f t="shared" si="46"/>
        <v>KeplerJP</v>
      </c>
      <c r="AC211" s="1090" t="str">
        <f>VLOOKUP(AB211,sample!$1:$1048576,2,FALSE)</f>
        <v>SOGEFRPPTIT</v>
      </c>
      <c r="AD211" s="1090" t="str">
        <f>VLOOKUP($AB211,sample!$1:$1048576,3,FALSE)</f>
        <v>JJSDJPJTXXX</v>
      </c>
      <c r="AE211" s="1091">
        <f>VLOOKUP($AB211,sample!$1:$1048576,4,FALSE)</f>
        <v>222446</v>
      </c>
      <c r="AF211" s="1090" t="str">
        <f>VLOOKUP($AB211,sample!$1:$1048576,5,FALSE)</f>
        <v>N</v>
      </c>
      <c r="AL211" s="1091" t="str">
        <f>VLOOKUP($AB211,sample!$1:$1048576,11,FALSE)</f>
        <v xml:space="preserve">        </v>
      </c>
      <c r="AM211" s="1091" t="str">
        <f>VLOOKUP($AB211,sample!$1:$1048576,12,FALSE)</f>
        <v xml:space="preserve">        </v>
      </c>
      <c r="AN211" s="1091" t="str">
        <f>VLOOKUP($AB211,sample!$1:$1048576,13,FALSE)</f>
        <v>CITIJPJTXXX</v>
      </c>
      <c r="AP211" s="1111"/>
    </row>
    <row r="212" spans="1:42" ht="14">
      <c r="A212" s="1026">
        <v>2019200230</v>
      </c>
      <c r="B212" s="1004">
        <v>43852</v>
      </c>
      <c r="C212" s="998" t="s">
        <v>137</v>
      </c>
      <c r="D212" s="1108" t="str">
        <f>IFERROR(VLOOKUP(G212,PosAggregate!$B$13:$B$93,1,FALSE),"")</f>
        <v/>
      </c>
      <c r="E212" s="880" t="s">
        <v>1234</v>
      </c>
      <c r="F212" s="1132" t="str">
        <f t="shared" si="47"/>
        <v/>
      </c>
      <c r="G212" s="701" t="s">
        <v>1713</v>
      </c>
      <c r="I212" s="950" t="s">
        <v>1184</v>
      </c>
      <c r="J212" s="950" t="s">
        <v>125</v>
      </c>
      <c r="K212" s="855">
        <v>865.91039999999998</v>
      </c>
      <c r="L212" s="951"/>
      <c r="M212" s="952">
        <v>6700</v>
      </c>
      <c r="N212" s="1092">
        <f t="shared" si="41"/>
        <v>-5801599.6799999997</v>
      </c>
      <c r="O212" s="1002">
        <v>-2901</v>
      </c>
      <c r="R212" s="1096">
        <f t="shared" si="42"/>
        <v>-5804500.6799999997</v>
      </c>
      <c r="S212" s="855">
        <v>121.74741788199835</v>
      </c>
      <c r="T212" s="1101">
        <f t="shared" si="43"/>
        <v>-47676.581409109764</v>
      </c>
      <c r="U212" s="956">
        <v>43854</v>
      </c>
      <c r="V212" s="948" t="s">
        <v>1113</v>
      </c>
      <c r="W212" s="957">
        <v>43852.711632523147</v>
      </c>
      <c r="X212" s="1089">
        <f t="shared" si="44"/>
        <v>5.0003450082926101E-2</v>
      </c>
      <c r="Y212" s="1090" t="str">
        <f>VLOOKUP(V212,'bic broker'!$A$1:$B$14,2,FALSE)</f>
        <v>JBBRFRPPXXX</v>
      </c>
      <c r="Z212" s="1090" t="str">
        <f>VLOOKUP(AA212,'place of settlement'!A:C,2,FALSE)</f>
        <v>JJSDJPJTXXX</v>
      </c>
      <c r="AA212" s="1090" t="str">
        <f t="shared" si="45"/>
        <v>JP</v>
      </c>
      <c r="AB212" s="1090" t="str">
        <f t="shared" si="46"/>
        <v>KeplerJP</v>
      </c>
      <c r="AC212" s="1090" t="str">
        <f>VLOOKUP(AB212,sample!$1:$1048576,2,FALSE)</f>
        <v>SOGEFRPPTIT</v>
      </c>
      <c r="AD212" s="1090" t="str">
        <f>VLOOKUP($AB212,sample!$1:$1048576,3,FALSE)</f>
        <v>JJSDJPJTXXX</v>
      </c>
      <c r="AE212" s="1091">
        <f>VLOOKUP($AB212,sample!$1:$1048576,4,FALSE)</f>
        <v>222446</v>
      </c>
      <c r="AF212" s="1090" t="str">
        <f>VLOOKUP($AB212,sample!$1:$1048576,5,FALSE)</f>
        <v>N</v>
      </c>
      <c r="AG212" s="1002"/>
      <c r="AL212" s="1091" t="str">
        <f>VLOOKUP($AB212,sample!$1:$1048576,11,FALSE)</f>
        <v xml:space="preserve">        </v>
      </c>
      <c r="AM212" s="1091" t="str">
        <f>VLOOKUP($AB212,sample!$1:$1048576,12,FALSE)</f>
        <v xml:space="preserve">        </v>
      </c>
      <c r="AN212" s="1091" t="str">
        <f>VLOOKUP($AB212,sample!$1:$1048576,13,FALSE)</f>
        <v>CITIJPJTXXX</v>
      </c>
      <c r="AP212" s="1111"/>
    </row>
    <row r="213" spans="1:42" ht="14">
      <c r="A213" s="1026">
        <v>2019200231</v>
      </c>
      <c r="B213" s="1027">
        <v>43854</v>
      </c>
      <c r="C213" s="998" t="s">
        <v>137</v>
      </c>
      <c r="D213" s="1108" t="str">
        <f>IFERROR(VLOOKUP(G213,PosAggregate!$B$13:$B$93,1,FALSE),"")</f>
        <v/>
      </c>
      <c r="E213" s="880" t="s">
        <v>2101</v>
      </c>
      <c r="F213" s="1132" t="str">
        <f t="shared" si="47"/>
        <v/>
      </c>
      <c r="G213" s="701" t="s">
        <v>1730</v>
      </c>
      <c r="I213" s="950" t="s">
        <v>12882</v>
      </c>
      <c r="J213" s="950" t="s">
        <v>124</v>
      </c>
      <c r="K213" s="855">
        <v>8.7573000000000008</v>
      </c>
      <c r="L213" s="951"/>
      <c r="M213" s="952">
        <v>4800</v>
      </c>
      <c r="N213" s="1092">
        <f t="shared" si="41"/>
        <v>-42035.040000000001</v>
      </c>
      <c r="O213" s="1002">
        <v>-25.22</v>
      </c>
      <c r="P213" s="1002">
        <v>-211.2</v>
      </c>
      <c r="R213" s="1096">
        <f t="shared" si="42"/>
        <v>-42271.46</v>
      </c>
      <c r="S213" s="855">
        <v>0.84232048717410501</v>
      </c>
      <c r="T213" s="1101">
        <f t="shared" si="43"/>
        <v>-50184.532661453144</v>
      </c>
      <c r="U213" s="956">
        <v>43858</v>
      </c>
      <c r="V213" s="948" t="s">
        <v>12722</v>
      </c>
      <c r="W213" s="957">
        <v>43854.368278587965</v>
      </c>
      <c r="X213" s="1089">
        <f t="shared" si="44"/>
        <v>5.9997563937134353E-2</v>
      </c>
      <c r="Y213" s="1090" t="e">
        <f>VLOOKUP(V213,'bic broker'!$A$1:$B$14,2,FALSE)</f>
        <v>#N/A</v>
      </c>
      <c r="Z213" s="1090" t="str">
        <f>VLOOKUP(AA213,'place of settlement'!A:C,2,FALSE)</f>
        <v>CRSTGB22XXX</v>
      </c>
      <c r="AA213" s="1090" t="str">
        <f t="shared" si="45"/>
        <v>GB</v>
      </c>
      <c r="AB213" s="827" t="s">
        <v>12721</v>
      </c>
      <c r="AC213" s="1090" t="e">
        <f>VLOOKUP(AB213,sample!$1:$1048576,2,FALSE)</f>
        <v>#N/A</v>
      </c>
      <c r="AD213" s="1090" t="e">
        <f>VLOOKUP($AB213,sample!$1:$1048576,3,FALSE)</f>
        <v>#N/A</v>
      </c>
      <c r="AE213" s="1091" t="e">
        <f>VLOOKUP($AB213,sample!$1:$1048576,4,FALSE)</f>
        <v>#N/A</v>
      </c>
      <c r="AF213" s="1090" t="e">
        <f>VLOOKUP($AB213,sample!$1:$1048576,5,FALSE)</f>
        <v>#N/A</v>
      </c>
      <c r="AG213" s="1002"/>
      <c r="AL213" s="1091" t="e">
        <f>VLOOKUP($AB213,sample!$1:$1048576,11,FALSE)</f>
        <v>#N/A</v>
      </c>
      <c r="AM213" s="1091" t="e">
        <f>VLOOKUP($AB213,sample!$1:$1048576,12,FALSE)</f>
        <v>#N/A</v>
      </c>
      <c r="AN213" s="1091" t="e">
        <f>VLOOKUP($AB213,sample!$1:$1048576,13,FALSE)</f>
        <v>#N/A</v>
      </c>
      <c r="AP213" s="1111"/>
    </row>
    <row r="214" spans="1:42" ht="14">
      <c r="A214" s="1026">
        <v>2019200232</v>
      </c>
      <c r="B214" s="1004">
        <v>43854</v>
      </c>
      <c r="C214" s="998" t="s">
        <v>137</v>
      </c>
      <c r="D214" s="1108" t="str">
        <f>IFERROR(VLOOKUP(G214,PosAggregate!$B$13:$B$93,1,FALSE),"")</f>
        <v/>
      </c>
      <c r="E214" s="880" t="s">
        <v>1268</v>
      </c>
      <c r="F214" s="1132" t="str">
        <f t="shared" si="47"/>
        <v/>
      </c>
      <c r="G214" s="701" t="s">
        <v>1219</v>
      </c>
      <c r="I214" s="950" t="s">
        <v>132</v>
      </c>
      <c r="J214" s="950" t="s">
        <v>2</v>
      </c>
      <c r="K214" s="855">
        <v>36.413049999999998</v>
      </c>
      <c r="L214" s="951"/>
      <c r="M214" s="952">
        <v>1100</v>
      </c>
      <c r="N214" s="1092">
        <f t="shared" si="41"/>
        <v>-40054.354999999996</v>
      </c>
      <c r="O214" s="1002">
        <v>-12.02</v>
      </c>
      <c r="P214" s="1002">
        <v>-120.16</v>
      </c>
      <c r="R214" s="1096">
        <f t="shared" si="42"/>
        <v>-40186.534999999996</v>
      </c>
      <c r="S214" s="855">
        <v>1</v>
      </c>
      <c r="T214" s="1101">
        <f t="shared" si="43"/>
        <v>-40186.534999999996</v>
      </c>
      <c r="U214" s="956">
        <v>43858</v>
      </c>
      <c r="V214" s="948" t="s">
        <v>1725</v>
      </c>
      <c r="W214" s="957">
        <v>43854.679037615744</v>
      </c>
      <c r="X214" s="1089">
        <f t="shared" si="44"/>
        <v>3.0009221219515332E-2</v>
      </c>
      <c r="Y214" s="1090" t="str">
        <f>VLOOKUP(V214,'bic broker'!$A$1:$B$14,2,FALSE)</f>
        <v>TAVSGB21XXX</v>
      </c>
      <c r="Z214" s="1090" t="str">
        <f>VLOOKUP(AA214,'place of settlement'!A:C,2,FALSE)</f>
        <v>SICVFRPPXXX</v>
      </c>
      <c r="AA214" s="1090" t="str">
        <f t="shared" si="45"/>
        <v>FR</v>
      </c>
      <c r="AB214" s="1090" t="str">
        <f t="shared" si="46"/>
        <v>Tavira SecuritiesFR</v>
      </c>
      <c r="AC214" s="1090" t="str">
        <f>VLOOKUP(AB214,sample!$1:$1048576,2,FALSE)</f>
        <v>GSILGB2XXXX</v>
      </c>
      <c r="AD214" s="1090" t="str">
        <f>VLOOKUP($AB214,sample!$1:$1048576,3,FALSE)</f>
        <v>SICVFRPPXXX</v>
      </c>
      <c r="AE214" s="1091" t="str">
        <f>VLOOKUP($AB214,sample!$1:$1048576,4,FALSE)</f>
        <v>SICVPARBFRPPXXX000L10</v>
      </c>
      <c r="AF214" s="1090" t="str">
        <f>VLOOKUP($AB214,sample!$1:$1048576,5,FALSE)</f>
        <v>N</v>
      </c>
      <c r="AL214" s="1091" t="str">
        <f>VLOOKUP($AB214,sample!$1:$1048576,11,FALSE)</f>
        <v xml:space="preserve">        </v>
      </c>
      <c r="AM214" s="1091" t="str">
        <f>VLOOKUP($AB214,sample!$1:$1048576,12,FALSE)</f>
        <v xml:space="preserve">        </v>
      </c>
      <c r="AN214" s="1091" t="str">
        <f>VLOOKUP($AB214,sample!$1:$1048576,13,FALSE)</f>
        <v>PARBFRPPXXX</v>
      </c>
      <c r="AP214" s="1111"/>
    </row>
    <row r="215" spans="1:42" ht="14">
      <c r="A215" s="1026">
        <v>2019200233</v>
      </c>
      <c r="B215" s="1027">
        <v>43854</v>
      </c>
      <c r="C215" s="998" t="s">
        <v>137</v>
      </c>
      <c r="D215" s="1108" t="str">
        <f>IFERROR(VLOOKUP(G215,PosAggregate!$B$13:$B$93,1,FALSE),"")</f>
        <v/>
      </c>
      <c r="E215" s="880" t="s">
        <v>2102</v>
      </c>
      <c r="F215" s="1132" t="str">
        <f t="shared" si="47"/>
        <v/>
      </c>
      <c r="G215" s="701" t="s">
        <v>1731</v>
      </c>
      <c r="I215" s="950" t="s">
        <v>12791</v>
      </c>
      <c r="J215" s="950" t="s">
        <v>124</v>
      </c>
      <c r="K215" s="855">
        <v>2.30457</v>
      </c>
      <c r="L215" s="951"/>
      <c r="M215" s="952">
        <v>17000</v>
      </c>
      <c r="N215" s="1092">
        <f t="shared" si="41"/>
        <v>-39177.69</v>
      </c>
      <c r="O215" s="1002">
        <v>-12.75</v>
      </c>
      <c r="R215" s="1096">
        <f t="shared" si="42"/>
        <v>-39190.44</v>
      </c>
      <c r="S215" s="855">
        <v>0.84232048717410402</v>
      </c>
      <c r="T215" s="1101">
        <f t="shared" si="43"/>
        <v>-46526.756260529502</v>
      </c>
      <c r="U215" s="956">
        <v>43858</v>
      </c>
      <c r="V215" s="948" t="s">
        <v>1725</v>
      </c>
      <c r="W215" s="957">
        <v>43854.680190277781</v>
      </c>
      <c r="X215" s="1089">
        <f t="shared" si="44"/>
        <v>3.2544032075398008E-2</v>
      </c>
      <c r="Y215" s="1090" t="str">
        <f>VLOOKUP(V215,'bic broker'!$A$1:$B$14,2,FALSE)</f>
        <v>TAVSGB21XXX</v>
      </c>
      <c r="Z215" s="1090" t="str">
        <f>VLOOKUP(AA215,'place of settlement'!A:C,2,FALSE)</f>
        <v>CRSTGB22XXX</v>
      </c>
      <c r="AA215" s="1090" t="str">
        <f t="shared" si="45"/>
        <v>JE</v>
      </c>
      <c r="AB215" s="1090" t="str">
        <f t="shared" si="46"/>
        <v>Tavira SecuritiesJE</v>
      </c>
      <c r="AC215" s="1090" t="str">
        <f>VLOOKUP(AB215,sample!$1:$1048576,2,FALSE)</f>
        <v>GSILGB2XXXX</v>
      </c>
      <c r="AD215" s="1090" t="str">
        <f>VLOOKUP($AB215,sample!$1:$1048576,3,FALSE)</f>
        <v>CRSTGB22</v>
      </c>
      <c r="AE215" s="1091" t="str">
        <f>VLOOKUP($AB215,sample!$1:$1048576,4,FALSE)</f>
        <v xml:space="preserve">        </v>
      </c>
      <c r="AF215" s="1090" t="str">
        <f>VLOOKUP($AB215,sample!$1:$1048576,5,FALSE)</f>
        <v>N</v>
      </c>
      <c r="AL215" s="1091" t="str">
        <f>VLOOKUP($AB215,sample!$1:$1048576,11,FALSE)</f>
        <v>CRST</v>
      </c>
      <c r="AM215" s="1091">
        <f>VLOOKUP($AB215,sample!$1:$1048576,12,FALSE)</f>
        <v>303</v>
      </c>
      <c r="AN215" s="1091" t="str">
        <f>VLOOKUP($AB215,sample!$1:$1048576,13,FALSE)</f>
        <v>GSILGB2XXXX</v>
      </c>
      <c r="AP215" s="1111"/>
    </row>
    <row r="216" spans="1:42" ht="14">
      <c r="A216" s="1026">
        <v>2019200234</v>
      </c>
      <c r="B216" s="1004">
        <v>43854</v>
      </c>
      <c r="C216" s="998" t="s">
        <v>137</v>
      </c>
      <c r="D216" s="1108" t="str">
        <f>IFERROR(VLOOKUP(G216,PosAggregate!$B$13:$B$93,1,FALSE),"")</f>
        <v/>
      </c>
      <c r="E216" s="880" t="s">
        <v>1674</v>
      </c>
      <c r="F216" s="1132" t="str">
        <f t="shared" si="47"/>
        <v/>
      </c>
      <c r="G216" s="701" t="s">
        <v>1646</v>
      </c>
      <c r="I216" s="950" t="s">
        <v>1650</v>
      </c>
      <c r="J216" s="950" t="s">
        <v>3</v>
      </c>
      <c r="K216" s="855">
        <v>11.164400000000001</v>
      </c>
      <c r="L216" s="951"/>
      <c r="M216" s="952">
        <v>4200</v>
      </c>
      <c r="N216" s="1092">
        <f t="shared" si="41"/>
        <v>-46890.48</v>
      </c>
      <c r="O216" s="1002">
        <v>-23.45</v>
      </c>
      <c r="R216" s="1096">
        <f t="shared" si="42"/>
        <v>-46913.93</v>
      </c>
      <c r="S216" s="855">
        <v>1.1052044075551775</v>
      </c>
      <c r="T216" s="1101">
        <f t="shared" si="43"/>
        <v>-42448.193003299995</v>
      </c>
      <c r="U216" s="956">
        <v>43858</v>
      </c>
      <c r="V216" s="948" t="s">
        <v>1725</v>
      </c>
      <c r="W216" s="957">
        <v>43854.877661458333</v>
      </c>
      <c r="X216" s="1089">
        <f t="shared" si="44"/>
        <v>5.0010151314296626E-2</v>
      </c>
      <c r="Y216" s="1090" t="str">
        <f>VLOOKUP(V216,'bic broker'!$A$1:$B$14,2,FALSE)</f>
        <v>TAVSGB21XXX</v>
      </c>
      <c r="Z216" s="1090" t="str">
        <f>VLOOKUP(AA216,'place of settlement'!A:C,2,FALSE)</f>
        <v>DTCYUS33XXX</v>
      </c>
      <c r="AA216" s="1090" t="str">
        <f t="shared" si="45"/>
        <v>US</v>
      </c>
      <c r="AB216" s="1090" t="str">
        <f t="shared" si="46"/>
        <v>Tavira SecuritiesUS</v>
      </c>
      <c r="AC216" s="1090" t="str">
        <f>VLOOKUP(AB216,sample!$1:$1048576,2,FALSE)</f>
        <v>GSILGB2XXXX</v>
      </c>
      <c r="AD216" s="1090" t="str">
        <f>VLOOKUP($AB216,sample!$1:$1048576,3,FALSE)</f>
        <v>DTCYUS33</v>
      </c>
      <c r="AE216" s="1091" t="str">
        <f>VLOOKUP($AB216,sample!$1:$1048576,4,FALSE)</f>
        <v xml:space="preserve">        </v>
      </c>
      <c r="AF216" s="1090" t="str">
        <f>VLOOKUP($AB216,sample!$1:$1048576,5,FALSE)</f>
        <v>N</v>
      </c>
      <c r="AL216" s="1091" t="str">
        <f>VLOOKUP($AB216,sample!$1:$1048576,11,FALSE)</f>
        <v>DTCYID</v>
      </c>
      <c r="AM216" s="1091">
        <f>VLOOKUP($AB216,sample!$1:$1048576,12,FALSE)</f>
        <v>5208</v>
      </c>
      <c r="AN216" s="1091" t="str">
        <f>VLOOKUP($AB216,sample!$1:$1048576,13,FALSE)</f>
        <v xml:space="preserve">        </v>
      </c>
      <c r="AP216" s="1111"/>
    </row>
    <row r="217" spans="1:42" ht="14">
      <c r="A217" s="1026">
        <v>2019200235</v>
      </c>
      <c r="B217" s="1004">
        <v>43857</v>
      </c>
      <c r="C217" s="998" t="s">
        <v>137</v>
      </c>
      <c r="D217" s="1108" t="str">
        <f>IFERROR(VLOOKUP(G217,PosAggregate!$B$13:$B$93,1,FALSE),"")</f>
        <v/>
      </c>
      <c r="E217" s="880" t="s">
        <v>1233</v>
      </c>
      <c r="F217" s="1132" t="str">
        <f t="shared" si="47"/>
        <v/>
      </c>
      <c r="G217" s="701" t="s">
        <v>2098</v>
      </c>
      <c r="I217" s="950" t="s">
        <v>1131</v>
      </c>
      <c r="J217" s="950" t="s">
        <v>125</v>
      </c>
      <c r="K217" s="855">
        <v>3208.88042</v>
      </c>
      <c r="L217" s="951"/>
      <c r="M217" s="952">
        <v>3300</v>
      </c>
      <c r="N217" s="1092">
        <f t="shared" si="41"/>
        <v>-10589305.386</v>
      </c>
      <c r="O217" s="1002">
        <v>-3177</v>
      </c>
      <c r="R217" s="1096">
        <f t="shared" si="42"/>
        <v>-10592482.386</v>
      </c>
      <c r="S217" s="855">
        <v>120.44885856325565</v>
      </c>
      <c r="T217" s="1101">
        <f t="shared" si="43"/>
        <v>-87941.741518764058</v>
      </c>
      <c r="U217" s="956">
        <v>43859</v>
      </c>
      <c r="V217" s="948" t="s">
        <v>1725</v>
      </c>
      <c r="W217" s="957">
        <v>43857.081628935186</v>
      </c>
      <c r="X217" s="1089">
        <f t="shared" si="44"/>
        <v>3.000196787411831E-2</v>
      </c>
      <c r="Y217" s="1090" t="str">
        <f>VLOOKUP(V217,'bic broker'!$A$1:$B$14,2,FALSE)</f>
        <v>TAVSGB21XXX</v>
      </c>
      <c r="Z217" s="1090" t="str">
        <f>VLOOKUP(AA217,'place of settlement'!A:C,2,FALSE)</f>
        <v>JJSDJPJTXXX</v>
      </c>
      <c r="AA217" s="1090" t="str">
        <f t="shared" si="45"/>
        <v>JP</v>
      </c>
      <c r="AB217" s="1090" t="str">
        <f t="shared" si="46"/>
        <v>Tavira SecuritiesJP</v>
      </c>
      <c r="AC217" s="1090" t="str">
        <f>VLOOKUP(AB217,sample!$1:$1048576,2,FALSE)</f>
        <v>GSILGB2XXXX</v>
      </c>
      <c r="AD217" s="1090" t="str">
        <f>VLOOKUP($AB217,sample!$1:$1048576,3,FALSE)</f>
        <v>JJSDJPJTXXX</v>
      </c>
      <c r="AE217" s="1091">
        <f>VLOOKUP($AB217,sample!$1:$1048576,4,FALSE)</f>
        <v>6530490016</v>
      </c>
      <c r="AF217" s="1090" t="str">
        <f>VLOOKUP($AB217,sample!$1:$1048576,5,FALSE)</f>
        <v>N</v>
      </c>
      <c r="AL217" s="1091" t="str">
        <f>VLOOKUP($AB217,sample!$1:$1048576,11,FALSE)</f>
        <v xml:space="preserve">                  </v>
      </c>
      <c r="AM217" s="1091" t="str">
        <f>VLOOKUP($AB217,sample!$1:$1048576,12,FALSE)</f>
        <v xml:space="preserve">                          </v>
      </c>
      <c r="AN217" s="1091" t="str">
        <f>VLOOKUP($AB217,sample!$1:$1048576,13,FALSE)</f>
        <v>GOLDJPJXXXX</v>
      </c>
      <c r="AP217" s="1111"/>
    </row>
    <row r="218" spans="1:42" ht="14">
      <c r="A218" s="1026">
        <v>2019200236</v>
      </c>
      <c r="B218" s="1004">
        <v>43857</v>
      </c>
      <c r="C218" s="998" t="s">
        <v>137</v>
      </c>
      <c r="D218" s="1108" t="str">
        <f>IFERROR(VLOOKUP(G218,PosAggregate!$B$13:$B$93,1,FALSE),"")</f>
        <v/>
      </c>
      <c r="E218" s="880" t="s">
        <v>1232</v>
      </c>
      <c r="F218" s="1132" t="str">
        <f t="shared" si="47"/>
        <v/>
      </c>
      <c r="G218" s="701" t="s">
        <v>1180</v>
      </c>
      <c r="I218" s="950" t="s">
        <v>1122</v>
      </c>
      <c r="J218" s="950" t="s">
        <v>125</v>
      </c>
      <c r="K218" s="855">
        <v>1104.7809500000001</v>
      </c>
      <c r="L218" s="951"/>
      <c r="M218" s="952">
        <v>4200</v>
      </c>
      <c r="N218" s="1092">
        <f t="shared" si="41"/>
        <v>-4640079.99</v>
      </c>
      <c r="O218" s="1002">
        <v>-1392</v>
      </c>
      <c r="R218" s="1096">
        <f t="shared" si="42"/>
        <v>-4641471.99</v>
      </c>
      <c r="S218" s="855">
        <v>120.44885856325583</v>
      </c>
      <c r="T218" s="1101">
        <f t="shared" si="43"/>
        <v>-38534.794313243328</v>
      </c>
      <c r="U218" s="956">
        <v>43859</v>
      </c>
      <c r="V218" s="948" t="s">
        <v>1725</v>
      </c>
      <c r="W218" s="957">
        <v>43857.083069328706</v>
      </c>
      <c r="X218" s="1089">
        <f t="shared" si="44"/>
        <v>2.9999482832191431E-2</v>
      </c>
      <c r="Y218" s="1090" t="str">
        <f>VLOOKUP(V218,'bic broker'!$A$1:$B$14,2,FALSE)</f>
        <v>TAVSGB21XXX</v>
      </c>
      <c r="Z218" s="1090" t="str">
        <f>VLOOKUP(AA218,'place of settlement'!A:C,2,FALSE)</f>
        <v>JJSDJPJTXXX</v>
      </c>
      <c r="AA218" s="1090" t="str">
        <f t="shared" si="45"/>
        <v>JP</v>
      </c>
      <c r="AB218" s="1090" t="str">
        <f t="shared" si="46"/>
        <v>Tavira SecuritiesJP</v>
      </c>
      <c r="AC218" s="1090" t="str">
        <f>VLOOKUP(AB218,sample!$1:$1048576,2,FALSE)</f>
        <v>GSILGB2XXXX</v>
      </c>
      <c r="AD218" s="1090" t="str">
        <f>VLOOKUP($AB218,sample!$1:$1048576,3,FALSE)</f>
        <v>JJSDJPJTXXX</v>
      </c>
      <c r="AE218" s="1091">
        <f>VLOOKUP($AB218,sample!$1:$1048576,4,FALSE)</f>
        <v>6530490016</v>
      </c>
      <c r="AF218" s="1090" t="str">
        <f>VLOOKUP($AB218,sample!$1:$1048576,5,FALSE)</f>
        <v>N</v>
      </c>
      <c r="AL218" s="1091" t="str">
        <f>VLOOKUP($AB218,sample!$1:$1048576,11,FALSE)</f>
        <v xml:space="preserve">                  </v>
      </c>
      <c r="AM218" s="1091" t="str">
        <f>VLOOKUP($AB218,sample!$1:$1048576,12,FALSE)</f>
        <v xml:space="preserve">                          </v>
      </c>
      <c r="AN218" s="1091" t="str">
        <f>VLOOKUP($AB218,sample!$1:$1048576,13,FALSE)</f>
        <v>GOLDJPJXXXX</v>
      </c>
      <c r="AP218" s="1111"/>
    </row>
    <row r="219" spans="1:42" ht="14">
      <c r="A219" s="1028">
        <v>2019200237</v>
      </c>
      <c r="B219" s="1004">
        <v>43858</v>
      </c>
      <c r="C219" s="998" t="s">
        <v>137</v>
      </c>
      <c r="D219" s="1108" t="str">
        <f>IFERROR(VLOOKUP(G219,PosAggregate!$B$13:$B$93,1,FALSE),"")</f>
        <v/>
      </c>
      <c r="E219" s="880" t="s">
        <v>1723</v>
      </c>
      <c r="F219" s="1132" t="str">
        <f t="shared" si="47"/>
        <v/>
      </c>
      <c r="G219" s="701" t="s">
        <v>1714</v>
      </c>
      <c r="I219" s="950" t="s">
        <v>1724</v>
      </c>
      <c r="J219" s="950" t="s">
        <v>1104</v>
      </c>
      <c r="K219" s="855">
        <v>2.6299700000000001</v>
      </c>
      <c r="L219" s="951"/>
      <c r="M219" s="952">
        <v>22000</v>
      </c>
      <c r="N219" s="1092">
        <f t="shared" si="41"/>
        <v>-57859.340000000004</v>
      </c>
      <c r="O219" s="1002">
        <v>-17.36</v>
      </c>
      <c r="R219" s="1096">
        <f t="shared" si="42"/>
        <v>-57876.700000000004</v>
      </c>
      <c r="S219" s="855">
        <v>1.6143916930301216</v>
      </c>
      <c r="T219" s="1101">
        <f t="shared" si="43"/>
        <v>-35850.469405828473</v>
      </c>
      <c r="U219" s="956">
        <v>43860</v>
      </c>
      <c r="V219" s="948" t="s">
        <v>1725</v>
      </c>
      <c r="W219" s="957">
        <v>43858.050773842595</v>
      </c>
      <c r="X219" s="1089">
        <f t="shared" si="44"/>
        <v>3.0003798868082489E-2</v>
      </c>
      <c r="Y219" s="1090" t="str">
        <f>VLOOKUP(V219,'bic broker'!$A$1:$B$14,2,FALSE)</f>
        <v>TAVSGB21XXX</v>
      </c>
      <c r="Z219" s="1090" t="str">
        <f>VLOOKUP(AA219,'place of settlement'!A:C,2,FALSE)</f>
        <v>CAETAU21XXX</v>
      </c>
      <c r="AA219" s="1090" t="str">
        <f t="shared" si="45"/>
        <v>AU</v>
      </c>
      <c r="AB219" s="1090" t="str">
        <f t="shared" si="46"/>
        <v>Tavira SecuritiesAU</v>
      </c>
      <c r="AC219" s="1090" t="str">
        <f>VLOOKUP(AB219,sample!$1:$1048576,2,FALSE)</f>
        <v>GSILGB2XXXX</v>
      </c>
      <c r="AD219" s="1090" t="str">
        <f>VLOOKUP($AB219,sample!$1:$1048576,3,FALSE)</f>
        <v>CAETAU21</v>
      </c>
      <c r="AE219" s="1091" t="str">
        <f>VLOOKUP($AB219,sample!$1:$1048576,4,FALSE)</f>
        <v>011-109048-061</v>
      </c>
      <c r="AF219" s="1090" t="str">
        <f>VLOOKUP($AB219,sample!$1:$1048576,5,FALSE)</f>
        <v>N</v>
      </c>
      <c r="AL219" s="1091" t="str">
        <f>VLOOKUP($AB219,sample!$1:$1048576,11,FALSE)</f>
        <v xml:space="preserve">        </v>
      </c>
      <c r="AM219" s="1091" t="str">
        <f>VLOOKUP($AB219,sample!$1:$1048576,12,FALSE)</f>
        <v xml:space="preserve">        </v>
      </c>
      <c r="AN219" s="1091" t="str">
        <f>VLOOKUP($AB219,sample!$1:$1048576,13,FALSE)</f>
        <v>HKBAAU2SSYD</v>
      </c>
      <c r="AP219" s="1111"/>
    </row>
    <row r="220" spans="1:42" ht="14">
      <c r="A220" s="1028">
        <v>2019200238</v>
      </c>
      <c r="B220" s="1004">
        <v>43858</v>
      </c>
      <c r="C220" s="998" t="s">
        <v>137</v>
      </c>
      <c r="D220" s="1108" t="str">
        <f>IFERROR(VLOOKUP(G220,PosAggregate!$B$13:$B$93,1,FALSE),"")</f>
        <v/>
      </c>
      <c r="E220" s="880" t="s">
        <v>1243</v>
      </c>
      <c r="F220" s="1132" t="str">
        <f t="shared" si="47"/>
        <v/>
      </c>
      <c r="G220" s="701" t="s">
        <v>1192</v>
      </c>
      <c r="I220" s="950" t="s">
        <v>1144</v>
      </c>
      <c r="J220" s="950" t="s">
        <v>125</v>
      </c>
      <c r="K220" s="855">
        <v>1955.3227300000001</v>
      </c>
      <c r="L220" s="951"/>
      <c r="M220" s="952">
        <v>2200</v>
      </c>
      <c r="N220" s="1092">
        <f t="shared" si="41"/>
        <v>-4301710.0060000001</v>
      </c>
      <c r="O220" s="1002">
        <v>-1291</v>
      </c>
      <c r="R220" s="1096">
        <f t="shared" si="42"/>
        <v>-4303001.0060000001</v>
      </c>
      <c r="S220" s="855">
        <v>119.9532921334699</v>
      </c>
      <c r="T220" s="1101">
        <f t="shared" si="43"/>
        <v>-35872.304373373321</v>
      </c>
      <c r="U220" s="956">
        <v>43860</v>
      </c>
      <c r="V220" s="948" t="s">
        <v>1725</v>
      </c>
      <c r="W220" s="957">
        <v>43858.052674999999</v>
      </c>
      <c r="X220" s="1089">
        <f t="shared" si="44"/>
        <v>3.0011321037432107E-2</v>
      </c>
      <c r="Y220" s="1090" t="str">
        <f>VLOOKUP(V220,'bic broker'!$A$1:$B$14,2,FALSE)</f>
        <v>TAVSGB21XXX</v>
      </c>
      <c r="Z220" s="1090" t="str">
        <f>VLOOKUP(AA220,'place of settlement'!A:C,2,FALSE)</f>
        <v>JJSDJPJTXXX</v>
      </c>
      <c r="AA220" s="1090" t="str">
        <f t="shared" si="45"/>
        <v>JP</v>
      </c>
      <c r="AB220" s="1090" t="str">
        <f t="shared" si="46"/>
        <v>Tavira SecuritiesJP</v>
      </c>
      <c r="AC220" s="1090" t="str">
        <f>VLOOKUP(AB220,sample!$1:$1048576,2,FALSE)</f>
        <v>GSILGB2XXXX</v>
      </c>
      <c r="AD220" s="1090" t="str">
        <f>VLOOKUP($AB220,sample!$1:$1048576,3,FALSE)</f>
        <v>JJSDJPJTXXX</v>
      </c>
      <c r="AE220" s="1091">
        <f>VLOOKUP($AB220,sample!$1:$1048576,4,FALSE)</f>
        <v>6530490016</v>
      </c>
      <c r="AF220" s="1090" t="str">
        <f>VLOOKUP($AB220,sample!$1:$1048576,5,FALSE)</f>
        <v>N</v>
      </c>
      <c r="AL220" s="1091" t="str">
        <f>VLOOKUP($AB220,sample!$1:$1048576,11,FALSE)</f>
        <v xml:space="preserve">                  </v>
      </c>
      <c r="AM220" s="1091" t="str">
        <f>VLOOKUP($AB220,sample!$1:$1048576,12,FALSE)</f>
        <v xml:space="preserve">                          </v>
      </c>
      <c r="AN220" s="1091" t="str">
        <f>VLOOKUP($AB220,sample!$1:$1048576,13,FALSE)</f>
        <v>GOLDJPJXXXX</v>
      </c>
      <c r="AP220" s="1111"/>
    </row>
    <row r="221" spans="1:42" ht="14">
      <c r="A221" s="1028">
        <v>2019200239</v>
      </c>
      <c r="B221" s="1004">
        <v>43858</v>
      </c>
      <c r="C221" s="998" t="s">
        <v>137</v>
      </c>
      <c r="D221" s="1108" t="str">
        <f>IFERROR(VLOOKUP(G221,PosAggregate!$B$13:$B$93,1,FALSE),"")</f>
        <v/>
      </c>
      <c r="E221" s="880" t="s">
        <v>1236</v>
      </c>
      <c r="F221" s="1132" t="str">
        <f t="shared" si="47"/>
        <v/>
      </c>
      <c r="G221" s="701" t="s">
        <v>1656</v>
      </c>
      <c r="I221" s="950" t="s">
        <v>1126</v>
      </c>
      <c r="J221" s="950" t="s">
        <v>125</v>
      </c>
      <c r="K221" s="855">
        <v>2094.9888900000001</v>
      </c>
      <c r="L221" s="951"/>
      <c r="M221" s="952">
        <v>900</v>
      </c>
      <c r="N221" s="1092">
        <f t="shared" ref="N221:N252" si="48">-K221*M221</f>
        <v>-1885490.0010000002</v>
      </c>
      <c r="O221" s="1002">
        <v>-566</v>
      </c>
      <c r="R221" s="1096">
        <f t="shared" ref="R221:R252" si="49">SUM(N221:Q221)</f>
        <v>-1886056.0010000002</v>
      </c>
      <c r="S221" s="855">
        <v>119.9532921334696</v>
      </c>
      <c r="T221" s="1101">
        <f t="shared" ref="T221:T252" si="50">+R221/S221</f>
        <v>-15723.253338486315</v>
      </c>
      <c r="U221" s="956">
        <v>43860</v>
      </c>
      <c r="V221" s="948" t="s">
        <v>1725</v>
      </c>
      <c r="W221" s="957">
        <v>43858.059005439813</v>
      </c>
      <c r="X221" s="1089">
        <f t="shared" ref="X221:X252" si="51">+O221/N221*100</f>
        <v>3.0018721907823044E-2</v>
      </c>
      <c r="Y221" s="1090" t="str">
        <f>VLOOKUP(V221,'bic broker'!$A$1:$B$14,2,FALSE)</f>
        <v>TAVSGB21XXX</v>
      </c>
      <c r="Z221" s="1090" t="str">
        <f>VLOOKUP(AA221,'place of settlement'!A:C,2,FALSE)</f>
        <v>JJSDJPJTXXX</v>
      </c>
      <c r="AA221" s="1090" t="str">
        <f t="shared" ref="AA221:AA252" si="52">LEFT(E221,2)</f>
        <v>JP</v>
      </c>
      <c r="AB221" s="1090" t="str">
        <f t="shared" ref="AB221:AB252" si="53">CONCATENATE(V221,AA221)</f>
        <v>Tavira SecuritiesJP</v>
      </c>
      <c r="AC221" s="1090" t="str">
        <f>VLOOKUP(AB221,sample!$1:$1048576,2,FALSE)</f>
        <v>GSILGB2XXXX</v>
      </c>
      <c r="AD221" s="1090" t="str">
        <f>VLOOKUP($AB221,sample!$1:$1048576,3,FALSE)</f>
        <v>JJSDJPJTXXX</v>
      </c>
      <c r="AE221" s="1091">
        <f>VLOOKUP($AB221,sample!$1:$1048576,4,FALSE)</f>
        <v>6530490016</v>
      </c>
      <c r="AF221" s="1090" t="str">
        <f>VLOOKUP($AB221,sample!$1:$1048576,5,FALSE)</f>
        <v>N</v>
      </c>
      <c r="AL221" s="1091" t="str">
        <f>VLOOKUP($AB221,sample!$1:$1048576,11,FALSE)</f>
        <v xml:space="preserve">                  </v>
      </c>
      <c r="AM221" s="1091" t="str">
        <f>VLOOKUP($AB221,sample!$1:$1048576,12,FALSE)</f>
        <v xml:space="preserve">                          </v>
      </c>
      <c r="AN221" s="1091" t="str">
        <f>VLOOKUP($AB221,sample!$1:$1048576,13,FALSE)</f>
        <v>GOLDJPJXXXX</v>
      </c>
      <c r="AP221" s="1111"/>
    </row>
    <row r="222" spans="1:42" ht="14">
      <c r="A222" s="1028">
        <v>2019200240</v>
      </c>
      <c r="B222" s="1004">
        <v>43858</v>
      </c>
      <c r="C222" s="998" t="s">
        <v>137</v>
      </c>
      <c r="D222" s="1108" t="str">
        <f>IFERROR(VLOOKUP(G222,PosAggregate!$B$13:$B$93,1,FALSE),"")</f>
        <v/>
      </c>
      <c r="E222" s="880" t="s">
        <v>1255</v>
      </c>
      <c r="F222" s="1132" t="str">
        <f t="shared" si="47"/>
        <v/>
      </c>
      <c r="G222" s="701" t="s">
        <v>1205</v>
      </c>
      <c r="I222" s="950" t="s">
        <v>1143</v>
      </c>
      <c r="J222" s="950" t="s">
        <v>123</v>
      </c>
      <c r="K222" s="855">
        <v>93516.865699999995</v>
      </c>
      <c r="L222" s="951"/>
      <c r="M222" s="973">
        <v>670</v>
      </c>
      <c r="N222" s="1092">
        <f t="shared" si="48"/>
        <v>-62656300.018999994</v>
      </c>
      <c r="O222" s="1002">
        <v>-93984</v>
      </c>
      <c r="R222" s="1096">
        <f t="shared" si="49"/>
        <v>-62750284.018999994</v>
      </c>
      <c r="S222" s="855">
        <v>1291.4755584045265</v>
      </c>
      <c r="T222" s="1101">
        <f t="shared" si="50"/>
        <v>-48588.053881965017</v>
      </c>
      <c r="U222" s="956">
        <v>43860</v>
      </c>
      <c r="V222" s="948" t="s">
        <v>1230</v>
      </c>
      <c r="W222" s="957">
        <v>43858.068090509259</v>
      </c>
      <c r="X222" s="1089">
        <f t="shared" si="51"/>
        <v>0.14999928175059835</v>
      </c>
      <c r="Y222" s="1090" t="e">
        <f>VLOOKUP(V222,'bic broker'!$A$1:$B$14,2,FALSE)</f>
        <v>#N/A</v>
      </c>
      <c r="Z222" s="1090" t="str">
        <f>VLOOKUP(AA222,'place of settlement'!A:C,2,FALSE)</f>
        <v>KSDCKRSEXXX</v>
      </c>
      <c r="AA222" s="1090" t="str">
        <f t="shared" si="52"/>
        <v>KR</v>
      </c>
      <c r="AB222" s="1090" t="str">
        <f t="shared" si="53"/>
        <v>SamsungKR</v>
      </c>
      <c r="AC222" s="1090" t="e">
        <f>VLOOKUP(AB222,sample!$1:$1048576,2,FALSE)</f>
        <v>#N/A</v>
      </c>
      <c r="AD222" s="1090" t="e">
        <f>VLOOKUP($AB222,sample!$1:$1048576,3,FALSE)</f>
        <v>#N/A</v>
      </c>
      <c r="AE222" s="1091" t="e">
        <f>VLOOKUP($AB222,sample!$1:$1048576,4,FALSE)</f>
        <v>#N/A</v>
      </c>
      <c r="AF222" s="1090" t="e">
        <f>VLOOKUP($AB222,sample!$1:$1048576,5,FALSE)</f>
        <v>#N/A</v>
      </c>
      <c r="AL222" s="1091" t="e">
        <f>VLOOKUP($AB222,sample!$1:$1048576,11,FALSE)</f>
        <v>#N/A</v>
      </c>
      <c r="AM222" s="1091" t="e">
        <f>VLOOKUP($AB222,sample!$1:$1048576,12,FALSE)</f>
        <v>#N/A</v>
      </c>
      <c r="AN222" s="1091" t="e">
        <f>VLOOKUP($AB222,sample!$1:$1048576,13,FALSE)</f>
        <v>#N/A</v>
      </c>
      <c r="AP222" s="1111"/>
    </row>
    <row r="223" spans="1:42" ht="14">
      <c r="A223" s="1028">
        <v>2019200241</v>
      </c>
      <c r="B223" s="1004">
        <v>43860</v>
      </c>
      <c r="C223" s="998" t="s">
        <v>137</v>
      </c>
      <c r="D223" s="1108" t="str">
        <f>IFERROR(VLOOKUP(G223,PosAggregate!$B$13:$B$93,1,FALSE),"")</f>
        <v/>
      </c>
      <c r="E223" s="880" t="s">
        <v>1236</v>
      </c>
      <c r="F223" s="1132" t="str">
        <f t="shared" si="47"/>
        <v/>
      </c>
      <c r="G223" s="701" t="s">
        <v>1656</v>
      </c>
      <c r="I223" s="950" t="s">
        <v>1126</v>
      </c>
      <c r="J223" s="950" t="s">
        <v>125</v>
      </c>
      <c r="K223" s="855">
        <v>2077.4058799999998</v>
      </c>
      <c r="L223" s="951"/>
      <c r="M223" s="952">
        <v>1700</v>
      </c>
      <c r="N223" s="1092">
        <f t="shared" si="48"/>
        <v>-3531589.9959999998</v>
      </c>
      <c r="O223" s="1002">
        <v>-1059</v>
      </c>
      <c r="R223" s="1096">
        <f t="shared" si="49"/>
        <v>-3532648.9959999998</v>
      </c>
      <c r="S223" s="855">
        <v>119.98678923322522</v>
      </c>
      <c r="T223" s="1101">
        <f t="shared" si="50"/>
        <v>-29441.982893078228</v>
      </c>
      <c r="U223" s="956">
        <v>43864</v>
      </c>
      <c r="V223" s="948" t="s">
        <v>1725</v>
      </c>
      <c r="W223" s="957">
        <v>43860.10386516204</v>
      </c>
      <c r="X223" s="1089">
        <f t="shared" si="51"/>
        <v>2.9986493369826617E-2</v>
      </c>
      <c r="Y223" s="1090" t="str">
        <f>VLOOKUP(V223,'bic broker'!$A$1:$B$14,2,FALSE)</f>
        <v>TAVSGB21XXX</v>
      </c>
      <c r="Z223" s="1090" t="str">
        <f>VLOOKUP(AA223,'place of settlement'!A:C,2,FALSE)</f>
        <v>JJSDJPJTXXX</v>
      </c>
      <c r="AA223" s="1090" t="str">
        <f t="shared" si="52"/>
        <v>JP</v>
      </c>
      <c r="AB223" s="1090" t="str">
        <f t="shared" si="53"/>
        <v>Tavira SecuritiesJP</v>
      </c>
      <c r="AC223" s="1090" t="str">
        <f>VLOOKUP(AB223,sample!$1:$1048576,2,FALSE)</f>
        <v>GSILGB2XXXX</v>
      </c>
      <c r="AD223" s="1090" t="str">
        <f>VLOOKUP($AB223,sample!$1:$1048576,3,FALSE)</f>
        <v>JJSDJPJTXXX</v>
      </c>
      <c r="AE223" s="1091">
        <f>VLOOKUP($AB223,sample!$1:$1048576,4,FALSE)</f>
        <v>6530490016</v>
      </c>
      <c r="AF223" s="1090" t="str">
        <f>VLOOKUP($AB223,sample!$1:$1048576,5,FALSE)</f>
        <v>N</v>
      </c>
      <c r="AL223" s="1091" t="str">
        <f>VLOOKUP($AB223,sample!$1:$1048576,11,FALSE)</f>
        <v xml:space="preserve">                  </v>
      </c>
      <c r="AM223" s="1091" t="str">
        <f>VLOOKUP($AB223,sample!$1:$1048576,12,FALSE)</f>
        <v xml:space="preserve">                          </v>
      </c>
      <c r="AN223" s="1091" t="str">
        <f>VLOOKUP($AB223,sample!$1:$1048576,13,FALSE)</f>
        <v>GOLDJPJXXXX</v>
      </c>
      <c r="AP223" s="1111"/>
    </row>
    <row r="224" spans="1:42" ht="14">
      <c r="A224" s="1028">
        <v>2019200242</v>
      </c>
      <c r="B224" s="1004">
        <v>43860</v>
      </c>
      <c r="C224" s="998" t="s">
        <v>137</v>
      </c>
      <c r="D224" s="1108" t="str">
        <f>IFERROR(VLOOKUP(G224,PosAggregate!$B$13:$B$93,1,FALSE),"")</f>
        <v/>
      </c>
      <c r="E224" s="880" t="s">
        <v>1723</v>
      </c>
      <c r="F224" s="1132" t="str">
        <f t="shared" si="47"/>
        <v/>
      </c>
      <c r="G224" s="701" t="s">
        <v>1714</v>
      </c>
      <c r="I224" s="950" t="s">
        <v>1724</v>
      </c>
      <c r="J224" s="950" t="s">
        <v>1104</v>
      </c>
      <c r="K224" s="855">
        <v>2.6088399999999998</v>
      </c>
      <c r="L224" s="951"/>
      <c r="M224" s="952">
        <v>22000</v>
      </c>
      <c r="N224" s="1092">
        <f t="shared" si="48"/>
        <v>-57394.479999999996</v>
      </c>
      <c r="O224" s="1002">
        <v>-17.22</v>
      </c>
      <c r="R224" s="1096">
        <f t="shared" si="49"/>
        <v>-57411.7</v>
      </c>
      <c r="S224" s="855">
        <v>1.6302306379699476</v>
      </c>
      <c r="T224" s="1101">
        <f t="shared" si="50"/>
        <v>-35216.918798368424</v>
      </c>
      <c r="U224" s="956">
        <v>43864</v>
      </c>
      <c r="V224" s="948" t="s">
        <v>1725</v>
      </c>
      <c r="W224" s="957">
        <v>43860.104826157411</v>
      </c>
      <c r="X224" s="1089">
        <f t="shared" si="51"/>
        <v>3.0002885294892468E-2</v>
      </c>
      <c r="Y224" s="1090" t="str">
        <f>VLOOKUP(V224,'bic broker'!$A$1:$B$14,2,FALSE)</f>
        <v>TAVSGB21XXX</v>
      </c>
      <c r="Z224" s="1090" t="str">
        <f>VLOOKUP(AA224,'place of settlement'!A:C,2,FALSE)</f>
        <v>CAETAU21XXX</v>
      </c>
      <c r="AA224" s="1090" t="str">
        <f t="shared" si="52"/>
        <v>AU</v>
      </c>
      <c r="AB224" s="1090" t="str">
        <f t="shared" si="53"/>
        <v>Tavira SecuritiesAU</v>
      </c>
      <c r="AC224" s="1090" t="str">
        <f>VLOOKUP(AB224,sample!$1:$1048576,2,FALSE)</f>
        <v>GSILGB2XXXX</v>
      </c>
      <c r="AD224" s="1090" t="str">
        <f>VLOOKUP($AB224,sample!$1:$1048576,3,FALSE)</f>
        <v>CAETAU21</v>
      </c>
      <c r="AE224" s="1091" t="str">
        <f>VLOOKUP($AB224,sample!$1:$1048576,4,FALSE)</f>
        <v>011-109048-061</v>
      </c>
      <c r="AF224" s="1090" t="str">
        <f>VLOOKUP($AB224,sample!$1:$1048576,5,FALSE)</f>
        <v>N</v>
      </c>
      <c r="AL224" s="1091" t="str">
        <f>VLOOKUP($AB224,sample!$1:$1048576,11,FALSE)</f>
        <v xml:space="preserve">        </v>
      </c>
      <c r="AM224" s="1091" t="str">
        <f>VLOOKUP($AB224,sample!$1:$1048576,12,FALSE)</f>
        <v xml:space="preserve">        </v>
      </c>
      <c r="AN224" s="1091" t="str">
        <f>VLOOKUP($AB224,sample!$1:$1048576,13,FALSE)</f>
        <v>HKBAAU2SSYD</v>
      </c>
      <c r="AP224" s="1111"/>
    </row>
    <row r="225" spans="1:42" ht="14">
      <c r="A225" s="1028">
        <v>2019200243</v>
      </c>
      <c r="B225" s="1004">
        <v>43860</v>
      </c>
      <c r="C225" s="998" t="s">
        <v>137</v>
      </c>
      <c r="D225" s="1108" t="str">
        <f>IFERROR(VLOOKUP(G225,PosAggregate!$B$13:$B$93,1,FALSE),"")</f>
        <v/>
      </c>
      <c r="E225" s="880" t="s">
        <v>1708</v>
      </c>
      <c r="F225" s="1132" t="str">
        <f t="shared" si="47"/>
        <v/>
      </c>
      <c r="G225" s="701" t="s">
        <v>1700</v>
      </c>
      <c r="I225" s="950" t="s">
        <v>1705</v>
      </c>
      <c r="J225" s="950" t="s">
        <v>3</v>
      </c>
      <c r="K225" s="855">
        <v>11.138999999999999</v>
      </c>
      <c r="L225" s="951"/>
      <c r="M225" s="952">
        <v>4200</v>
      </c>
      <c r="N225" s="1092">
        <f t="shared" si="48"/>
        <v>-46783.799999999996</v>
      </c>
      <c r="O225" s="1002">
        <v>-11.7</v>
      </c>
      <c r="R225" s="1096">
        <f t="shared" si="49"/>
        <v>-46795.499999999993</v>
      </c>
      <c r="S225" s="855">
        <v>1.1008972312434635</v>
      </c>
      <c r="T225" s="1101">
        <f t="shared" si="50"/>
        <v>-42506.692424999994</v>
      </c>
      <c r="U225" s="956">
        <v>43864</v>
      </c>
      <c r="V225" s="948" t="s">
        <v>1725</v>
      </c>
      <c r="W225" s="957">
        <v>43860.68221053241</v>
      </c>
      <c r="X225" s="1089">
        <f t="shared" si="51"/>
        <v>2.5008656842753264E-2</v>
      </c>
      <c r="Y225" s="1090" t="str">
        <f>VLOOKUP(V225,'bic broker'!$A$1:$B$14,2,FALSE)</f>
        <v>TAVSGB21XXX</v>
      </c>
      <c r="Z225" s="1090" t="str">
        <f>VLOOKUP(AA225,'place of settlement'!A:C,2,FALSE)</f>
        <v>DTCYUS33XXX</v>
      </c>
      <c r="AA225" s="1090" t="str">
        <f t="shared" si="52"/>
        <v>US</v>
      </c>
      <c r="AB225" s="1090" t="str">
        <f t="shared" si="53"/>
        <v>Tavira SecuritiesUS</v>
      </c>
      <c r="AC225" s="1090" t="str">
        <f>VLOOKUP(AB225,sample!$1:$1048576,2,FALSE)</f>
        <v>GSILGB2XXXX</v>
      </c>
      <c r="AD225" s="1090" t="str">
        <f>VLOOKUP($AB225,sample!$1:$1048576,3,FALSE)</f>
        <v>DTCYUS33</v>
      </c>
      <c r="AE225" s="1091" t="str">
        <f>VLOOKUP($AB225,sample!$1:$1048576,4,FALSE)</f>
        <v xml:space="preserve">        </v>
      </c>
      <c r="AF225" s="1090" t="str">
        <f>VLOOKUP($AB225,sample!$1:$1048576,5,FALSE)</f>
        <v>N</v>
      </c>
      <c r="AL225" s="1091" t="str">
        <f>VLOOKUP($AB225,sample!$1:$1048576,11,FALSE)</f>
        <v>DTCYID</v>
      </c>
      <c r="AM225" s="1091">
        <f>VLOOKUP($AB225,sample!$1:$1048576,12,FALSE)</f>
        <v>5208</v>
      </c>
      <c r="AN225" s="1091" t="str">
        <f>VLOOKUP($AB225,sample!$1:$1048576,13,FALSE)</f>
        <v xml:space="preserve">        </v>
      </c>
      <c r="AP225" s="1111"/>
    </row>
    <row r="226" spans="1:42" ht="14">
      <c r="A226" s="1028">
        <v>2019200244</v>
      </c>
      <c r="B226" s="1004">
        <v>43868</v>
      </c>
      <c r="C226" s="998" t="s">
        <v>138</v>
      </c>
      <c r="D226" s="1108" t="str">
        <f>IFERROR(VLOOKUP(G226,PosAggregate!$B$13:$B$93,1,FALSE),"")</f>
        <v/>
      </c>
      <c r="E226" s="880" t="s">
        <v>1254</v>
      </c>
      <c r="F226" s="1132" t="str">
        <f t="shared" si="47"/>
        <v/>
      </c>
      <c r="G226" s="701" t="s">
        <v>1204</v>
      </c>
      <c r="I226" s="1029" t="s">
        <v>1123</v>
      </c>
      <c r="J226" s="950" t="s">
        <v>123</v>
      </c>
      <c r="K226" s="855">
        <v>156500</v>
      </c>
      <c r="L226" s="951"/>
      <c r="M226" s="952">
        <v>-840</v>
      </c>
      <c r="N226" s="1092">
        <f t="shared" si="48"/>
        <v>131460000</v>
      </c>
      <c r="O226" s="1002">
        <v>-197190</v>
      </c>
      <c r="P226" s="1002">
        <v>-328642</v>
      </c>
      <c r="R226" s="1096">
        <f t="shared" si="49"/>
        <v>130934168</v>
      </c>
      <c r="S226" s="855">
        <v>1301.3834209426657</v>
      </c>
      <c r="T226" s="1101">
        <f t="shared" si="50"/>
        <v>100611.52300922734</v>
      </c>
      <c r="U226" s="956">
        <v>43872</v>
      </c>
      <c r="V226" s="948" t="s">
        <v>1230</v>
      </c>
      <c r="W226" s="957">
        <v>43867.857933101855</v>
      </c>
      <c r="X226" s="1089">
        <f t="shared" si="51"/>
        <v>-0.15</v>
      </c>
      <c r="Y226" s="1090" t="e">
        <f>VLOOKUP(V226,'bic broker'!$A$1:$B$14,2,FALSE)</f>
        <v>#N/A</v>
      </c>
      <c r="Z226" s="1090" t="str">
        <f>VLOOKUP(AA226,'place of settlement'!A:C,2,FALSE)</f>
        <v>KSDCKRSEXXX</v>
      </c>
      <c r="AA226" s="1090" t="str">
        <f t="shared" si="52"/>
        <v>KR</v>
      </c>
      <c r="AB226" s="1090" t="str">
        <f t="shared" si="53"/>
        <v>SamsungKR</v>
      </c>
      <c r="AC226" s="1090" t="e">
        <f>VLOOKUP(AB226,sample!$1:$1048576,2,FALSE)</f>
        <v>#N/A</v>
      </c>
      <c r="AD226" s="1090" t="e">
        <f>VLOOKUP($AB226,sample!$1:$1048576,3,FALSE)</f>
        <v>#N/A</v>
      </c>
      <c r="AE226" s="1091" t="e">
        <f>VLOOKUP($AB226,sample!$1:$1048576,4,FALSE)</f>
        <v>#N/A</v>
      </c>
      <c r="AF226" s="1090" t="e">
        <f>VLOOKUP($AB226,sample!$1:$1048576,5,FALSE)</f>
        <v>#N/A</v>
      </c>
      <c r="AL226" s="1091" t="e">
        <f>VLOOKUP($AB226,sample!$1:$1048576,11,FALSE)</f>
        <v>#N/A</v>
      </c>
      <c r="AM226" s="1091" t="e">
        <f>VLOOKUP($AB226,sample!$1:$1048576,12,FALSE)</f>
        <v>#N/A</v>
      </c>
      <c r="AN226" s="1091" t="e">
        <f>VLOOKUP($AB226,sample!$1:$1048576,13,FALSE)</f>
        <v>#N/A</v>
      </c>
      <c r="AP226" s="1111"/>
    </row>
    <row r="227" spans="1:42" ht="14">
      <c r="A227" s="1028">
        <v>2019200245</v>
      </c>
      <c r="B227" s="1004">
        <v>43871</v>
      </c>
      <c r="C227" s="998" t="s">
        <v>138</v>
      </c>
      <c r="D227" s="1108" t="str">
        <f>IFERROR(VLOOKUP(G227,PosAggregate!$B$13:$B$93,1,FALSE),"")</f>
        <v/>
      </c>
      <c r="E227" s="880" t="s">
        <v>1265</v>
      </c>
      <c r="F227" s="1132" t="str">
        <f t="shared" si="47"/>
        <v/>
      </c>
      <c r="G227" s="701" t="s">
        <v>1216</v>
      </c>
      <c r="I227" s="1029" t="s">
        <v>1227</v>
      </c>
      <c r="J227" s="950" t="s">
        <v>2</v>
      </c>
      <c r="K227" s="855">
        <v>21.685009999999998</v>
      </c>
      <c r="L227" s="951"/>
      <c r="M227" s="952">
        <v>-2000</v>
      </c>
      <c r="N227" s="1092">
        <f t="shared" si="48"/>
        <v>43370.02</v>
      </c>
      <c r="O227" s="1030">
        <v>-26.02</v>
      </c>
      <c r="R227" s="1096">
        <f t="shared" si="49"/>
        <v>43344</v>
      </c>
      <c r="S227" s="855">
        <v>1</v>
      </c>
      <c r="T227" s="1101">
        <f t="shared" si="50"/>
        <v>43344</v>
      </c>
      <c r="U227" s="956">
        <v>43873</v>
      </c>
      <c r="V227" s="948" t="s">
        <v>1725</v>
      </c>
      <c r="W227" s="957">
        <v>43871.51514826389</v>
      </c>
      <c r="X227" s="1089">
        <f t="shared" si="51"/>
        <v>-5.9995360850652137E-2</v>
      </c>
      <c r="Y227" s="1090" t="str">
        <f>VLOOKUP(V227,'bic broker'!$A$1:$B$14,2,FALSE)</f>
        <v>TAVSGB21XXX</v>
      </c>
      <c r="Z227" s="1090" t="str">
        <f>VLOOKUP(AA227,'place of settlement'!A:C,2,FALSE)</f>
        <v>DAKVDEFFXXX</v>
      </c>
      <c r="AA227" s="1090" t="str">
        <f t="shared" si="52"/>
        <v>DE</v>
      </c>
      <c r="AB227" s="1090" t="str">
        <f t="shared" si="53"/>
        <v>Tavira SecuritiesDE</v>
      </c>
      <c r="AC227" s="1090" t="str">
        <f>VLOOKUP(AB227,sample!$1:$1048576,2,FALSE)</f>
        <v>GSILGB2XXXX</v>
      </c>
      <c r="AD227" s="1090" t="str">
        <f>VLOOKUP($AB227,sample!$1:$1048576,3,FALSE)</f>
        <v>DAKVDEFFXXX</v>
      </c>
      <c r="AE227" s="1091" t="str">
        <f>VLOOKUP($AB227,sample!$1:$1048576,4,FALSE)</f>
        <v>DAKV7372000</v>
      </c>
      <c r="AF227" s="1090" t="str">
        <f>VLOOKUP($AB227,sample!$1:$1048576,5,FALSE)</f>
        <v>N</v>
      </c>
      <c r="AL227" s="1091" t="str">
        <f>VLOOKUP($AB227,sample!$1:$1048576,11,FALSE)</f>
        <v xml:space="preserve">        </v>
      </c>
      <c r="AM227" s="1091" t="str">
        <f>VLOOKUP($AB227,sample!$1:$1048576,12,FALSE)</f>
        <v xml:space="preserve">        </v>
      </c>
      <c r="AN227" s="1091" t="str">
        <f>VLOOKUP($AB227,sample!$1:$1048576,13,FALSE)</f>
        <v>CITIDEFFXXX</v>
      </c>
      <c r="AP227" s="1111"/>
    </row>
    <row r="228" spans="1:42" ht="14">
      <c r="A228" s="1028">
        <v>2019200246</v>
      </c>
      <c r="B228" s="1004">
        <v>43871</v>
      </c>
      <c r="C228" s="998" t="s">
        <v>137</v>
      </c>
      <c r="D228" s="1108" t="str">
        <f>IFERROR(VLOOKUP(G228,PosAggregate!$B$13:$B$93,1,FALSE),"")</f>
        <v/>
      </c>
      <c r="E228" s="880" t="s">
        <v>1263</v>
      </c>
      <c r="F228" s="1132" t="str">
        <f t="shared" si="47"/>
        <v/>
      </c>
      <c r="G228" s="701" t="s">
        <v>1214</v>
      </c>
      <c r="I228" s="1029" t="s">
        <v>12811</v>
      </c>
      <c r="J228" s="950" t="s">
        <v>2</v>
      </c>
      <c r="K228" s="855">
        <v>26.95439</v>
      </c>
      <c r="L228" s="951"/>
      <c r="M228" s="952">
        <v>2500</v>
      </c>
      <c r="N228" s="1092">
        <f t="shared" si="48"/>
        <v>-67385.975000000006</v>
      </c>
      <c r="O228" s="1030">
        <v>-40.43</v>
      </c>
      <c r="P228" s="1002">
        <v>-202.16</v>
      </c>
      <c r="R228" s="1096">
        <f t="shared" si="49"/>
        <v>-67628.565000000002</v>
      </c>
      <c r="S228" s="855">
        <v>1</v>
      </c>
      <c r="T228" s="1101">
        <f t="shared" si="50"/>
        <v>-67628.565000000002</v>
      </c>
      <c r="U228" s="956">
        <v>43873</v>
      </c>
      <c r="V228" s="948" t="s">
        <v>1725</v>
      </c>
      <c r="W228" s="957">
        <v>43871.524733101855</v>
      </c>
      <c r="X228" s="1089">
        <f t="shared" si="51"/>
        <v>5.9997647878508843E-2</v>
      </c>
      <c r="Y228" s="1090" t="str">
        <f>VLOOKUP(V228,'bic broker'!$A$1:$B$14,2,FALSE)</f>
        <v>TAVSGB21XXX</v>
      </c>
      <c r="Z228" s="1090" t="str">
        <f>VLOOKUP(AA228,'place of settlement'!A:C,2,FALSE)</f>
        <v>SICVFRPPXXX</v>
      </c>
      <c r="AA228" s="1090" t="str">
        <f t="shared" si="52"/>
        <v>FR</v>
      </c>
      <c r="AB228" s="1090" t="str">
        <f t="shared" si="53"/>
        <v>Tavira SecuritiesFR</v>
      </c>
      <c r="AC228" s="1090" t="str">
        <f>VLOOKUP(AB228,sample!$1:$1048576,2,FALSE)</f>
        <v>GSILGB2XXXX</v>
      </c>
      <c r="AD228" s="1090" t="str">
        <f>VLOOKUP($AB228,sample!$1:$1048576,3,FALSE)</f>
        <v>SICVFRPPXXX</v>
      </c>
      <c r="AE228" s="1091" t="str">
        <f>VLOOKUP($AB228,sample!$1:$1048576,4,FALSE)</f>
        <v>SICVPARBFRPPXXX000L10</v>
      </c>
      <c r="AF228" s="1090" t="str">
        <f>VLOOKUP($AB228,sample!$1:$1048576,5,FALSE)</f>
        <v>N</v>
      </c>
      <c r="AL228" s="1091" t="str">
        <f>VLOOKUP($AB228,sample!$1:$1048576,11,FALSE)</f>
        <v xml:space="preserve">        </v>
      </c>
      <c r="AM228" s="1091" t="str">
        <f>VLOOKUP($AB228,sample!$1:$1048576,12,FALSE)</f>
        <v xml:space="preserve">        </v>
      </c>
      <c r="AN228" s="1091" t="str">
        <f>VLOOKUP($AB228,sample!$1:$1048576,13,FALSE)</f>
        <v>PARBFRPPXXX</v>
      </c>
      <c r="AP228" s="1111"/>
    </row>
    <row r="229" spans="1:42" ht="14">
      <c r="A229" s="1028">
        <v>2019200247</v>
      </c>
      <c r="B229" s="1004">
        <v>43872</v>
      </c>
      <c r="C229" s="998" t="s">
        <v>137</v>
      </c>
      <c r="D229" s="1108" t="str">
        <f>IFERROR(VLOOKUP(G229,PosAggregate!$B$13:$B$93,1,FALSE),"")</f>
        <v/>
      </c>
      <c r="E229" s="880" t="s">
        <v>1723</v>
      </c>
      <c r="F229" s="1132" t="str">
        <f t="shared" si="47"/>
        <v/>
      </c>
      <c r="G229" s="701" t="s">
        <v>1714</v>
      </c>
      <c r="I229" s="1029" t="s">
        <v>1724</v>
      </c>
      <c r="J229" s="950" t="s">
        <v>1104</v>
      </c>
      <c r="K229" s="855">
        <v>2.5236999999999998</v>
      </c>
      <c r="L229" s="951"/>
      <c r="M229" s="952">
        <v>22000</v>
      </c>
      <c r="N229" s="1092">
        <f t="shared" si="48"/>
        <v>-55521.399999999994</v>
      </c>
      <c r="O229" s="1002">
        <v>-33.31</v>
      </c>
      <c r="R229" s="1096">
        <f t="shared" si="49"/>
        <v>-55554.709999999992</v>
      </c>
      <c r="S229" s="855">
        <v>1.6401300022980165</v>
      </c>
      <c r="T229" s="1101">
        <f t="shared" si="50"/>
        <v>-33872.138136709444</v>
      </c>
      <c r="U229" s="956">
        <v>43874</v>
      </c>
      <c r="V229" s="701" t="s">
        <v>1725</v>
      </c>
      <c r="W229" s="957">
        <v>43871.933359490744</v>
      </c>
      <c r="X229" s="1089">
        <f t="shared" si="51"/>
        <v>5.9994884855208992E-2</v>
      </c>
      <c r="Y229" s="1090" t="str">
        <f>VLOOKUP(V229,'bic broker'!$A$1:$B$14,2,FALSE)</f>
        <v>TAVSGB21XXX</v>
      </c>
      <c r="Z229" s="1090" t="str">
        <f>VLOOKUP(AA229,'place of settlement'!A:C,2,FALSE)</f>
        <v>CAETAU21XXX</v>
      </c>
      <c r="AA229" s="1090" t="str">
        <f t="shared" si="52"/>
        <v>AU</v>
      </c>
      <c r="AB229" s="1090" t="str">
        <f t="shared" si="53"/>
        <v>Tavira SecuritiesAU</v>
      </c>
      <c r="AC229" s="1090" t="str">
        <f>VLOOKUP(AB229,sample!$1:$1048576,2,FALSE)</f>
        <v>GSILGB2XXXX</v>
      </c>
      <c r="AD229" s="1090" t="str">
        <f>VLOOKUP($AB229,sample!$1:$1048576,3,FALSE)</f>
        <v>CAETAU21</v>
      </c>
      <c r="AE229" s="1091" t="str">
        <f>VLOOKUP($AB229,sample!$1:$1048576,4,FALSE)</f>
        <v>011-109048-061</v>
      </c>
      <c r="AF229" s="1090" t="str">
        <f>VLOOKUP($AB229,sample!$1:$1048576,5,FALSE)</f>
        <v>N</v>
      </c>
      <c r="AL229" s="1091" t="str">
        <f>VLOOKUP($AB229,sample!$1:$1048576,11,FALSE)</f>
        <v xml:space="preserve">        </v>
      </c>
      <c r="AM229" s="1091" t="str">
        <f>VLOOKUP($AB229,sample!$1:$1048576,12,FALSE)</f>
        <v xml:space="preserve">        </v>
      </c>
      <c r="AN229" s="1091" t="str">
        <f>VLOOKUP($AB229,sample!$1:$1048576,13,FALSE)</f>
        <v>HKBAAU2SSYD</v>
      </c>
      <c r="AP229" s="1111"/>
    </row>
    <row r="230" spans="1:42" ht="14">
      <c r="A230" s="1028">
        <v>2019200248</v>
      </c>
      <c r="B230" s="1004">
        <v>43872</v>
      </c>
      <c r="C230" s="998" t="s">
        <v>137</v>
      </c>
      <c r="D230" s="1108" t="str">
        <f>IFERROR(VLOOKUP(G230,PosAggregate!$B$13:$B$93,1,FALSE),"")</f>
        <v/>
      </c>
      <c r="E230" s="880" t="s">
        <v>1256</v>
      </c>
      <c r="F230" s="1132" t="str">
        <f t="shared" si="47"/>
        <v/>
      </c>
      <c r="G230" s="701" t="s">
        <v>1206</v>
      </c>
      <c r="I230" s="1029" t="s">
        <v>1149</v>
      </c>
      <c r="J230" s="950" t="s">
        <v>123</v>
      </c>
      <c r="K230" s="855">
        <v>3418.7653</v>
      </c>
      <c r="L230" s="951"/>
      <c r="M230" s="952">
        <v>17000</v>
      </c>
      <c r="N230" s="1092">
        <f t="shared" si="48"/>
        <v>-58119010.100000001</v>
      </c>
      <c r="O230" s="1002">
        <v>-87179</v>
      </c>
      <c r="R230" s="1096">
        <f t="shared" si="49"/>
        <v>-58206189.100000001</v>
      </c>
      <c r="S230" s="855">
        <v>1303.7326417386168</v>
      </c>
      <c r="T230" s="1101">
        <f t="shared" si="50"/>
        <v>-44645.801782164526</v>
      </c>
      <c r="U230" s="956">
        <v>43874</v>
      </c>
      <c r="V230" s="701" t="s">
        <v>1230</v>
      </c>
      <c r="W230" s="957">
        <v>43871.936795833331</v>
      </c>
      <c r="X230" s="1089">
        <f t="shared" si="51"/>
        <v>0.15000083423650742</v>
      </c>
      <c r="Y230" s="1090" t="e">
        <f>VLOOKUP(V230,'bic broker'!$A$1:$B$14,2,FALSE)</f>
        <v>#N/A</v>
      </c>
      <c r="Z230" s="1090" t="str">
        <f>VLOOKUP(AA230,'place of settlement'!A:C,2,FALSE)</f>
        <v>KSDCKRSEXXX</v>
      </c>
      <c r="AA230" s="1090" t="str">
        <f t="shared" si="52"/>
        <v>KR</v>
      </c>
      <c r="AB230" s="1090" t="str">
        <f t="shared" si="53"/>
        <v>SamsungKR</v>
      </c>
      <c r="AC230" s="1090" t="e">
        <f>VLOOKUP(AB230,sample!$1:$1048576,2,FALSE)</f>
        <v>#N/A</v>
      </c>
      <c r="AD230" s="1090" t="e">
        <f>VLOOKUP($AB230,sample!$1:$1048576,3,FALSE)</f>
        <v>#N/A</v>
      </c>
      <c r="AE230" s="1091" t="e">
        <f>VLOOKUP($AB230,sample!$1:$1048576,4,FALSE)</f>
        <v>#N/A</v>
      </c>
      <c r="AF230" s="1090" t="e">
        <f>VLOOKUP($AB230,sample!$1:$1048576,5,FALSE)</f>
        <v>#N/A</v>
      </c>
      <c r="AL230" s="1091" t="e">
        <f>VLOOKUP($AB230,sample!$1:$1048576,11,FALSE)</f>
        <v>#N/A</v>
      </c>
      <c r="AM230" s="1091" t="e">
        <f>VLOOKUP($AB230,sample!$1:$1048576,12,FALSE)</f>
        <v>#N/A</v>
      </c>
      <c r="AN230" s="1091" t="e">
        <f>VLOOKUP($AB230,sample!$1:$1048576,13,FALSE)</f>
        <v>#N/A</v>
      </c>
      <c r="AP230" s="1111"/>
    </row>
    <row r="231" spans="1:42" ht="14">
      <c r="A231" s="1028">
        <v>2019200249</v>
      </c>
      <c r="B231" s="1004">
        <v>43872</v>
      </c>
      <c r="C231" s="998" t="s">
        <v>137</v>
      </c>
      <c r="D231" s="1108" t="str">
        <f>IFERROR(VLOOKUP(G231,PosAggregate!$B$13:$B$93,1,FALSE),"")</f>
        <v/>
      </c>
      <c r="E231" s="880" t="s">
        <v>1256</v>
      </c>
      <c r="F231" s="1132" t="str">
        <f t="shared" si="47"/>
        <v/>
      </c>
      <c r="G231" s="701" t="s">
        <v>1206</v>
      </c>
      <c r="I231" s="1029" t="s">
        <v>1149</v>
      </c>
      <c r="J231" s="950" t="s">
        <v>123</v>
      </c>
      <c r="K231" s="855">
        <v>3390</v>
      </c>
      <c r="L231" s="951"/>
      <c r="M231" s="952">
        <v>580</v>
      </c>
      <c r="N231" s="1092">
        <f t="shared" si="48"/>
        <v>-1966200</v>
      </c>
      <c r="O231" s="1002">
        <v>-2949</v>
      </c>
      <c r="R231" s="1096">
        <f t="shared" si="49"/>
        <v>-1969149</v>
      </c>
      <c r="S231" s="855">
        <v>1303.7326417386168</v>
      </c>
      <c r="T231" s="1101">
        <f t="shared" si="50"/>
        <v>-1510.393263893435</v>
      </c>
      <c r="U231" s="956">
        <v>43874</v>
      </c>
      <c r="V231" s="701" t="s">
        <v>1230</v>
      </c>
      <c r="W231" s="957">
        <v>43871.936805555553</v>
      </c>
      <c r="X231" s="1089">
        <f t="shared" si="51"/>
        <v>0.14998474214220323</v>
      </c>
      <c r="Y231" s="1090" t="e">
        <f>VLOOKUP(V231,'bic broker'!$A$1:$B$14,2,FALSE)</f>
        <v>#N/A</v>
      </c>
      <c r="Z231" s="1090" t="str">
        <f>VLOOKUP(AA231,'place of settlement'!A:C,2,FALSE)</f>
        <v>KSDCKRSEXXX</v>
      </c>
      <c r="AA231" s="1090" t="str">
        <f t="shared" si="52"/>
        <v>KR</v>
      </c>
      <c r="AB231" s="1090" t="str">
        <f t="shared" si="53"/>
        <v>SamsungKR</v>
      </c>
      <c r="AC231" s="1090" t="e">
        <f>VLOOKUP(AB231,sample!$1:$1048576,2,FALSE)</f>
        <v>#N/A</v>
      </c>
      <c r="AD231" s="1090" t="e">
        <f>VLOOKUP($AB231,sample!$1:$1048576,3,FALSE)</f>
        <v>#N/A</v>
      </c>
      <c r="AE231" s="1091" t="e">
        <f>VLOOKUP($AB231,sample!$1:$1048576,4,FALSE)</f>
        <v>#N/A</v>
      </c>
      <c r="AF231" s="1090" t="e">
        <f>VLOOKUP($AB231,sample!$1:$1048576,5,FALSE)</f>
        <v>#N/A</v>
      </c>
      <c r="AL231" s="1091" t="e">
        <f>VLOOKUP($AB231,sample!$1:$1048576,11,FALSE)</f>
        <v>#N/A</v>
      </c>
      <c r="AM231" s="1091" t="e">
        <f>VLOOKUP($AB231,sample!$1:$1048576,12,FALSE)</f>
        <v>#N/A</v>
      </c>
      <c r="AN231" s="1091" t="e">
        <f>VLOOKUP($AB231,sample!$1:$1048576,13,FALSE)</f>
        <v>#N/A</v>
      </c>
      <c r="AP231" s="1111"/>
    </row>
    <row r="232" spans="1:42" ht="14">
      <c r="A232" s="1028">
        <v>2019200250</v>
      </c>
      <c r="B232" s="1004">
        <v>43872</v>
      </c>
      <c r="C232" s="998" t="s">
        <v>137</v>
      </c>
      <c r="D232" s="1108" t="str">
        <f>IFERROR(VLOOKUP(G232,PosAggregate!$B$13:$B$93,1,FALSE),"")</f>
        <v/>
      </c>
      <c r="E232" s="880" t="s">
        <v>1264</v>
      </c>
      <c r="F232" s="1132" t="str">
        <f t="shared" si="47"/>
        <v/>
      </c>
      <c r="G232" s="701" t="s">
        <v>1215</v>
      </c>
      <c r="I232" s="1029" t="s">
        <v>1095</v>
      </c>
      <c r="J232" s="950" t="s">
        <v>2</v>
      </c>
      <c r="K232" s="855">
        <v>103.9361</v>
      </c>
      <c r="L232" s="951"/>
      <c r="M232" s="952">
        <v>420</v>
      </c>
      <c r="N232" s="1092">
        <f t="shared" si="48"/>
        <v>-43653.161999999997</v>
      </c>
      <c r="O232" s="1002">
        <v>-26.19</v>
      </c>
      <c r="R232" s="1096">
        <f t="shared" si="49"/>
        <v>-43679.351999999999</v>
      </c>
      <c r="S232" s="855">
        <v>1</v>
      </c>
      <c r="T232" s="1101">
        <f t="shared" si="50"/>
        <v>-43679.351999999999</v>
      </c>
      <c r="U232" s="956">
        <v>43874</v>
      </c>
      <c r="V232" s="701" t="s">
        <v>1725</v>
      </c>
      <c r="W232" s="957">
        <v>43872.698958564812</v>
      </c>
      <c r="X232" s="1089">
        <f t="shared" si="51"/>
        <v>5.9995653923076653E-2</v>
      </c>
      <c r="Y232" s="1090" t="str">
        <f>VLOOKUP(V232,'bic broker'!$A$1:$B$14,2,FALSE)</f>
        <v>TAVSGB21XXX</v>
      </c>
      <c r="Z232" s="1090" t="str">
        <f>VLOOKUP(AA232,'place of settlement'!A:C,2,FALSE)</f>
        <v>DAKVDEFFXXX</v>
      </c>
      <c r="AA232" s="1090" t="str">
        <f t="shared" si="52"/>
        <v>DE</v>
      </c>
      <c r="AB232" s="1090" t="str">
        <f t="shared" si="53"/>
        <v>Tavira SecuritiesDE</v>
      </c>
      <c r="AC232" s="1090" t="str">
        <f>VLOOKUP(AB232,sample!$1:$1048576,2,FALSE)</f>
        <v>GSILGB2XXXX</v>
      </c>
      <c r="AD232" s="1090" t="str">
        <f>VLOOKUP($AB232,sample!$1:$1048576,3,FALSE)</f>
        <v>DAKVDEFFXXX</v>
      </c>
      <c r="AE232" s="1091" t="str">
        <f>VLOOKUP($AB232,sample!$1:$1048576,4,FALSE)</f>
        <v>DAKV7372000</v>
      </c>
      <c r="AF232" s="1090" t="str">
        <f>VLOOKUP($AB232,sample!$1:$1048576,5,FALSE)</f>
        <v>N</v>
      </c>
      <c r="AL232" s="1091" t="str">
        <f>VLOOKUP($AB232,sample!$1:$1048576,11,FALSE)</f>
        <v xml:space="preserve">        </v>
      </c>
      <c r="AM232" s="1091" t="str">
        <f>VLOOKUP($AB232,sample!$1:$1048576,12,FALSE)</f>
        <v xml:space="preserve">        </v>
      </c>
      <c r="AN232" s="1091" t="str">
        <f>VLOOKUP($AB232,sample!$1:$1048576,13,FALSE)</f>
        <v>CITIDEFFXXX</v>
      </c>
      <c r="AP232" s="1111"/>
    </row>
    <row r="233" spans="1:42" ht="14">
      <c r="A233" s="1028">
        <v>2019200251</v>
      </c>
      <c r="B233" s="1004">
        <v>43873</v>
      </c>
      <c r="C233" s="998" t="s">
        <v>138</v>
      </c>
      <c r="D233" s="1108" t="str">
        <f>IFERROR(VLOOKUP(G233,PosAggregate!$B$13:$B$93,1,FALSE),"")</f>
        <v/>
      </c>
      <c r="E233" s="880" t="s">
        <v>1254</v>
      </c>
      <c r="F233" s="1132" t="str">
        <f t="shared" si="47"/>
        <v/>
      </c>
      <c r="G233" s="701" t="s">
        <v>1204</v>
      </c>
      <c r="I233" s="1029" t="s">
        <v>1123</v>
      </c>
      <c r="J233" s="950" t="s">
        <v>123</v>
      </c>
      <c r="K233" s="855">
        <v>182000</v>
      </c>
      <c r="L233" s="951"/>
      <c r="M233" s="952">
        <v>-321</v>
      </c>
      <c r="N233" s="1092">
        <f t="shared" si="48"/>
        <v>58422000</v>
      </c>
      <c r="O233" s="1002">
        <v>-87633</v>
      </c>
      <c r="P233" s="1002">
        <v>-146055</v>
      </c>
      <c r="R233" s="1096">
        <f t="shared" si="49"/>
        <v>58188312</v>
      </c>
      <c r="S233" s="855">
        <v>1289.222373806271</v>
      </c>
      <c r="T233" s="1101">
        <f t="shared" si="50"/>
        <v>45134.426133333494</v>
      </c>
      <c r="U233" s="956">
        <v>43875</v>
      </c>
      <c r="V233" s="701" t="s">
        <v>1727</v>
      </c>
      <c r="W233" s="957">
        <v>43873.040099652775</v>
      </c>
      <c r="X233" s="1089">
        <f t="shared" si="51"/>
        <v>-0.15</v>
      </c>
      <c r="Y233" s="1090" t="e">
        <f>VLOOKUP(V233,'bic broker'!$A$1:$B$14,2,FALSE)</f>
        <v>#N/A</v>
      </c>
      <c r="Z233" s="1090" t="str">
        <f>VLOOKUP(AA233,'place of settlement'!A:C,2,FALSE)</f>
        <v>KSDCKRSEXXX</v>
      </c>
      <c r="AA233" s="1090" t="str">
        <f t="shared" si="52"/>
        <v>KR</v>
      </c>
      <c r="AB233" s="1090" t="str">
        <f t="shared" si="53"/>
        <v>samsungKR</v>
      </c>
      <c r="AC233" s="1090" t="e">
        <f>VLOOKUP(AB233,sample!$1:$1048576,2,FALSE)</f>
        <v>#N/A</v>
      </c>
      <c r="AD233" s="1090" t="e">
        <f>VLOOKUP($AB233,sample!$1:$1048576,3,FALSE)</f>
        <v>#N/A</v>
      </c>
      <c r="AE233" s="1091" t="e">
        <f>VLOOKUP($AB233,sample!$1:$1048576,4,FALSE)</f>
        <v>#N/A</v>
      </c>
      <c r="AF233" s="1090" t="e">
        <f>VLOOKUP($AB233,sample!$1:$1048576,5,FALSE)</f>
        <v>#N/A</v>
      </c>
      <c r="AL233" s="1091" t="e">
        <f>VLOOKUP($AB233,sample!$1:$1048576,11,FALSE)</f>
        <v>#N/A</v>
      </c>
      <c r="AM233" s="1091" t="e">
        <f>VLOOKUP($AB233,sample!$1:$1048576,12,FALSE)</f>
        <v>#N/A</v>
      </c>
      <c r="AN233" s="1091" t="e">
        <f>VLOOKUP($AB233,sample!$1:$1048576,13,FALSE)</f>
        <v>#N/A</v>
      </c>
      <c r="AP233" s="1111"/>
    </row>
    <row r="234" spans="1:42" ht="14">
      <c r="A234" s="1028">
        <v>2019200252</v>
      </c>
      <c r="B234" s="1004">
        <v>43873</v>
      </c>
      <c r="C234" s="998" t="s">
        <v>137</v>
      </c>
      <c r="D234" s="1108" t="str">
        <f>IFERROR(VLOOKUP(G234,PosAggregate!$B$13:$B$93,1,FALSE),"")</f>
        <v/>
      </c>
      <c r="E234" s="880" t="s">
        <v>1683</v>
      </c>
      <c r="F234" s="1132" t="str">
        <f t="shared" si="47"/>
        <v/>
      </c>
      <c r="G234" s="701" t="s">
        <v>1682</v>
      </c>
      <c r="I234" s="950" t="s">
        <v>1685</v>
      </c>
      <c r="J234" s="950" t="s">
        <v>125</v>
      </c>
      <c r="K234" s="855">
        <v>1026.25</v>
      </c>
      <c r="L234" s="951"/>
      <c r="M234" s="952">
        <v>1200</v>
      </c>
      <c r="N234" s="1092">
        <f t="shared" si="48"/>
        <v>-1231500</v>
      </c>
      <c r="O234" s="1002">
        <v>-739</v>
      </c>
      <c r="R234" s="1096">
        <f t="shared" si="49"/>
        <v>-1232239</v>
      </c>
      <c r="S234" s="855">
        <v>119.80354706684855</v>
      </c>
      <c r="T234" s="1101">
        <f t="shared" si="50"/>
        <v>-10285.496800127541</v>
      </c>
      <c r="U234" s="956">
        <v>43875</v>
      </c>
      <c r="V234" s="701" t="s">
        <v>1725</v>
      </c>
      <c r="W234" s="957">
        <v>43873.483091203707</v>
      </c>
      <c r="X234" s="1089">
        <f t="shared" si="51"/>
        <v>6.0008120178643924E-2</v>
      </c>
      <c r="Y234" s="1090" t="str">
        <f>VLOOKUP(V234,'bic broker'!$A$1:$B$14,2,FALSE)</f>
        <v>TAVSGB21XXX</v>
      </c>
      <c r="Z234" s="1090" t="str">
        <f>VLOOKUP(AA234,'place of settlement'!A:C,2,FALSE)</f>
        <v>JJSDJPJTXXX</v>
      </c>
      <c r="AA234" s="1090" t="str">
        <f t="shared" si="52"/>
        <v>JP</v>
      </c>
      <c r="AB234" s="1090" t="str">
        <f t="shared" si="53"/>
        <v>Tavira SecuritiesJP</v>
      </c>
      <c r="AC234" s="1090" t="str">
        <f>VLOOKUP(AB234,sample!$1:$1048576,2,FALSE)</f>
        <v>GSILGB2XXXX</v>
      </c>
      <c r="AD234" s="1090" t="str">
        <f>VLOOKUP($AB234,sample!$1:$1048576,3,FALSE)</f>
        <v>JJSDJPJTXXX</v>
      </c>
      <c r="AE234" s="1091">
        <f>VLOOKUP($AB234,sample!$1:$1048576,4,FALSE)</f>
        <v>6530490016</v>
      </c>
      <c r="AF234" s="1090" t="str">
        <f>VLOOKUP($AB234,sample!$1:$1048576,5,FALSE)</f>
        <v>N</v>
      </c>
      <c r="AL234" s="1091" t="str">
        <f>VLOOKUP($AB234,sample!$1:$1048576,11,FALSE)</f>
        <v xml:space="preserve">                  </v>
      </c>
      <c r="AM234" s="1091" t="str">
        <f>VLOOKUP($AB234,sample!$1:$1048576,12,FALSE)</f>
        <v xml:space="preserve">                          </v>
      </c>
      <c r="AN234" s="1091" t="str">
        <f>VLOOKUP($AB234,sample!$1:$1048576,13,FALSE)</f>
        <v>GOLDJPJXXXX</v>
      </c>
      <c r="AP234" s="1111"/>
    </row>
    <row r="235" spans="1:42" ht="14">
      <c r="A235" s="1028">
        <v>2019200253</v>
      </c>
      <c r="B235" s="1004">
        <v>43873</v>
      </c>
      <c r="C235" s="998" t="s">
        <v>137</v>
      </c>
      <c r="D235" s="1108" t="str">
        <f>IFERROR(VLOOKUP(G235,PosAggregate!$B$13:$B$93,1,FALSE),"")</f>
        <v/>
      </c>
      <c r="E235" s="880" t="s">
        <v>1680</v>
      </c>
      <c r="F235" s="1132" t="str">
        <f t="shared" si="47"/>
        <v/>
      </c>
      <c r="G235" s="701" t="s">
        <v>2105</v>
      </c>
      <c r="I235" s="950" t="s">
        <v>1663</v>
      </c>
      <c r="J235" s="950" t="s">
        <v>125</v>
      </c>
      <c r="K235" s="855">
        <v>1070</v>
      </c>
      <c r="L235" s="951"/>
      <c r="M235" s="952">
        <v>6700</v>
      </c>
      <c r="N235" s="1092">
        <f t="shared" si="48"/>
        <v>-7169000</v>
      </c>
      <c r="O235" s="1002">
        <v>-4301</v>
      </c>
      <c r="R235" s="1096">
        <f t="shared" si="49"/>
        <v>-7173301</v>
      </c>
      <c r="S235" s="855">
        <v>119.80354706684852</v>
      </c>
      <c r="T235" s="1101">
        <f t="shared" si="50"/>
        <v>-59875.531030791681</v>
      </c>
      <c r="U235" s="956">
        <v>43875</v>
      </c>
      <c r="V235" s="701" t="s">
        <v>1725</v>
      </c>
      <c r="W235" s="957">
        <v>43873.48372384259</v>
      </c>
      <c r="X235" s="1089">
        <f t="shared" si="51"/>
        <v>5.9994420421258202E-2</v>
      </c>
      <c r="Y235" s="1090" t="str">
        <f>VLOOKUP(V235,'bic broker'!$A$1:$B$14,2,FALSE)</f>
        <v>TAVSGB21XXX</v>
      </c>
      <c r="Z235" s="1090" t="str">
        <f>VLOOKUP(AA235,'place of settlement'!A:C,2,FALSE)</f>
        <v>JJSDJPJTXXX</v>
      </c>
      <c r="AA235" s="1090" t="str">
        <f t="shared" si="52"/>
        <v>JP</v>
      </c>
      <c r="AB235" s="1090" t="str">
        <f t="shared" si="53"/>
        <v>Tavira SecuritiesJP</v>
      </c>
      <c r="AC235" s="1090" t="str">
        <f>VLOOKUP(AB235,sample!$1:$1048576,2,FALSE)</f>
        <v>GSILGB2XXXX</v>
      </c>
      <c r="AD235" s="1090" t="str">
        <f>VLOOKUP($AB235,sample!$1:$1048576,3,FALSE)</f>
        <v>JJSDJPJTXXX</v>
      </c>
      <c r="AE235" s="1091">
        <f>VLOOKUP($AB235,sample!$1:$1048576,4,FALSE)</f>
        <v>6530490016</v>
      </c>
      <c r="AF235" s="1090" t="str">
        <f>VLOOKUP($AB235,sample!$1:$1048576,5,FALSE)</f>
        <v>N</v>
      </c>
      <c r="AL235" s="1091" t="str">
        <f>VLOOKUP($AB235,sample!$1:$1048576,11,FALSE)</f>
        <v xml:space="preserve">                  </v>
      </c>
      <c r="AM235" s="1091" t="str">
        <f>VLOOKUP($AB235,sample!$1:$1048576,12,FALSE)</f>
        <v xml:space="preserve">                          </v>
      </c>
      <c r="AN235" s="1091" t="str">
        <f>VLOOKUP($AB235,sample!$1:$1048576,13,FALSE)</f>
        <v>GOLDJPJXXXX</v>
      </c>
      <c r="AP235" s="1111"/>
    </row>
    <row r="236" spans="1:42" ht="14">
      <c r="A236" s="1028">
        <v>2019200254</v>
      </c>
      <c r="B236" s="1004">
        <v>43874</v>
      </c>
      <c r="C236" s="998" t="s">
        <v>137</v>
      </c>
      <c r="D236" s="1108" t="str">
        <f>IFERROR(VLOOKUP(G236,PosAggregate!$B$13:$B$93,1,FALSE),"")</f>
        <v/>
      </c>
      <c r="E236" s="880" t="s">
        <v>1683</v>
      </c>
      <c r="F236" s="1132" t="str">
        <f t="shared" si="47"/>
        <v/>
      </c>
      <c r="G236" s="701" t="s">
        <v>1682</v>
      </c>
      <c r="I236" s="950" t="s">
        <v>1685</v>
      </c>
      <c r="J236" s="950" t="s">
        <v>125</v>
      </c>
      <c r="K236" s="855">
        <v>1014.2381</v>
      </c>
      <c r="L236" s="951"/>
      <c r="M236" s="952">
        <v>2100</v>
      </c>
      <c r="N236" s="1092">
        <f t="shared" si="48"/>
        <v>-2129900.0100000002</v>
      </c>
      <c r="O236" s="1002">
        <v>-1278</v>
      </c>
      <c r="R236" s="1096">
        <f t="shared" si="49"/>
        <v>-2131178.0100000002</v>
      </c>
      <c r="S236" s="855">
        <v>119.80354706684855</v>
      </c>
      <c r="T236" s="1101">
        <f t="shared" si="50"/>
        <v>-17788.939160631326</v>
      </c>
      <c r="U236" s="956">
        <v>43878</v>
      </c>
      <c r="V236" s="701" t="s">
        <v>1725</v>
      </c>
      <c r="W236" s="957">
        <v>43873.833059027776</v>
      </c>
      <c r="X236" s="1089">
        <f t="shared" si="51"/>
        <v>6.000281675194695E-2</v>
      </c>
      <c r="Y236" s="1090" t="str">
        <f>VLOOKUP(V236,'bic broker'!$A$1:$B$14,2,FALSE)</f>
        <v>TAVSGB21XXX</v>
      </c>
      <c r="Z236" s="1090" t="str">
        <f>VLOOKUP(AA236,'place of settlement'!A:C,2,FALSE)</f>
        <v>JJSDJPJTXXX</v>
      </c>
      <c r="AA236" s="1090" t="str">
        <f t="shared" si="52"/>
        <v>JP</v>
      </c>
      <c r="AB236" s="1090" t="str">
        <f t="shared" si="53"/>
        <v>Tavira SecuritiesJP</v>
      </c>
      <c r="AC236" s="1090" t="str">
        <f>VLOOKUP(AB236,sample!$1:$1048576,2,FALSE)</f>
        <v>GSILGB2XXXX</v>
      </c>
      <c r="AD236" s="1090" t="str">
        <f>VLOOKUP($AB236,sample!$1:$1048576,3,FALSE)</f>
        <v>JJSDJPJTXXX</v>
      </c>
      <c r="AE236" s="1091">
        <f>VLOOKUP($AB236,sample!$1:$1048576,4,FALSE)</f>
        <v>6530490016</v>
      </c>
      <c r="AF236" s="1090" t="str">
        <f>VLOOKUP($AB236,sample!$1:$1048576,5,FALSE)</f>
        <v>N</v>
      </c>
      <c r="AL236" s="1091" t="str">
        <f>VLOOKUP($AB236,sample!$1:$1048576,11,FALSE)</f>
        <v xml:space="preserve">                  </v>
      </c>
      <c r="AM236" s="1091" t="str">
        <f>VLOOKUP($AB236,sample!$1:$1048576,12,FALSE)</f>
        <v xml:space="preserve">                          </v>
      </c>
      <c r="AN236" s="1091" t="str">
        <f>VLOOKUP($AB236,sample!$1:$1048576,13,FALSE)</f>
        <v>GOLDJPJXXXX</v>
      </c>
      <c r="AP236" s="1111"/>
    </row>
    <row r="237" spans="1:42" ht="14">
      <c r="A237" s="1028">
        <v>2019200255</v>
      </c>
      <c r="B237" s="1004">
        <v>43875</v>
      </c>
      <c r="C237" s="998" t="s">
        <v>137</v>
      </c>
      <c r="D237" s="1108" t="str">
        <f>IFERROR(VLOOKUP(G237,PosAggregate!$B$13:$B$93,1,FALSE),"")</f>
        <v/>
      </c>
      <c r="E237" s="880" t="s">
        <v>1683</v>
      </c>
      <c r="F237" s="1132" t="str">
        <f t="shared" si="47"/>
        <v/>
      </c>
      <c r="G237" s="701" t="s">
        <v>1682</v>
      </c>
      <c r="I237" s="950" t="s">
        <v>1685</v>
      </c>
      <c r="J237" s="950" t="s">
        <v>125</v>
      </c>
      <c r="K237" s="855">
        <v>991.44047999999998</v>
      </c>
      <c r="L237" s="951"/>
      <c r="M237" s="952">
        <v>4200</v>
      </c>
      <c r="N237" s="1092">
        <f t="shared" si="48"/>
        <v>-4164050.0159999998</v>
      </c>
      <c r="O237" s="1002">
        <v>-2498</v>
      </c>
      <c r="R237" s="1096">
        <f t="shared" si="49"/>
        <v>-4166548.0159999998</v>
      </c>
      <c r="S237" s="855">
        <v>119.66778275427232</v>
      </c>
      <c r="T237" s="1101">
        <f t="shared" si="50"/>
        <v>-34817.625263063943</v>
      </c>
      <c r="U237" s="956">
        <v>43879</v>
      </c>
      <c r="V237" s="701" t="s">
        <v>1725</v>
      </c>
      <c r="W237" s="957">
        <v>43874.895068518519</v>
      </c>
      <c r="X237" s="1089">
        <f t="shared" si="51"/>
        <v>5.9989673284462301E-2</v>
      </c>
      <c r="Y237" s="1090" t="str">
        <f>VLOOKUP(V237,'bic broker'!$A$1:$B$14,2,FALSE)</f>
        <v>TAVSGB21XXX</v>
      </c>
      <c r="Z237" s="1090" t="str">
        <f>VLOOKUP(AA237,'place of settlement'!A:C,2,FALSE)</f>
        <v>JJSDJPJTXXX</v>
      </c>
      <c r="AA237" s="1090" t="str">
        <f t="shared" si="52"/>
        <v>JP</v>
      </c>
      <c r="AB237" s="1090" t="str">
        <f t="shared" si="53"/>
        <v>Tavira SecuritiesJP</v>
      </c>
      <c r="AC237" s="1090" t="str">
        <f>VLOOKUP(AB237,sample!$1:$1048576,2,FALSE)</f>
        <v>GSILGB2XXXX</v>
      </c>
      <c r="AD237" s="1090" t="str">
        <f>VLOOKUP($AB237,sample!$1:$1048576,3,FALSE)</f>
        <v>JJSDJPJTXXX</v>
      </c>
      <c r="AE237" s="1091">
        <f>VLOOKUP($AB237,sample!$1:$1048576,4,FALSE)</f>
        <v>6530490016</v>
      </c>
      <c r="AF237" s="1090" t="str">
        <f>VLOOKUP($AB237,sample!$1:$1048576,5,FALSE)</f>
        <v>N</v>
      </c>
      <c r="AL237" s="1091" t="str">
        <f>VLOOKUP($AB237,sample!$1:$1048576,11,FALSE)</f>
        <v xml:space="preserve">                  </v>
      </c>
      <c r="AM237" s="1091" t="str">
        <f>VLOOKUP($AB237,sample!$1:$1048576,12,FALSE)</f>
        <v xml:space="preserve">                          </v>
      </c>
      <c r="AN237" s="1091" t="str">
        <f>VLOOKUP($AB237,sample!$1:$1048576,13,FALSE)</f>
        <v>GOLDJPJXXXX</v>
      </c>
      <c r="AP237" s="1111"/>
    </row>
    <row r="238" spans="1:42" ht="14">
      <c r="A238" s="1028">
        <v>2019200256</v>
      </c>
      <c r="B238" s="1004">
        <v>43881</v>
      </c>
      <c r="C238" s="998" t="s">
        <v>137</v>
      </c>
      <c r="D238" s="1108" t="str">
        <f>IFERROR(VLOOKUP(G238,PosAggregate!$B$13:$B$93,1,FALSE),"")</f>
        <v/>
      </c>
      <c r="E238" s="880" t="s">
        <v>1261</v>
      </c>
      <c r="F238" s="1132" t="str">
        <f t="shared" si="47"/>
        <v/>
      </c>
      <c r="G238" s="701" t="s">
        <v>1212</v>
      </c>
      <c r="I238" s="950" t="s">
        <v>1099</v>
      </c>
      <c r="J238" s="950" t="s">
        <v>2</v>
      </c>
      <c r="K238" s="855">
        <v>32.887500000000003</v>
      </c>
      <c r="L238" s="951"/>
      <c r="M238" s="952">
        <v>1300</v>
      </c>
      <c r="N238" s="1092">
        <f t="shared" si="48"/>
        <v>-42753.750000000007</v>
      </c>
      <c r="O238" s="1002">
        <v>-25.65</v>
      </c>
      <c r="P238" s="1002">
        <v>-128.26</v>
      </c>
      <c r="R238" s="1096">
        <f t="shared" si="49"/>
        <v>-42907.660000000011</v>
      </c>
      <c r="S238" s="855">
        <v>1</v>
      </c>
      <c r="T238" s="1101">
        <f t="shared" si="50"/>
        <v>-42907.660000000011</v>
      </c>
      <c r="U238" s="956">
        <v>43885</v>
      </c>
      <c r="V238" s="701" t="s">
        <v>1725</v>
      </c>
      <c r="W238" s="957">
        <v>43881.536782523151</v>
      </c>
      <c r="X238" s="1089">
        <f t="shared" si="51"/>
        <v>5.9994737303745271E-2</v>
      </c>
      <c r="Y238" s="1090" t="str">
        <f>VLOOKUP(V238,'bic broker'!$A$1:$B$14,2,FALSE)</f>
        <v>TAVSGB21XXX</v>
      </c>
      <c r="Z238" s="1090" t="str">
        <f>VLOOKUP(AA238,'place of settlement'!A:C,2,FALSE)</f>
        <v>SICVFRPPXXX</v>
      </c>
      <c r="AA238" s="1090" t="str">
        <f t="shared" si="52"/>
        <v>FR</v>
      </c>
      <c r="AB238" s="1090" t="str">
        <f t="shared" si="53"/>
        <v>Tavira SecuritiesFR</v>
      </c>
      <c r="AC238" s="1090" t="str">
        <f>VLOOKUP(AB238,sample!$1:$1048576,2,FALSE)</f>
        <v>GSILGB2XXXX</v>
      </c>
      <c r="AD238" s="1090" t="str">
        <f>VLOOKUP($AB238,sample!$1:$1048576,3,FALSE)</f>
        <v>SICVFRPPXXX</v>
      </c>
      <c r="AE238" s="1091" t="str">
        <f>VLOOKUP($AB238,sample!$1:$1048576,4,FALSE)</f>
        <v>SICVPARBFRPPXXX000L10</v>
      </c>
      <c r="AF238" s="1090" t="str">
        <f>VLOOKUP($AB238,sample!$1:$1048576,5,FALSE)</f>
        <v>N</v>
      </c>
      <c r="AL238" s="1091" t="str">
        <f>VLOOKUP($AB238,sample!$1:$1048576,11,FALSE)</f>
        <v xml:space="preserve">        </v>
      </c>
      <c r="AM238" s="1091" t="str">
        <f>VLOOKUP($AB238,sample!$1:$1048576,12,FALSE)</f>
        <v xml:space="preserve">        </v>
      </c>
      <c r="AN238" s="1091" t="str">
        <f>VLOOKUP($AB238,sample!$1:$1048576,13,FALSE)</f>
        <v>PARBFRPPXXX</v>
      </c>
      <c r="AP238" s="1111"/>
    </row>
    <row r="239" spans="1:42" ht="14">
      <c r="A239" s="1028">
        <v>2019200257</v>
      </c>
      <c r="B239" s="1004">
        <v>43885</v>
      </c>
      <c r="C239" s="998" t="s">
        <v>137</v>
      </c>
      <c r="D239" s="1108" t="str">
        <f>IFERROR(VLOOKUP(G239,PosAggregate!$B$13:$B$93,1,FALSE),"")</f>
        <v/>
      </c>
      <c r="E239" s="880" t="s">
        <v>1702</v>
      </c>
      <c r="F239" s="1132" t="str">
        <f t="shared" si="47"/>
        <v/>
      </c>
      <c r="G239" s="701" t="s">
        <v>1715</v>
      </c>
      <c r="I239" s="950" t="s">
        <v>1703</v>
      </c>
      <c r="J239" s="950" t="s">
        <v>2</v>
      </c>
      <c r="K239" s="855">
        <v>158.07650000000001</v>
      </c>
      <c r="L239" s="951"/>
      <c r="M239" s="952">
        <v>400</v>
      </c>
      <c r="N239" s="1092">
        <f t="shared" si="48"/>
        <v>-63230.600000000006</v>
      </c>
      <c r="O239" s="1002">
        <v>-31.62</v>
      </c>
      <c r="R239" s="1096">
        <f t="shared" si="49"/>
        <v>-63262.220000000008</v>
      </c>
      <c r="S239" s="855">
        <v>1</v>
      </c>
      <c r="T239" s="1101">
        <f t="shared" si="50"/>
        <v>-63262.220000000008</v>
      </c>
      <c r="U239" s="956">
        <v>43887</v>
      </c>
      <c r="V239" s="701" t="s">
        <v>1113</v>
      </c>
      <c r="W239" s="957">
        <v>43885.53717476852</v>
      </c>
      <c r="X239" s="1089">
        <f t="shared" si="51"/>
        <v>5.0007433109918301E-2</v>
      </c>
      <c r="Y239" s="1090" t="str">
        <f>VLOOKUP(V239,'bic broker'!$A$1:$B$14,2,FALSE)</f>
        <v>JBBRFRPPXXX</v>
      </c>
      <c r="Z239" s="1090" t="str">
        <f>VLOOKUP(AA239,'place of settlement'!A:C,2,FALSE)</f>
        <v>DAKVDEFFXXX</v>
      </c>
      <c r="AA239" s="1090" t="str">
        <f t="shared" si="52"/>
        <v>DE</v>
      </c>
      <c r="AB239" s="1090" t="str">
        <f t="shared" si="53"/>
        <v>KeplerDE</v>
      </c>
      <c r="AC239" s="1090" t="str">
        <f>VLOOKUP(AB239,sample!$1:$1048576,2,FALSE)</f>
        <v>PAREFRPPXXX</v>
      </c>
      <c r="AD239" s="1090" t="str">
        <f>VLOOKUP($AB239,sample!$1:$1048576,3,FALSE)</f>
        <v>DAKVDEFFXXX</v>
      </c>
      <c r="AE239" s="1091" t="str">
        <f>VLOOKUP($AB239,sample!$1:$1048576,4,FALSE)</f>
        <v>DAKV 8448</v>
      </c>
      <c r="AF239" s="1090" t="str">
        <f>VLOOKUP($AB239,sample!$1:$1048576,5,FALSE)</f>
        <v>N</v>
      </c>
      <c r="AL239" s="1091" t="str">
        <f>VLOOKUP($AB239,sample!$1:$1048576,11,FALSE)</f>
        <v xml:space="preserve">        </v>
      </c>
      <c r="AM239" s="1091" t="str">
        <f>VLOOKUP($AB239,sample!$1:$1048576,12,FALSE)</f>
        <v xml:space="preserve">        </v>
      </c>
      <c r="AN239" s="1091" t="str">
        <f>VLOOKUP($AB239,sample!$1:$1048576,13,FALSE)</f>
        <v>SGABCHZZ448</v>
      </c>
      <c r="AP239" s="1111"/>
    </row>
    <row r="240" spans="1:42" ht="14">
      <c r="A240" s="1028">
        <v>2019200258</v>
      </c>
      <c r="B240" s="1004">
        <v>43885</v>
      </c>
      <c r="C240" s="998" t="s">
        <v>137</v>
      </c>
      <c r="D240" s="1108" t="str">
        <f>IFERROR(VLOOKUP(G240,PosAggregate!$B$13:$B$93,1,FALSE),"")</f>
        <v/>
      </c>
      <c r="E240" s="880" t="s">
        <v>1263</v>
      </c>
      <c r="F240" s="1132" t="str">
        <f t="shared" si="47"/>
        <v/>
      </c>
      <c r="G240" s="701" t="s">
        <v>1214</v>
      </c>
      <c r="I240" s="950" t="s">
        <v>12811</v>
      </c>
      <c r="J240" s="950" t="s">
        <v>2</v>
      </c>
      <c r="K240" s="855">
        <v>25.2135</v>
      </c>
      <c r="L240" s="951"/>
      <c r="M240" s="952">
        <v>1300</v>
      </c>
      <c r="N240" s="1092">
        <f t="shared" si="48"/>
        <v>-32777.550000000003</v>
      </c>
      <c r="O240" s="1002">
        <v>-16.39</v>
      </c>
      <c r="P240" s="1002">
        <v>-98.33</v>
      </c>
      <c r="R240" s="1096">
        <f t="shared" si="49"/>
        <v>-32892.270000000004</v>
      </c>
      <c r="S240" s="855">
        <v>1</v>
      </c>
      <c r="T240" s="1101">
        <f t="shared" si="50"/>
        <v>-32892.270000000004</v>
      </c>
      <c r="U240" s="956">
        <v>43887</v>
      </c>
      <c r="V240" s="701" t="s">
        <v>1113</v>
      </c>
      <c r="W240" s="957">
        <v>43885.54159872685</v>
      </c>
      <c r="X240" s="1089">
        <f t="shared" si="51"/>
        <v>5.0003737314106761E-2</v>
      </c>
      <c r="Y240" s="1090" t="str">
        <f>VLOOKUP(V240,'bic broker'!$A$1:$B$14,2,FALSE)</f>
        <v>JBBRFRPPXXX</v>
      </c>
      <c r="Z240" s="1090" t="str">
        <f>VLOOKUP(AA240,'place of settlement'!A:C,2,FALSE)</f>
        <v>SICVFRPPXXX</v>
      </c>
      <c r="AA240" s="1090" t="str">
        <f t="shared" si="52"/>
        <v>FR</v>
      </c>
      <c r="AB240" s="1090" t="str">
        <f t="shared" si="53"/>
        <v>KeplerFR</v>
      </c>
      <c r="AC240" s="1090" t="str">
        <f>VLOOKUP(AB240,sample!$1:$1048576,2,FALSE)</f>
        <v>JBBRFRPPXXX</v>
      </c>
      <c r="AD240" s="1090" t="str">
        <f>VLOOKUP($AB240,sample!$1:$1048576,3,FALSE)</f>
        <v>SICVFRPPXXX</v>
      </c>
      <c r="AE240" s="1091" t="str">
        <f>VLOOKUP($AB240,sample!$1:$1048576,4,FALSE)</f>
        <v>SICVPAREFRPPKCH000L10</v>
      </c>
      <c r="AF240" s="1090" t="str">
        <f>VLOOKUP($AB240,sample!$1:$1048576,5,FALSE)</f>
        <v>N</v>
      </c>
      <c r="AL240" s="1091" t="str">
        <f>VLOOKUP($AB240,sample!$1:$1048576,11,FALSE)</f>
        <v xml:space="preserve">        </v>
      </c>
      <c r="AM240" s="1091" t="str">
        <f>VLOOKUP($AB240,sample!$1:$1048576,12,FALSE)</f>
        <v xml:space="preserve">        </v>
      </c>
      <c r="AN240" s="1091" t="str">
        <f>VLOOKUP($AB240,sample!$1:$1048576,13,FALSE)</f>
        <v>PAREFRPPKCH</v>
      </c>
      <c r="AP240" s="1111"/>
    </row>
    <row r="241" spans="1:42" ht="14">
      <c r="A241" s="1028">
        <v>2019200259</v>
      </c>
      <c r="B241" s="1004">
        <v>43886</v>
      </c>
      <c r="C241" s="998" t="s">
        <v>137</v>
      </c>
      <c r="D241" s="1108" t="str">
        <f>IFERROR(VLOOKUP(G241,PosAggregate!$B$13:$B$93,1,FALSE),"")</f>
        <v/>
      </c>
      <c r="E241" s="880" t="s">
        <v>1675</v>
      </c>
      <c r="F241" s="1132" t="str">
        <f t="shared" si="47"/>
        <v/>
      </c>
      <c r="G241" s="701" t="s">
        <v>1647</v>
      </c>
      <c r="I241" s="950" t="s">
        <v>1651</v>
      </c>
      <c r="J241" s="950" t="s">
        <v>3</v>
      </c>
      <c r="K241" s="855">
        <v>12.64432</v>
      </c>
      <c r="L241" s="951"/>
      <c r="M241" s="952">
        <v>2200</v>
      </c>
      <c r="N241" s="1092">
        <f t="shared" si="48"/>
        <v>-27817.504000000001</v>
      </c>
      <c r="O241" s="1002">
        <v>-13.91</v>
      </c>
      <c r="R241" s="1096">
        <f t="shared" si="49"/>
        <v>-27831.414000000001</v>
      </c>
      <c r="S241" s="855">
        <v>1.0851989712313752</v>
      </c>
      <c r="T241" s="1101">
        <f t="shared" si="50"/>
        <v>-25646.369686860002</v>
      </c>
      <c r="U241" s="956">
        <v>43888</v>
      </c>
      <c r="V241" s="701" t="s">
        <v>1725</v>
      </c>
      <c r="W241" s="957">
        <v>43886.823459490741</v>
      </c>
      <c r="X241" s="1089">
        <f t="shared" si="51"/>
        <v>5.0004486383825091E-2</v>
      </c>
      <c r="Y241" s="1090" t="str">
        <f>VLOOKUP(V241,'bic broker'!$A$1:$B$14,2,FALSE)</f>
        <v>TAVSGB21XXX</v>
      </c>
      <c r="Z241" s="1090" t="str">
        <f>VLOOKUP(AA241,'place of settlement'!A:C,2,FALSE)</f>
        <v>DTCYUS33XXX</v>
      </c>
      <c r="AA241" s="1090" t="str">
        <f t="shared" si="52"/>
        <v>US</v>
      </c>
      <c r="AB241" s="1090" t="str">
        <f t="shared" si="53"/>
        <v>Tavira SecuritiesUS</v>
      </c>
      <c r="AC241" s="1090" t="str">
        <f>VLOOKUP(AB241,sample!$1:$1048576,2,FALSE)</f>
        <v>GSILGB2XXXX</v>
      </c>
      <c r="AD241" s="1090" t="str">
        <f>VLOOKUP($AB241,sample!$1:$1048576,3,FALSE)</f>
        <v>DTCYUS33</v>
      </c>
      <c r="AE241" s="1091" t="str">
        <f>VLOOKUP($AB241,sample!$1:$1048576,4,FALSE)</f>
        <v xml:space="preserve">        </v>
      </c>
      <c r="AF241" s="1090" t="str">
        <f>VLOOKUP($AB241,sample!$1:$1048576,5,FALSE)</f>
        <v>N</v>
      </c>
      <c r="AL241" s="1091" t="str">
        <f>VLOOKUP($AB241,sample!$1:$1048576,11,FALSE)</f>
        <v>DTCYID</v>
      </c>
      <c r="AM241" s="1091">
        <f>VLOOKUP($AB241,sample!$1:$1048576,12,FALSE)</f>
        <v>5208</v>
      </c>
      <c r="AN241" s="1091" t="str">
        <f>VLOOKUP($AB241,sample!$1:$1048576,13,FALSE)</f>
        <v xml:space="preserve">        </v>
      </c>
      <c r="AP241" s="1111"/>
    </row>
    <row r="242" spans="1:42" ht="14">
      <c r="A242" s="1028">
        <v>2019200260</v>
      </c>
      <c r="B242" s="1004">
        <v>43888</v>
      </c>
      <c r="C242" s="998" t="s">
        <v>137</v>
      </c>
      <c r="D242" s="1108" t="str">
        <f>IFERROR(VLOOKUP(G242,PosAggregate!$B$13:$B$93,1,FALSE),"")</f>
        <v/>
      </c>
      <c r="E242" s="880" t="s">
        <v>1675</v>
      </c>
      <c r="F242" s="1132" t="str">
        <f t="shared" si="47"/>
        <v/>
      </c>
      <c r="G242" s="701" t="s">
        <v>1647</v>
      </c>
      <c r="I242" s="950" t="s">
        <v>1651</v>
      </c>
      <c r="J242" s="950" t="s">
        <v>3</v>
      </c>
      <c r="K242" s="855">
        <v>9.99512</v>
      </c>
      <c r="L242" s="951"/>
      <c r="M242" s="952">
        <v>4200</v>
      </c>
      <c r="N242" s="1092">
        <f t="shared" si="48"/>
        <v>-41979.504000000001</v>
      </c>
      <c r="O242" s="1002">
        <v>-20.99</v>
      </c>
      <c r="R242" s="1096">
        <f t="shared" si="49"/>
        <v>-42000.493999999999</v>
      </c>
      <c r="S242" s="855">
        <v>1.0879025239338556</v>
      </c>
      <c r="T242" s="1101">
        <f t="shared" si="50"/>
        <v>-38606.854084799998</v>
      </c>
      <c r="U242" s="956">
        <v>43892</v>
      </c>
      <c r="V242" s="701" t="s">
        <v>1725</v>
      </c>
      <c r="W242" s="957">
        <v>43888.868312037041</v>
      </c>
      <c r="X242" s="1089">
        <f t="shared" si="51"/>
        <v>5.0000590764483537E-2</v>
      </c>
      <c r="Y242" s="1090" t="str">
        <f>VLOOKUP(V242,'bic broker'!$A$1:$B$14,2,FALSE)</f>
        <v>TAVSGB21XXX</v>
      </c>
      <c r="Z242" s="1090" t="str">
        <f>VLOOKUP(AA242,'place of settlement'!A:C,2,FALSE)</f>
        <v>DTCYUS33XXX</v>
      </c>
      <c r="AA242" s="1090" t="str">
        <f t="shared" si="52"/>
        <v>US</v>
      </c>
      <c r="AB242" s="1090" t="str">
        <f t="shared" si="53"/>
        <v>Tavira SecuritiesUS</v>
      </c>
      <c r="AC242" s="1090" t="str">
        <f>VLOOKUP(AB242,sample!$1:$1048576,2,FALSE)</f>
        <v>GSILGB2XXXX</v>
      </c>
      <c r="AD242" s="1090" t="str">
        <f>VLOOKUP($AB242,sample!$1:$1048576,3,FALSE)</f>
        <v>DTCYUS33</v>
      </c>
      <c r="AE242" s="1091" t="str">
        <f>VLOOKUP($AB242,sample!$1:$1048576,4,FALSE)</f>
        <v xml:space="preserve">        </v>
      </c>
      <c r="AF242" s="1090" t="str">
        <f>VLOOKUP($AB242,sample!$1:$1048576,5,FALSE)</f>
        <v>N</v>
      </c>
      <c r="AL242" s="1091" t="str">
        <f>VLOOKUP($AB242,sample!$1:$1048576,11,FALSE)</f>
        <v>DTCYID</v>
      </c>
      <c r="AM242" s="1091">
        <f>VLOOKUP($AB242,sample!$1:$1048576,12,FALSE)</f>
        <v>5208</v>
      </c>
      <c r="AN242" s="1091" t="str">
        <f>VLOOKUP($AB242,sample!$1:$1048576,13,FALSE)</f>
        <v xml:space="preserve">        </v>
      </c>
      <c r="AP242" s="1111"/>
    </row>
    <row r="243" spans="1:42" ht="14">
      <c r="A243" s="1028">
        <v>2019200261</v>
      </c>
      <c r="B243" s="1004">
        <v>43889</v>
      </c>
      <c r="C243" s="998" t="s">
        <v>137</v>
      </c>
      <c r="D243" s="1108" t="str">
        <f>IFERROR(VLOOKUP(G243,PosAggregate!$B$13:$B$93,1,FALSE),"")</f>
        <v/>
      </c>
      <c r="E243" s="880" t="s">
        <v>1702</v>
      </c>
      <c r="F243" s="1132" t="str">
        <f t="shared" si="47"/>
        <v/>
      </c>
      <c r="G243" s="701" t="s">
        <v>1715</v>
      </c>
      <c r="I243" s="950" t="s">
        <v>1703</v>
      </c>
      <c r="J243" s="950" t="s">
        <v>2</v>
      </c>
      <c r="K243" s="855">
        <v>143.66499999999999</v>
      </c>
      <c r="L243" s="951"/>
      <c r="M243" s="952">
        <v>370</v>
      </c>
      <c r="N243" s="1092">
        <f t="shared" si="48"/>
        <v>-53156.049999999996</v>
      </c>
      <c r="O243" s="1002">
        <v>-26.58</v>
      </c>
      <c r="R243" s="1096">
        <f t="shared" si="49"/>
        <v>-53182.63</v>
      </c>
      <c r="S243" s="855">
        <v>1</v>
      </c>
      <c r="T243" s="1101">
        <f t="shared" si="50"/>
        <v>-53182.63</v>
      </c>
      <c r="U243" s="956">
        <v>43893</v>
      </c>
      <c r="V243" s="701" t="s">
        <v>1113</v>
      </c>
      <c r="W243" s="957">
        <v>43889.457901504633</v>
      </c>
      <c r="X243" s="1089">
        <f t="shared" si="51"/>
        <v>5.0003715475472686E-2</v>
      </c>
      <c r="Y243" s="1090" t="str">
        <f>VLOOKUP(V243,'bic broker'!$A$1:$B$14,2,FALSE)</f>
        <v>JBBRFRPPXXX</v>
      </c>
      <c r="Z243" s="1090" t="str">
        <f>VLOOKUP(AA243,'place of settlement'!A:C,2,FALSE)</f>
        <v>DAKVDEFFXXX</v>
      </c>
      <c r="AA243" s="1090" t="str">
        <f t="shared" si="52"/>
        <v>DE</v>
      </c>
      <c r="AB243" s="1090" t="str">
        <f t="shared" si="53"/>
        <v>KeplerDE</v>
      </c>
      <c r="AC243" s="1090" t="str">
        <f>VLOOKUP(AB243,sample!$1:$1048576,2,FALSE)</f>
        <v>PAREFRPPXXX</v>
      </c>
      <c r="AD243" s="1090" t="str">
        <f>VLOOKUP($AB243,sample!$1:$1048576,3,FALSE)</f>
        <v>DAKVDEFFXXX</v>
      </c>
      <c r="AE243" s="1091" t="str">
        <f>VLOOKUP($AB243,sample!$1:$1048576,4,FALSE)</f>
        <v>DAKV 8448</v>
      </c>
      <c r="AF243" s="1090" t="str">
        <f>VLOOKUP($AB243,sample!$1:$1048576,5,FALSE)</f>
        <v>N</v>
      </c>
      <c r="AL243" s="1091" t="str">
        <f>VLOOKUP($AB243,sample!$1:$1048576,11,FALSE)</f>
        <v xml:space="preserve">        </v>
      </c>
      <c r="AM243" s="1091" t="str">
        <f>VLOOKUP($AB243,sample!$1:$1048576,12,FALSE)</f>
        <v xml:space="preserve">        </v>
      </c>
      <c r="AN243" s="1091" t="str">
        <f>VLOOKUP($AB243,sample!$1:$1048576,13,FALSE)</f>
        <v>SGABCHZZ448</v>
      </c>
      <c r="AP243" s="1111"/>
    </row>
    <row r="244" spans="1:42" ht="14">
      <c r="A244" s="1028">
        <v>2019200262</v>
      </c>
      <c r="B244" s="1004">
        <v>43889</v>
      </c>
      <c r="C244" s="998" t="s">
        <v>137</v>
      </c>
      <c r="D244" s="1108" t="str">
        <f>IFERROR(VLOOKUP(G244,PosAggregate!$B$13:$B$93,1,FALSE),"")</f>
        <v/>
      </c>
      <c r="E244" s="880" t="s">
        <v>1268</v>
      </c>
      <c r="F244" s="1132" t="str">
        <f t="shared" si="47"/>
        <v/>
      </c>
      <c r="G244" s="701" t="s">
        <v>1219</v>
      </c>
      <c r="I244" s="950" t="s">
        <v>132</v>
      </c>
      <c r="J244" s="950" t="s">
        <v>2</v>
      </c>
      <c r="K244" s="855">
        <v>26.145900000000001</v>
      </c>
      <c r="L244" s="951"/>
      <c r="M244" s="952">
        <v>2000</v>
      </c>
      <c r="N244" s="1092">
        <f t="shared" si="48"/>
        <v>-52291.8</v>
      </c>
      <c r="O244" s="1002">
        <v>-26.15</v>
      </c>
      <c r="P244" s="1002">
        <v>-156.88</v>
      </c>
      <c r="R244" s="1096">
        <f t="shared" si="49"/>
        <v>-52474.83</v>
      </c>
      <c r="S244" s="855">
        <v>1</v>
      </c>
      <c r="T244" s="1101">
        <f t="shared" si="50"/>
        <v>-52474.83</v>
      </c>
      <c r="U244" s="956">
        <v>43893</v>
      </c>
      <c r="V244" s="701" t="s">
        <v>1113</v>
      </c>
      <c r="W244" s="957">
        <v>43889.459537615738</v>
      </c>
      <c r="X244" s="1089">
        <f t="shared" si="51"/>
        <v>5.0007840617458187E-2</v>
      </c>
      <c r="Y244" s="1090" t="str">
        <f>VLOOKUP(V244,'bic broker'!$A$1:$B$14,2,FALSE)</f>
        <v>JBBRFRPPXXX</v>
      </c>
      <c r="Z244" s="1090" t="str">
        <f>VLOOKUP(AA244,'place of settlement'!A:C,2,FALSE)</f>
        <v>SICVFRPPXXX</v>
      </c>
      <c r="AA244" s="1090" t="str">
        <f t="shared" si="52"/>
        <v>FR</v>
      </c>
      <c r="AB244" s="1090" t="str">
        <f t="shared" si="53"/>
        <v>KeplerFR</v>
      </c>
      <c r="AC244" s="1090" t="str">
        <f>VLOOKUP(AB244,sample!$1:$1048576,2,FALSE)</f>
        <v>JBBRFRPPXXX</v>
      </c>
      <c r="AD244" s="1090" t="str">
        <f>VLOOKUP($AB244,sample!$1:$1048576,3,FALSE)</f>
        <v>SICVFRPPXXX</v>
      </c>
      <c r="AE244" s="1091" t="str">
        <f>VLOOKUP($AB244,sample!$1:$1048576,4,FALSE)</f>
        <v>SICVPAREFRPPKCH000L10</v>
      </c>
      <c r="AF244" s="1090" t="str">
        <f>VLOOKUP($AB244,sample!$1:$1048576,5,FALSE)</f>
        <v>N</v>
      </c>
      <c r="AL244" s="1091" t="str">
        <f>VLOOKUP($AB244,sample!$1:$1048576,11,FALSE)</f>
        <v xml:space="preserve">        </v>
      </c>
      <c r="AM244" s="1091" t="str">
        <f>VLOOKUP($AB244,sample!$1:$1048576,12,FALSE)</f>
        <v xml:space="preserve">        </v>
      </c>
      <c r="AN244" s="1091" t="str">
        <f>VLOOKUP($AB244,sample!$1:$1048576,13,FALSE)</f>
        <v>PAREFRPPKCH</v>
      </c>
      <c r="AP244" s="1111"/>
    </row>
    <row r="245" spans="1:42" ht="14">
      <c r="A245" s="1028">
        <v>2019200263</v>
      </c>
      <c r="B245" s="1004">
        <v>43889</v>
      </c>
      <c r="C245" s="998" t="s">
        <v>138</v>
      </c>
      <c r="D245" s="1108" t="str">
        <f>IFERROR(VLOOKUP(G245,PosAggregate!$B$13:$B$93,1,FALSE),"")</f>
        <v/>
      </c>
      <c r="E245" s="880" t="s">
        <v>1678</v>
      </c>
      <c r="F245" s="1132" t="str">
        <f t="shared" si="47"/>
        <v/>
      </c>
      <c r="G245" s="701" t="s">
        <v>2108</v>
      </c>
      <c r="I245" s="950" t="s">
        <v>1662</v>
      </c>
      <c r="J245" s="950" t="s">
        <v>2</v>
      </c>
      <c r="K245" s="855">
        <v>57.8249</v>
      </c>
      <c r="L245" s="951"/>
      <c r="M245" s="952">
        <v>-1000</v>
      </c>
      <c r="N245" s="1092">
        <f t="shared" si="48"/>
        <v>57824.9</v>
      </c>
      <c r="O245" s="1002">
        <v>-28.91</v>
      </c>
      <c r="R245" s="1096">
        <f t="shared" si="49"/>
        <v>57795.99</v>
      </c>
      <c r="S245" s="855">
        <v>1</v>
      </c>
      <c r="T245" s="1101">
        <f t="shared" si="50"/>
        <v>57795.99</v>
      </c>
      <c r="U245" s="956">
        <v>43893</v>
      </c>
      <c r="V245" s="701" t="s">
        <v>1113</v>
      </c>
      <c r="W245" s="957">
        <v>43889.466879282409</v>
      </c>
      <c r="X245" s="1089">
        <f t="shared" si="51"/>
        <v>-4.9995763070926194E-2</v>
      </c>
      <c r="Y245" s="1090" t="str">
        <f>VLOOKUP(V245,'bic broker'!$A$1:$B$14,2,FALSE)</f>
        <v>JBBRFRPPXXX</v>
      </c>
      <c r="Z245" s="1090" t="str">
        <f>VLOOKUP(AA245,'place of settlement'!A:C,2,FALSE)</f>
        <v>DAKVDEFFXXX</v>
      </c>
      <c r="AA245" s="1090" t="str">
        <f t="shared" si="52"/>
        <v>DE</v>
      </c>
      <c r="AB245" s="1090" t="str">
        <f t="shared" si="53"/>
        <v>KeplerDE</v>
      </c>
      <c r="AC245" s="1090" t="str">
        <f>VLOOKUP(AB245,sample!$1:$1048576,2,FALSE)</f>
        <v>PAREFRPPXXX</v>
      </c>
      <c r="AD245" s="1090" t="str">
        <f>VLOOKUP($AB245,sample!$1:$1048576,3,FALSE)</f>
        <v>DAKVDEFFXXX</v>
      </c>
      <c r="AE245" s="1091" t="str">
        <f>VLOOKUP($AB245,sample!$1:$1048576,4,FALSE)</f>
        <v>DAKV 8448</v>
      </c>
      <c r="AF245" s="1090" t="str">
        <f>VLOOKUP($AB245,sample!$1:$1048576,5,FALSE)</f>
        <v>N</v>
      </c>
      <c r="AL245" s="1091" t="str">
        <f>VLOOKUP($AB245,sample!$1:$1048576,11,FALSE)</f>
        <v xml:space="preserve">        </v>
      </c>
      <c r="AM245" s="1091" t="str">
        <f>VLOOKUP($AB245,sample!$1:$1048576,12,FALSE)</f>
        <v xml:space="preserve">        </v>
      </c>
      <c r="AN245" s="1091" t="str">
        <f>VLOOKUP($AB245,sample!$1:$1048576,13,FALSE)</f>
        <v>SGABCHZZ448</v>
      </c>
      <c r="AP245" s="1111"/>
    </row>
    <row r="246" spans="1:42" ht="14">
      <c r="A246" s="1028">
        <v>2019200264</v>
      </c>
      <c r="B246" s="1004">
        <v>43894</v>
      </c>
      <c r="C246" s="998" t="s">
        <v>137</v>
      </c>
      <c r="D246" s="1108" t="str">
        <f>IFERROR(VLOOKUP(G246,PosAggregate!$B$13:$B$93,1,FALSE),"")</f>
        <v/>
      </c>
      <c r="E246" s="880" t="s">
        <v>1723</v>
      </c>
      <c r="F246" s="1132" t="str">
        <f t="shared" si="47"/>
        <v/>
      </c>
      <c r="G246" s="701" t="s">
        <v>1714</v>
      </c>
      <c r="I246" s="950" t="s">
        <v>1724</v>
      </c>
      <c r="J246" s="950" t="s">
        <v>1104</v>
      </c>
      <c r="K246" s="855">
        <v>2.4169200000000002</v>
      </c>
      <c r="L246" s="951"/>
      <c r="M246" s="952">
        <v>17000</v>
      </c>
      <c r="N246" s="1092">
        <f t="shared" si="48"/>
        <v>-41087.64</v>
      </c>
      <c r="O246" s="1002">
        <v>-24.65</v>
      </c>
      <c r="R246" s="1096">
        <f t="shared" si="49"/>
        <v>-41112.29</v>
      </c>
      <c r="S246" s="855">
        <v>1.6972005630152565</v>
      </c>
      <c r="T246" s="1101">
        <f t="shared" si="50"/>
        <v>-24223.589654577809</v>
      </c>
      <c r="U246" s="956">
        <v>43896</v>
      </c>
      <c r="V246" s="701" t="s">
        <v>1725</v>
      </c>
      <c r="W246" s="957">
        <v>43894.432877546293</v>
      </c>
      <c r="X246" s="1089">
        <f t="shared" si="51"/>
        <v>5.9993711004087846E-2</v>
      </c>
      <c r="Y246" s="1090" t="str">
        <f>VLOOKUP(V246,'bic broker'!$A$1:$B$14,2,FALSE)</f>
        <v>TAVSGB21XXX</v>
      </c>
      <c r="Z246" s="1090" t="str">
        <f>VLOOKUP(AA246,'place of settlement'!A:C,2,FALSE)</f>
        <v>CAETAU21XXX</v>
      </c>
      <c r="AA246" s="1090" t="str">
        <f t="shared" si="52"/>
        <v>AU</v>
      </c>
      <c r="AB246" s="1090" t="str">
        <f t="shared" si="53"/>
        <v>Tavira SecuritiesAU</v>
      </c>
      <c r="AC246" s="1090" t="str">
        <f>VLOOKUP(AB246,sample!$1:$1048576,2,FALSE)</f>
        <v>GSILGB2XXXX</v>
      </c>
      <c r="AD246" s="1090" t="str">
        <f>VLOOKUP($AB246,sample!$1:$1048576,3,FALSE)</f>
        <v>CAETAU21</v>
      </c>
      <c r="AE246" s="1091" t="str">
        <f>VLOOKUP($AB246,sample!$1:$1048576,4,FALSE)</f>
        <v>011-109048-061</v>
      </c>
      <c r="AF246" s="1090" t="str">
        <f>VLOOKUP($AB246,sample!$1:$1048576,5,FALSE)</f>
        <v>N</v>
      </c>
      <c r="AL246" s="1091" t="str">
        <f>VLOOKUP($AB246,sample!$1:$1048576,11,FALSE)</f>
        <v xml:space="preserve">        </v>
      </c>
      <c r="AM246" s="1091" t="str">
        <f>VLOOKUP($AB246,sample!$1:$1048576,12,FALSE)</f>
        <v xml:space="preserve">        </v>
      </c>
      <c r="AN246" s="1091" t="str">
        <f>VLOOKUP($AB246,sample!$1:$1048576,13,FALSE)</f>
        <v>HKBAAU2SSYD</v>
      </c>
      <c r="AP246" s="1111"/>
    </row>
    <row r="247" spans="1:42" ht="14">
      <c r="A247" s="1028">
        <v>2019200265</v>
      </c>
      <c r="B247" s="1004">
        <v>43894</v>
      </c>
      <c r="C247" s="998" t="s">
        <v>137</v>
      </c>
      <c r="D247" s="1108" t="str">
        <f>IFERROR(VLOOKUP(G247,PosAggregate!$B$13:$B$93,1,FALSE),"")</f>
        <v/>
      </c>
      <c r="E247" s="880" t="s">
        <v>1233</v>
      </c>
      <c r="F247" s="1132" t="str">
        <f t="shared" si="47"/>
        <v/>
      </c>
      <c r="G247" s="701" t="s">
        <v>2098</v>
      </c>
      <c r="I247" s="950" t="s">
        <v>1131</v>
      </c>
      <c r="J247" s="950" t="s">
        <v>125</v>
      </c>
      <c r="K247" s="855">
        <v>2625</v>
      </c>
      <c r="L247" s="951"/>
      <c r="M247" s="952">
        <v>4200</v>
      </c>
      <c r="N247" s="1092">
        <f t="shared" si="48"/>
        <v>-11025000</v>
      </c>
      <c r="O247" s="1002">
        <v>-6615</v>
      </c>
      <c r="R247" s="1096">
        <f t="shared" si="49"/>
        <v>-11031615</v>
      </c>
      <c r="S247" s="855">
        <v>119.66308451931455</v>
      </c>
      <c r="T247" s="1101">
        <f t="shared" si="50"/>
        <v>-92188.957390776704</v>
      </c>
      <c r="U247" s="956">
        <v>43896</v>
      </c>
      <c r="V247" s="701" t="s">
        <v>1725</v>
      </c>
      <c r="W247" s="957">
        <v>43894.47167071759</v>
      </c>
      <c r="X247" s="1089">
        <f t="shared" si="51"/>
        <v>0.06</v>
      </c>
      <c r="Y247" s="1090" t="str">
        <f>VLOOKUP(V247,'bic broker'!$A$1:$B$14,2,FALSE)</f>
        <v>TAVSGB21XXX</v>
      </c>
      <c r="Z247" s="1090" t="str">
        <f>VLOOKUP(AA247,'place of settlement'!A:C,2,FALSE)</f>
        <v>JJSDJPJTXXX</v>
      </c>
      <c r="AA247" s="1090" t="str">
        <f t="shared" si="52"/>
        <v>JP</v>
      </c>
      <c r="AB247" s="1090" t="str">
        <f t="shared" si="53"/>
        <v>Tavira SecuritiesJP</v>
      </c>
      <c r="AC247" s="1090" t="str">
        <f>VLOOKUP(AB247,sample!$1:$1048576,2,FALSE)</f>
        <v>GSILGB2XXXX</v>
      </c>
      <c r="AD247" s="1090" t="str">
        <f>VLOOKUP($AB247,sample!$1:$1048576,3,FALSE)</f>
        <v>JJSDJPJTXXX</v>
      </c>
      <c r="AE247" s="1091">
        <f>VLOOKUP($AB247,sample!$1:$1048576,4,FALSE)</f>
        <v>6530490016</v>
      </c>
      <c r="AF247" s="1090" t="str">
        <f>VLOOKUP($AB247,sample!$1:$1048576,5,FALSE)</f>
        <v>N</v>
      </c>
      <c r="AL247" s="1091" t="str">
        <f>VLOOKUP($AB247,sample!$1:$1048576,11,FALSE)</f>
        <v xml:space="preserve">                  </v>
      </c>
      <c r="AM247" s="1091" t="str">
        <f>VLOOKUP($AB247,sample!$1:$1048576,12,FALSE)</f>
        <v xml:space="preserve">                          </v>
      </c>
      <c r="AN247" s="1091" t="str">
        <f>VLOOKUP($AB247,sample!$1:$1048576,13,FALSE)</f>
        <v>GOLDJPJXXXX</v>
      </c>
      <c r="AP247" s="1111"/>
    </row>
    <row r="248" spans="1:42" ht="14">
      <c r="A248" s="1028">
        <v>2019200266</v>
      </c>
      <c r="B248" s="1004">
        <v>43899</v>
      </c>
      <c r="C248" s="998" t="s">
        <v>138</v>
      </c>
      <c r="D248" s="1108" t="str">
        <f>IFERROR(VLOOKUP(G248,PosAggregate!$B$13:$B$93,1,FALSE),"")</f>
        <v/>
      </c>
      <c r="E248" s="880" t="s">
        <v>1253</v>
      </c>
      <c r="F248" s="1132" t="str">
        <f t="shared" si="47"/>
        <v/>
      </c>
      <c r="G248" s="701" t="s">
        <v>1203</v>
      </c>
      <c r="I248" s="950" t="s">
        <v>1123</v>
      </c>
      <c r="J248" s="950" t="s">
        <v>123</v>
      </c>
      <c r="K248" s="855">
        <v>289000</v>
      </c>
      <c r="L248" s="951"/>
      <c r="M248" s="952">
        <v>-400</v>
      </c>
      <c r="N248" s="1092">
        <f t="shared" si="48"/>
        <v>115600000</v>
      </c>
      <c r="O248" s="1002">
        <v>-173400</v>
      </c>
      <c r="P248" s="1002">
        <v>-289000</v>
      </c>
      <c r="R248" s="1096">
        <f t="shared" si="49"/>
        <v>115137600</v>
      </c>
      <c r="S248" s="855">
        <v>1374</v>
      </c>
      <c r="T248" s="1101">
        <f t="shared" si="50"/>
        <v>83797.37991266376</v>
      </c>
      <c r="U248" s="956">
        <v>43902</v>
      </c>
      <c r="V248" s="701" t="s">
        <v>1230</v>
      </c>
      <c r="W248" s="957">
        <v>43899.970605787035</v>
      </c>
      <c r="X248" s="1089">
        <f t="shared" si="51"/>
        <v>-0.15</v>
      </c>
      <c r="Y248" s="1090" t="e">
        <f>VLOOKUP(V248,'bic broker'!$A$1:$B$14,2,FALSE)</f>
        <v>#N/A</v>
      </c>
      <c r="Z248" s="1090" t="str">
        <f>VLOOKUP(AA248,'place of settlement'!A:C,2,FALSE)</f>
        <v>KSDCKRSEXXX</v>
      </c>
      <c r="AA248" s="1090" t="str">
        <f t="shared" si="52"/>
        <v>KR</v>
      </c>
      <c r="AB248" s="1090" t="str">
        <f t="shared" si="53"/>
        <v>SamsungKR</v>
      </c>
      <c r="AC248" s="1090" t="e">
        <f>VLOOKUP(AB248,sample!$1:$1048576,2,FALSE)</f>
        <v>#N/A</v>
      </c>
      <c r="AD248" s="1090" t="e">
        <f>VLOOKUP($AB248,sample!$1:$1048576,3,FALSE)</f>
        <v>#N/A</v>
      </c>
      <c r="AE248" s="1091" t="e">
        <f>VLOOKUP($AB248,sample!$1:$1048576,4,FALSE)</f>
        <v>#N/A</v>
      </c>
      <c r="AF248" s="1090" t="e">
        <f>VLOOKUP($AB248,sample!$1:$1048576,5,FALSE)</f>
        <v>#N/A</v>
      </c>
      <c r="AL248" s="1091" t="e">
        <f>VLOOKUP($AB248,sample!$1:$1048576,11,FALSE)</f>
        <v>#N/A</v>
      </c>
      <c r="AM248" s="1091" t="e">
        <f>VLOOKUP($AB248,sample!$1:$1048576,12,FALSE)</f>
        <v>#N/A</v>
      </c>
      <c r="AN248" s="1091" t="e">
        <f>VLOOKUP($AB248,sample!$1:$1048576,13,FALSE)</f>
        <v>#N/A</v>
      </c>
      <c r="AP248" s="1111"/>
    </row>
    <row r="249" spans="1:42" ht="14">
      <c r="A249" s="1028">
        <v>2019200267</v>
      </c>
      <c r="B249" s="1004">
        <v>43915</v>
      </c>
      <c r="C249" s="998" t="s">
        <v>137</v>
      </c>
      <c r="D249" s="1108" t="str">
        <f>IFERROR(VLOOKUP(G249,PosAggregate!$B$13:$B$93,1,FALSE),"")</f>
        <v/>
      </c>
      <c r="E249" s="880" t="s">
        <v>1698</v>
      </c>
      <c r="F249" s="1132" t="str">
        <f t="shared" si="47"/>
        <v/>
      </c>
      <c r="G249" s="701" t="s">
        <v>1687</v>
      </c>
      <c r="I249" s="950" t="s">
        <v>1688</v>
      </c>
      <c r="J249" s="950" t="s">
        <v>3</v>
      </c>
      <c r="K249" s="855">
        <v>24.22437</v>
      </c>
      <c r="L249" s="951"/>
      <c r="M249" s="952">
        <v>1970</v>
      </c>
      <c r="N249" s="1092">
        <f t="shared" si="48"/>
        <v>-47722.008900000001</v>
      </c>
      <c r="O249" s="1002">
        <v>-28.63</v>
      </c>
      <c r="R249" s="1096">
        <f t="shared" si="49"/>
        <v>-47750.638899999998</v>
      </c>
      <c r="S249" s="855">
        <v>1.0787021056265103</v>
      </c>
      <c r="T249" s="1101">
        <f t="shared" si="50"/>
        <v>-44266.752285855997</v>
      </c>
      <c r="U249" s="956">
        <v>43918</v>
      </c>
      <c r="V249" s="701" t="s">
        <v>1725</v>
      </c>
      <c r="W249" s="957">
        <v>43915.548448379632</v>
      </c>
      <c r="X249" s="1089">
        <f t="shared" si="51"/>
        <v>5.9993283308741846E-2</v>
      </c>
      <c r="Y249" s="1090" t="str">
        <f>VLOOKUP(V249,'bic broker'!$A$1:$B$14,2,FALSE)</f>
        <v>TAVSGB21XXX</v>
      </c>
      <c r="Z249" s="1090" t="str">
        <f>VLOOKUP(AA249,'place of settlement'!A:C,2,FALSE)</f>
        <v>DTCYUS33XXX</v>
      </c>
      <c r="AA249" s="1090" t="str">
        <f t="shared" si="52"/>
        <v>US</v>
      </c>
      <c r="AB249" s="1090" t="str">
        <f t="shared" si="53"/>
        <v>Tavira SecuritiesUS</v>
      </c>
      <c r="AC249" s="1090" t="str">
        <f>VLOOKUP(AB249,sample!$1:$1048576,2,FALSE)</f>
        <v>GSILGB2XXXX</v>
      </c>
      <c r="AD249" s="1090" t="str">
        <f>VLOOKUP($AB249,sample!$1:$1048576,3,FALSE)</f>
        <v>DTCYUS33</v>
      </c>
      <c r="AE249" s="1091" t="str">
        <f>VLOOKUP($AB249,sample!$1:$1048576,4,FALSE)</f>
        <v xml:space="preserve">        </v>
      </c>
      <c r="AF249" s="1090" t="str">
        <f>VLOOKUP($AB249,sample!$1:$1048576,5,FALSE)</f>
        <v>N</v>
      </c>
      <c r="AL249" s="1091" t="str">
        <f>VLOOKUP($AB249,sample!$1:$1048576,11,FALSE)</f>
        <v>DTCYID</v>
      </c>
      <c r="AM249" s="1091">
        <f>VLOOKUP($AB249,sample!$1:$1048576,12,FALSE)</f>
        <v>5208</v>
      </c>
      <c r="AN249" s="1091" t="str">
        <f>VLOOKUP($AB249,sample!$1:$1048576,13,FALSE)</f>
        <v xml:space="preserve">        </v>
      </c>
      <c r="AP249" s="1111"/>
    </row>
    <row r="250" spans="1:42" ht="14">
      <c r="A250" s="1028">
        <v>2019200268</v>
      </c>
      <c r="B250" s="1004">
        <v>43931</v>
      </c>
      <c r="C250" s="998" t="s">
        <v>137</v>
      </c>
      <c r="D250" s="1108" t="str">
        <f>IFERROR(VLOOKUP(G250,PosAggregate!$B$13:$B$93,1,FALSE),"")</f>
        <v/>
      </c>
      <c r="E250" s="880" t="s">
        <v>1680</v>
      </c>
      <c r="F250" s="1132" t="str">
        <f t="shared" si="47"/>
        <v/>
      </c>
      <c r="G250" s="701" t="s">
        <v>2105</v>
      </c>
      <c r="I250" s="950" t="s">
        <v>1663</v>
      </c>
      <c r="J250" s="950" t="s">
        <v>125</v>
      </c>
      <c r="K250" s="855">
        <v>718.54055000000005</v>
      </c>
      <c r="L250" s="951"/>
      <c r="M250" s="952">
        <v>6700</v>
      </c>
      <c r="N250" s="1092">
        <f t="shared" si="48"/>
        <v>-4814221.6850000005</v>
      </c>
      <c r="O250" s="1002">
        <v>-1444</v>
      </c>
      <c r="R250" s="1096">
        <f t="shared" si="49"/>
        <v>-4815665.6850000005</v>
      </c>
      <c r="S250" s="855">
        <v>118.51479522706417</v>
      </c>
      <c r="T250" s="1101">
        <f t="shared" si="50"/>
        <v>-40633.455728237124</v>
      </c>
      <c r="U250" s="956">
        <v>43935</v>
      </c>
      <c r="V250" s="701" t="s">
        <v>1725</v>
      </c>
      <c r="W250" s="957">
        <v>43931.081108217593</v>
      </c>
      <c r="X250" s="1089">
        <f t="shared" si="51"/>
        <v>2.9994464203822797E-2</v>
      </c>
      <c r="Y250" s="1090" t="str">
        <f>VLOOKUP(V250,'bic broker'!$A$1:$B$14,2,FALSE)</f>
        <v>TAVSGB21XXX</v>
      </c>
      <c r="Z250" s="1090" t="str">
        <f>VLOOKUP(AA250,'place of settlement'!A:C,2,FALSE)</f>
        <v>JJSDJPJTXXX</v>
      </c>
      <c r="AA250" s="1090" t="str">
        <f t="shared" si="52"/>
        <v>JP</v>
      </c>
      <c r="AB250" s="1090" t="str">
        <f t="shared" si="53"/>
        <v>Tavira SecuritiesJP</v>
      </c>
      <c r="AC250" s="1090" t="str">
        <f>VLOOKUP(AB250,sample!$1:$1048576,2,FALSE)</f>
        <v>GSILGB2XXXX</v>
      </c>
      <c r="AD250" s="1090" t="str">
        <f>VLOOKUP($AB250,sample!$1:$1048576,3,FALSE)</f>
        <v>JJSDJPJTXXX</v>
      </c>
      <c r="AE250" s="1091">
        <f>VLOOKUP($AB250,sample!$1:$1048576,4,FALSE)</f>
        <v>6530490016</v>
      </c>
      <c r="AF250" s="1090" t="str">
        <f>VLOOKUP($AB250,sample!$1:$1048576,5,FALSE)</f>
        <v>N</v>
      </c>
      <c r="AL250" s="1091" t="str">
        <f>VLOOKUP($AB250,sample!$1:$1048576,11,FALSE)</f>
        <v xml:space="preserve">                  </v>
      </c>
      <c r="AM250" s="1091" t="str">
        <f>VLOOKUP($AB250,sample!$1:$1048576,12,FALSE)</f>
        <v xml:space="preserve">                          </v>
      </c>
      <c r="AN250" s="1091" t="str">
        <f>VLOOKUP($AB250,sample!$1:$1048576,13,FALSE)</f>
        <v>GOLDJPJXXXX</v>
      </c>
      <c r="AP250" s="1111"/>
    </row>
    <row r="251" spans="1:42" ht="14">
      <c r="A251" s="1028" t="s">
        <v>1777</v>
      </c>
      <c r="B251" s="1004">
        <v>43935</v>
      </c>
      <c r="C251" s="998" t="s">
        <v>1777</v>
      </c>
      <c r="D251" s="1108" t="str">
        <f>IFERROR(VLOOKUP(G251,PosAggregate!$B$13:$B$93,1,FALSE),"")</f>
        <v/>
      </c>
      <c r="E251" s="880" t="s">
        <v>1723</v>
      </c>
      <c r="F251" s="1132" t="str">
        <f t="shared" si="47"/>
        <v/>
      </c>
      <c r="G251" s="701" t="s">
        <v>1714</v>
      </c>
      <c r="I251" s="950" t="s">
        <v>1724</v>
      </c>
      <c r="J251" s="950" t="s">
        <v>1104</v>
      </c>
      <c r="K251" s="855"/>
      <c r="L251" s="951"/>
      <c r="M251" s="952">
        <v>1154</v>
      </c>
      <c r="N251" s="1092">
        <f t="shared" si="48"/>
        <v>0</v>
      </c>
      <c r="O251" s="1002"/>
      <c r="R251" s="1096">
        <f t="shared" si="49"/>
        <v>0</v>
      </c>
      <c r="S251" s="855"/>
      <c r="T251" s="1101" t="e">
        <f t="shared" si="50"/>
        <v>#DIV/0!</v>
      </c>
      <c r="U251" s="956"/>
      <c r="W251" s="957"/>
      <c r="X251" s="1089" t="e">
        <f t="shared" si="51"/>
        <v>#DIV/0!</v>
      </c>
      <c r="Y251" s="1090" t="e">
        <f>VLOOKUP(V251,'bic broker'!$A$1:$B$14,2,FALSE)</f>
        <v>#N/A</v>
      </c>
      <c r="Z251" s="1090" t="str">
        <f>VLOOKUP(AA251,'place of settlement'!A:C,2,FALSE)</f>
        <v>CAETAU21XXX</v>
      </c>
      <c r="AA251" s="1090" t="str">
        <f t="shared" si="52"/>
        <v>AU</v>
      </c>
      <c r="AB251" s="1090" t="str">
        <f t="shared" si="53"/>
        <v>AU</v>
      </c>
      <c r="AC251" s="1090" t="e">
        <f>VLOOKUP(AB251,sample!$1:$1048576,2,FALSE)</f>
        <v>#N/A</v>
      </c>
      <c r="AD251" s="1090" t="e">
        <f>VLOOKUP($AB251,sample!$1:$1048576,3,FALSE)</f>
        <v>#N/A</v>
      </c>
      <c r="AE251" s="1091" t="e">
        <f>VLOOKUP($AB251,sample!$1:$1048576,4,FALSE)</f>
        <v>#N/A</v>
      </c>
      <c r="AF251" s="1090" t="e">
        <f>VLOOKUP($AB251,sample!$1:$1048576,5,FALSE)</f>
        <v>#N/A</v>
      </c>
      <c r="AL251" s="1091" t="e">
        <f>VLOOKUP($AB251,sample!$1:$1048576,11,FALSE)</f>
        <v>#N/A</v>
      </c>
      <c r="AM251" s="1091" t="e">
        <f>VLOOKUP($AB251,sample!$1:$1048576,12,FALSE)</f>
        <v>#N/A</v>
      </c>
      <c r="AN251" s="1091" t="e">
        <f>VLOOKUP($AB251,sample!$1:$1048576,13,FALSE)</f>
        <v>#N/A</v>
      </c>
      <c r="AP251" s="1111"/>
    </row>
    <row r="252" spans="1:42" ht="14">
      <c r="A252" s="1028">
        <v>2019200269</v>
      </c>
      <c r="B252" s="1004">
        <v>43949</v>
      </c>
      <c r="C252" s="998" t="s">
        <v>137</v>
      </c>
      <c r="D252" s="1108" t="str">
        <f>IFERROR(VLOOKUP(G252,PosAggregate!$B$13:$B$93,1,FALSE),"")</f>
        <v/>
      </c>
      <c r="E252" s="880" t="s">
        <v>1273</v>
      </c>
      <c r="F252" s="1132" t="str">
        <f t="shared" si="47"/>
        <v/>
      </c>
      <c r="G252" s="701" t="s">
        <v>1209</v>
      </c>
      <c r="I252" s="950" t="s">
        <v>1133</v>
      </c>
      <c r="J252" s="950" t="s">
        <v>1104</v>
      </c>
      <c r="K252" s="855">
        <v>0.23427999999999999</v>
      </c>
      <c r="L252" s="951"/>
      <c r="M252" s="952">
        <v>220000</v>
      </c>
      <c r="N252" s="1092">
        <f t="shared" si="48"/>
        <v>-51541.599999999999</v>
      </c>
      <c r="O252" s="1002">
        <v>-30.93</v>
      </c>
      <c r="R252" s="1096">
        <f t="shared" si="49"/>
        <v>-51572.53</v>
      </c>
      <c r="S252" s="855">
        <v>1.6751269585178588</v>
      </c>
      <c r="T252" s="1101">
        <f t="shared" si="50"/>
        <v>-30787.236595864371</v>
      </c>
      <c r="U252" s="956">
        <v>43952</v>
      </c>
      <c r="V252" s="701" t="s">
        <v>1725</v>
      </c>
      <c r="W252" s="1031">
        <v>43949.490571296294</v>
      </c>
      <c r="X252" s="1089">
        <f t="shared" si="51"/>
        <v>6.0009778509010195E-2</v>
      </c>
      <c r="Y252" s="1090" t="str">
        <f>VLOOKUP(V252,'bic broker'!$A$1:$B$14,2,FALSE)</f>
        <v>TAVSGB21XXX</v>
      </c>
      <c r="Z252" s="1090" t="str">
        <f>VLOOKUP(AA252,'place of settlement'!A:C,2,FALSE)</f>
        <v>CAETAU21XXX</v>
      </c>
      <c r="AA252" s="1090" t="str">
        <f t="shared" si="52"/>
        <v>AU</v>
      </c>
      <c r="AB252" s="1090" t="str">
        <f t="shared" si="53"/>
        <v>Tavira SecuritiesAU</v>
      </c>
      <c r="AC252" s="1090" t="str">
        <f>VLOOKUP(AB252,sample!$1:$1048576,2,FALSE)</f>
        <v>GSILGB2XXXX</v>
      </c>
      <c r="AD252" s="1090" t="str">
        <f>VLOOKUP($AB252,sample!$1:$1048576,3,FALSE)</f>
        <v>CAETAU21</v>
      </c>
      <c r="AE252" s="1091" t="str">
        <f>VLOOKUP($AB252,sample!$1:$1048576,4,FALSE)</f>
        <v>011-109048-061</v>
      </c>
      <c r="AF252" s="1090" t="str">
        <f>VLOOKUP($AB252,sample!$1:$1048576,5,FALSE)</f>
        <v>N</v>
      </c>
      <c r="AL252" s="1091" t="str">
        <f>VLOOKUP($AB252,sample!$1:$1048576,11,FALSE)</f>
        <v xml:space="preserve">        </v>
      </c>
      <c r="AM252" s="1091" t="str">
        <f>VLOOKUP($AB252,sample!$1:$1048576,12,FALSE)</f>
        <v xml:space="preserve">        </v>
      </c>
      <c r="AN252" s="1091" t="str">
        <f>VLOOKUP($AB252,sample!$1:$1048576,13,FALSE)</f>
        <v>HKBAAU2SSYD</v>
      </c>
      <c r="AP252" s="1111"/>
    </row>
    <row r="253" spans="1:42" ht="14">
      <c r="A253" s="1028">
        <v>2019200270</v>
      </c>
      <c r="B253" s="1004">
        <v>43971</v>
      </c>
      <c r="C253" s="998" t="s">
        <v>137</v>
      </c>
      <c r="D253" s="1108" t="str">
        <f>IFERROR(VLOOKUP(G253,PosAggregate!$B$13:$B$93,1,FALSE),"")</f>
        <v/>
      </c>
      <c r="E253" s="880" t="s">
        <v>1723</v>
      </c>
      <c r="F253" s="1132" t="str">
        <f t="shared" si="47"/>
        <v/>
      </c>
      <c r="G253" s="701" t="s">
        <v>1714</v>
      </c>
      <c r="I253" s="950" t="s">
        <v>1724</v>
      </c>
      <c r="J253" s="950" t="s">
        <v>1104</v>
      </c>
      <c r="K253" s="855">
        <v>2.2915899999999998</v>
      </c>
      <c r="L253" s="951"/>
      <c r="M253" s="952">
        <v>42000</v>
      </c>
      <c r="N253" s="1092">
        <f t="shared" ref="N253:N263" si="54">-K253*M253</f>
        <v>-96246.779999999984</v>
      </c>
      <c r="O253" s="1002">
        <v>-57.75</v>
      </c>
      <c r="R253" s="1096">
        <f t="shared" ref="R253:R263" si="55">SUM(N253:Q253)</f>
        <v>-96304.529999999984</v>
      </c>
      <c r="S253" s="855">
        <v>1.6708967204342142</v>
      </c>
      <c r="T253" s="1101">
        <f t="shared" ref="T253:T273" si="56">+R253/S253</f>
        <v>-57636.43486892082</v>
      </c>
      <c r="U253" s="956">
        <v>43973</v>
      </c>
      <c r="V253" s="701" t="s">
        <v>1725</v>
      </c>
      <c r="W253" s="1031">
        <v>43971.130711805556</v>
      </c>
      <c r="X253" s="1089">
        <f t="shared" ref="X253:X263" si="57">+O253/N253*100</f>
        <v>6.0002007339881931E-2</v>
      </c>
      <c r="Y253" s="1090" t="str">
        <f>VLOOKUP(V253,'bic broker'!$A$1:$B$14,2,FALSE)</f>
        <v>TAVSGB21XXX</v>
      </c>
      <c r="Z253" s="1090" t="str">
        <f>VLOOKUP(AA253,'place of settlement'!A:C,2,FALSE)</f>
        <v>CAETAU21XXX</v>
      </c>
      <c r="AA253" s="1090" t="str">
        <f t="shared" ref="AA253:AA263" si="58">LEFT(E253,2)</f>
        <v>AU</v>
      </c>
      <c r="AB253" s="1090" t="str">
        <f t="shared" ref="AB253:AB263" si="59">CONCATENATE(V253,AA253)</f>
        <v>Tavira SecuritiesAU</v>
      </c>
      <c r="AC253" s="1090" t="str">
        <f>VLOOKUP(AB253,sample!$1:$1048576,2,FALSE)</f>
        <v>GSILGB2XXXX</v>
      </c>
      <c r="AD253" s="1090" t="str">
        <f>VLOOKUP($AB253,sample!$1:$1048576,3,FALSE)</f>
        <v>CAETAU21</v>
      </c>
      <c r="AE253" s="1091" t="str">
        <f>VLOOKUP($AB253,sample!$1:$1048576,4,FALSE)</f>
        <v>011-109048-061</v>
      </c>
      <c r="AF253" s="1090" t="str">
        <f>VLOOKUP($AB253,sample!$1:$1048576,5,FALSE)</f>
        <v>N</v>
      </c>
      <c r="AL253" s="1091" t="str">
        <f>VLOOKUP($AB253,sample!$1:$1048576,11,FALSE)</f>
        <v xml:space="preserve">        </v>
      </c>
      <c r="AM253" s="1091" t="str">
        <f>VLOOKUP($AB253,sample!$1:$1048576,12,FALSE)</f>
        <v xml:space="preserve">        </v>
      </c>
      <c r="AN253" s="1091" t="str">
        <f>VLOOKUP($AB253,sample!$1:$1048576,13,FALSE)</f>
        <v>HKBAAU2SSYD</v>
      </c>
      <c r="AP253" s="1111"/>
    </row>
    <row r="254" spans="1:42" ht="14">
      <c r="A254" s="1028">
        <v>2019200271</v>
      </c>
      <c r="B254" s="1004">
        <v>43971</v>
      </c>
      <c r="C254" s="998" t="s">
        <v>138</v>
      </c>
      <c r="D254" s="1108" t="str">
        <f>IFERROR(VLOOKUP(G254,PosAggregate!$B$13:$B$93,1,FALSE),"")</f>
        <v/>
      </c>
      <c r="E254" s="880" t="s">
        <v>1254</v>
      </c>
      <c r="F254" s="1132" t="str">
        <f t="shared" si="47"/>
        <v/>
      </c>
      <c r="G254" s="701" t="s">
        <v>1204</v>
      </c>
      <c r="I254" s="950" t="s">
        <v>1123</v>
      </c>
      <c r="J254" s="950" t="s">
        <v>123</v>
      </c>
      <c r="K254" s="855">
        <v>168690</v>
      </c>
      <c r="L254" s="951"/>
      <c r="M254" s="952">
        <v>-400</v>
      </c>
      <c r="N254" s="1092">
        <f t="shared" si="54"/>
        <v>67476000</v>
      </c>
      <c r="O254" s="1002">
        <v>-101214</v>
      </c>
      <c r="P254" s="1002">
        <v>-168653</v>
      </c>
      <c r="R254" s="1096">
        <f t="shared" si="55"/>
        <v>67206133</v>
      </c>
      <c r="S254" s="855">
        <v>1374</v>
      </c>
      <c r="T254" s="1101">
        <f t="shared" si="56"/>
        <v>48912.760553129548</v>
      </c>
      <c r="U254" s="956">
        <v>43973</v>
      </c>
      <c r="V254" s="701" t="s">
        <v>1230</v>
      </c>
      <c r="W254" s="1031">
        <v>43971.132098842594</v>
      </c>
      <c r="X254" s="1089">
        <f t="shared" si="57"/>
        <v>-0.15</v>
      </c>
      <c r="Y254" s="1090" t="e">
        <f>VLOOKUP(V254,'bic broker'!$A$1:$B$14,2,FALSE)</f>
        <v>#N/A</v>
      </c>
      <c r="Z254" s="1090" t="str">
        <f>VLOOKUP(AA254,'place of settlement'!A:C,2,FALSE)</f>
        <v>KSDCKRSEXXX</v>
      </c>
      <c r="AA254" s="1090" t="str">
        <f t="shared" si="58"/>
        <v>KR</v>
      </c>
      <c r="AB254" s="1090" t="str">
        <f t="shared" si="59"/>
        <v>SamsungKR</v>
      </c>
      <c r="AC254" s="1090" t="e">
        <f>VLOOKUP(AB254,sample!$1:$1048576,2,FALSE)</f>
        <v>#N/A</v>
      </c>
      <c r="AD254" s="1090" t="e">
        <f>VLOOKUP($AB254,sample!$1:$1048576,3,FALSE)</f>
        <v>#N/A</v>
      </c>
      <c r="AE254" s="1091" t="e">
        <f>VLOOKUP($AB254,sample!$1:$1048576,4,FALSE)</f>
        <v>#N/A</v>
      </c>
      <c r="AF254" s="1090" t="e">
        <f>VLOOKUP($AB254,sample!$1:$1048576,5,FALSE)</f>
        <v>#N/A</v>
      </c>
      <c r="AL254" s="1091" t="e">
        <f>VLOOKUP($AB254,sample!$1:$1048576,11,FALSE)</f>
        <v>#N/A</v>
      </c>
      <c r="AM254" s="1091" t="e">
        <f>VLOOKUP($AB254,sample!$1:$1048576,12,FALSE)</f>
        <v>#N/A</v>
      </c>
      <c r="AN254" s="1091" t="e">
        <f>VLOOKUP($AB254,sample!$1:$1048576,13,FALSE)</f>
        <v>#N/A</v>
      </c>
      <c r="AP254" s="1111"/>
    </row>
    <row r="255" spans="1:42" ht="14">
      <c r="A255" s="1028">
        <v>2019200272</v>
      </c>
      <c r="B255" s="1004">
        <v>43973</v>
      </c>
      <c r="C255" s="998" t="s">
        <v>137</v>
      </c>
      <c r="D255" s="1108" t="str">
        <f>IFERROR(VLOOKUP(G255,PosAggregate!$B$13:$B$93,1,FALSE),"")</f>
        <v/>
      </c>
      <c r="E255" s="880" t="s">
        <v>1723</v>
      </c>
      <c r="F255" s="1132" t="str">
        <f t="shared" si="47"/>
        <v/>
      </c>
      <c r="G255" s="701" t="s">
        <v>1714</v>
      </c>
      <c r="I255" s="950" t="s">
        <v>1724</v>
      </c>
      <c r="J255" s="950" t="s">
        <v>1104</v>
      </c>
      <c r="K255" s="855">
        <v>2.2707000000000002</v>
      </c>
      <c r="L255" s="951"/>
      <c r="M255" s="952">
        <v>22000</v>
      </c>
      <c r="N255" s="1092">
        <f t="shared" si="54"/>
        <v>-49955.4</v>
      </c>
      <c r="O255" s="1002">
        <v>-29.97</v>
      </c>
      <c r="R255" s="1096">
        <f t="shared" si="55"/>
        <v>-49985.37</v>
      </c>
      <c r="S255" s="855">
        <v>1.6680279855035984</v>
      </c>
      <c r="T255" s="1101">
        <f t="shared" si="56"/>
        <v>-29966.745422984492</v>
      </c>
      <c r="U255" s="956">
        <v>43977</v>
      </c>
      <c r="V255" s="701" t="s">
        <v>1725</v>
      </c>
      <c r="W255" s="1031">
        <v>43972.996930208334</v>
      </c>
      <c r="X255" s="1089">
        <f t="shared" si="57"/>
        <v>5.9993514214679487E-2</v>
      </c>
      <c r="Y255" s="1090" t="str">
        <f>VLOOKUP(V255,'bic broker'!$A$1:$B$14,2,FALSE)</f>
        <v>TAVSGB21XXX</v>
      </c>
      <c r="Z255" s="1090" t="str">
        <f>VLOOKUP(AA255,'place of settlement'!A:C,2,FALSE)</f>
        <v>CAETAU21XXX</v>
      </c>
      <c r="AA255" s="1090" t="str">
        <f t="shared" si="58"/>
        <v>AU</v>
      </c>
      <c r="AB255" s="1090" t="str">
        <f t="shared" si="59"/>
        <v>Tavira SecuritiesAU</v>
      </c>
      <c r="AC255" s="1090" t="str">
        <f>VLOOKUP(AB255,sample!$1:$1048576,2,FALSE)</f>
        <v>GSILGB2XXXX</v>
      </c>
      <c r="AD255" s="1090" t="str">
        <f>VLOOKUP($AB255,sample!$1:$1048576,3,FALSE)</f>
        <v>CAETAU21</v>
      </c>
      <c r="AE255" s="1091" t="str">
        <f>VLOOKUP($AB255,sample!$1:$1048576,4,FALSE)</f>
        <v>011-109048-061</v>
      </c>
      <c r="AF255" s="1090" t="str">
        <f>VLOOKUP($AB255,sample!$1:$1048576,5,FALSE)</f>
        <v>N</v>
      </c>
      <c r="AL255" s="1091" t="str">
        <f>VLOOKUP($AB255,sample!$1:$1048576,11,FALSE)</f>
        <v xml:space="preserve">        </v>
      </c>
      <c r="AM255" s="1091" t="str">
        <f>VLOOKUP($AB255,sample!$1:$1048576,12,FALSE)</f>
        <v xml:space="preserve">        </v>
      </c>
      <c r="AN255" s="1091" t="str">
        <f>VLOOKUP($AB255,sample!$1:$1048576,13,FALSE)</f>
        <v>HKBAAU2SSYD</v>
      </c>
      <c r="AP255" s="1111"/>
    </row>
    <row r="256" spans="1:42" ht="14">
      <c r="A256" s="1028">
        <v>2019200273</v>
      </c>
      <c r="B256" s="1004">
        <v>43973</v>
      </c>
      <c r="C256" s="998" t="s">
        <v>137</v>
      </c>
      <c r="D256" s="1108" t="str">
        <f>IFERROR(VLOOKUP(G256,PosAggregate!$B$13:$B$93,1,FALSE),"")</f>
        <v/>
      </c>
      <c r="E256" s="880" t="s">
        <v>1273</v>
      </c>
      <c r="F256" s="1132" t="str">
        <f t="shared" si="47"/>
        <v/>
      </c>
      <c r="G256" s="701" t="s">
        <v>1209</v>
      </c>
      <c r="I256" s="950" t="s">
        <v>1133</v>
      </c>
      <c r="J256" s="950" t="s">
        <v>1104</v>
      </c>
      <c r="K256" s="855">
        <v>0.30391000000000001</v>
      </c>
      <c r="L256" s="951"/>
      <c r="M256" s="952">
        <v>260000</v>
      </c>
      <c r="N256" s="1092">
        <f t="shared" si="54"/>
        <v>-79016.600000000006</v>
      </c>
      <c r="O256" s="1002">
        <v>-47.41</v>
      </c>
      <c r="R256" s="1096">
        <f t="shared" si="55"/>
        <v>-79064.010000000009</v>
      </c>
      <c r="S256" s="855">
        <v>1.6680279855035978</v>
      </c>
      <c r="T256" s="1101">
        <f t="shared" si="56"/>
        <v>-47399.69034520103</v>
      </c>
      <c r="U256" s="956">
        <v>43977</v>
      </c>
      <c r="V256" s="701" t="s">
        <v>1725</v>
      </c>
      <c r="W256" s="1031">
        <v>43972.998083217593</v>
      </c>
      <c r="X256" s="1089">
        <f t="shared" si="57"/>
        <v>6.0000050622274301E-2</v>
      </c>
      <c r="Y256" s="1090" t="str">
        <f>VLOOKUP(V256,'bic broker'!$A$1:$B$14,2,FALSE)</f>
        <v>TAVSGB21XXX</v>
      </c>
      <c r="Z256" s="1090" t="str">
        <f>VLOOKUP(AA256,'place of settlement'!A:C,2,FALSE)</f>
        <v>CAETAU21XXX</v>
      </c>
      <c r="AA256" s="1090" t="str">
        <f t="shared" si="58"/>
        <v>AU</v>
      </c>
      <c r="AB256" s="1090" t="str">
        <f t="shared" si="59"/>
        <v>Tavira SecuritiesAU</v>
      </c>
      <c r="AC256" s="1090" t="str">
        <f>VLOOKUP(AB256,sample!$1:$1048576,2,FALSE)</f>
        <v>GSILGB2XXXX</v>
      </c>
      <c r="AD256" s="1090" t="str">
        <f>VLOOKUP($AB256,sample!$1:$1048576,3,FALSE)</f>
        <v>CAETAU21</v>
      </c>
      <c r="AE256" s="1091" t="str">
        <f>VLOOKUP($AB256,sample!$1:$1048576,4,FALSE)</f>
        <v>011-109048-061</v>
      </c>
      <c r="AF256" s="1090" t="str">
        <f>VLOOKUP($AB256,sample!$1:$1048576,5,FALSE)</f>
        <v>N</v>
      </c>
      <c r="AL256" s="1091" t="str">
        <f>VLOOKUP($AB256,sample!$1:$1048576,11,FALSE)</f>
        <v xml:space="preserve">        </v>
      </c>
      <c r="AM256" s="1091" t="str">
        <f>VLOOKUP($AB256,sample!$1:$1048576,12,FALSE)</f>
        <v xml:space="preserve">        </v>
      </c>
      <c r="AN256" s="1091" t="str">
        <f>VLOOKUP($AB256,sample!$1:$1048576,13,FALSE)</f>
        <v>HKBAAU2SSYD</v>
      </c>
      <c r="AP256" s="1111"/>
    </row>
    <row r="257" spans="1:42" s="690" customFormat="1" ht="14">
      <c r="A257" s="1028">
        <v>2019200274</v>
      </c>
      <c r="B257" s="1004">
        <v>43979</v>
      </c>
      <c r="C257" s="933" t="s">
        <v>137</v>
      </c>
      <c r="D257" s="1127" t="str">
        <f>IFERROR(VLOOKUP(G257,PosAggregate!$B$13:$B$93,1,FALSE),"")</f>
        <v/>
      </c>
      <c r="E257" s="1022" t="s">
        <v>1232</v>
      </c>
      <c r="F257" s="1132" t="str">
        <f t="shared" si="47"/>
        <v/>
      </c>
      <c r="G257" s="667" t="s">
        <v>1180</v>
      </c>
      <c r="I257" s="949" t="s">
        <v>1122</v>
      </c>
      <c r="J257" s="949" t="s">
        <v>125</v>
      </c>
      <c r="K257" s="995">
        <v>961.1</v>
      </c>
      <c r="L257" s="996"/>
      <c r="M257" s="997">
        <v>11000</v>
      </c>
      <c r="N257" s="1103">
        <f t="shared" si="54"/>
        <v>-10572100</v>
      </c>
      <c r="O257" s="934">
        <v>-6343</v>
      </c>
      <c r="R257" s="1100">
        <f t="shared" si="55"/>
        <v>-10578443</v>
      </c>
      <c r="S257" s="995">
        <v>118.51370978390042</v>
      </c>
      <c r="T257" s="1118">
        <f t="shared" si="56"/>
        <v>-89259.2343897502</v>
      </c>
      <c r="U257" s="1024">
        <v>43984</v>
      </c>
      <c r="V257" s="667" t="s">
        <v>1725</v>
      </c>
      <c r="W257" s="936">
        <v>43979.856964583334</v>
      </c>
      <c r="X257" s="1089">
        <f t="shared" si="57"/>
        <v>5.9997540696739529E-2</v>
      </c>
      <c r="Y257" s="1111" t="str">
        <f>VLOOKUP(V257,'bic broker'!$A$1:$B$14,2,FALSE)</f>
        <v>TAVSGB21XXX</v>
      </c>
      <c r="Z257" s="1111" t="str">
        <f>VLOOKUP(AA257,'place of settlement'!A:C,2,FALSE)</f>
        <v>JJSDJPJTXXX</v>
      </c>
      <c r="AA257" s="1111" t="str">
        <f t="shared" si="58"/>
        <v>JP</v>
      </c>
      <c r="AB257" s="1111" t="str">
        <f t="shared" si="59"/>
        <v>Tavira SecuritiesJP</v>
      </c>
      <c r="AC257" s="1111" t="str">
        <f>VLOOKUP(AB257,sample!$1:$1048576,2,FALSE)</f>
        <v>GSILGB2XXXX</v>
      </c>
      <c r="AD257" s="1111" t="str">
        <f>VLOOKUP($AB257,sample!$1:$1048576,3,FALSE)</f>
        <v>JJSDJPJTXXX</v>
      </c>
      <c r="AE257" s="1104">
        <f>VLOOKUP($AB257,sample!$1:$1048576,4,FALSE)</f>
        <v>6530490016</v>
      </c>
      <c r="AF257" s="1111" t="str">
        <f>VLOOKUP($AB257,sample!$1:$1048576,5,FALSE)</f>
        <v>N</v>
      </c>
      <c r="AL257" s="1104" t="str">
        <f>VLOOKUP($AB257,sample!$1:$1048576,11,FALSE)</f>
        <v xml:space="preserve">                  </v>
      </c>
      <c r="AM257" s="1104" t="str">
        <f>VLOOKUP($AB257,sample!$1:$1048576,12,FALSE)</f>
        <v xml:space="preserve">                          </v>
      </c>
      <c r="AN257" s="1104" t="str">
        <f>VLOOKUP($AB257,sample!$1:$1048576,13,FALSE)</f>
        <v>GOLDJPJXXXX</v>
      </c>
      <c r="AP257" s="1111"/>
    </row>
    <row r="258" spans="1:42" s="690" customFormat="1" ht="14">
      <c r="A258" s="1028">
        <v>2019200275</v>
      </c>
      <c r="B258" s="1004">
        <v>43979</v>
      </c>
      <c r="C258" s="933" t="s">
        <v>138</v>
      </c>
      <c r="D258" s="1127" t="str">
        <f>IFERROR(VLOOKUP(G258,PosAggregate!$B$13:$B$93,1,FALSE),"")</f>
        <v/>
      </c>
      <c r="E258" s="1022" t="s">
        <v>1247</v>
      </c>
      <c r="F258" s="1132" t="str">
        <f t="shared" si="47"/>
        <v/>
      </c>
      <c r="G258" s="667" t="s">
        <v>1196</v>
      </c>
      <c r="I258" s="949" t="s">
        <v>1145</v>
      </c>
      <c r="J258" s="949" t="s">
        <v>125</v>
      </c>
      <c r="K258" s="995">
        <v>1600</v>
      </c>
      <c r="L258" s="996"/>
      <c r="M258" s="997">
        <v>-4000</v>
      </c>
      <c r="N258" s="1103">
        <f t="shared" si="54"/>
        <v>6400000</v>
      </c>
      <c r="O258" s="934">
        <v>-3840</v>
      </c>
      <c r="R258" s="1100">
        <f t="shared" si="55"/>
        <v>6396160</v>
      </c>
      <c r="S258" s="995">
        <v>118.51370978390042</v>
      </c>
      <c r="T258" s="1118">
        <f t="shared" si="56"/>
        <v>53969.789753968958</v>
      </c>
      <c r="U258" s="1024">
        <v>43984</v>
      </c>
      <c r="V258" s="667" t="s">
        <v>1725</v>
      </c>
      <c r="W258" s="936">
        <v>43979.859993865743</v>
      </c>
      <c r="X258" s="1089">
        <f t="shared" si="57"/>
        <v>-0.06</v>
      </c>
      <c r="Y258" s="1111" t="str">
        <f>VLOOKUP(V258,'bic broker'!$A$1:$B$14,2,FALSE)</f>
        <v>TAVSGB21XXX</v>
      </c>
      <c r="Z258" s="1111" t="str">
        <f>VLOOKUP(AA258,'place of settlement'!A:C,2,FALSE)</f>
        <v>JJSDJPJTXXX</v>
      </c>
      <c r="AA258" s="1111" t="str">
        <f t="shared" si="58"/>
        <v>JP</v>
      </c>
      <c r="AB258" s="1111" t="str">
        <f t="shared" si="59"/>
        <v>Tavira SecuritiesJP</v>
      </c>
      <c r="AC258" s="1111" t="str">
        <f>VLOOKUP(AB258,sample!$1:$1048576,2,FALSE)</f>
        <v>GSILGB2XXXX</v>
      </c>
      <c r="AD258" s="1111" t="str">
        <f>VLOOKUP($AB258,sample!$1:$1048576,3,FALSE)</f>
        <v>JJSDJPJTXXX</v>
      </c>
      <c r="AE258" s="1104">
        <f>VLOOKUP($AB258,sample!$1:$1048576,4,FALSE)</f>
        <v>6530490016</v>
      </c>
      <c r="AF258" s="1111" t="str">
        <f>VLOOKUP($AB258,sample!$1:$1048576,5,FALSE)</f>
        <v>N</v>
      </c>
      <c r="AL258" s="1104" t="str">
        <f>VLOOKUP($AB258,sample!$1:$1048576,11,FALSE)</f>
        <v xml:space="preserve">                  </v>
      </c>
      <c r="AM258" s="1104" t="str">
        <f>VLOOKUP($AB258,sample!$1:$1048576,12,FALSE)</f>
        <v xml:space="preserve">                          </v>
      </c>
      <c r="AN258" s="1104" t="str">
        <f>VLOOKUP($AB258,sample!$1:$1048576,13,FALSE)</f>
        <v>GOLDJPJXXXX</v>
      </c>
      <c r="AP258" s="1111"/>
    </row>
    <row r="259" spans="1:42" s="690" customFormat="1" ht="14">
      <c r="A259" s="1028">
        <v>2019200277</v>
      </c>
      <c r="B259" s="1004">
        <v>43986</v>
      </c>
      <c r="C259" s="933" t="s">
        <v>137</v>
      </c>
      <c r="D259" s="1127" t="str">
        <f>IFERROR(VLOOKUP(G259,PosAggregate!$B$13:$B$93,1,FALSE),"")</f>
        <v/>
      </c>
      <c r="E259" s="1022" t="s">
        <v>1674</v>
      </c>
      <c r="F259" s="1132" t="str">
        <f t="shared" si="47"/>
        <v/>
      </c>
      <c r="G259" s="667" t="s">
        <v>1646</v>
      </c>
      <c r="I259" s="949" t="s">
        <v>1650</v>
      </c>
      <c r="J259" s="949" t="s">
        <v>3</v>
      </c>
      <c r="K259" s="995">
        <v>8.1206300000000002</v>
      </c>
      <c r="L259" s="996"/>
      <c r="M259" s="997">
        <v>6700</v>
      </c>
      <c r="N259" s="1103">
        <f t="shared" si="54"/>
        <v>-54408.221000000005</v>
      </c>
      <c r="O259" s="934">
        <v>-27.2</v>
      </c>
      <c r="R259" s="1100">
        <f t="shared" si="55"/>
        <v>-54435.421000000002</v>
      </c>
      <c r="S259" s="995">
        <v>1.1232042771618875</v>
      </c>
      <c r="T259" s="1118">
        <f t="shared" si="56"/>
        <v>-48464.39967051</v>
      </c>
      <c r="U259" s="1024">
        <v>43990</v>
      </c>
      <c r="V259" s="667" t="s">
        <v>1725</v>
      </c>
      <c r="W259" s="936">
        <v>43986.86677951389</v>
      </c>
      <c r="X259" s="1089">
        <f t="shared" si="57"/>
        <v>4.9992445075533701E-2</v>
      </c>
      <c r="Y259" s="1111" t="str">
        <f>VLOOKUP(V259,'bic broker'!$A$1:$B$14,2,FALSE)</f>
        <v>TAVSGB21XXX</v>
      </c>
      <c r="Z259" s="1111" t="str">
        <f>VLOOKUP(AA259,'place of settlement'!A:C,2,FALSE)</f>
        <v>DTCYUS33XXX</v>
      </c>
      <c r="AA259" s="1111" t="str">
        <f t="shared" si="58"/>
        <v>US</v>
      </c>
      <c r="AB259" s="1111" t="str">
        <f t="shared" si="59"/>
        <v>Tavira SecuritiesUS</v>
      </c>
      <c r="AC259" s="1111" t="str">
        <f>VLOOKUP(AB259,sample!$1:$1048576,2,FALSE)</f>
        <v>GSILGB2XXXX</v>
      </c>
      <c r="AD259" s="1111" t="str">
        <f>VLOOKUP($AB259,sample!$1:$1048576,3,FALSE)</f>
        <v>DTCYUS33</v>
      </c>
      <c r="AE259" s="1104" t="str">
        <f>VLOOKUP($AB259,sample!$1:$1048576,4,FALSE)</f>
        <v xml:space="preserve">        </v>
      </c>
      <c r="AF259" s="1111" t="str">
        <f>VLOOKUP($AB259,sample!$1:$1048576,5,FALSE)</f>
        <v>N</v>
      </c>
      <c r="AL259" s="1104" t="str">
        <f>VLOOKUP($AB259,sample!$1:$1048576,11,FALSE)</f>
        <v>DTCYID</v>
      </c>
      <c r="AM259" s="1104">
        <f>VLOOKUP($AB259,sample!$1:$1048576,12,FALSE)</f>
        <v>5208</v>
      </c>
      <c r="AN259" s="1104" t="str">
        <f>VLOOKUP($AB259,sample!$1:$1048576,13,FALSE)</f>
        <v xml:space="preserve">        </v>
      </c>
      <c r="AP259" s="1111"/>
    </row>
    <row r="260" spans="1:42" s="690" customFormat="1" ht="14">
      <c r="A260" s="1028">
        <v>2019200281</v>
      </c>
      <c r="B260" s="1004">
        <v>43987</v>
      </c>
      <c r="C260" s="933" t="s">
        <v>137</v>
      </c>
      <c r="D260" s="1127" t="str">
        <f>IFERROR(VLOOKUP(G260,PosAggregate!$B$13:$B$93,1,FALSE),"")</f>
        <v/>
      </c>
      <c r="E260" s="1022" t="s">
        <v>1237</v>
      </c>
      <c r="F260" s="1132" t="str">
        <f t="shared" si="47"/>
        <v/>
      </c>
      <c r="G260" s="667" t="s">
        <v>1691</v>
      </c>
      <c r="I260" s="949" t="s">
        <v>1132</v>
      </c>
      <c r="J260" s="949" t="s">
        <v>125</v>
      </c>
      <c r="K260" s="995">
        <v>2593</v>
      </c>
      <c r="L260" s="996"/>
      <c r="M260" s="997">
        <v>2200</v>
      </c>
      <c r="N260" s="1103">
        <f t="shared" si="54"/>
        <v>-5704600</v>
      </c>
      <c r="O260" s="934">
        <v>-3423</v>
      </c>
      <c r="R260" s="1100">
        <f t="shared" si="55"/>
        <v>-5708023</v>
      </c>
      <c r="S260" s="995">
        <v>122.30571374015794</v>
      </c>
      <c r="T260" s="1118">
        <f t="shared" si="56"/>
        <v>-46670.125421342629</v>
      </c>
      <c r="U260" s="1024">
        <v>43991</v>
      </c>
      <c r="V260" s="667" t="s">
        <v>1725</v>
      </c>
      <c r="W260" s="936">
        <v>43986.887112037039</v>
      </c>
      <c r="X260" s="1089">
        <f t="shared" si="57"/>
        <v>6.0004207131087187E-2</v>
      </c>
      <c r="Y260" s="1111" t="str">
        <f>VLOOKUP(V260,'bic broker'!$A$1:$B$14,2,FALSE)</f>
        <v>TAVSGB21XXX</v>
      </c>
      <c r="Z260" s="1111" t="str">
        <f>VLOOKUP(AA260,'place of settlement'!A:C,2,FALSE)</f>
        <v>JJSDJPJTXXX</v>
      </c>
      <c r="AA260" s="1111" t="str">
        <f t="shared" si="58"/>
        <v>JP</v>
      </c>
      <c r="AB260" s="1111" t="str">
        <f t="shared" si="59"/>
        <v>Tavira SecuritiesJP</v>
      </c>
      <c r="AC260" s="1111" t="str">
        <f>VLOOKUP(AB260,sample!$1:$1048576,2,FALSE)</f>
        <v>GSILGB2XXXX</v>
      </c>
      <c r="AD260" s="1111" t="str">
        <f>VLOOKUP($AB260,sample!$1:$1048576,3,FALSE)</f>
        <v>JJSDJPJTXXX</v>
      </c>
      <c r="AE260" s="1104">
        <f>VLOOKUP($AB260,sample!$1:$1048576,4,FALSE)</f>
        <v>6530490016</v>
      </c>
      <c r="AF260" s="1111" t="str">
        <f>VLOOKUP($AB260,sample!$1:$1048576,5,FALSE)</f>
        <v>N</v>
      </c>
      <c r="AL260" s="1104" t="str">
        <f>VLOOKUP($AB260,sample!$1:$1048576,11,FALSE)</f>
        <v xml:space="preserve">                  </v>
      </c>
      <c r="AM260" s="1104" t="str">
        <f>VLOOKUP($AB260,sample!$1:$1048576,12,FALSE)</f>
        <v xml:space="preserve">                          </v>
      </c>
      <c r="AN260" s="1104" t="str">
        <f>VLOOKUP($AB260,sample!$1:$1048576,13,FALSE)</f>
        <v>GOLDJPJXXXX</v>
      </c>
      <c r="AP260" s="1111"/>
    </row>
    <row r="261" spans="1:42" s="690" customFormat="1" ht="14">
      <c r="A261" s="1028">
        <v>2019200279</v>
      </c>
      <c r="B261" s="1004">
        <v>43987</v>
      </c>
      <c r="C261" s="933" t="s">
        <v>137</v>
      </c>
      <c r="D261" s="1127" t="str">
        <f>IFERROR(VLOOKUP(G261,PosAggregate!$B$13:$B$93,1,FALSE),"")</f>
        <v/>
      </c>
      <c r="E261" s="1022" t="s">
        <v>1273</v>
      </c>
      <c r="F261" s="1132" t="str">
        <f t="shared" si="47"/>
        <v/>
      </c>
      <c r="G261" s="667" t="s">
        <v>1209</v>
      </c>
      <c r="I261" s="949" t="s">
        <v>1133</v>
      </c>
      <c r="J261" s="949" t="s">
        <v>1104</v>
      </c>
      <c r="K261" s="995">
        <v>0.33176</v>
      </c>
      <c r="L261" s="996"/>
      <c r="M261" s="997">
        <v>170000</v>
      </c>
      <c r="N261" s="1103">
        <f t="shared" si="54"/>
        <v>-56399.199999999997</v>
      </c>
      <c r="O261" s="934">
        <v>-33.840000000000003</v>
      </c>
      <c r="R261" s="1100">
        <f t="shared" si="55"/>
        <v>-56433.039999999994</v>
      </c>
      <c r="S261" s="995">
        <v>1.6233671417820779</v>
      </c>
      <c r="T261" s="1118">
        <f t="shared" si="56"/>
        <v>-34762.955678682578</v>
      </c>
      <c r="U261" s="1024">
        <v>43992</v>
      </c>
      <c r="V261" s="667" t="s">
        <v>1725</v>
      </c>
      <c r="W261" s="936">
        <v>43986.888601157407</v>
      </c>
      <c r="X261" s="1089">
        <f t="shared" si="57"/>
        <v>6.0000851075901793E-2</v>
      </c>
      <c r="Y261" s="1111" t="str">
        <f>VLOOKUP(V261,'bic broker'!$A$1:$B$14,2,FALSE)</f>
        <v>TAVSGB21XXX</v>
      </c>
      <c r="Z261" s="1111" t="str">
        <f>VLOOKUP(AA261,'place of settlement'!A:C,2,FALSE)</f>
        <v>CAETAU21XXX</v>
      </c>
      <c r="AA261" s="1111" t="str">
        <f t="shared" si="58"/>
        <v>AU</v>
      </c>
      <c r="AB261" s="1111" t="str">
        <f t="shared" si="59"/>
        <v>Tavira SecuritiesAU</v>
      </c>
      <c r="AC261" s="1111" t="str">
        <f>VLOOKUP(AB261,sample!$1:$1048576,2,FALSE)</f>
        <v>GSILGB2XXXX</v>
      </c>
      <c r="AD261" s="1111" t="str">
        <f>VLOOKUP($AB261,sample!$1:$1048576,3,FALSE)</f>
        <v>CAETAU21</v>
      </c>
      <c r="AE261" s="1104" t="str">
        <f>VLOOKUP($AB261,sample!$1:$1048576,4,FALSE)</f>
        <v>011-109048-061</v>
      </c>
      <c r="AF261" s="1111" t="str">
        <f>VLOOKUP($AB261,sample!$1:$1048576,5,FALSE)</f>
        <v>N</v>
      </c>
      <c r="AL261" s="1104" t="str">
        <f>VLOOKUP($AB261,sample!$1:$1048576,11,FALSE)</f>
        <v xml:space="preserve">        </v>
      </c>
      <c r="AM261" s="1104" t="str">
        <f>VLOOKUP($AB261,sample!$1:$1048576,12,FALSE)</f>
        <v xml:space="preserve">        </v>
      </c>
      <c r="AN261" s="1104" t="str">
        <f>VLOOKUP($AB261,sample!$1:$1048576,13,FALSE)</f>
        <v>HKBAAU2SSYD</v>
      </c>
      <c r="AP261" s="1111"/>
    </row>
    <row r="262" spans="1:42" s="690" customFormat="1" ht="14">
      <c r="A262" s="1028">
        <v>2019200280</v>
      </c>
      <c r="B262" s="1004">
        <v>43987</v>
      </c>
      <c r="C262" s="933" t="s">
        <v>137</v>
      </c>
      <c r="D262" s="1127" t="str">
        <f>IFERROR(VLOOKUP(G262,PosAggregate!$B$13:$B$93,1,FALSE),"")</f>
        <v/>
      </c>
      <c r="E262" s="1022" t="s">
        <v>1723</v>
      </c>
      <c r="F262" s="1132" t="str">
        <f t="shared" si="47"/>
        <v/>
      </c>
      <c r="G262" s="667" t="s">
        <v>1714</v>
      </c>
      <c r="I262" s="949" t="s">
        <v>1724</v>
      </c>
      <c r="J262" s="949" t="s">
        <v>1104</v>
      </c>
      <c r="K262" s="995">
        <v>2.3755199999999999</v>
      </c>
      <c r="L262" s="996"/>
      <c r="M262" s="997">
        <v>22000</v>
      </c>
      <c r="N262" s="1103">
        <f t="shared" si="54"/>
        <v>-52261.439999999995</v>
      </c>
      <c r="O262" s="934">
        <v>-31.36</v>
      </c>
      <c r="R262" s="1100">
        <f t="shared" si="55"/>
        <v>-52292.799999999996</v>
      </c>
      <c r="S262" s="995">
        <v>1.6233671417820779</v>
      </c>
      <c r="T262" s="1118">
        <f t="shared" si="56"/>
        <v>-32212.552942641625</v>
      </c>
      <c r="U262" s="1024">
        <v>43992</v>
      </c>
      <c r="V262" s="667" t="s">
        <v>1725</v>
      </c>
      <c r="W262" s="936">
        <v>43986.890627893517</v>
      </c>
      <c r="X262" s="1089">
        <f t="shared" si="57"/>
        <v>6.0006000600060012E-2</v>
      </c>
      <c r="Y262" s="1111" t="str">
        <f>VLOOKUP(V262,'bic broker'!$A$1:$B$14,2,FALSE)</f>
        <v>TAVSGB21XXX</v>
      </c>
      <c r="Z262" s="1111" t="str">
        <f>VLOOKUP(AA262,'place of settlement'!A:C,2,FALSE)</f>
        <v>CAETAU21XXX</v>
      </c>
      <c r="AA262" s="1111" t="str">
        <f t="shared" si="58"/>
        <v>AU</v>
      </c>
      <c r="AB262" s="1111" t="str">
        <f t="shared" si="59"/>
        <v>Tavira SecuritiesAU</v>
      </c>
      <c r="AC262" s="1111" t="str">
        <f>VLOOKUP(AB262,sample!$1:$1048576,2,FALSE)</f>
        <v>GSILGB2XXXX</v>
      </c>
      <c r="AD262" s="1111" t="str">
        <f>VLOOKUP($AB262,sample!$1:$1048576,3,FALSE)</f>
        <v>CAETAU21</v>
      </c>
      <c r="AE262" s="1104" t="str">
        <f>VLOOKUP($AB262,sample!$1:$1048576,4,FALSE)</f>
        <v>011-109048-061</v>
      </c>
      <c r="AF262" s="1111" t="str">
        <f>VLOOKUP($AB262,sample!$1:$1048576,5,FALSE)</f>
        <v>N</v>
      </c>
      <c r="AL262" s="1104" t="str">
        <f>VLOOKUP($AB262,sample!$1:$1048576,11,FALSE)</f>
        <v xml:space="preserve">        </v>
      </c>
      <c r="AM262" s="1104" t="str">
        <f>VLOOKUP($AB262,sample!$1:$1048576,12,FALSE)</f>
        <v xml:space="preserve">        </v>
      </c>
      <c r="AN262" s="1104" t="str">
        <f>VLOOKUP($AB262,sample!$1:$1048576,13,FALSE)</f>
        <v>HKBAAU2SSYD</v>
      </c>
      <c r="AP262" s="1111"/>
    </row>
    <row r="263" spans="1:42" s="1037" customFormat="1" ht="14">
      <c r="A263" s="1032">
        <v>2019200282</v>
      </c>
      <c r="B263" s="1033">
        <v>43993</v>
      </c>
      <c r="C263" s="1034" t="s">
        <v>138</v>
      </c>
      <c r="D263" s="1128" t="str">
        <f>IFERROR(VLOOKUP(G263,PosAggregate!$B$13:$B$93,1,FALSE),"")</f>
        <v/>
      </c>
      <c r="E263" s="1035" t="s">
        <v>1254</v>
      </c>
      <c r="F263" s="1132" t="str">
        <f t="shared" si="47"/>
        <v/>
      </c>
      <c r="G263" s="1036" t="s">
        <v>1204</v>
      </c>
      <c r="I263" s="1038" t="s">
        <v>1123</v>
      </c>
      <c r="J263" s="1038" t="s">
        <v>123</v>
      </c>
      <c r="K263" s="1039">
        <v>254000</v>
      </c>
      <c r="L263" s="1040"/>
      <c r="M263" s="1041">
        <v>-690</v>
      </c>
      <c r="N263" s="1113">
        <f t="shared" si="54"/>
        <v>175260000</v>
      </c>
      <c r="O263" s="1042">
        <v>-262890</v>
      </c>
      <c r="P263" s="1042">
        <v>-438150</v>
      </c>
      <c r="R263" s="1114">
        <f t="shared" si="55"/>
        <v>174558960</v>
      </c>
      <c r="S263" s="1039">
        <v>1374</v>
      </c>
      <c r="T263" s="1118">
        <f t="shared" si="56"/>
        <v>127044.36681222708</v>
      </c>
      <c r="U263" s="1043">
        <v>43998</v>
      </c>
      <c r="V263" s="1036" t="s">
        <v>1230</v>
      </c>
      <c r="W263" s="1044">
        <v>43993.861408449076</v>
      </c>
      <c r="X263" s="1115">
        <f t="shared" si="57"/>
        <v>-0.15</v>
      </c>
      <c r="Y263" s="1111" t="e">
        <f>VLOOKUP(V263,'bic broker'!$A$1:$B$14,2,FALSE)</f>
        <v>#N/A</v>
      </c>
      <c r="Z263" s="1112" t="str">
        <f>VLOOKUP(AA263,'place of settlement'!A:C,2,FALSE)</f>
        <v>KSDCKRSEXXX</v>
      </c>
      <c r="AA263" s="1112" t="str">
        <f t="shared" si="58"/>
        <v>KR</v>
      </c>
      <c r="AB263" s="1112" t="str">
        <f t="shared" si="59"/>
        <v>SamsungKR</v>
      </c>
      <c r="AC263" s="1112" t="e">
        <f>VLOOKUP(AB263,sample!$1:$1048576,2,FALSE)</f>
        <v>#N/A</v>
      </c>
      <c r="AD263" s="1112" t="e">
        <f>VLOOKUP($AB263,sample!$1:$1048576,3,FALSE)</f>
        <v>#N/A</v>
      </c>
      <c r="AE263" s="1105" t="e">
        <f>VLOOKUP($AB263,sample!$1:$1048576,4,FALSE)</f>
        <v>#N/A</v>
      </c>
      <c r="AF263" s="1112" t="e">
        <f>VLOOKUP($AB263,sample!$1:$1048576,5,FALSE)</f>
        <v>#N/A</v>
      </c>
      <c r="AL263" s="1105" t="e">
        <f>VLOOKUP($AB263,sample!$1:$1048576,11,FALSE)</f>
        <v>#N/A</v>
      </c>
      <c r="AM263" s="1105" t="e">
        <f>VLOOKUP($AB263,sample!$1:$1048576,12,FALSE)</f>
        <v>#N/A</v>
      </c>
      <c r="AN263" s="1105" t="e">
        <f>VLOOKUP($AB263,sample!$1:$1048576,13,FALSE)</f>
        <v>#N/A</v>
      </c>
      <c r="AP263" s="1111"/>
    </row>
    <row r="264" spans="1:42" ht="14">
      <c r="A264" s="1045" t="s">
        <v>1777</v>
      </c>
      <c r="B264" s="1033">
        <v>43902</v>
      </c>
      <c r="C264" s="998" t="s">
        <v>2159</v>
      </c>
      <c r="D264" s="1128" t="str">
        <f>IFERROR(VLOOKUP(G264,PosAggregate!$B$13:$B$93,1,FALSE),"")</f>
        <v/>
      </c>
      <c r="E264" s="880" t="s">
        <v>1260</v>
      </c>
      <c r="F264" s="1132" t="str">
        <f t="shared" si="47"/>
        <v/>
      </c>
      <c r="G264" s="664" t="s">
        <v>1211</v>
      </c>
      <c r="I264" s="950" t="s">
        <v>1226</v>
      </c>
      <c r="J264" s="950" t="s">
        <v>2</v>
      </c>
      <c r="K264" s="855"/>
      <c r="L264" s="951"/>
      <c r="M264" s="952">
        <v>525</v>
      </c>
      <c r="N264" s="953">
        <v>0</v>
      </c>
      <c r="R264" s="954">
        <v>0</v>
      </c>
      <c r="T264" s="1118" t="e">
        <f t="shared" si="56"/>
        <v>#DIV/0!</v>
      </c>
      <c r="U264" s="956"/>
      <c r="X264" s="958" t="e">
        <v>#DIV/0!</v>
      </c>
      <c r="Y264" s="1111" t="e">
        <f>VLOOKUP(V264,'bic broker'!$A$1:$B$14,2,FALSE)</f>
        <v>#N/A</v>
      </c>
      <c r="AA264" s="827" t="s">
        <v>1825</v>
      </c>
      <c r="AB264" s="827" t="s">
        <v>1825</v>
      </c>
      <c r="AC264" s="827" t="e">
        <v>#N/A</v>
      </c>
      <c r="AD264" s="827" t="e">
        <v>#N/A</v>
      </c>
      <c r="AE264" s="920" t="e">
        <v>#N/A</v>
      </c>
      <c r="AF264" s="827" t="e">
        <v>#N/A</v>
      </c>
      <c r="AL264" s="920" t="e">
        <v>#N/A</v>
      </c>
      <c r="AM264" s="920" t="e">
        <v>#N/A</v>
      </c>
      <c r="AN264" s="920" t="e">
        <v>#N/A</v>
      </c>
      <c r="AP264" s="1111"/>
    </row>
    <row r="265" spans="1:42" ht="14">
      <c r="A265" s="1032">
        <v>2019200283</v>
      </c>
      <c r="B265" s="1033">
        <v>44000</v>
      </c>
      <c r="C265" s="998" t="s">
        <v>137</v>
      </c>
      <c r="D265" s="1128" t="str">
        <f>IFERROR(VLOOKUP(G265,PosAggregate!$B$13:$B$93,1,FALSE),"")</f>
        <v/>
      </c>
      <c r="E265" s="880" t="s">
        <v>12855</v>
      </c>
      <c r="F265" s="1132" t="str">
        <f t="shared" si="47"/>
        <v/>
      </c>
      <c r="G265" s="701" t="s">
        <v>2160</v>
      </c>
      <c r="I265" s="950" t="s">
        <v>12809</v>
      </c>
      <c r="J265" s="950" t="s">
        <v>123</v>
      </c>
      <c r="K265" s="855">
        <v>41466.9545</v>
      </c>
      <c r="L265" s="951"/>
      <c r="M265" s="952">
        <v>2200</v>
      </c>
      <c r="N265" s="1092">
        <f t="shared" ref="N265:N296" si="60">-K265*M265</f>
        <v>-91227299.900000006</v>
      </c>
      <c r="O265" s="1042">
        <v>-136841</v>
      </c>
      <c r="R265" s="1096">
        <f t="shared" ref="R265:R296" si="61">SUM(N265:Q265)</f>
        <v>-91364140.900000006</v>
      </c>
      <c r="S265" s="1039">
        <v>1366.4890268033807</v>
      </c>
      <c r="T265" s="1118">
        <f t="shared" si="56"/>
        <v>-66860.500968476539</v>
      </c>
      <c r="U265" s="1043">
        <v>44004</v>
      </c>
      <c r="V265" s="701" t="s">
        <v>2162</v>
      </c>
      <c r="W265" s="1031">
        <v>44000.177494328702</v>
      </c>
      <c r="X265" s="1089">
        <f t="shared" ref="X265:X296" si="62">+O265/N265*100</f>
        <v>0.15000005497257954</v>
      </c>
      <c r="Y265" s="690" t="s">
        <v>1765</v>
      </c>
      <c r="Z265" s="827" t="s">
        <v>1808</v>
      </c>
      <c r="AA265" s="827" t="s">
        <v>1807</v>
      </c>
      <c r="AB265" s="827" t="s">
        <v>1972</v>
      </c>
      <c r="AC265" s="827" t="s">
        <v>1765</v>
      </c>
      <c r="AD265" s="827" t="s">
        <v>1808</v>
      </c>
      <c r="AE265" s="920" t="s">
        <v>1973</v>
      </c>
      <c r="AF265" s="827" t="s">
        <v>1864</v>
      </c>
      <c r="AL265" s="920">
        <v>0</v>
      </c>
      <c r="AM265" s="920">
        <v>0</v>
      </c>
      <c r="AN265" s="920" t="s">
        <v>1765</v>
      </c>
      <c r="AP265" s="1111"/>
    </row>
    <row r="266" spans="1:42" ht="14">
      <c r="A266" s="1032">
        <v>2019200284</v>
      </c>
      <c r="B266" s="1033">
        <v>44000</v>
      </c>
      <c r="C266" s="998" t="s">
        <v>138</v>
      </c>
      <c r="D266" s="1128" t="str">
        <f>IFERROR(VLOOKUP(G266,PosAggregate!$B$13:$B$93,1,FALSE),"")</f>
        <v/>
      </c>
      <c r="E266" s="880" t="s">
        <v>1247</v>
      </c>
      <c r="F266" s="1132" t="str">
        <f t="shared" si="47"/>
        <v/>
      </c>
      <c r="G266" s="701" t="s">
        <v>1196</v>
      </c>
      <c r="I266" s="950" t="s">
        <v>1145</v>
      </c>
      <c r="J266" s="950" t="s">
        <v>125</v>
      </c>
      <c r="K266" s="855">
        <v>1767.5625</v>
      </c>
      <c r="L266" s="951"/>
      <c r="M266" s="952">
        <v>-4000</v>
      </c>
      <c r="N266" s="1092">
        <f t="shared" si="60"/>
        <v>7070250</v>
      </c>
      <c r="O266" s="1042">
        <v>-4242</v>
      </c>
      <c r="R266" s="1096">
        <f t="shared" si="61"/>
        <v>7066008</v>
      </c>
      <c r="S266" s="995">
        <v>118.51370978390042</v>
      </c>
      <c r="T266" s="1118">
        <f t="shared" si="56"/>
        <v>59621.8615794262</v>
      </c>
      <c r="U266" s="1043">
        <v>44004</v>
      </c>
      <c r="V266" s="701" t="s">
        <v>1725</v>
      </c>
      <c r="W266" s="1031">
        <v>44000.267936574077</v>
      </c>
      <c r="X266" s="1089">
        <f t="shared" si="62"/>
        <v>-5.9997878434284502E-2</v>
      </c>
      <c r="Y266" s="1090" t="str">
        <f>VLOOKUP(V266,'bic broker'!$A$1:$B$14,2,FALSE)</f>
        <v>TAVSGB21XXX</v>
      </c>
      <c r="Z266" s="1090" t="str">
        <f>VLOOKUP(AA266,'place of settlement'!A:C,2,FALSE)</f>
        <v>JJSDJPJTXXX</v>
      </c>
      <c r="AA266" s="1090" t="str">
        <f t="shared" ref="AA266:AA294" si="63">LEFT(E266,2)</f>
        <v>JP</v>
      </c>
      <c r="AB266" s="1090" t="str">
        <f t="shared" ref="AB266:AB294" si="64">CONCATENATE(V266,AA266)</f>
        <v>Tavira SecuritiesJP</v>
      </c>
      <c r="AC266" s="1090" t="str">
        <f>VLOOKUP(AB266,sample!$1:$1048576,2,FALSE)</f>
        <v>GSILGB2XXXX</v>
      </c>
      <c r="AD266" s="1090" t="str">
        <f>VLOOKUP($AB266,sample!$1:$1048576,3,FALSE)</f>
        <v>JJSDJPJTXXX</v>
      </c>
      <c r="AE266" s="1091">
        <f>VLOOKUP($AB266,sample!$1:$1048576,4,FALSE)</f>
        <v>6530490016</v>
      </c>
      <c r="AF266" s="1090" t="str">
        <f>VLOOKUP($AB266,sample!$1:$1048576,5,FALSE)</f>
        <v>N</v>
      </c>
      <c r="AL266" s="1091" t="str">
        <f>VLOOKUP($AB266,sample!$1:$1048576,11,FALSE)</f>
        <v xml:space="preserve">                  </v>
      </c>
      <c r="AM266" s="1091" t="str">
        <f>VLOOKUP($AB266,sample!$1:$1048576,12,FALSE)</f>
        <v xml:space="preserve">                          </v>
      </c>
      <c r="AN266" s="1091" t="str">
        <f>VLOOKUP($AB266,sample!$1:$1048576,13,FALSE)</f>
        <v>GOLDJPJXXXX</v>
      </c>
      <c r="AP266" s="1111"/>
    </row>
    <row r="267" spans="1:42" ht="14">
      <c r="A267" s="1032">
        <v>2019200285</v>
      </c>
      <c r="B267" s="1033">
        <v>44000</v>
      </c>
      <c r="C267" s="998" t="s">
        <v>137</v>
      </c>
      <c r="D267" s="1128" t="str">
        <f>IFERROR(VLOOKUP(G267,PosAggregate!$B$13:$B$93,1,FALSE),"")</f>
        <v/>
      </c>
      <c r="E267" s="880" t="s">
        <v>12875</v>
      </c>
      <c r="F267" s="1132" t="str">
        <f t="shared" si="47"/>
        <v/>
      </c>
      <c r="G267" s="701" t="s">
        <v>2161</v>
      </c>
      <c r="I267" s="950" t="s">
        <v>12883</v>
      </c>
      <c r="J267" s="950" t="s">
        <v>1100</v>
      </c>
      <c r="K267" s="855">
        <v>58.329549999999998</v>
      </c>
      <c r="L267" s="951"/>
      <c r="M267" s="952">
        <v>11000</v>
      </c>
      <c r="N267" s="1092">
        <f t="shared" si="60"/>
        <v>-641625.04999999993</v>
      </c>
      <c r="O267" s="1042">
        <v>-384.98</v>
      </c>
      <c r="P267" s="1042">
        <v>-691.4</v>
      </c>
      <c r="R267" s="1096">
        <f t="shared" si="61"/>
        <v>-642701.42999999993</v>
      </c>
      <c r="S267" s="995">
        <v>8.7133477244108697</v>
      </c>
      <c r="T267" s="1118">
        <f t="shared" si="56"/>
        <v>-73760.56256763867</v>
      </c>
      <c r="U267" s="1043">
        <v>44004</v>
      </c>
      <c r="V267" s="701" t="s">
        <v>1725</v>
      </c>
      <c r="W267" s="1031">
        <v>44000.271048032409</v>
      </c>
      <c r="X267" s="1089">
        <f t="shared" si="62"/>
        <v>6.000077459569262E-2</v>
      </c>
      <c r="Y267" s="1090" t="str">
        <f>VLOOKUP(V267,'bic broker'!$A$1:$B$14,2,FALSE)</f>
        <v>TAVSGB21XXX</v>
      </c>
      <c r="Z267" s="1090" t="str">
        <f>VLOOKUP(AA267,'place of settlement'!A:C,2,FALSE)</f>
        <v>XHKCHKH1XXX</v>
      </c>
      <c r="AA267" s="1090" t="str">
        <f t="shared" si="63"/>
        <v>CN</v>
      </c>
      <c r="AB267" s="1090" t="str">
        <f t="shared" si="64"/>
        <v>Tavira SecuritiesCN</v>
      </c>
      <c r="AC267" s="1090" t="e">
        <f>VLOOKUP(AB267,sample!$1:$1048576,2,FALSE)</f>
        <v>#N/A</v>
      </c>
      <c r="AD267" s="1090" t="e">
        <f>VLOOKUP($AB267,sample!$1:$1048576,3,FALSE)</f>
        <v>#N/A</v>
      </c>
      <c r="AE267" s="1091" t="e">
        <f>VLOOKUP($AB267,sample!$1:$1048576,4,FALSE)</f>
        <v>#N/A</v>
      </c>
      <c r="AF267" s="1090" t="e">
        <f>VLOOKUP($AB267,sample!$1:$1048576,5,FALSE)</f>
        <v>#N/A</v>
      </c>
      <c r="AL267" s="1091" t="e">
        <f>VLOOKUP($AB267,sample!$1:$1048576,11,FALSE)</f>
        <v>#N/A</v>
      </c>
      <c r="AM267" s="1091" t="e">
        <f>VLOOKUP($AB267,sample!$1:$1048576,12,FALSE)</f>
        <v>#N/A</v>
      </c>
      <c r="AN267" s="1091" t="e">
        <f>VLOOKUP($AB267,sample!$1:$1048576,13,FALSE)</f>
        <v>#N/A</v>
      </c>
      <c r="AP267" s="1111"/>
    </row>
    <row r="268" spans="1:42" ht="14">
      <c r="A268" s="1116">
        <f t="shared" ref="A268:A273" si="65">(A267+1)</f>
        <v>2019200286</v>
      </c>
      <c r="B268" s="1033">
        <v>44001</v>
      </c>
      <c r="C268" s="998" t="s">
        <v>137</v>
      </c>
      <c r="D268" s="1128" t="str">
        <f>IFERROR(VLOOKUP(G268,PosAggregate!$B$13:$B$93,1,FALSE),"")</f>
        <v/>
      </c>
      <c r="E268" s="880" t="s">
        <v>1232</v>
      </c>
      <c r="F268" s="1132" t="str">
        <f t="shared" ref="F268:F331" si="66">IF(D268=G268,"YES","")</f>
        <v/>
      </c>
      <c r="G268" s="701" t="s">
        <v>1180</v>
      </c>
      <c r="I268" s="950" t="s">
        <v>1122</v>
      </c>
      <c r="J268" s="950" t="s">
        <v>125</v>
      </c>
      <c r="K268" s="855">
        <v>965.13670000000002</v>
      </c>
      <c r="L268" s="951"/>
      <c r="M268" s="952">
        <v>11000</v>
      </c>
      <c r="N268" s="1092">
        <f t="shared" si="60"/>
        <v>-10616503.700000001</v>
      </c>
      <c r="O268" s="1042">
        <v>-6370</v>
      </c>
      <c r="P268" s="1042"/>
      <c r="R268" s="1096">
        <f t="shared" si="61"/>
        <v>-10622873.700000001</v>
      </c>
      <c r="S268" s="995">
        <v>120.30041374347901</v>
      </c>
      <c r="T268" s="1118">
        <f t="shared" si="56"/>
        <v>-88302.885829233681</v>
      </c>
      <c r="U268" s="1043">
        <v>44005</v>
      </c>
      <c r="V268" s="701" t="s">
        <v>1725</v>
      </c>
      <c r="W268" s="1031">
        <v>44000.882628009262</v>
      </c>
      <c r="X268" s="1089">
        <f t="shared" si="62"/>
        <v>6.0000921018847284E-2</v>
      </c>
      <c r="Y268" s="1090" t="str">
        <f>VLOOKUP(V268,'bic broker'!$A$1:$B$14,2,FALSE)</f>
        <v>TAVSGB21XXX</v>
      </c>
      <c r="Z268" s="1090" t="str">
        <f>VLOOKUP(AA268,'place of settlement'!A:C,2,FALSE)</f>
        <v>JJSDJPJTXXX</v>
      </c>
      <c r="AA268" s="1090" t="str">
        <f t="shared" si="63"/>
        <v>JP</v>
      </c>
      <c r="AB268" s="1090" t="str">
        <f t="shared" si="64"/>
        <v>Tavira SecuritiesJP</v>
      </c>
      <c r="AC268" s="1090" t="str">
        <f>VLOOKUP(AB268,sample!$1:$1048576,2,FALSE)</f>
        <v>GSILGB2XXXX</v>
      </c>
      <c r="AD268" s="1090" t="str">
        <f>VLOOKUP($AB268,sample!$1:$1048576,3,FALSE)</f>
        <v>JJSDJPJTXXX</v>
      </c>
      <c r="AE268" s="1091">
        <f>VLOOKUP($AB268,sample!$1:$1048576,4,FALSE)</f>
        <v>6530490016</v>
      </c>
      <c r="AF268" s="1090" t="str">
        <f>VLOOKUP($AB268,sample!$1:$1048576,5,FALSE)</f>
        <v>N</v>
      </c>
      <c r="AL268" s="1091" t="str">
        <f>VLOOKUP($AB268,sample!$1:$1048576,11,FALSE)</f>
        <v xml:space="preserve">                  </v>
      </c>
      <c r="AM268" s="1091" t="str">
        <f>VLOOKUP($AB268,sample!$1:$1048576,12,FALSE)</f>
        <v xml:space="preserve">                          </v>
      </c>
      <c r="AN268" s="1091" t="str">
        <f>VLOOKUP($AB268,sample!$1:$1048576,13,FALSE)</f>
        <v>GOLDJPJXXXX</v>
      </c>
      <c r="AP268" s="1111"/>
    </row>
    <row r="269" spans="1:42" ht="14">
      <c r="A269" s="1116">
        <f t="shared" si="65"/>
        <v>2019200287</v>
      </c>
      <c r="B269" s="1033">
        <v>44008</v>
      </c>
      <c r="C269" s="998" t="s">
        <v>137</v>
      </c>
      <c r="D269" s="1128" t="str">
        <f>IFERROR(VLOOKUP(G269,PosAggregate!$B$13:$B$93,1,FALSE),"")</f>
        <v/>
      </c>
      <c r="E269" s="880" t="s">
        <v>1232</v>
      </c>
      <c r="F269" s="1132" t="str">
        <f t="shared" si="66"/>
        <v/>
      </c>
      <c r="G269" s="701" t="s">
        <v>1180</v>
      </c>
      <c r="I269" s="950" t="s">
        <v>1122</v>
      </c>
      <c r="J269" s="950" t="s">
        <v>125</v>
      </c>
      <c r="K269" s="855">
        <v>928.7</v>
      </c>
      <c r="L269" s="951"/>
      <c r="M269" s="952">
        <v>11000</v>
      </c>
      <c r="N269" s="1092">
        <f t="shared" si="60"/>
        <v>-10215700</v>
      </c>
      <c r="O269" s="1042">
        <v>-6129</v>
      </c>
      <c r="P269" s="1042"/>
      <c r="R269" s="1096">
        <f t="shared" si="61"/>
        <v>-10221829</v>
      </c>
      <c r="S269" s="995">
        <v>120.39734950331308</v>
      </c>
      <c r="T269" s="1118">
        <f t="shared" si="56"/>
        <v>-84900.780973743254</v>
      </c>
      <c r="U269" s="1043">
        <v>44012</v>
      </c>
      <c r="V269" s="701" t="s">
        <v>1725</v>
      </c>
      <c r="W269" s="1031">
        <v>44007.873458449074</v>
      </c>
      <c r="X269" s="1089">
        <f t="shared" si="62"/>
        <v>5.9995888681147642E-2</v>
      </c>
      <c r="Y269" s="1090" t="str">
        <f>VLOOKUP(V269,'bic broker'!$A$1:$B$14,2,FALSE)</f>
        <v>TAVSGB21XXX</v>
      </c>
      <c r="Z269" s="1090" t="str">
        <f>VLOOKUP(AA269,'place of settlement'!A:C,2,FALSE)</f>
        <v>JJSDJPJTXXX</v>
      </c>
      <c r="AA269" s="1090" t="str">
        <f t="shared" si="63"/>
        <v>JP</v>
      </c>
      <c r="AB269" s="1090" t="str">
        <f t="shared" si="64"/>
        <v>Tavira SecuritiesJP</v>
      </c>
      <c r="AC269" s="1090" t="str">
        <f>VLOOKUP(AB269,sample!$1:$1048576,2,FALSE)</f>
        <v>GSILGB2XXXX</v>
      </c>
      <c r="AD269" s="1090" t="str">
        <f>VLOOKUP($AB269,sample!$1:$1048576,3,FALSE)</f>
        <v>JJSDJPJTXXX</v>
      </c>
      <c r="AE269" s="1091">
        <f>VLOOKUP($AB269,sample!$1:$1048576,4,FALSE)</f>
        <v>6530490016</v>
      </c>
      <c r="AF269" s="1090" t="str">
        <f>VLOOKUP($AB269,sample!$1:$1048576,5,FALSE)</f>
        <v>N</v>
      </c>
      <c r="AL269" s="1091" t="str">
        <f>VLOOKUP($AB269,sample!$1:$1048576,11,FALSE)</f>
        <v xml:space="preserve">                  </v>
      </c>
      <c r="AM269" s="1091" t="str">
        <f>VLOOKUP($AB269,sample!$1:$1048576,12,FALSE)</f>
        <v xml:space="preserve">                          </v>
      </c>
      <c r="AN269" s="1091" t="str">
        <f>VLOOKUP($AB269,sample!$1:$1048576,13,FALSE)</f>
        <v>GOLDJPJXXXX</v>
      </c>
      <c r="AP269" s="1111"/>
    </row>
    <row r="270" spans="1:42" ht="14">
      <c r="A270" s="1117">
        <f t="shared" si="65"/>
        <v>2019200288</v>
      </c>
      <c r="B270" s="1004">
        <v>44048</v>
      </c>
      <c r="C270" s="998" t="s">
        <v>138</v>
      </c>
      <c r="D270" s="1108" t="str">
        <f>IFERROR(VLOOKUP(G270,PosAggregate!$B$13:$B$93,1,FALSE),"")</f>
        <v/>
      </c>
      <c r="E270" s="880" t="s">
        <v>1252</v>
      </c>
      <c r="F270" s="1132" t="str">
        <f t="shared" si="66"/>
        <v/>
      </c>
      <c r="G270" s="701" t="s">
        <v>1202</v>
      </c>
      <c r="I270" s="950" t="s">
        <v>1121</v>
      </c>
      <c r="J270" s="950" t="s">
        <v>123</v>
      </c>
      <c r="K270" s="855">
        <v>373000</v>
      </c>
      <c r="L270" s="951"/>
      <c r="M270" s="952">
        <v>-450</v>
      </c>
      <c r="N270" s="1092">
        <f t="shared" si="60"/>
        <v>167850000</v>
      </c>
      <c r="O270" s="934">
        <v>-251775</v>
      </c>
      <c r="P270" s="934">
        <v>-419624</v>
      </c>
      <c r="R270" s="1096">
        <f t="shared" si="61"/>
        <v>167178601</v>
      </c>
      <c r="S270" s="995">
        <v>1407.9720576782354</v>
      </c>
      <c r="T270" s="1118">
        <f t="shared" si="56"/>
        <v>118737.15823286986</v>
      </c>
      <c r="U270" s="956">
        <v>44053</v>
      </c>
      <c r="V270" s="701" t="s">
        <v>1230</v>
      </c>
      <c r="W270" s="1031">
        <v>44048.376063888885</v>
      </c>
      <c r="X270" s="1089">
        <f t="shared" si="62"/>
        <v>-0.15</v>
      </c>
      <c r="Y270" s="1090" t="e">
        <f>VLOOKUP(V270,'bic broker'!$A$1:$B$14,2,FALSE)</f>
        <v>#N/A</v>
      </c>
      <c r="Z270" s="1090" t="str">
        <f>VLOOKUP(AA270,'place of settlement'!A:C,2,FALSE)</f>
        <v>KSDCKRSEXXX</v>
      </c>
      <c r="AA270" s="1090" t="str">
        <f t="shared" si="63"/>
        <v>KR</v>
      </c>
      <c r="AB270" s="1090" t="str">
        <f t="shared" si="64"/>
        <v>SamsungKR</v>
      </c>
      <c r="AC270" s="1090" t="e">
        <f>VLOOKUP(AB270,sample!$1:$1048576,2,FALSE)</f>
        <v>#N/A</v>
      </c>
      <c r="AD270" s="1090" t="e">
        <f>VLOOKUP($AB270,sample!$1:$1048576,3,FALSE)</f>
        <v>#N/A</v>
      </c>
      <c r="AE270" s="1091" t="e">
        <f>VLOOKUP($AB270,sample!$1:$1048576,4,FALSE)</f>
        <v>#N/A</v>
      </c>
      <c r="AF270" s="1090" t="e">
        <f>VLOOKUP($AB270,sample!$1:$1048576,5,FALSE)</f>
        <v>#N/A</v>
      </c>
      <c r="AL270" s="1091" t="e">
        <f>VLOOKUP($AB270,sample!$1:$1048576,11,FALSE)</f>
        <v>#N/A</v>
      </c>
      <c r="AM270" s="1091" t="e">
        <f>VLOOKUP($AB270,sample!$1:$1048576,12,FALSE)</f>
        <v>#N/A</v>
      </c>
      <c r="AN270" s="1091" t="e">
        <f>VLOOKUP($AB270,sample!$1:$1048576,13,FALSE)</f>
        <v>#N/A</v>
      </c>
      <c r="AP270" s="1111"/>
    </row>
    <row r="271" spans="1:42" ht="14">
      <c r="A271" s="1117">
        <f t="shared" si="65"/>
        <v>2019200289</v>
      </c>
      <c r="B271" s="1004">
        <v>44048</v>
      </c>
      <c r="C271" s="998" t="s">
        <v>137</v>
      </c>
      <c r="D271" s="1108" t="str">
        <f>IFERROR(VLOOKUP(G271,PosAggregate!$B$13:$B$93,1,FALSE),"")</f>
        <v/>
      </c>
      <c r="E271" s="880" t="s">
        <v>1696</v>
      </c>
      <c r="F271" s="1132" t="str">
        <f t="shared" si="66"/>
        <v/>
      </c>
      <c r="G271" s="701" t="s">
        <v>1684</v>
      </c>
      <c r="I271" s="950" t="s">
        <v>1686</v>
      </c>
      <c r="J271" s="950" t="s">
        <v>2</v>
      </c>
      <c r="K271" s="855">
        <v>3.3862000000000001</v>
      </c>
      <c r="L271" s="951"/>
      <c r="M271" s="952">
        <v>6680</v>
      </c>
      <c r="N271" s="1092">
        <f t="shared" si="60"/>
        <v>-22619.815999999999</v>
      </c>
      <c r="O271" s="934">
        <v>-13.57</v>
      </c>
      <c r="P271" s="934"/>
      <c r="R271" s="1096">
        <f t="shared" si="61"/>
        <v>-22633.385999999999</v>
      </c>
      <c r="S271" s="995">
        <v>1</v>
      </c>
      <c r="T271" s="1118">
        <f t="shared" si="56"/>
        <v>-22633.385999999999</v>
      </c>
      <c r="U271" s="956">
        <v>44050</v>
      </c>
      <c r="V271" s="701" t="s">
        <v>1229</v>
      </c>
      <c r="W271" s="1031">
        <v>44048.384266666668</v>
      </c>
      <c r="X271" s="1089">
        <f t="shared" si="62"/>
        <v>5.9991646262728224E-2</v>
      </c>
      <c r="Y271" s="1090" t="str">
        <f>VLOOKUP(V271,'bic broker'!$A$1:$B$14,2,FALSE)</f>
        <v>EMSIITM1XXX</v>
      </c>
      <c r="Z271" s="1090" t="str">
        <f>VLOOKUP(AA271,'place of settlement'!A:C,2,FALSE)</f>
        <v>DAKVDEFFXXX</v>
      </c>
      <c r="AA271" s="1090" t="str">
        <f t="shared" si="63"/>
        <v>DE</v>
      </c>
      <c r="AB271" s="1090" t="str">
        <f t="shared" si="64"/>
        <v>EquitaDE</v>
      </c>
      <c r="AC271" s="1090" t="str">
        <f>VLOOKUP(AB271,sample!$1:$1048576,2,FALSE)</f>
        <v>EMSIITM1XXX</v>
      </c>
      <c r="AD271" s="1090" t="str">
        <f>VLOOKUP($AB271,sample!$1:$1048576,3,FALSE)</f>
        <v>DAKVDEFFXXX</v>
      </c>
      <c r="AE271" s="1091" t="str">
        <f>VLOOKUP($AB271,sample!$1:$1048576,4,FALSE)</f>
        <v>DAKV8135000</v>
      </c>
      <c r="AF271" s="1090" t="str">
        <f>VLOOKUP($AB271,sample!$1:$1048576,5,FALSE)</f>
        <v>N</v>
      </c>
      <c r="AL271" s="1091" t="str">
        <f>VLOOKUP($AB271,sample!$1:$1048576,11,FALSE)</f>
        <v xml:space="preserve">        </v>
      </c>
      <c r="AM271" s="1091" t="str">
        <f>VLOOKUP($AB271,sample!$1:$1048576,12,FALSE)</f>
        <v xml:space="preserve">        </v>
      </c>
      <c r="AN271" s="1091" t="str">
        <f>VLOOKUP($AB271,sample!$1:$1048576,13,FALSE)</f>
        <v>BCITITMMD03</v>
      </c>
      <c r="AP271" s="1111"/>
    </row>
    <row r="272" spans="1:42" ht="14">
      <c r="A272" s="1117">
        <f t="shared" si="65"/>
        <v>2019200290</v>
      </c>
      <c r="B272" s="1004">
        <v>44048</v>
      </c>
      <c r="C272" s="998" t="s">
        <v>137</v>
      </c>
      <c r="D272" s="1108" t="str">
        <f>IFERROR(VLOOKUP(G272,PosAggregate!$B$13:$B$93,1,FALSE),"")</f>
        <v/>
      </c>
      <c r="E272" s="880" t="s">
        <v>1237</v>
      </c>
      <c r="F272" s="1132" t="str">
        <f t="shared" si="66"/>
        <v/>
      </c>
      <c r="G272" s="701" t="s">
        <v>1691</v>
      </c>
      <c r="I272" s="950" t="s">
        <v>1132</v>
      </c>
      <c r="J272" s="950" t="s">
        <v>125</v>
      </c>
      <c r="K272" s="855">
        <v>2238.92976</v>
      </c>
      <c r="L272" s="951"/>
      <c r="M272" s="952">
        <v>4200</v>
      </c>
      <c r="N272" s="1092">
        <f t="shared" si="60"/>
        <v>-9403504.9920000006</v>
      </c>
      <c r="O272" s="934">
        <v>-5642</v>
      </c>
      <c r="P272" s="934"/>
      <c r="R272" s="1096">
        <f t="shared" si="61"/>
        <v>-9409146.9920000006</v>
      </c>
      <c r="S272" s="995">
        <v>124.72565076817818</v>
      </c>
      <c r="T272" s="1118">
        <f t="shared" si="56"/>
        <v>-75438.748437467351</v>
      </c>
      <c r="U272" s="956">
        <v>44054</v>
      </c>
      <c r="V272" s="701" t="s">
        <v>1725</v>
      </c>
      <c r="W272" s="1031">
        <v>44048.751605671299</v>
      </c>
      <c r="X272" s="1089">
        <f t="shared" si="62"/>
        <v>5.9998904714783606E-2</v>
      </c>
      <c r="Y272" s="1090" t="str">
        <f>VLOOKUP(V272,'bic broker'!$A$1:$B$14,2,FALSE)</f>
        <v>TAVSGB21XXX</v>
      </c>
      <c r="Z272" s="1090" t="str">
        <f>VLOOKUP(AA272,'place of settlement'!A:C,2,FALSE)</f>
        <v>JJSDJPJTXXX</v>
      </c>
      <c r="AA272" s="1090" t="str">
        <f t="shared" si="63"/>
        <v>JP</v>
      </c>
      <c r="AB272" s="1090" t="str">
        <f t="shared" si="64"/>
        <v>Tavira SecuritiesJP</v>
      </c>
      <c r="AC272" s="1090" t="str">
        <f>VLOOKUP(AB272,sample!$1:$1048576,2,FALSE)</f>
        <v>GSILGB2XXXX</v>
      </c>
      <c r="AD272" s="1090" t="str">
        <f>VLOOKUP($AB272,sample!$1:$1048576,3,FALSE)</f>
        <v>JJSDJPJTXXX</v>
      </c>
      <c r="AE272" s="1091">
        <f>VLOOKUP($AB272,sample!$1:$1048576,4,FALSE)</f>
        <v>6530490016</v>
      </c>
      <c r="AF272" s="1090" t="str">
        <f>VLOOKUP($AB272,sample!$1:$1048576,5,FALSE)</f>
        <v>N</v>
      </c>
      <c r="AL272" s="1091" t="str">
        <f>VLOOKUP($AB272,sample!$1:$1048576,11,FALSE)</f>
        <v xml:space="preserve">                  </v>
      </c>
      <c r="AM272" s="1091" t="str">
        <f>VLOOKUP($AB272,sample!$1:$1048576,12,FALSE)</f>
        <v xml:space="preserve">                          </v>
      </c>
      <c r="AN272" s="1091" t="str">
        <f>VLOOKUP($AB272,sample!$1:$1048576,13,FALSE)</f>
        <v>GOLDJPJXXXX</v>
      </c>
      <c r="AP272" s="1111"/>
    </row>
    <row r="273" spans="1:42" ht="14">
      <c r="A273" s="1117">
        <f t="shared" si="65"/>
        <v>2019200291</v>
      </c>
      <c r="B273" s="1004">
        <v>44049</v>
      </c>
      <c r="C273" s="998" t="s">
        <v>137</v>
      </c>
      <c r="D273" s="1108" t="str">
        <f>IFERROR(VLOOKUP(G273,PosAggregate!$B$13:$B$93,1,FALSE),"")</f>
        <v/>
      </c>
      <c r="E273" s="880" t="s">
        <v>1696</v>
      </c>
      <c r="F273" s="1132" t="str">
        <f t="shared" si="66"/>
        <v/>
      </c>
      <c r="G273" s="701" t="s">
        <v>1684</v>
      </c>
      <c r="I273" s="950" t="s">
        <v>1686</v>
      </c>
      <c r="J273" s="950" t="s">
        <v>2</v>
      </c>
      <c r="K273" s="855">
        <v>3.4358</v>
      </c>
      <c r="L273" s="951"/>
      <c r="M273" s="952">
        <v>6320</v>
      </c>
      <c r="N273" s="1092">
        <f t="shared" si="60"/>
        <v>-21714.256000000001</v>
      </c>
      <c r="O273" s="934">
        <v>-13.03</v>
      </c>
      <c r="R273" s="1096">
        <f t="shared" si="61"/>
        <v>-21727.286</v>
      </c>
      <c r="S273" s="995">
        <v>1</v>
      </c>
      <c r="T273" s="1118">
        <f t="shared" si="56"/>
        <v>-21727.286</v>
      </c>
      <c r="U273" s="956">
        <v>44053</v>
      </c>
      <c r="V273" s="701" t="s">
        <v>2165</v>
      </c>
      <c r="W273" s="1031">
        <v>44049.710107175924</v>
      </c>
      <c r="X273" s="1089">
        <f t="shared" si="62"/>
        <v>6.0006661061746708E-2</v>
      </c>
      <c r="Y273" s="1090" t="str">
        <f>VLOOKUP(V273,'bic broker'!$A$1:$B$14,2,FALSE)</f>
        <v>EMSIITM1XXX</v>
      </c>
      <c r="Z273" s="1090" t="str">
        <f>VLOOKUP(AA273,'place of settlement'!A:C,2,FALSE)</f>
        <v>DAKVDEFFXXX</v>
      </c>
      <c r="AA273" s="1090" t="str">
        <f t="shared" si="63"/>
        <v>DE</v>
      </c>
      <c r="AB273" s="1090" t="str">
        <f t="shared" si="64"/>
        <v>equitaDE</v>
      </c>
      <c r="AC273" s="1090" t="str">
        <f>VLOOKUP(AB273,sample!$1:$1048576,2,FALSE)</f>
        <v>EMSIITM1XXX</v>
      </c>
      <c r="AD273" s="1090" t="str">
        <f>VLOOKUP($AB273,sample!$1:$1048576,3,FALSE)</f>
        <v>DAKVDEFFXXX</v>
      </c>
      <c r="AE273" s="1091" t="str">
        <f>VLOOKUP($AB273,sample!$1:$1048576,4,FALSE)</f>
        <v>DAKV8135000</v>
      </c>
      <c r="AF273" s="1090" t="str">
        <f>VLOOKUP($AB273,sample!$1:$1048576,5,FALSE)</f>
        <v>N</v>
      </c>
      <c r="AL273" s="1091" t="str">
        <f>VLOOKUP($AB273,sample!$1:$1048576,11,FALSE)</f>
        <v xml:space="preserve">        </v>
      </c>
      <c r="AM273" s="1091" t="str">
        <f>VLOOKUP($AB273,sample!$1:$1048576,12,FALSE)</f>
        <v xml:space="preserve">        </v>
      </c>
      <c r="AN273" s="1091" t="str">
        <f>VLOOKUP($AB273,sample!$1:$1048576,13,FALSE)</f>
        <v>BCITITMMD03</v>
      </c>
      <c r="AP273" s="1111"/>
    </row>
    <row r="274" spans="1:42" ht="14">
      <c r="A274" s="1028" t="s">
        <v>2166</v>
      </c>
      <c r="B274" s="1004">
        <v>44049</v>
      </c>
      <c r="C274" s="998" t="s">
        <v>2167</v>
      </c>
      <c r="D274" s="1108" t="str">
        <f>IFERROR(VLOOKUP(G274,PosAggregate!$B$13:$B$93,1,FALSE),"")</f>
        <v/>
      </c>
      <c r="E274" s="880" t="s">
        <v>12856</v>
      </c>
      <c r="F274" s="1132" t="str">
        <f t="shared" si="66"/>
        <v/>
      </c>
      <c r="G274" s="701" t="s">
        <v>2168</v>
      </c>
      <c r="I274" s="950" t="s">
        <v>2169</v>
      </c>
      <c r="J274" s="950" t="s">
        <v>123</v>
      </c>
      <c r="K274" s="855"/>
      <c r="L274" s="951"/>
      <c r="M274" s="952">
        <v>585</v>
      </c>
      <c r="N274" s="1092">
        <f t="shared" si="60"/>
        <v>0</v>
      </c>
      <c r="R274" s="1096">
        <f t="shared" si="61"/>
        <v>0</v>
      </c>
      <c r="T274" s="1023"/>
      <c r="U274" s="956">
        <v>44049</v>
      </c>
      <c r="X274" s="1089" t="e">
        <f t="shared" si="62"/>
        <v>#DIV/0!</v>
      </c>
      <c r="Y274" s="1090" t="e">
        <f>VLOOKUP(V274,'bic broker'!$A$1:$B$14,2,FALSE)</f>
        <v>#N/A</v>
      </c>
      <c r="Z274" s="1090" t="str">
        <f>VLOOKUP(AA274,'place of settlement'!A:C,2,FALSE)</f>
        <v>KSDCKRSEXXX</v>
      </c>
      <c r="AA274" s="1090" t="str">
        <f t="shared" si="63"/>
        <v>KR</v>
      </c>
      <c r="AB274" s="1090" t="str">
        <f t="shared" si="64"/>
        <v>KR</v>
      </c>
      <c r="AC274" s="1090" t="e">
        <f>VLOOKUP(AB274,sample!$1:$1048576,2,FALSE)</f>
        <v>#N/A</v>
      </c>
      <c r="AD274" s="1090" t="e">
        <f>VLOOKUP($AB274,sample!$1:$1048576,3,FALSE)</f>
        <v>#N/A</v>
      </c>
      <c r="AE274" s="1091" t="e">
        <f>VLOOKUP($AB274,sample!$1:$1048576,4,FALSE)</f>
        <v>#N/A</v>
      </c>
      <c r="AF274" s="1090" t="e">
        <f>VLOOKUP($AB274,sample!$1:$1048576,5,FALSE)</f>
        <v>#N/A</v>
      </c>
      <c r="AL274" s="1091" t="e">
        <f>VLOOKUP($AB274,sample!$1:$1048576,11,FALSE)</f>
        <v>#N/A</v>
      </c>
      <c r="AM274" s="1091" t="e">
        <f>VLOOKUP($AB274,sample!$1:$1048576,12,FALSE)</f>
        <v>#N/A</v>
      </c>
      <c r="AN274" s="1091" t="e">
        <f>VLOOKUP($AB274,sample!$1:$1048576,13,FALSE)</f>
        <v>#N/A</v>
      </c>
      <c r="AP274" s="1111"/>
    </row>
    <row r="275" spans="1:42" ht="14">
      <c r="A275" s="1028" t="s">
        <v>2166</v>
      </c>
      <c r="B275" s="1004">
        <v>44049</v>
      </c>
      <c r="C275" s="998" t="s">
        <v>2167</v>
      </c>
      <c r="D275" s="1108" t="str">
        <f>IFERROR(VLOOKUP(G275,PosAggregate!$B$13:$B$93,1,FALSE),"")</f>
        <v/>
      </c>
      <c r="E275" s="880" t="s">
        <v>1258</v>
      </c>
      <c r="F275" s="1132" t="str">
        <f t="shared" si="66"/>
        <v/>
      </c>
      <c r="G275" s="889" t="s">
        <v>1208</v>
      </c>
      <c r="I275" s="950" t="s">
        <v>12884</v>
      </c>
      <c r="J275" s="950" t="s">
        <v>123</v>
      </c>
      <c r="K275" s="855"/>
      <c r="L275" s="951"/>
      <c r="M275" s="952">
        <v>-586</v>
      </c>
      <c r="N275" s="1092">
        <f t="shared" si="60"/>
        <v>0</v>
      </c>
      <c r="R275" s="1096">
        <f t="shared" si="61"/>
        <v>0</v>
      </c>
      <c r="T275" s="1023"/>
      <c r="U275" s="956">
        <v>44049</v>
      </c>
      <c r="X275" s="1089" t="e">
        <f t="shared" si="62"/>
        <v>#DIV/0!</v>
      </c>
      <c r="Y275" s="1090" t="e">
        <f>VLOOKUP(V275,'bic broker'!$A$1:$B$14,2,FALSE)</f>
        <v>#N/A</v>
      </c>
      <c r="Z275" s="1090" t="str">
        <f>VLOOKUP(AA275,'place of settlement'!A:C,2,FALSE)</f>
        <v>KSDCKRSEXXX</v>
      </c>
      <c r="AA275" s="1090" t="str">
        <f t="shared" si="63"/>
        <v>KR</v>
      </c>
      <c r="AB275" s="1090" t="str">
        <f t="shared" si="64"/>
        <v>KR</v>
      </c>
      <c r="AC275" s="1090" t="e">
        <f>VLOOKUP(AB275,sample!$1:$1048576,2,FALSE)</f>
        <v>#N/A</v>
      </c>
      <c r="AD275" s="1090" t="e">
        <f>VLOOKUP($AB275,sample!$1:$1048576,3,FALSE)</f>
        <v>#N/A</v>
      </c>
      <c r="AE275" s="1091" t="e">
        <f>VLOOKUP($AB275,sample!$1:$1048576,4,FALSE)</f>
        <v>#N/A</v>
      </c>
      <c r="AF275" s="1090" t="e">
        <f>VLOOKUP($AB275,sample!$1:$1048576,5,FALSE)</f>
        <v>#N/A</v>
      </c>
      <c r="AL275" s="1091" t="e">
        <f>VLOOKUP($AB275,sample!$1:$1048576,11,FALSE)</f>
        <v>#N/A</v>
      </c>
      <c r="AM275" s="1091" t="e">
        <f>VLOOKUP($AB275,sample!$1:$1048576,12,FALSE)</f>
        <v>#N/A</v>
      </c>
      <c r="AN275" s="1091" t="e">
        <f>VLOOKUP($AB275,sample!$1:$1048576,13,FALSE)</f>
        <v>#N/A</v>
      </c>
      <c r="AP275" s="1111"/>
    </row>
    <row r="276" spans="1:42" ht="14">
      <c r="A276" s="1028">
        <v>2019200292</v>
      </c>
      <c r="B276" s="1004">
        <v>44050</v>
      </c>
      <c r="C276" s="998" t="s">
        <v>138</v>
      </c>
      <c r="D276" s="1108" t="str">
        <f>IFERROR(VLOOKUP(G276,PosAggregate!$B$13:$B$93,1,FALSE),"")</f>
        <v/>
      </c>
      <c r="E276" s="880" t="s">
        <v>1252</v>
      </c>
      <c r="F276" s="1132" t="str">
        <f t="shared" si="66"/>
        <v/>
      </c>
      <c r="G276" s="701" t="s">
        <v>1202</v>
      </c>
      <c r="I276" s="950" t="s">
        <v>1121</v>
      </c>
      <c r="J276" s="950" t="s">
        <v>123</v>
      </c>
      <c r="K276" s="855">
        <v>439000</v>
      </c>
      <c r="L276" s="951"/>
      <c r="M276" s="952">
        <v>-380</v>
      </c>
      <c r="N276" s="1092">
        <f t="shared" si="60"/>
        <v>166820000</v>
      </c>
      <c r="O276" s="934">
        <v>-250230</v>
      </c>
      <c r="P276" s="934">
        <v>-417050</v>
      </c>
      <c r="R276" s="1096">
        <f t="shared" si="61"/>
        <v>166152720</v>
      </c>
      <c r="S276" s="995">
        <v>1407.97</v>
      </c>
      <c r="T276" s="1118">
        <f t="shared" ref="T276:T316" si="67">+R276/S276</f>
        <v>118008.70757189428</v>
      </c>
      <c r="U276" s="956">
        <v>44055</v>
      </c>
      <c r="V276" s="701" t="s">
        <v>1230</v>
      </c>
      <c r="W276" s="1031">
        <v>44050.659427777777</v>
      </c>
      <c r="X276" s="1089">
        <f t="shared" si="62"/>
        <v>-0.15</v>
      </c>
      <c r="Y276" s="1090" t="e">
        <f>VLOOKUP(V276,'bic broker'!$A$1:$B$14,2,FALSE)</f>
        <v>#N/A</v>
      </c>
      <c r="Z276" s="1090" t="str">
        <f>VLOOKUP(AA276,'place of settlement'!A:C,2,FALSE)</f>
        <v>KSDCKRSEXXX</v>
      </c>
      <c r="AA276" s="1090" t="str">
        <f t="shared" si="63"/>
        <v>KR</v>
      </c>
      <c r="AB276" s="1090" t="str">
        <f t="shared" si="64"/>
        <v>SamsungKR</v>
      </c>
      <c r="AC276" s="1090" t="e">
        <f>VLOOKUP(AB276,sample!$1:$1048576,2,FALSE)</f>
        <v>#N/A</v>
      </c>
      <c r="AD276" s="1090" t="e">
        <f>VLOOKUP($AB276,sample!$1:$1048576,3,FALSE)</f>
        <v>#N/A</v>
      </c>
      <c r="AE276" s="1091" t="e">
        <f>VLOOKUP($AB276,sample!$1:$1048576,4,FALSE)</f>
        <v>#N/A</v>
      </c>
      <c r="AF276" s="1090" t="e">
        <f>VLOOKUP($AB276,sample!$1:$1048576,5,FALSE)</f>
        <v>#N/A</v>
      </c>
      <c r="AL276" s="1091" t="e">
        <f>VLOOKUP($AB276,sample!$1:$1048576,11,FALSE)</f>
        <v>#N/A</v>
      </c>
      <c r="AM276" s="1091" t="e">
        <f>VLOOKUP($AB276,sample!$1:$1048576,12,FALSE)</f>
        <v>#N/A</v>
      </c>
      <c r="AN276" s="1091" t="e">
        <f>VLOOKUP($AB276,sample!$1:$1048576,13,FALSE)</f>
        <v>#N/A</v>
      </c>
      <c r="AP276" s="1111"/>
    </row>
    <row r="277" spans="1:42" ht="14">
      <c r="A277" s="1046">
        <v>2019200293</v>
      </c>
      <c r="B277" s="1004">
        <v>44055</v>
      </c>
      <c r="C277" s="998" t="s">
        <v>138</v>
      </c>
      <c r="D277" s="1108" t="str">
        <f>IFERROR(VLOOKUP(G277,PosAggregate!$B$13:$B$93,1,FALSE),"")</f>
        <v/>
      </c>
      <c r="E277" s="880" t="s">
        <v>1252</v>
      </c>
      <c r="F277" s="1132" t="str">
        <f t="shared" si="66"/>
        <v/>
      </c>
      <c r="G277" s="701" t="s">
        <v>1202</v>
      </c>
      <c r="I277" s="950" t="s">
        <v>1121</v>
      </c>
      <c r="J277" s="950" t="s">
        <v>123</v>
      </c>
      <c r="K277" s="855">
        <v>406500</v>
      </c>
      <c r="L277" s="951"/>
      <c r="M277" s="952">
        <v>-420</v>
      </c>
      <c r="N277" s="1092">
        <f t="shared" si="60"/>
        <v>170730000</v>
      </c>
      <c r="O277" s="934">
        <v>-256095</v>
      </c>
      <c r="P277" s="934">
        <v>-426825</v>
      </c>
      <c r="R277" s="1096">
        <f t="shared" si="61"/>
        <v>170047080</v>
      </c>
      <c r="S277" s="995">
        <v>1391.8014697250721</v>
      </c>
      <c r="T277" s="1118">
        <f t="shared" si="67"/>
        <v>122177.68388589937</v>
      </c>
      <c r="U277" s="956">
        <v>44061</v>
      </c>
      <c r="V277" s="701" t="s">
        <v>1230</v>
      </c>
      <c r="W277" s="1031">
        <v>44055.738361689815</v>
      </c>
      <c r="X277" s="1089">
        <f t="shared" si="62"/>
        <v>-0.15</v>
      </c>
      <c r="Y277" s="1090" t="e">
        <f>VLOOKUP(V277,'bic broker'!$A$1:$B$14,2,FALSE)</f>
        <v>#N/A</v>
      </c>
      <c r="Z277" s="1090" t="str">
        <f>VLOOKUP(AA277,'place of settlement'!A:C,2,FALSE)</f>
        <v>KSDCKRSEXXX</v>
      </c>
      <c r="AA277" s="1090" t="str">
        <f t="shared" si="63"/>
        <v>KR</v>
      </c>
      <c r="AB277" s="1090" t="str">
        <f t="shared" si="64"/>
        <v>SamsungKR</v>
      </c>
      <c r="AC277" s="1090" t="e">
        <f>VLOOKUP(AB277,sample!$1:$1048576,2,FALSE)</f>
        <v>#N/A</v>
      </c>
      <c r="AD277" s="1090" t="e">
        <f>VLOOKUP($AB277,sample!$1:$1048576,3,FALSE)</f>
        <v>#N/A</v>
      </c>
      <c r="AE277" s="1091" t="e">
        <f>VLOOKUP($AB277,sample!$1:$1048576,4,FALSE)</f>
        <v>#N/A</v>
      </c>
      <c r="AF277" s="1090" t="e">
        <f>VLOOKUP($AB277,sample!$1:$1048576,5,FALSE)</f>
        <v>#N/A</v>
      </c>
      <c r="AL277" s="1091" t="e">
        <f>VLOOKUP($AB277,sample!$1:$1048576,11,FALSE)</f>
        <v>#N/A</v>
      </c>
      <c r="AM277" s="1091" t="e">
        <f>VLOOKUP($AB277,sample!$1:$1048576,12,FALSE)</f>
        <v>#N/A</v>
      </c>
      <c r="AN277" s="1091" t="e">
        <f>VLOOKUP($AB277,sample!$1:$1048576,13,FALSE)</f>
        <v>#N/A</v>
      </c>
      <c r="AP277" s="1111"/>
    </row>
    <row r="278" spans="1:42" ht="14">
      <c r="A278" s="1046">
        <v>2019200294</v>
      </c>
      <c r="B278" s="1004">
        <v>44055</v>
      </c>
      <c r="C278" s="998" t="s">
        <v>137</v>
      </c>
      <c r="D278" s="1108" t="str">
        <f>IFERROR(VLOOKUP(G278,PosAggregate!$B$13:$B$93,1,FALSE),"")</f>
        <v/>
      </c>
      <c r="E278" s="880" t="s">
        <v>1237</v>
      </c>
      <c r="F278" s="1132" t="str">
        <f t="shared" si="66"/>
        <v/>
      </c>
      <c r="G278" s="701" t="s">
        <v>1691</v>
      </c>
      <c r="I278" s="950" t="s">
        <v>1132</v>
      </c>
      <c r="J278" s="950" t="s">
        <v>125</v>
      </c>
      <c r="K278" s="855">
        <v>2307.0651800000001</v>
      </c>
      <c r="L278" s="951"/>
      <c r="M278" s="952">
        <v>4200</v>
      </c>
      <c r="N278" s="1092">
        <f t="shared" si="60"/>
        <v>-9689673.756000001</v>
      </c>
      <c r="O278" s="934">
        <v>-5814</v>
      </c>
      <c r="P278" s="934"/>
      <c r="R278" s="1096">
        <f t="shared" si="61"/>
        <v>-9695487.756000001</v>
      </c>
      <c r="S278" s="995">
        <v>125.93814432989664</v>
      </c>
      <c r="T278" s="1118">
        <f t="shared" si="67"/>
        <v>-76986.109391945152</v>
      </c>
      <c r="U278" s="956">
        <v>44060</v>
      </c>
      <c r="V278" s="701" t="s">
        <v>1725</v>
      </c>
      <c r="W278" s="1031">
        <v>44056.410989236108</v>
      </c>
      <c r="X278" s="1089">
        <f t="shared" si="62"/>
        <v>6.0002020154702101E-2</v>
      </c>
      <c r="Y278" s="1090" t="str">
        <f>VLOOKUP(V278,'bic broker'!$A$1:$B$14,2,FALSE)</f>
        <v>TAVSGB21XXX</v>
      </c>
      <c r="Z278" s="1090" t="str">
        <f>VLOOKUP(AA278,'place of settlement'!A:C,2,FALSE)</f>
        <v>JJSDJPJTXXX</v>
      </c>
      <c r="AA278" s="1090" t="str">
        <f t="shared" si="63"/>
        <v>JP</v>
      </c>
      <c r="AB278" s="1090" t="str">
        <f t="shared" si="64"/>
        <v>Tavira SecuritiesJP</v>
      </c>
      <c r="AC278" s="1090" t="str">
        <f>VLOOKUP(AB278,sample!$1:$1048576,2,FALSE)</f>
        <v>GSILGB2XXXX</v>
      </c>
      <c r="AD278" s="1090" t="str">
        <f>VLOOKUP($AB278,sample!$1:$1048576,3,FALSE)</f>
        <v>JJSDJPJTXXX</v>
      </c>
      <c r="AE278" s="1091">
        <f>VLOOKUP($AB278,sample!$1:$1048576,4,FALSE)</f>
        <v>6530490016</v>
      </c>
      <c r="AF278" s="1090" t="str">
        <f>VLOOKUP($AB278,sample!$1:$1048576,5,FALSE)</f>
        <v>N</v>
      </c>
      <c r="AL278" s="1091" t="str">
        <f>VLOOKUP($AB278,sample!$1:$1048576,11,FALSE)</f>
        <v xml:space="preserve">                  </v>
      </c>
      <c r="AM278" s="1091" t="str">
        <f>VLOOKUP($AB278,sample!$1:$1048576,12,FALSE)</f>
        <v xml:space="preserve">                          </v>
      </c>
      <c r="AN278" s="1091" t="str">
        <f>VLOOKUP($AB278,sample!$1:$1048576,13,FALSE)</f>
        <v>GOLDJPJXXXX</v>
      </c>
      <c r="AP278" s="1111"/>
    </row>
    <row r="279" spans="1:42" ht="14">
      <c r="A279" s="1046">
        <v>2019200295</v>
      </c>
      <c r="B279" s="1004">
        <v>44055</v>
      </c>
      <c r="C279" s="998" t="s">
        <v>137</v>
      </c>
      <c r="D279" s="1108" t="str">
        <f>IFERROR(VLOOKUP(G279,PosAggregate!$B$13:$B$93,1,FALSE),"")</f>
        <v/>
      </c>
      <c r="E279" s="880" t="s">
        <v>1233</v>
      </c>
      <c r="F279" s="1132" t="str">
        <f t="shared" si="66"/>
        <v/>
      </c>
      <c r="G279" s="701" t="s">
        <v>2098</v>
      </c>
      <c r="I279" s="950" t="s">
        <v>1131</v>
      </c>
      <c r="J279" s="950" t="s">
        <v>125</v>
      </c>
      <c r="K279" s="855">
        <v>3375</v>
      </c>
      <c r="L279" s="951"/>
      <c r="M279" s="952">
        <v>2200</v>
      </c>
      <c r="N279" s="1092">
        <f t="shared" si="60"/>
        <v>-7425000</v>
      </c>
      <c r="O279" s="934">
        <v>-4455</v>
      </c>
      <c r="P279" s="934"/>
      <c r="R279" s="1096">
        <f t="shared" si="61"/>
        <v>-7429455</v>
      </c>
      <c r="S279" s="995">
        <v>125.9381443298971</v>
      </c>
      <c r="T279" s="1118">
        <f t="shared" si="67"/>
        <v>-58992.889243614838</v>
      </c>
      <c r="U279" s="956">
        <v>44060</v>
      </c>
      <c r="V279" s="701" t="s">
        <v>1725</v>
      </c>
      <c r="W279" s="1031">
        <v>44056.411356712961</v>
      </c>
      <c r="X279" s="1089">
        <f t="shared" si="62"/>
        <v>0.06</v>
      </c>
      <c r="Y279" s="1090" t="str">
        <f>VLOOKUP(V279,'bic broker'!$A$1:$B$14,2,FALSE)</f>
        <v>TAVSGB21XXX</v>
      </c>
      <c r="Z279" s="1090" t="str">
        <f>VLOOKUP(AA279,'place of settlement'!A:C,2,FALSE)</f>
        <v>JJSDJPJTXXX</v>
      </c>
      <c r="AA279" s="1090" t="str">
        <f t="shared" si="63"/>
        <v>JP</v>
      </c>
      <c r="AB279" s="1090" t="str">
        <f t="shared" si="64"/>
        <v>Tavira SecuritiesJP</v>
      </c>
      <c r="AC279" s="1090" t="str">
        <f>VLOOKUP(AB279,sample!$1:$1048576,2,FALSE)</f>
        <v>GSILGB2XXXX</v>
      </c>
      <c r="AD279" s="1090" t="str">
        <f>VLOOKUP($AB279,sample!$1:$1048576,3,FALSE)</f>
        <v>JJSDJPJTXXX</v>
      </c>
      <c r="AE279" s="1091">
        <f>VLOOKUP($AB279,sample!$1:$1048576,4,FALSE)</f>
        <v>6530490016</v>
      </c>
      <c r="AF279" s="1090" t="str">
        <f>VLOOKUP($AB279,sample!$1:$1048576,5,FALSE)</f>
        <v>N</v>
      </c>
      <c r="AL279" s="1091" t="str">
        <f>VLOOKUP($AB279,sample!$1:$1048576,11,FALSE)</f>
        <v xml:space="preserve">                  </v>
      </c>
      <c r="AM279" s="1091" t="str">
        <f>VLOOKUP($AB279,sample!$1:$1048576,12,FALSE)</f>
        <v xml:space="preserve">                          </v>
      </c>
      <c r="AN279" s="1091" t="str">
        <f>VLOOKUP($AB279,sample!$1:$1048576,13,FALSE)</f>
        <v>GOLDJPJXXXX</v>
      </c>
      <c r="AP279" s="1111"/>
    </row>
    <row r="280" spans="1:42" ht="14">
      <c r="A280" s="1046">
        <v>2019200296</v>
      </c>
      <c r="B280" s="1004">
        <v>44055</v>
      </c>
      <c r="C280" s="998" t="s">
        <v>138</v>
      </c>
      <c r="D280" s="1108" t="str">
        <f>IFERROR(VLOOKUP(G280,PosAggregate!$B$13:$B$93,1,FALSE),"")</f>
        <v/>
      </c>
      <c r="E280" s="880" t="s">
        <v>1254</v>
      </c>
      <c r="F280" s="1132" t="str">
        <f t="shared" si="66"/>
        <v/>
      </c>
      <c r="G280" s="701" t="s">
        <v>1204</v>
      </c>
      <c r="I280" s="950" t="s">
        <v>1123</v>
      </c>
      <c r="J280" s="950" t="s">
        <v>123</v>
      </c>
      <c r="K280" s="855">
        <v>301597.76119400002</v>
      </c>
      <c r="L280" s="951"/>
      <c r="M280" s="952">
        <v>-670</v>
      </c>
      <c r="N280" s="1092">
        <f t="shared" si="60"/>
        <v>202070499.99998</v>
      </c>
      <c r="O280" s="934">
        <v>-303106</v>
      </c>
      <c r="P280" s="934">
        <v>-504973</v>
      </c>
      <c r="R280" s="1096">
        <f t="shared" si="61"/>
        <v>201262420.99998</v>
      </c>
      <c r="S280" s="995">
        <v>1394.085419734907</v>
      </c>
      <c r="T280" s="1118">
        <f t="shared" si="67"/>
        <v>144368.78698455304</v>
      </c>
      <c r="U280" s="956">
        <v>44061</v>
      </c>
      <c r="V280" s="701" t="s">
        <v>1230</v>
      </c>
      <c r="W280" s="1031">
        <v>44056.414398611108</v>
      </c>
      <c r="X280" s="1089">
        <f t="shared" si="62"/>
        <v>-0.15000012371921184</v>
      </c>
      <c r="Y280" s="1090" t="e">
        <f>VLOOKUP(V280,'bic broker'!$A$1:$B$14,2,FALSE)</f>
        <v>#N/A</v>
      </c>
      <c r="Z280" s="1090" t="str">
        <f>VLOOKUP(AA280,'place of settlement'!A:C,2,FALSE)</f>
        <v>KSDCKRSEXXX</v>
      </c>
      <c r="AA280" s="1090" t="str">
        <f t="shared" si="63"/>
        <v>KR</v>
      </c>
      <c r="AB280" s="1090" t="str">
        <f t="shared" si="64"/>
        <v>SamsungKR</v>
      </c>
      <c r="AC280" s="1090" t="e">
        <f>VLOOKUP(Z280,'bic broker'!$A$1:$B$14,2,FALSE)</f>
        <v>#N/A</v>
      </c>
      <c r="AD280" s="1090" t="e">
        <f>VLOOKUP($AB280,sample!$1:$1048576,3,FALSE)</f>
        <v>#N/A</v>
      </c>
      <c r="AE280" s="1091" t="e">
        <f>VLOOKUP($AB280,sample!$1:$1048576,4,FALSE)</f>
        <v>#N/A</v>
      </c>
      <c r="AF280" s="1090" t="e">
        <f>VLOOKUP($AB280,sample!$1:$1048576,5,FALSE)</f>
        <v>#N/A</v>
      </c>
      <c r="AL280" s="1091" t="e">
        <f>VLOOKUP($AB280,sample!$1:$1048576,11,FALSE)</f>
        <v>#N/A</v>
      </c>
      <c r="AM280" s="1091" t="e">
        <f>VLOOKUP($AB280,sample!$1:$1048576,12,FALSE)</f>
        <v>#N/A</v>
      </c>
      <c r="AN280" s="1091" t="e">
        <f>VLOOKUP($AB280,sample!$1:$1048576,13,FALSE)</f>
        <v>#N/A</v>
      </c>
      <c r="AP280" s="1111"/>
    </row>
    <row r="281" spans="1:42" ht="14">
      <c r="A281" s="1046">
        <v>2019200297</v>
      </c>
      <c r="B281" s="1004">
        <v>44055</v>
      </c>
      <c r="C281" s="998" t="s">
        <v>138</v>
      </c>
      <c r="D281" s="1108" t="str">
        <f>IFERROR(VLOOKUP(G281,PosAggregate!$B$13:$B$93,1,FALSE),"")</f>
        <v/>
      </c>
      <c r="E281" s="880" t="s">
        <v>1673</v>
      </c>
      <c r="F281" s="1132" t="str">
        <f t="shared" si="66"/>
        <v/>
      </c>
      <c r="G281" s="701" t="s">
        <v>1640</v>
      </c>
      <c r="I281" s="950" t="s">
        <v>1644</v>
      </c>
      <c r="J281" s="950" t="s">
        <v>123</v>
      </c>
      <c r="K281" s="855">
        <v>12328.886399999999</v>
      </c>
      <c r="L281" s="951"/>
      <c r="M281" s="952">
        <v>-11000</v>
      </c>
      <c r="N281" s="1092">
        <f t="shared" si="60"/>
        <v>135617750.40000001</v>
      </c>
      <c r="O281" s="934">
        <v>-203427</v>
      </c>
      <c r="P281" s="934">
        <v>-338980</v>
      </c>
      <c r="R281" s="1096">
        <f t="shared" si="61"/>
        <v>135075343.40000001</v>
      </c>
      <c r="S281" s="995">
        <v>1394.0854197349045</v>
      </c>
      <c r="T281" s="1118">
        <f t="shared" si="67"/>
        <v>96891.726638734646</v>
      </c>
      <c r="U281" s="956">
        <v>44061</v>
      </c>
      <c r="V281" s="701" t="s">
        <v>1230</v>
      </c>
      <c r="W281" s="1031">
        <v>44056.414727430558</v>
      </c>
      <c r="X281" s="1089">
        <f t="shared" si="62"/>
        <v>-0.15000027607005639</v>
      </c>
      <c r="Y281" s="1090" t="e">
        <f>VLOOKUP(V281,'bic broker'!$A$1:$B$14,2,FALSE)</f>
        <v>#N/A</v>
      </c>
      <c r="Z281" s="1090" t="str">
        <f>VLOOKUP(AA281,'place of settlement'!A:C,2,FALSE)</f>
        <v>KSDCKRSEXXX</v>
      </c>
      <c r="AA281" s="1090" t="str">
        <f t="shared" si="63"/>
        <v>KR</v>
      </c>
      <c r="AB281" s="1090" t="str">
        <f t="shared" si="64"/>
        <v>SamsungKR</v>
      </c>
      <c r="AC281" s="1090" t="e">
        <f>VLOOKUP(AB281,sample!$1:$1048576,2,FALSE)</f>
        <v>#N/A</v>
      </c>
      <c r="AD281" s="1090" t="e">
        <f>VLOOKUP($AB281,sample!$1:$1048576,3,FALSE)</f>
        <v>#N/A</v>
      </c>
      <c r="AE281" s="1091" t="e">
        <f>VLOOKUP($AB281,sample!$1:$1048576,4,FALSE)</f>
        <v>#N/A</v>
      </c>
      <c r="AF281" s="1090" t="e">
        <f>VLOOKUP($AB281,sample!$1:$1048576,5,FALSE)</f>
        <v>#N/A</v>
      </c>
      <c r="AL281" s="1091" t="e">
        <f>VLOOKUP($AB281,sample!$1:$1048576,11,FALSE)</f>
        <v>#N/A</v>
      </c>
      <c r="AM281" s="1091" t="e">
        <f>VLOOKUP($AB281,sample!$1:$1048576,12,FALSE)</f>
        <v>#N/A</v>
      </c>
      <c r="AN281" s="1091" t="e">
        <f>VLOOKUP($AB281,sample!$1:$1048576,13,FALSE)</f>
        <v>#N/A</v>
      </c>
      <c r="AP281" s="1111"/>
    </row>
    <row r="282" spans="1:42" ht="14">
      <c r="A282" s="1046">
        <v>2019200298</v>
      </c>
      <c r="B282" s="1004">
        <v>44055</v>
      </c>
      <c r="C282" s="998" t="s">
        <v>138</v>
      </c>
      <c r="D282" s="1108" t="str">
        <f>IFERROR(VLOOKUP(G282,PosAggregate!$B$13:$B$93,1,FALSE),"")</f>
        <v/>
      </c>
      <c r="E282" s="880" t="s">
        <v>1708</v>
      </c>
      <c r="F282" s="1132" t="str">
        <f t="shared" si="66"/>
        <v/>
      </c>
      <c r="G282" s="701" t="s">
        <v>1700</v>
      </c>
      <c r="I282" s="950" t="s">
        <v>1705</v>
      </c>
      <c r="J282" s="950" t="s">
        <v>3</v>
      </c>
      <c r="K282" s="855">
        <v>14.09831</v>
      </c>
      <c r="L282" s="951"/>
      <c r="M282" s="952">
        <v>-7400</v>
      </c>
      <c r="N282" s="1092">
        <f t="shared" si="60"/>
        <v>104327.49399999999</v>
      </c>
      <c r="O282" s="934">
        <v>-52.16</v>
      </c>
      <c r="P282" s="934">
        <v>-2.31</v>
      </c>
      <c r="R282" s="1096">
        <f t="shared" si="61"/>
        <v>104273.02399999999</v>
      </c>
      <c r="S282" s="995">
        <v>1.1782032400589102</v>
      </c>
      <c r="T282" s="1118">
        <f t="shared" si="67"/>
        <v>88501.729119999989</v>
      </c>
      <c r="U282" s="956">
        <v>44057</v>
      </c>
      <c r="V282" s="701" t="s">
        <v>1725</v>
      </c>
      <c r="W282" s="1031">
        <v>44056.416248379632</v>
      </c>
      <c r="X282" s="1089">
        <f t="shared" si="62"/>
        <v>-4.9996408425184637E-2</v>
      </c>
      <c r="Y282" s="1090" t="str">
        <f>VLOOKUP(V282,'bic broker'!$A$1:$B$14,2,FALSE)</f>
        <v>TAVSGB21XXX</v>
      </c>
      <c r="Z282" s="1090" t="str">
        <f>VLOOKUP(AA282,'place of settlement'!A:C,2,FALSE)</f>
        <v>DTCYUS33XXX</v>
      </c>
      <c r="AA282" s="1090" t="str">
        <f t="shared" si="63"/>
        <v>US</v>
      </c>
      <c r="AB282" s="1090" t="str">
        <f t="shared" si="64"/>
        <v>Tavira SecuritiesUS</v>
      </c>
      <c r="AC282" s="1090" t="str">
        <f>VLOOKUP(AB282,sample!$1:$1048576,2,FALSE)</f>
        <v>GSILGB2XXXX</v>
      </c>
      <c r="AD282" s="1090" t="str">
        <f>VLOOKUP($AB282,sample!$1:$1048576,3,FALSE)</f>
        <v>DTCYUS33</v>
      </c>
      <c r="AE282" s="1091" t="str">
        <f>VLOOKUP($AB282,sample!$1:$1048576,4,FALSE)</f>
        <v xml:space="preserve">        </v>
      </c>
      <c r="AF282" s="1090" t="str">
        <f>VLOOKUP($AB282,sample!$1:$1048576,5,FALSE)</f>
        <v>N</v>
      </c>
      <c r="AL282" s="1091" t="str">
        <f>VLOOKUP($AB282,sample!$1:$1048576,11,FALSE)</f>
        <v>DTCYID</v>
      </c>
      <c r="AM282" s="1091">
        <f>VLOOKUP($AB282,sample!$1:$1048576,12,FALSE)</f>
        <v>5208</v>
      </c>
      <c r="AN282" s="1091" t="str">
        <f>VLOOKUP($AB282,sample!$1:$1048576,13,FALSE)</f>
        <v xml:space="preserve">        </v>
      </c>
      <c r="AP282" s="1111"/>
    </row>
    <row r="283" spans="1:42" ht="14">
      <c r="A283" s="1046">
        <v>2019200299</v>
      </c>
      <c r="B283" s="1004">
        <v>44055</v>
      </c>
      <c r="C283" s="998" t="s">
        <v>137</v>
      </c>
      <c r="D283" s="1108" t="str">
        <f>IFERROR(VLOOKUP(G283,PosAggregate!$B$13:$B$93,1,FALSE),"")</f>
        <v/>
      </c>
      <c r="E283" s="880" t="s">
        <v>1723</v>
      </c>
      <c r="F283" s="1132" t="str">
        <f t="shared" si="66"/>
        <v/>
      </c>
      <c r="G283" s="701" t="s">
        <v>1714</v>
      </c>
      <c r="I283" s="950" t="s">
        <v>1724</v>
      </c>
      <c r="J283" s="950" t="s">
        <v>1104</v>
      </c>
      <c r="K283" s="855">
        <v>2.46611</v>
      </c>
      <c r="L283" s="951"/>
      <c r="M283" s="952">
        <v>42000</v>
      </c>
      <c r="N283" s="1092">
        <f t="shared" si="60"/>
        <v>-103576.62</v>
      </c>
      <c r="O283" s="934">
        <v>-62.15</v>
      </c>
      <c r="P283" s="934"/>
      <c r="R283" s="1096">
        <f t="shared" si="61"/>
        <v>-103638.76999999999</v>
      </c>
      <c r="S283" s="995">
        <v>1.6450780559646523</v>
      </c>
      <c r="T283" s="1118">
        <f t="shared" si="67"/>
        <v>-62999.302449042494</v>
      </c>
      <c r="U283" s="956">
        <v>44060</v>
      </c>
      <c r="V283" s="701" t="s">
        <v>1725</v>
      </c>
      <c r="W283" s="1031">
        <v>44056.416647106482</v>
      </c>
      <c r="X283" s="1089">
        <f t="shared" si="62"/>
        <v>6.0003888908520084E-2</v>
      </c>
      <c r="Y283" s="1090" t="str">
        <f>VLOOKUP(V283,'bic broker'!$A$1:$B$14,2,FALSE)</f>
        <v>TAVSGB21XXX</v>
      </c>
      <c r="Z283" s="1090" t="str">
        <f>VLOOKUP(AA283,'place of settlement'!A:C,2,FALSE)</f>
        <v>CAETAU21XXX</v>
      </c>
      <c r="AA283" s="1090" t="str">
        <f t="shared" si="63"/>
        <v>AU</v>
      </c>
      <c r="AB283" s="1090" t="str">
        <f t="shared" si="64"/>
        <v>Tavira SecuritiesAU</v>
      </c>
      <c r="AC283" s="1090" t="str">
        <f>VLOOKUP(AB283,sample!$1:$1048576,2,FALSE)</f>
        <v>GSILGB2XXXX</v>
      </c>
      <c r="AD283" s="1090" t="str">
        <f>VLOOKUP($AB283,sample!$1:$1048576,3,FALSE)</f>
        <v>CAETAU21</v>
      </c>
      <c r="AE283" s="1091" t="str">
        <f>VLOOKUP($AB283,sample!$1:$1048576,4,FALSE)</f>
        <v>011-109048-061</v>
      </c>
      <c r="AF283" s="1090" t="str">
        <f>VLOOKUP($AB283,sample!$1:$1048576,5,FALSE)</f>
        <v>N</v>
      </c>
      <c r="AL283" s="1091" t="str">
        <f>VLOOKUP($AB283,sample!$1:$1048576,11,FALSE)</f>
        <v xml:space="preserve">        </v>
      </c>
      <c r="AM283" s="1091" t="str">
        <f>VLOOKUP($AB283,sample!$1:$1048576,12,FALSE)</f>
        <v xml:space="preserve">        </v>
      </c>
      <c r="AN283" s="1091" t="str">
        <f>VLOOKUP($AB283,sample!$1:$1048576,13,FALSE)</f>
        <v>HKBAAU2SSYD</v>
      </c>
      <c r="AP283" s="1111"/>
    </row>
    <row r="284" spans="1:42" ht="14">
      <c r="A284" s="1046">
        <v>2019200300</v>
      </c>
      <c r="B284" s="1004">
        <v>44055</v>
      </c>
      <c r="C284" s="998" t="s">
        <v>137</v>
      </c>
      <c r="D284" s="1108" t="str">
        <f>IFERROR(VLOOKUP(G284,PosAggregate!$B$13:$B$93,1,FALSE),"")</f>
        <v/>
      </c>
      <c r="E284" s="880" t="s">
        <v>12876</v>
      </c>
      <c r="F284" s="1132" t="str">
        <f t="shared" si="66"/>
        <v/>
      </c>
      <c r="G284" s="998" t="s">
        <v>2170</v>
      </c>
      <c r="I284" s="950" t="s">
        <v>12885</v>
      </c>
      <c r="J284" s="950" t="s">
        <v>125</v>
      </c>
      <c r="K284" s="855">
        <v>1832.15824</v>
      </c>
      <c r="L284" s="951"/>
      <c r="M284" s="952">
        <v>17000</v>
      </c>
      <c r="N284" s="1092">
        <f t="shared" si="60"/>
        <v>-31146690.079999998</v>
      </c>
      <c r="O284" s="934">
        <v>-18688</v>
      </c>
      <c r="P284" s="934"/>
      <c r="R284" s="1096">
        <f t="shared" si="61"/>
        <v>-31165378.079999998</v>
      </c>
      <c r="S284" s="995">
        <v>125.9381443298971</v>
      </c>
      <c r="T284" s="1118">
        <f t="shared" si="67"/>
        <v>-247465.75587426286</v>
      </c>
      <c r="U284" s="956">
        <v>44060</v>
      </c>
      <c r="V284" s="701" t="s">
        <v>1725</v>
      </c>
      <c r="X284" s="1089">
        <f t="shared" si="62"/>
        <v>5.9999954897294178E-2</v>
      </c>
      <c r="Y284" s="1090" t="str">
        <f>VLOOKUP(V284,'bic broker'!$A$1:$B$14,2,FALSE)</f>
        <v>TAVSGB21XXX</v>
      </c>
      <c r="Z284" s="1090" t="str">
        <f>VLOOKUP(AA284,'place of settlement'!A:C,2,FALSE)</f>
        <v>JJSDJPJTXXX</v>
      </c>
      <c r="AA284" s="1090" t="str">
        <f t="shared" si="63"/>
        <v>JP</v>
      </c>
      <c r="AB284" s="1090" t="str">
        <f t="shared" si="64"/>
        <v>Tavira SecuritiesJP</v>
      </c>
      <c r="AC284" s="1090" t="str">
        <f>VLOOKUP(AB284,sample!$1:$1048576,2,FALSE)</f>
        <v>GSILGB2XXXX</v>
      </c>
      <c r="AD284" s="1090" t="str">
        <f>VLOOKUP($AB284,sample!$1:$1048576,3,FALSE)</f>
        <v>JJSDJPJTXXX</v>
      </c>
      <c r="AE284" s="1091">
        <f>VLOOKUP($AB284,sample!$1:$1048576,4,FALSE)</f>
        <v>6530490016</v>
      </c>
      <c r="AF284" s="1090" t="str">
        <f>VLOOKUP($AB284,sample!$1:$1048576,5,FALSE)</f>
        <v>N</v>
      </c>
      <c r="AL284" s="1091" t="str">
        <f>VLOOKUP($AB284,sample!$1:$1048576,11,FALSE)</f>
        <v xml:space="preserve">                  </v>
      </c>
      <c r="AM284" s="1091" t="str">
        <f>VLOOKUP($AB284,sample!$1:$1048576,12,FALSE)</f>
        <v xml:space="preserve">                          </v>
      </c>
      <c r="AN284" s="1091" t="str">
        <f>VLOOKUP($AB284,sample!$1:$1048576,13,FALSE)</f>
        <v>GOLDJPJXXXX</v>
      </c>
      <c r="AP284" s="1111"/>
    </row>
    <row r="285" spans="1:42" ht="14">
      <c r="A285" s="1046">
        <v>2019200301</v>
      </c>
      <c r="B285" s="1004">
        <v>44060</v>
      </c>
      <c r="C285" s="998" t="s">
        <v>137</v>
      </c>
      <c r="D285" s="1108" t="str">
        <f>IFERROR(VLOOKUP(G285,PosAggregate!$B$13:$B$93,1,FALSE),"")</f>
        <v/>
      </c>
      <c r="E285" s="880" t="s">
        <v>1268</v>
      </c>
      <c r="F285" s="1132" t="str">
        <f t="shared" si="66"/>
        <v/>
      </c>
      <c r="G285" s="701" t="s">
        <v>1219</v>
      </c>
      <c r="I285" s="950" t="s">
        <v>132</v>
      </c>
      <c r="J285" s="950" t="s">
        <v>2</v>
      </c>
      <c r="K285" s="855">
        <v>24.21339</v>
      </c>
      <c r="L285" s="951"/>
      <c r="M285" s="1047">
        <v>2200</v>
      </c>
      <c r="N285" s="1092">
        <f t="shared" si="60"/>
        <v>-53269.457999999999</v>
      </c>
      <c r="O285" s="934">
        <v>-31.96</v>
      </c>
      <c r="P285" s="934">
        <v>-159.81</v>
      </c>
      <c r="R285" s="1096">
        <f t="shared" si="61"/>
        <v>-53461.227999999996</v>
      </c>
      <c r="S285" s="995">
        <v>1</v>
      </c>
      <c r="T285" s="1118">
        <f t="shared" si="67"/>
        <v>-53461.227999999996</v>
      </c>
      <c r="U285" s="956">
        <v>44062</v>
      </c>
      <c r="V285" s="701" t="s">
        <v>1725</v>
      </c>
      <c r="W285" s="1031">
        <v>44060.625721296296</v>
      </c>
      <c r="X285" s="1089">
        <f t="shared" si="62"/>
        <v>5.999685598453057E-2</v>
      </c>
      <c r="Y285" s="1090" t="str">
        <f>VLOOKUP(V285,'bic broker'!$A$1:$B$14,2,FALSE)</f>
        <v>TAVSGB21XXX</v>
      </c>
      <c r="Z285" s="1090" t="str">
        <f>VLOOKUP(AA285,'place of settlement'!A:C,2,FALSE)</f>
        <v>SICVFRPPXXX</v>
      </c>
      <c r="AA285" s="1090" t="str">
        <f t="shared" si="63"/>
        <v>FR</v>
      </c>
      <c r="AB285" s="1090" t="str">
        <f t="shared" si="64"/>
        <v>Tavira SecuritiesFR</v>
      </c>
      <c r="AC285" s="1090" t="str">
        <f>VLOOKUP(AB285,sample!$1:$1048576,2,FALSE)</f>
        <v>GSILGB2XXXX</v>
      </c>
      <c r="AD285" s="1090" t="str">
        <f>VLOOKUP($AB285,sample!$1:$1048576,3,FALSE)</f>
        <v>SICVFRPPXXX</v>
      </c>
      <c r="AE285" s="1091" t="str">
        <f>VLOOKUP($AB285,sample!$1:$1048576,4,FALSE)</f>
        <v>SICVPARBFRPPXXX000L10</v>
      </c>
      <c r="AF285" s="1090" t="str">
        <f>VLOOKUP($AB285,sample!$1:$1048576,5,FALSE)</f>
        <v>N</v>
      </c>
      <c r="AL285" s="1091" t="str">
        <f>VLOOKUP($AB285,sample!$1:$1048576,11,FALSE)</f>
        <v xml:space="preserve">        </v>
      </c>
      <c r="AM285" s="1091" t="str">
        <f>VLOOKUP($AB285,sample!$1:$1048576,12,FALSE)</f>
        <v xml:space="preserve">        </v>
      </c>
      <c r="AN285" s="1091" t="str">
        <f>VLOOKUP($AB285,sample!$1:$1048576,13,FALSE)</f>
        <v>PARBFRPPXXX</v>
      </c>
      <c r="AP285" s="1111"/>
    </row>
    <row r="286" spans="1:42" ht="14">
      <c r="A286" s="1046">
        <v>2019200302</v>
      </c>
      <c r="B286" s="1004">
        <v>44060</v>
      </c>
      <c r="C286" s="998" t="s">
        <v>137</v>
      </c>
      <c r="D286" s="1108" t="str">
        <f>IFERROR(VLOOKUP(G286,PosAggregate!$B$13:$B$93,1,FALSE),"")</f>
        <v/>
      </c>
      <c r="E286" s="880" t="s">
        <v>1710</v>
      </c>
      <c r="F286" s="1132" t="str">
        <f t="shared" si="66"/>
        <v/>
      </c>
      <c r="G286" s="701" t="s">
        <v>1704</v>
      </c>
      <c r="I286" s="950" t="s">
        <v>1703</v>
      </c>
      <c r="J286" s="950" t="s">
        <v>2</v>
      </c>
      <c r="K286" s="855">
        <v>151.15607</v>
      </c>
      <c r="L286" s="951"/>
      <c r="M286" s="1047">
        <v>420</v>
      </c>
      <c r="N286" s="1092">
        <f t="shared" si="60"/>
        <v>-63485.549400000004</v>
      </c>
      <c r="O286" s="934">
        <v>-38.090000000000003</v>
      </c>
      <c r="P286" s="934"/>
      <c r="R286" s="1096">
        <f t="shared" si="61"/>
        <v>-63523.6394</v>
      </c>
      <c r="S286" s="995">
        <v>1</v>
      </c>
      <c r="T286" s="1118">
        <f t="shared" si="67"/>
        <v>-63523.6394</v>
      </c>
      <c r="U286" s="956">
        <v>44062</v>
      </c>
      <c r="V286" s="701" t="s">
        <v>1725</v>
      </c>
      <c r="W286" s="1031">
        <v>44060.627225462966</v>
      </c>
      <c r="X286" s="1089">
        <f t="shared" si="62"/>
        <v>5.999790560212117E-2</v>
      </c>
      <c r="Y286" s="1090" t="str">
        <f>VLOOKUP(V286,'bic broker'!$A$1:$B$14,2,FALSE)</f>
        <v>TAVSGB21XXX</v>
      </c>
      <c r="Z286" s="1090" t="str">
        <f>VLOOKUP(AA286,'place of settlement'!A:C,2,FALSE)</f>
        <v>DAKVDEFFXXX</v>
      </c>
      <c r="AA286" s="1090" t="str">
        <f t="shared" si="63"/>
        <v>DE</v>
      </c>
      <c r="AB286" s="1090" t="str">
        <f t="shared" si="64"/>
        <v>Tavira SecuritiesDE</v>
      </c>
      <c r="AC286" s="1090" t="str">
        <f>VLOOKUP(AB286,sample!$1:$1048576,2,FALSE)</f>
        <v>GSILGB2XXXX</v>
      </c>
      <c r="AD286" s="1090" t="str">
        <f>VLOOKUP($AB286,sample!$1:$1048576,3,FALSE)</f>
        <v>DAKVDEFFXXX</v>
      </c>
      <c r="AE286" s="1091" t="str">
        <f>VLOOKUP($AB286,sample!$1:$1048576,4,FALSE)</f>
        <v>DAKV7372000</v>
      </c>
      <c r="AF286" s="1090" t="str">
        <f>VLOOKUP($AB286,sample!$1:$1048576,5,FALSE)</f>
        <v>N</v>
      </c>
      <c r="AL286" s="1091" t="str">
        <f>VLOOKUP($AB286,sample!$1:$1048576,11,FALSE)</f>
        <v xml:space="preserve">        </v>
      </c>
      <c r="AM286" s="1091" t="str">
        <f>VLOOKUP($AB286,sample!$1:$1048576,12,FALSE)</f>
        <v xml:space="preserve">        </v>
      </c>
      <c r="AN286" s="1091" t="str">
        <f>VLOOKUP($AB286,sample!$1:$1048576,13,FALSE)</f>
        <v>CITIDEFFXXX</v>
      </c>
      <c r="AP286" s="1111"/>
    </row>
    <row r="287" spans="1:42" ht="14">
      <c r="A287" s="1046">
        <v>2019200303</v>
      </c>
      <c r="B287" s="1004">
        <v>44060</v>
      </c>
      <c r="C287" s="998" t="s">
        <v>137</v>
      </c>
      <c r="D287" s="1108" t="str">
        <f>IFERROR(VLOOKUP(G287,PosAggregate!$B$13:$B$93,1,FALSE),"")</f>
        <v/>
      </c>
      <c r="E287" s="880" t="s">
        <v>2102</v>
      </c>
      <c r="F287" s="1132" t="str">
        <f t="shared" si="66"/>
        <v/>
      </c>
      <c r="G287" s="701" t="s">
        <v>1731</v>
      </c>
      <c r="I287" s="950" t="s">
        <v>12791</v>
      </c>
      <c r="J287" s="950" t="s">
        <v>124</v>
      </c>
      <c r="K287" s="855">
        <v>1.7412799999999999</v>
      </c>
      <c r="L287" s="951"/>
      <c r="M287" s="1047">
        <v>22000</v>
      </c>
      <c r="N287" s="1092">
        <f t="shared" si="60"/>
        <v>-38308.159999999996</v>
      </c>
      <c r="O287" s="934">
        <v>-23.98</v>
      </c>
      <c r="P287" s="934"/>
      <c r="R287" s="1096">
        <f t="shared" si="61"/>
        <v>-38332.14</v>
      </c>
      <c r="S287" s="995">
        <v>0.90499928953725195</v>
      </c>
      <c r="T287" s="1118">
        <f t="shared" si="67"/>
        <v>-42355.989052323072</v>
      </c>
      <c r="U287" s="956">
        <v>44062</v>
      </c>
      <c r="V287" s="701" t="s">
        <v>1725</v>
      </c>
      <c r="W287" s="1031">
        <v>44060.631537499998</v>
      </c>
      <c r="X287" s="1089">
        <f t="shared" si="62"/>
        <v>6.2597629330147939E-2</v>
      </c>
      <c r="Y287" s="1090" t="str">
        <f>VLOOKUP(V287,'bic broker'!$A$1:$B$14,2,FALSE)</f>
        <v>TAVSGB21XXX</v>
      </c>
      <c r="Z287" s="1090" t="str">
        <f>VLOOKUP(AA287,'place of settlement'!A:C,2,FALSE)</f>
        <v>CRSTGB22XXX</v>
      </c>
      <c r="AA287" s="1090" t="str">
        <f t="shared" si="63"/>
        <v>JE</v>
      </c>
      <c r="AB287" s="1090" t="str">
        <f t="shared" si="64"/>
        <v>Tavira SecuritiesJE</v>
      </c>
      <c r="AC287" s="1090" t="str">
        <f>VLOOKUP(AB287,sample!$1:$1048576,2,FALSE)</f>
        <v>GSILGB2XXXX</v>
      </c>
      <c r="AD287" s="1090" t="str">
        <f>VLOOKUP($AB287,sample!$1:$1048576,3,FALSE)</f>
        <v>CRSTGB22</v>
      </c>
      <c r="AE287" s="1091" t="str">
        <f>VLOOKUP($AB287,sample!$1:$1048576,4,FALSE)</f>
        <v xml:space="preserve">        </v>
      </c>
      <c r="AF287" s="1090" t="str">
        <f>VLOOKUP($AB287,sample!$1:$1048576,5,FALSE)</f>
        <v>N</v>
      </c>
      <c r="AL287" s="1091" t="str">
        <f>VLOOKUP($AB287,sample!$1:$1048576,11,FALSE)</f>
        <v>CRST</v>
      </c>
      <c r="AM287" s="1091">
        <f>VLOOKUP($AB287,sample!$1:$1048576,12,FALSE)</f>
        <v>303</v>
      </c>
      <c r="AN287" s="1091" t="str">
        <f>VLOOKUP($AB287,sample!$1:$1048576,13,FALSE)</f>
        <v>GSILGB2XXXX</v>
      </c>
      <c r="AP287" s="1111"/>
    </row>
    <row r="288" spans="1:42" ht="14">
      <c r="A288" s="1046">
        <v>2019200304</v>
      </c>
      <c r="B288" s="1004">
        <v>44060</v>
      </c>
      <c r="C288" s="998" t="s">
        <v>138</v>
      </c>
      <c r="D288" s="1108" t="str">
        <f>IFERROR(VLOOKUP(G288,PosAggregate!$B$13:$B$93,1,FALSE),"")</f>
        <v/>
      </c>
      <c r="E288" s="880" t="s">
        <v>2101</v>
      </c>
      <c r="F288" s="1132" t="str">
        <f t="shared" si="66"/>
        <v/>
      </c>
      <c r="G288" s="701" t="s">
        <v>1730</v>
      </c>
      <c r="I288" s="950" t="s">
        <v>12882</v>
      </c>
      <c r="J288" s="950" t="s">
        <v>124</v>
      </c>
      <c r="K288" s="855">
        <v>11.205399999999999</v>
      </c>
      <c r="L288" s="951"/>
      <c r="M288" s="1047">
        <v>-4800</v>
      </c>
      <c r="N288" s="1092">
        <f t="shared" si="60"/>
        <v>53785.919999999998</v>
      </c>
      <c r="O288" s="934">
        <v>-33.270000000000003</v>
      </c>
      <c r="P288" s="934"/>
      <c r="R288" s="1096">
        <f t="shared" si="61"/>
        <v>53752.65</v>
      </c>
      <c r="S288" s="995">
        <v>0.90499928953725195</v>
      </c>
      <c r="T288" s="1118">
        <f t="shared" si="67"/>
        <v>59395.239997906552</v>
      </c>
      <c r="U288" s="956">
        <v>44062</v>
      </c>
      <c r="V288" s="701" t="s">
        <v>1725</v>
      </c>
      <c r="W288" s="1031">
        <v>44060.632573842595</v>
      </c>
      <c r="X288" s="1089">
        <f t="shared" si="62"/>
        <v>-6.1856337123172768E-2</v>
      </c>
      <c r="Y288" s="1090" t="str">
        <f>VLOOKUP(V288,'bic broker'!$A$1:$B$14,2,FALSE)</f>
        <v>TAVSGB21XXX</v>
      </c>
      <c r="Z288" s="1090" t="str">
        <f>VLOOKUP(AA288,'place of settlement'!A:C,2,FALSE)</f>
        <v>CRSTGB22XXX</v>
      </c>
      <c r="AA288" s="1090" t="str">
        <f t="shared" si="63"/>
        <v>GB</v>
      </c>
      <c r="AB288" s="1090" t="str">
        <f t="shared" si="64"/>
        <v>Tavira SecuritiesGB</v>
      </c>
      <c r="AC288" s="1090" t="str">
        <f>VLOOKUP(AB288,sample!$1:$1048576,2,FALSE)</f>
        <v>GSILGB2XXXX</v>
      </c>
      <c r="AD288" s="1090" t="str">
        <f>VLOOKUP($AB288,sample!$1:$1048576,3,FALSE)</f>
        <v>CRSTGB22</v>
      </c>
      <c r="AE288" s="1091" t="str">
        <f>VLOOKUP($AB288,sample!$1:$1048576,4,FALSE)</f>
        <v xml:space="preserve">        </v>
      </c>
      <c r="AF288" s="1090" t="str">
        <f>VLOOKUP($AB288,sample!$1:$1048576,5,FALSE)</f>
        <v>N</v>
      </c>
      <c r="AL288" s="1091" t="str">
        <f>VLOOKUP($AB288,sample!$1:$1048576,11,FALSE)</f>
        <v>CRST</v>
      </c>
      <c r="AM288" s="1091">
        <f>VLOOKUP($AB288,sample!$1:$1048576,12,FALSE)</f>
        <v>303</v>
      </c>
      <c r="AN288" s="1091" t="str">
        <f>VLOOKUP($AB288,sample!$1:$1048576,13,FALSE)</f>
        <v>GSILGB2XXXX</v>
      </c>
      <c r="AP288" s="1111"/>
    </row>
    <row r="289" spans="1:42" ht="14">
      <c r="A289" s="1046">
        <v>2019200305</v>
      </c>
      <c r="B289" s="1004">
        <v>44060</v>
      </c>
      <c r="C289" s="998" t="s">
        <v>137</v>
      </c>
      <c r="D289" s="1108" t="str">
        <f>IFERROR(VLOOKUP(G289,PosAggregate!$B$13:$B$93,1,FALSE),"")</f>
        <v/>
      </c>
      <c r="E289" s="880" t="s">
        <v>1697</v>
      </c>
      <c r="F289" s="1132" t="str">
        <f t="shared" si="66"/>
        <v/>
      </c>
      <c r="G289" s="701" t="s">
        <v>1689</v>
      </c>
      <c r="I289" s="950" t="s">
        <v>1690</v>
      </c>
      <c r="J289" s="950" t="s">
        <v>125</v>
      </c>
      <c r="K289" s="855">
        <v>2641.70714</v>
      </c>
      <c r="L289" s="951"/>
      <c r="M289" s="1047">
        <v>4200</v>
      </c>
      <c r="N289" s="1092">
        <f t="shared" si="60"/>
        <v>-11095169.988</v>
      </c>
      <c r="O289" s="934">
        <v>-6657</v>
      </c>
      <c r="P289" s="934"/>
      <c r="R289" s="1096">
        <f t="shared" si="61"/>
        <v>-11101826.988</v>
      </c>
      <c r="S289" s="995">
        <v>126.21370719461952</v>
      </c>
      <c r="T289" s="1118">
        <f t="shared" si="67"/>
        <v>-87960.54909377759</v>
      </c>
      <c r="U289" s="956">
        <v>44063</v>
      </c>
      <c r="V289" s="701" t="s">
        <v>1725</v>
      </c>
      <c r="W289" s="1031">
        <v>44060.646972916664</v>
      </c>
      <c r="X289" s="1089">
        <f t="shared" si="62"/>
        <v>5.9999080745945219E-2</v>
      </c>
      <c r="Y289" s="1090" t="str">
        <f>VLOOKUP(V289,'bic broker'!$A$1:$B$14,2,FALSE)</f>
        <v>TAVSGB21XXX</v>
      </c>
      <c r="Z289" s="1090" t="str">
        <f>VLOOKUP(AA289,'place of settlement'!A:C,2,FALSE)</f>
        <v>JJSDJPJTXXX</v>
      </c>
      <c r="AA289" s="1090" t="str">
        <f t="shared" si="63"/>
        <v>JP</v>
      </c>
      <c r="AB289" s="1090" t="str">
        <f t="shared" si="64"/>
        <v>Tavira SecuritiesJP</v>
      </c>
      <c r="AC289" s="1090" t="str">
        <f>VLOOKUP(AB289,sample!$1:$1048576,2,FALSE)</f>
        <v>GSILGB2XXXX</v>
      </c>
      <c r="AD289" s="1090" t="str">
        <f>VLOOKUP($AB289,sample!$1:$1048576,3,FALSE)</f>
        <v>JJSDJPJTXXX</v>
      </c>
      <c r="AE289" s="1091">
        <f>VLOOKUP($AB289,sample!$1:$1048576,4,FALSE)</f>
        <v>6530490016</v>
      </c>
      <c r="AF289" s="1090" t="str">
        <f>VLOOKUP($AB289,sample!$1:$1048576,5,FALSE)</f>
        <v>N</v>
      </c>
      <c r="AL289" s="1091" t="str">
        <f>VLOOKUP($AB289,sample!$1:$1048576,11,FALSE)</f>
        <v xml:space="preserve">                  </v>
      </c>
      <c r="AM289" s="1091" t="str">
        <f>VLOOKUP($AB289,sample!$1:$1048576,12,FALSE)</f>
        <v xml:space="preserve">                          </v>
      </c>
      <c r="AN289" s="1091" t="str">
        <f>VLOOKUP($AB289,sample!$1:$1048576,13,FALSE)</f>
        <v>GOLDJPJXXXX</v>
      </c>
      <c r="AP289" s="1111"/>
    </row>
    <row r="290" spans="1:42" ht="14">
      <c r="A290" s="1046">
        <v>2019200306</v>
      </c>
      <c r="B290" s="1004">
        <v>44060</v>
      </c>
      <c r="C290" s="998" t="s">
        <v>138</v>
      </c>
      <c r="D290" s="1108" t="str">
        <f>IFERROR(VLOOKUP(G290,PosAggregate!$B$13:$B$93,1,FALSE),"")</f>
        <v/>
      </c>
      <c r="E290" s="880" t="s">
        <v>1255</v>
      </c>
      <c r="F290" s="1132" t="str">
        <f t="shared" si="66"/>
        <v/>
      </c>
      <c r="G290" s="701" t="s">
        <v>1205</v>
      </c>
      <c r="I290" s="950" t="s">
        <v>1143</v>
      </c>
      <c r="J290" s="950" t="s">
        <v>123</v>
      </c>
      <c r="K290" s="855">
        <v>143880.6452</v>
      </c>
      <c r="L290" s="951"/>
      <c r="M290" s="1047">
        <v>-1085</v>
      </c>
      <c r="N290" s="1092">
        <f t="shared" si="60"/>
        <v>156110500.042</v>
      </c>
      <c r="O290" s="934">
        <v>-234166</v>
      </c>
      <c r="P290" s="934">
        <v>-390210</v>
      </c>
      <c r="R290" s="1096">
        <f t="shared" si="61"/>
        <v>155486124.042</v>
      </c>
      <c r="S290" s="995">
        <v>1405.4610903234936</v>
      </c>
      <c r="T290" s="1118">
        <f t="shared" si="67"/>
        <v>110629.97411490908</v>
      </c>
      <c r="U290" s="956">
        <v>44063</v>
      </c>
      <c r="V290" s="701" t="s">
        <v>1230</v>
      </c>
      <c r="W290" s="1031">
        <v>44060.654345833333</v>
      </c>
      <c r="X290" s="1089">
        <f t="shared" si="62"/>
        <v>-0.15000016010261957</v>
      </c>
      <c r="Y290" s="1090" t="e">
        <f>VLOOKUP(V290,'bic broker'!$A$1:$B$14,2,FALSE)</f>
        <v>#N/A</v>
      </c>
      <c r="Z290" s="1090" t="str">
        <f>VLOOKUP(AA290,'place of settlement'!A:C,2,FALSE)</f>
        <v>KSDCKRSEXXX</v>
      </c>
      <c r="AA290" s="1090" t="str">
        <f t="shared" si="63"/>
        <v>KR</v>
      </c>
      <c r="AB290" s="1090" t="str">
        <f t="shared" si="64"/>
        <v>SamsungKR</v>
      </c>
      <c r="AC290" s="1090" t="e">
        <f>VLOOKUP(AB290,sample!$1:$1048576,2,FALSE)</f>
        <v>#N/A</v>
      </c>
      <c r="AD290" s="1090" t="e">
        <f>VLOOKUP($AB290,sample!$1:$1048576,3,FALSE)</f>
        <v>#N/A</v>
      </c>
      <c r="AE290" s="1091" t="e">
        <f>VLOOKUP($AB290,sample!$1:$1048576,4,FALSE)</f>
        <v>#N/A</v>
      </c>
      <c r="AF290" s="1090" t="e">
        <f>VLOOKUP($AB290,sample!$1:$1048576,5,FALSE)</f>
        <v>#N/A</v>
      </c>
      <c r="AL290" s="1091" t="e">
        <f>VLOOKUP($AB290,sample!$1:$1048576,11,FALSE)</f>
        <v>#N/A</v>
      </c>
      <c r="AM290" s="1091" t="e">
        <f>VLOOKUP($AB290,sample!$1:$1048576,12,FALSE)</f>
        <v>#N/A</v>
      </c>
      <c r="AN290" s="1091" t="e">
        <f>VLOOKUP($AB290,sample!$1:$1048576,13,FALSE)</f>
        <v>#N/A</v>
      </c>
      <c r="AP290" s="1111"/>
    </row>
    <row r="291" spans="1:42" ht="14">
      <c r="A291" s="1046">
        <v>2019200307</v>
      </c>
      <c r="B291" s="1004">
        <v>44060</v>
      </c>
      <c r="C291" s="998" t="s">
        <v>138</v>
      </c>
      <c r="D291" s="1108" t="str">
        <f>IFERROR(VLOOKUP(G291,PosAggregate!$B$13:$B$93,1,FALSE),"")</f>
        <v/>
      </c>
      <c r="E291" s="880" t="s">
        <v>1257</v>
      </c>
      <c r="F291" s="1132" t="str">
        <f t="shared" si="66"/>
        <v/>
      </c>
      <c r="G291" s="701" t="s">
        <v>1207</v>
      </c>
      <c r="I291" s="950" t="s">
        <v>1135</v>
      </c>
      <c r="J291" s="950" t="s">
        <v>123</v>
      </c>
      <c r="K291" s="855">
        <v>41349.2353</v>
      </c>
      <c r="L291" s="951"/>
      <c r="M291" s="1047">
        <v>-1700</v>
      </c>
      <c r="N291" s="1092">
        <f t="shared" si="60"/>
        <v>70293700.010000005</v>
      </c>
      <c r="O291" s="934">
        <v>-105441</v>
      </c>
      <c r="P291" s="934">
        <v>-175727</v>
      </c>
      <c r="R291" s="1096">
        <f t="shared" si="61"/>
        <v>70012532.010000005</v>
      </c>
      <c r="S291" s="995">
        <v>1405.4610903234982</v>
      </c>
      <c r="T291" s="1118">
        <f t="shared" si="67"/>
        <v>49814.635561262716</v>
      </c>
      <c r="U291" s="956">
        <v>44063</v>
      </c>
      <c r="V291" s="701" t="s">
        <v>1230</v>
      </c>
      <c r="W291" s="1031">
        <v>44060.656641203706</v>
      </c>
      <c r="X291" s="1089">
        <f t="shared" si="62"/>
        <v>-0.15000064014982839</v>
      </c>
      <c r="Y291" s="1090" t="e">
        <f>VLOOKUP(V291,'bic broker'!$A$1:$B$14,2,FALSE)</f>
        <v>#N/A</v>
      </c>
      <c r="Z291" s="1090" t="str">
        <f>VLOOKUP(AA291,'place of settlement'!A:C,2,FALSE)</f>
        <v>KSDCKRSEXXX</v>
      </c>
      <c r="AA291" s="1090" t="str">
        <f t="shared" si="63"/>
        <v>KR</v>
      </c>
      <c r="AB291" s="1090" t="str">
        <f t="shared" si="64"/>
        <v>SamsungKR</v>
      </c>
      <c r="AC291" s="1090" t="e">
        <f>VLOOKUP(AB291,sample!$1:$1048576,2,FALSE)</f>
        <v>#N/A</v>
      </c>
      <c r="AD291" s="1090" t="e">
        <f>VLOOKUP($AB291,sample!$1:$1048576,3,FALSE)</f>
        <v>#N/A</v>
      </c>
      <c r="AE291" s="1091" t="e">
        <f>VLOOKUP($AB291,sample!$1:$1048576,4,FALSE)</f>
        <v>#N/A</v>
      </c>
      <c r="AF291" s="1090" t="e">
        <f>VLOOKUP($AB291,sample!$1:$1048576,5,FALSE)</f>
        <v>#N/A</v>
      </c>
      <c r="AL291" s="1091" t="e">
        <f>VLOOKUP($AB291,sample!$1:$1048576,11,FALSE)</f>
        <v>#N/A</v>
      </c>
      <c r="AM291" s="1091" t="e">
        <f>VLOOKUP($AB291,sample!$1:$1048576,12,FALSE)</f>
        <v>#N/A</v>
      </c>
      <c r="AN291" s="1091" t="e">
        <f>VLOOKUP($AB291,sample!$1:$1048576,13,FALSE)</f>
        <v>#N/A</v>
      </c>
      <c r="AP291" s="1111"/>
    </row>
    <row r="292" spans="1:42" ht="14">
      <c r="A292" s="1046">
        <v>2019200308</v>
      </c>
      <c r="B292" s="1004">
        <v>44060</v>
      </c>
      <c r="C292" s="998" t="s">
        <v>138</v>
      </c>
      <c r="D292" s="1108" t="str">
        <f>IFERROR(VLOOKUP(G292,PosAggregate!$B$13:$B$93,1,FALSE),"")</f>
        <v/>
      </c>
      <c r="E292" s="880" t="s">
        <v>1254</v>
      </c>
      <c r="F292" s="1132" t="str">
        <f t="shared" si="66"/>
        <v/>
      </c>
      <c r="G292" s="701" t="s">
        <v>1204</v>
      </c>
      <c r="I292" s="950" t="s">
        <v>1123</v>
      </c>
      <c r="J292" s="950" t="s">
        <v>123</v>
      </c>
      <c r="K292" s="855">
        <v>259213.73629999999</v>
      </c>
      <c r="L292" s="951"/>
      <c r="M292" s="1047">
        <v>-910</v>
      </c>
      <c r="N292" s="1092">
        <f t="shared" si="60"/>
        <v>235884500.03299999</v>
      </c>
      <c r="O292" s="934">
        <v>-353827</v>
      </c>
      <c r="P292" s="934">
        <v>-589659</v>
      </c>
      <c r="R292" s="1096">
        <f t="shared" si="61"/>
        <v>234941014.03299999</v>
      </c>
      <c r="S292" s="995">
        <v>1405.4610903234975</v>
      </c>
      <c r="T292" s="1118">
        <f t="shared" si="67"/>
        <v>167162.94435367343</v>
      </c>
      <c r="U292" s="956">
        <v>44063</v>
      </c>
      <c r="V292" s="701" t="s">
        <v>1230</v>
      </c>
      <c r="W292" s="1031">
        <v>44060.714240162037</v>
      </c>
      <c r="X292" s="1089">
        <f t="shared" si="62"/>
        <v>-0.15000010596308785</v>
      </c>
      <c r="Y292" s="1090" t="e">
        <f>VLOOKUP(V292,'bic broker'!$A$1:$B$14,2,FALSE)</f>
        <v>#N/A</v>
      </c>
      <c r="Z292" s="1090" t="str">
        <f>VLOOKUP(AA292,'place of settlement'!A:C,2,FALSE)</f>
        <v>KSDCKRSEXXX</v>
      </c>
      <c r="AA292" s="1090" t="str">
        <f t="shared" si="63"/>
        <v>KR</v>
      </c>
      <c r="AB292" s="1090" t="str">
        <f t="shared" si="64"/>
        <v>SamsungKR</v>
      </c>
      <c r="AC292" s="1090" t="e">
        <f>VLOOKUP(AB292,sample!$1:$1048576,2,FALSE)</f>
        <v>#N/A</v>
      </c>
      <c r="AD292" s="1090" t="e">
        <f>VLOOKUP($AB292,sample!$1:$1048576,3,FALSE)</f>
        <v>#N/A</v>
      </c>
      <c r="AE292" s="1091" t="e">
        <f>VLOOKUP($AB292,sample!$1:$1048576,4,FALSE)</f>
        <v>#N/A</v>
      </c>
      <c r="AF292" s="1090" t="e">
        <f>VLOOKUP($AB292,sample!$1:$1048576,5,FALSE)</f>
        <v>#N/A</v>
      </c>
      <c r="AL292" s="1091" t="e">
        <f>VLOOKUP($AB292,sample!$1:$1048576,11,FALSE)</f>
        <v>#N/A</v>
      </c>
      <c r="AM292" s="1091" t="e">
        <f>VLOOKUP($AB292,sample!$1:$1048576,12,FALSE)</f>
        <v>#N/A</v>
      </c>
      <c r="AN292" s="1091" t="e">
        <f>VLOOKUP($AB292,sample!$1:$1048576,13,FALSE)</f>
        <v>#N/A</v>
      </c>
      <c r="AP292" s="1111"/>
    </row>
    <row r="293" spans="1:42" ht="14">
      <c r="A293" s="1046">
        <v>2019200309</v>
      </c>
      <c r="B293" s="1004">
        <v>44062</v>
      </c>
      <c r="C293" s="998" t="s">
        <v>137</v>
      </c>
      <c r="D293" s="1108" t="str">
        <f>IFERROR(VLOOKUP(G293,PosAggregate!$B$13:$B$93,1,FALSE),"")</f>
        <v/>
      </c>
      <c r="E293" s="880" t="s">
        <v>1233</v>
      </c>
      <c r="F293" s="1132" t="str">
        <f t="shared" si="66"/>
        <v/>
      </c>
      <c r="G293" s="701" t="s">
        <v>2098</v>
      </c>
      <c r="I293" s="950" t="s">
        <v>1131</v>
      </c>
      <c r="J293" s="950" t="s">
        <v>125</v>
      </c>
      <c r="K293" s="855">
        <v>3280.3281299999999</v>
      </c>
      <c r="L293" s="951"/>
      <c r="M293" s="952">
        <v>2200</v>
      </c>
      <c r="N293" s="1092">
        <f t="shared" si="60"/>
        <v>-7216721.8859999999</v>
      </c>
      <c r="O293" s="934">
        <v>-4330</v>
      </c>
      <c r="R293" s="1096">
        <f t="shared" si="61"/>
        <v>-7221051.8859999999</v>
      </c>
      <c r="S293" s="995">
        <v>125.57996401855887</v>
      </c>
      <c r="T293" s="1118">
        <f t="shared" si="67"/>
        <v>-57501.624104087452</v>
      </c>
      <c r="U293" s="956">
        <v>44067</v>
      </c>
      <c r="V293" s="701" t="s">
        <v>1725</v>
      </c>
      <c r="W293" s="1031">
        <v>44062.974342592592</v>
      </c>
      <c r="X293" s="1089">
        <f t="shared" si="62"/>
        <v>5.9999540905129455E-2</v>
      </c>
      <c r="Y293" s="1090" t="str">
        <f>VLOOKUP(V293,'bic broker'!$A$1:$B$14,2,FALSE)</f>
        <v>TAVSGB21XXX</v>
      </c>
      <c r="Z293" s="1090" t="str">
        <f>VLOOKUP(AA293,'place of settlement'!A:C,2,FALSE)</f>
        <v>JJSDJPJTXXX</v>
      </c>
      <c r="AA293" s="1090" t="str">
        <f t="shared" si="63"/>
        <v>JP</v>
      </c>
      <c r="AB293" s="1090" t="str">
        <f t="shared" si="64"/>
        <v>Tavira SecuritiesJP</v>
      </c>
      <c r="AC293" s="1090" t="str">
        <f>VLOOKUP(AB293,sample!$1:$1048576,2,FALSE)</f>
        <v>GSILGB2XXXX</v>
      </c>
      <c r="AD293" s="1090" t="str">
        <f>VLOOKUP($AB293,sample!$1:$1048576,3,FALSE)</f>
        <v>JJSDJPJTXXX</v>
      </c>
      <c r="AE293" s="1091">
        <f>VLOOKUP($AB293,sample!$1:$1048576,4,FALSE)</f>
        <v>6530490016</v>
      </c>
      <c r="AF293" s="1090" t="str">
        <f>VLOOKUP($AB293,sample!$1:$1048576,5,FALSE)</f>
        <v>N</v>
      </c>
      <c r="AL293" s="1091" t="str">
        <f>VLOOKUP($AB293,sample!$1:$1048576,11,FALSE)</f>
        <v xml:space="preserve">                  </v>
      </c>
      <c r="AM293" s="1091" t="str">
        <f>VLOOKUP($AB293,sample!$1:$1048576,12,FALSE)</f>
        <v xml:space="preserve">                          </v>
      </c>
      <c r="AN293" s="1091" t="str">
        <f>VLOOKUP($AB293,sample!$1:$1048576,13,FALSE)</f>
        <v>GOLDJPJXXXX</v>
      </c>
      <c r="AP293" s="1111"/>
    </row>
    <row r="294" spans="1:42" ht="14">
      <c r="A294" s="1046">
        <v>2019200310</v>
      </c>
      <c r="B294" s="1004">
        <v>44062</v>
      </c>
      <c r="C294" s="998" t="s">
        <v>137</v>
      </c>
      <c r="D294" s="1108" t="str">
        <f>IFERROR(VLOOKUP(G294,PosAggregate!$B$13:$B$93,1,FALSE),"")</f>
        <v/>
      </c>
      <c r="E294" s="880" t="s">
        <v>12857</v>
      </c>
      <c r="F294" s="1132" t="str">
        <f t="shared" si="66"/>
        <v/>
      </c>
      <c r="G294" s="701" t="s">
        <v>2171</v>
      </c>
      <c r="I294" s="950" t="s">
        <v>12793</v>
      </c>
      <c r="J294" s="950" t="s">
        <v>123</v>
      </c>
      <c r="K294" s="855">
        <v>199283.97435900001</v>
      </c>
      <c r="L294" s="951"/>
      <c r="M294" s="952">
        <v>670</v>
      </c>
      <c r="N294" s="1092">
        <f t="shared" si="60"/>
        <v>-133520262.82053001</v>
      </c>
      <c r="O294" s="934">
        <v>-200281</v>
      </c>
      <c r="R294" s="1096">
        <f t="shared" si="61"/>
        <v>-133720543.82053001</v>
      </c>
      <c r="S294" s="995">
        <v>1398.7075087586441</v>
      </c>
      <c r="T294" s="1118">
        <f t="shared" si="67"/>
        <v>-95602.935555273652</v>
      </c>
      <c r="U294" s="956">
        <v>44067</v>
      </c>
      <c r="V294" s="701" t="s">
        <v>2162</v>
      </c>
      <c r="W294" s="1031">
        <v>44062.976086574075</v>
      </c>
      <c r="X294" s="1089">
        <f t="shared" si="62"/>
        <v>0.15000045369084225</v>
      </c>
      <c r="Y294" s="1090" t="e">
        <f>VLOOKUP(V294,'bic broker'!$A$1:$B$14,2,FALSE)</f>
        <v>#N/A</v>
      </c>
      <c r="Z294" s="1090" t="str">
        <f>VLOOKUP(AA294,'place of settlement'!A:C,2,FALSE)</f>
        <v>KSDCKRSEXXX</v>
      </c>
      <c r="AA294" s="1090" t="str">
        <f t="shared" si="63"/>
        <v>KR</v>
      </c>
      <c r="AB294" s="1090" t="str">
        <f t="shared" si="64"/>
        <v>Samsung KR</v>
      </c>
      <c r="AC294" s="1090" t="e">
        <f>VLOOKUP(AB294,sample!$1:$1048576,2,FALSE)</f>
        <v>#N/A</v>
      </c>
      <c r="AD294" s="1090" t="e">
        <f>VLOOKUP($AB294,sample!$1:$1048576,3,FALSE)</f>
        <v>#N/A</v>
      </c>
      <c r="AE294" s="1091" t="e">
        <f>VLOOKUP($AB294,sample!$1:$1048576,4,FALSE)</f>
        <v>#N/A</v>
      </c>
      <c r="AF294" s="1090" t="e">
        <f>VLOOKUP($AB294,sample!$1:$1048576,5,FALSE)</f>
        <v>#N/A</v>
      </c>
      <c r="AL294" s="1091" t="e">
        <f>VLOOKUP($AB294,sample!$1:$1048576,11,FALSE)</f>
        <v>#N/A</v>
      </c>
      <c r="AM294" s="1091" t="e">
        <f>VLOOKUP($AB294,sample!$1:$1048576,12,FALSE)</f>
        <v>#N/A</v>
      </c>
      <c r="AN294" s="1091" t="e">
        <f>VLOOKUP($AB294,sample!$1:$1048576,13,FALSE)</f>
        <v>#N/A</v>
      </c>
      <c r="AP294" s="1111"/>
    </row>
    <row r="295" spans="1:42" ht="14">
      <c r="A295" s="1046">
        <v>2019200312</v>
      </c>
      <c r="B295" s="1004">
        <v>44067</v>
      </c>
      <c r="C295" s="998" t="s">
        <v>137</v>
      </c>
      <c r="D295" s="1108" t="str">
        <f>IFERROR(VLOOKUP(G295,PosAggregate!$B$13:$B$93,1,FALSE),"")</f>
        <v/>
      </c>
      <c r="E295" s="880" t="s">
        <v>12857</v>
      </c>
      <c r="F295" s="1132" t="str">
        <f t="shared" si="66"/>
        <v/>
      </c>
      <c r="G295" s="701" t="s">
        <v>2171</v>
      </c>
      <c r="I295" s="950" t="s">
        <v>12793</v>
      </c>
      <c r="J295" s="950" t="s">
        <v>123</v>
      </c>
      <c r="K295" s="855">
        <v>195924.52830000001</v>
      </c>
      <c r="L295" s="951"/>
      <c r="M295" s="952">
        <v>420</v>
      </c>
      <c r="N295" s="1092">
        <f t="shared" si="60"/>
        <v>-82288301.886000007</v>
      </c>
      <c r="O295" s="934">
        <v>-123433</v>
      </c>
      <c r="R295" s="1096">
        <f t="shared" si="61"/>
        <v>-82411734.886000007</v>
      </c>
      <c r="S295" s="995">
        <v>1398.7075087586441</v>
      </c>
      <c r="T295" s="1118">
        <f t="shared" si="67"/>
        <v>-58919.920262057218</v>
      </c>
      <c r="U295" s="956">
        <v>44069</v>
      </c>
      <c r="V295" s="701" t="s">
        <v>2162</v>
      </c>
      <c r="W295" s="1031">
        <v>44067.410029976854</v>
      </c>
      <c r="X295" s="1089">
        <f t="shared" si="62"/>
        <v>0.15000066494384676</v>
      </c>
      <c r="Y295" s="827" t="s">
        <v>1765</v>
      </c>
      <c r="Z295" s="827" t="s">
        <v>1808</v>
      </c>
      <c r="AA295" s="827" t="s">
        <v>1807</v>
      </c>
      <c r="AB295" s="827" t="s">
        <v>1972</v>
      </c>
      <c r="AC295" s="827" t="s">
        <v>1765</v>
      </c>
      <c r="AD295" s="827" t="s">
        <v>1808</v>
      </c>
      <c r="AE295" s="920" t="s">
        <v>1973</v>
      </c>
      <c r="AF295" s="827" t="s">
        <v>1864</v>
      </c>
      <c r="AL295" s="920">
        <v>0</v>
      </c>
      <c r="AM295" s="920">
        <v>0</v>
      </c>
      <c r="AN295" s="920" t="s">
        <v>1765</v>
      </c>
      <c r="AP295" s="1111"/>
    </row>
    <row r="296" spans="1:42" ht="18" customHeight="1">
      <c r="A296" s="1046">
        <v>2019200313</v>
      </c>
      <c r="B296" s="1004">
        <v>44068</v>
      </c>
      <c r="C296" s="998" t="s">
        <v>138</v>
      </c>
      <c r="D296" s="1108" t="str">
        <f>IFERROR(VLOOKUP(G296,PosAggregate!$B$13:$B$93,1,FALSE),"")</f>
        <v/>
      </c>
      <c r="E296" s="880" t="s">
        <v>1254</v>
      </c>
      <c r="F296" s="1132" t="str">
        <f t="shared" si="66"/>
        <v/>
      </c>
      <c r="G296" s="701" t="s">
        <v>1204</v>
      </c>
      <c r="I296" s="950" t="s">
        <v>1123</v>
      </c>
      <c r="J296" s="950" t="s">
        <v>123</v>
      </c>
      <c r="K296" s="855">
        <v>263081.81819999998</v>
      </c>
      <c r="L296" s="951"/>
      <c r="M296" s="952">
        <v>-330</v>
      </c>
      <c r="N296" s="1092">
        <f t="shared" si="60"/>
        <v>86817000.005999997</v>
      </c>
      <c r="O296" s="934">
        <v>-130226</v>
      </c>
      <c r="P296" s="934">
        <v>-217013</v>
      </c>
      <c r="R296" s="1096">
        <f t="shared" si="61"/>
        <v>86469761.005999997</v>
      </c>
      <c r="S296" s="995">
        <v>1401.0773347163465</v>
      </c>
      <c r="T296" s="1118">
        <f t="shared" si="67"/>
        <v>61716.622532835514</v>
      </c>
      <c r="U296" s="956">
        <v>44070</v>
      </c>
      <c r="V296" s="701" t="s">
        <v>1230</v>
      </c>
      <c r="W296" s="1031">
        <v>44068.365849189817</v>
      </c>
      <c r="X296" s="1089">
        <f t="shared" si="62"/>
        <v>-0.1500005759137035</v>
      </c>
      <c r="Y296" s="1090" t="e">
        <f>VLOOKUP(V296,'bic broker'!$A$1:$B$14,2,FALSE)</f>
        <v>#N/A</v>
      </c>
      <c r="Z296" s="1090" t="str">
        <f>VLOOKUP(AA296,'place of settlement'!A:C,2,FALSE)</f>
        <v>KSDCKRSEXXX</v>
      </c>
      <c r="AA296" s="1090" t="str">
        <f>LEFT(E296,2)</f>
        <v>KR</v>
      </c>
      <c r="AB296" s="1090" t="str">
        <f>CONCATENATE(V296,AA296)</f>
        <v>SamsungKR</v>
      </c>
      <c r="AC296" s="1090" t="e">
        <f>VLOOKUP(AB296,sample!$1:$1048576,2,FALSE)</f>
        <v>#N/A</v>
      </c>
      <c r="AD296" s="1090" t="e">
        <f>VLOOKUP($AB296,sample!$1:$1048576,3,FALSE)</f>
        <v>#N/A</v>
      </c>
      <c r="AE296" s="1091" t="e">
        <f>VLOOKUP($AB296,sample!$1:$1048576,4,FALSE)</f>
        <v>#N/A</v>
      </c>
      <c r="AF296" s="1090" t="e">
        <f>VLOOKUP($AB296,sample!$1:$1048576,5,FALSE)</f>
        <v>#N/A</v>
      </c>
      <c r="AL296" s="1091" t="e">
        <f>VLOOKUP($AB296,sample!$1:$1048576,11,FALSE)</f>
        <v>#N/A</v>
      </c>
      <c r="AM296" s="1091" t="e">
        <f>VLOOKUP($AB296,sample!$1:$1048576,12,FALSE)</f>
        <v>#N/A</v>
      </c>
      <c r="AN296" s="1091" t="e">
        <f>VLOOKUP($AB296,sample!$1:$1048576,13,FALSE)</f>
        <v>#N/A</v>
      </c>
      <c r="AP296" s="1111"/>
    </row>
    <row r="297" spans="1:42" ht="14">
      <c r="A297" s="1046">
        <v>2019200314</v>
      </c>
      <c r="B297" s="1004">
        <v>44068</v>
      </c>
      <c r="C297" s="998" t="s">
        <v>138</v>
      </c>
      <c r="D297" s="1108" t="str">
        <f>IFERROR(VLOOKUP(G297,PosAggregate!$B$13:$B$93,1,FALSE),"")</f>
        <v/>
      </c>
      <c r="E297" s="880" t="s">
        <v>1252</v>
      </c>
      <c r="F297" s="1132" t="str">
        <f t="shared" si="66"/>
        <v/>
      </c>
      <c r="G297" s="701" t="s">
        <v>1202</v>
      </c>
      <c r="I297" s="950" t="s">
        <v>1121</v>
      </c>
      <c r="J297" s="950" t="s">
        <v>123</v>
      </c>
      <c r="K297" s="855">
        <v>371670.9302</v>
      </c>
      <c r="L297" s="951"/>
      <c r="M297" s="952">
        <v>-430</v>
      </c>
      <c r="N297" s="1092">
        <f t="shared" ref="N297:N328" si="68">-K297*M297</f>
        <v>159818499.986</v>
      </c>
      <c r="O297" s="934">
        <v>-239728</v>
      </c>
      <c r="P297" s="934">
        <v>-399527</v>
      </c>
      <c r="R297" s="1096">
        <f t="shared" ref="R297:R328" si="69">SUM(N297:Q297)</f>
        <v>159179244.986</v>
      </c>
      <c r="S297" s="995">
        <v>1401.0773347163456</v>
      </c>
      <c r="T297" s="1118">
        <f t="shared" si="67"/>
        <v>113612.03342728155</v>
      </c>
      <c r="U297" s="956">
        <v>44070</v>
      </c>
      <c r="V297" s="701" t="s">
        <v>1230</v>
      </c>
      <c r="W297" s="1031">
        <v>44068.367065972219</v>
      </c>
      <c r="X297" s="958">
        <v>-0.15000015644058731</v>
      </c>
      <c r="Y297" s="827" t="s">
        <v>1765</v>
      </c>
      <c r="Z297" s="827" t="s">
        <v>1808</v>
      </c>
      <c r="AA297" s="827" t="s">
        <v>1807</v>
      </c>
      <c r="AB297" s="827" t="s">
        <v>1972</v>
      </c>
      <c r="AC297" s="827" t="s">
        <v>1765</v>
      </c>
      <c r="AD297" s="827" t="s">
        <v>1808</v>
      </c>
      <c r="AE297" s="920" t="s">
        <v>1973</v>
      </c>
      <c r="AF297" s="827" t="s">
        <v>1864</v>
      </c>
      <c r="AL297" s="920">
        <v>0</v>
      </c>
      <c r="AM297" s="920">
        <v>0</v>
      </c>
      <c r="AN297" s="920" t="s">
        <v>1765</v>
      </c>
      <c r="AP297" s="1111"/>
    </row>
    <row r="298" spans="1:42" ht="14">
      <c r="A298" s="1046">
        <v>2019200315</v>
      </c>
      <c r="B298" s="1004">
        <v>44069</v>
      </c>
      <c r="C298" s="998" t="s">
        <v>138</v>
      </c>
      <c r="D298" s="1108" t="str">
        <f>IFERROR(VLOOKUP(G298,PosAggregate!$B$13:$B$93,1,FALSE),"")</f>
        <v/>
      </c>
      <c r="E298" s="880" t="s">
        <v>1252</v>
      </c>
      <c r="F298" s="1132" t="str">
        <f t="shared" si="66"/>
        <v/>
      </c>
      <c r="G298" s="701" t="s">
        <v>1202</v>
      </c>
      <c r="I298" s="950" t="s">
        <v>1121</v>
      </c>
      <c r="J298" s="950" t="s">
        <v>123</v>
      </c>
      <c r="K298" s="855">
        <v>374705</v>
      </c>
      <c r="L298" s="951"/>
      <c r="M298" s="952">
        <v>-300</v>
      </c>
      <c r="N298" s="1092">
        <f t="shared" si="68"/>
        <v>112411500</v>
      </c>
      <c r="O298" s="934">
        <v>-168617</v>
      </c>
      <c r="P298" s="934">
        <v>-281020</v>
      </c>
      <c r="R298" s="1096">
        <f t="shared" si="69"/>
        <v>111961863</v>
      </c>
      <c r="S298" s="995">
        <v>1401.0773347163456</v>
      </c>
      <c r="T298" s="1118">
        <f t="shared" si="67"/>
        <v>79911.265585255635</v>
      </c>
      <c r="U298" s="956">
        <v>44071</v>
      </c>
      <c r="V298" s="701" t="s">
        <v>1230</v>
      </c>
      <c r="W298" s="1031">
        <v>44068.367065972219</v>
      </c>
      <c r="X298" s="958">
        <v>-0.15000015644058731</v>
      </c>
      <c r="Y298" s="827" t="s">
        <v>1765</v>
      </c>
      <c r="Z298" s="827" t="s">
        <v>1808</v>
      </c>
      <c r="AA298" s="827" t="s">
        <v>1807</v>
      </c>
      <c r="AB298" s="827" t="s">
        <v>1972</v>
      </c>
      <c r="AC298" s="827" t="s">
        <v>1765</v>
      </c>
      <c r="AD298" s="827" t="s">
        <v>1808</v>
      </c>
      <c r="AE298" s="920" t="s">
        <v>1973</v>
      </c>
      <c r="AF298" s="827" t="s">
        <v>1864</v>
      </c>
      <c r="AL298" s="920">
        <v>0</v>
      </c>
      <c r="AM298" s="920">
        <v>0</v>
      </c>
      <c r="AN298" s="920" t="s">
        <v>1765</v>
      </c>
      <c r="AP298" s="1111"/>
    </row>
    <row r="299" spans="1:42" ht="12" customHeight="1">
      <c r="A299" s="1046">
        <v>2019200316</v>
      </c>
      <c r="B299" s="1004">
        <v>44082</v>
      </c>
      <c r="C299" s="998" t="s">
        <v>137</v>
      </c>
      <c r="D299" s="1108" t="str">
        <f>IFERROR(VLOOKUP(G299,PosAggregate!$B$13:$B$93,1,FALSE),"")</f>
        <v/>
      </c>
      <c r="E299" s="880" t="s">
        <v>12861</v>
      </c>
      <c r="F299" s="1132" t="str">
        <f t="shared" si="66"/>
        <v/>
      </c>
      <c r="G299" s="701" t="s">
        <v>2202</v>
      </c>
      <c r="I299" s="950" t="s">
        <v>12797</v>
      </c>
      <c r="J299" s="950" t="s">
        <v>125</v>
      </c>
      <c r="K299" s="855">
        <v>3012.2416699999999</v>
      </c>
      <c r="L299" s="855"/>
      <c r="M299" s="884">
        <v>4200</v>
      </c>
      <c r="N299" s="1092">
        <f t="shared" si="68"/>
        <v>-12651415.014</v>
      </c>
      <c r="O299" s="934">
        <v>-7591</v>
      </c>
      <c r="R299" s="1096">
        <f t="shared" si="69"/>
        <v>-12659006.014</v>
      </c>
      <c r="S299" s="995">
        <v>125.55539799584024</v>
      </c>
      <c r="T299" s="1118">
        <f t="shared" si="67"/>
        <v>-100824.06822858707</v>
      </c>
      <c r="U299" s="956">
        <v>44084</v>
      </c>
      <c r="V299" s="701" t="s">
        <v>1725</v>
      </c>
      <c r="W299" s="1031">
        <v>44082.386396180555</v>
      </c>
      <c r="X299" s="1089">
        <f t="shared" ref="X299:X330" si="70">+O299/N299*100</f>
        <v>6.000119347598535E-2</v>
      </c>
      <c r="Y299" s="1090" t="str">
        <f>VLOOKUP(V299,'bic broker'!$A$1:$B$14,2,FALSE)</f>
        <v>TAVSGB21XXX</v>
      </c>
      <c r="Z299" s="1090" t="str">
        <f>VLOOKUP(AA299,'place of settlement'!A:C,2,FALSE)</f>
        <v>JJSDJPJTXXX</v>
      </c>
      <c r="AA299" s="1090" t="str">
        <f>LEFT(E299,2)</f>
        <v>JP</v>
      </c>
      <c r="AB299" s="1090" t="str">
        <f t="shared" ref="AB299:AB309" si="71">CONCATENATE(V299,AA299)</f>
        <v>Tavira SecuritiesJP</v>
      </c>
      <c r="AC299" s="1090" t="str">
        <f>VLOOKUP(AB299,sample!$1:$1048576,2,FALSE)</f>
        <v>GSILGB2XXXX</v>
      </c>
      <c r="AD299" s="1090" t="str">
        <f>VLOOKUP($AB299,sample!$1:$1048576,3,FALSE)</f>
        <v>JJSDJPJTXXX</v>
      </c>
      <c r="AE299" s="1091">
        <f>VLOOKUP($AB299,sample!$1:$1048576,4,FALSE)</f>
        <v>6530490016</v>
      </c>
      <c r="AF299" s="1090" t="str">
        <f>VLOOKUP($AB299,sample!$1:$1048576,5,FALSE)</f>
        <v>N</v>
      </c>
      <c r="AL299" s="1091" t="str">
        <f>VLOOKUP($AB299,sample!$1:$1048576,11,FALSE)</f>
        <v xml:space="preserve">                  </v>
      </c>
      <c r="AM299" s="1091" t="str">
        <f>VLOOKUP($AB299,sample!$1:$1048576,12,FALSE)</f>
        <v xml:space="preserve">                          </v>
      </c>
      <c r="AN299" s="1091" t="str">
        <f>VLOOKUP($AB299,sample!$1:$1048576,13,FALSE)</f>
        <v>GOLDJPJXXXX</v>
      </c>
      <c r="AP299" s="1111"/>
    </row>
    <row r="300" spans="1:42" s="690" customFormat="1" ht="12" customHeight="1">
      <c r="A300" s="1046">
        <v>2019200317</v>
      </c>
      <c r="B300" s="1004">
        <v>44090</v>
      </c>
      <c r="C300" s="933" t="s">
        <v>137</v>
      </c>
      <c r="D300" s="1127" t="str">
        <f>IFERROR(VLOOKUP(G300,PosAggregate!$B$13:$B$93,1,FALSE),"")</f>
        <v/>
      </c>
      <c r="E300" s="1022" t="s">
        <v>12858</v>
      </c>
      <c r="F300" s="1132" t="str">
        <f t="shared" si="66"/>
        <v/>
      </c>
      <c r="G300" s="667" t="s">
        <v>2204</v>
      </c>
      <c r="I300" s="949" t="s">
        <v>12794</v>
      </c>
      <c r="J300" s="949" t="s">
        <v>123</v>
      </c>
      <c r="K300" s="995">
        <v>36089.904799999997</v>
      </c>
      <c r="L300" s="995"/>
      <c r="M300" s="1048">
        <v>4200</v>
      </c>
      <c r="N300" s="1103">
        <f t="shared" si="68"/>
        <v>-151577600.16</v>
      </c>
      <c r="O300" s="934">
        <v>-227366</v>
      </c>
      <c r="R300" s="1100">
        <f t="shared" si="69"/>
        <v>-151804966.16</v>
      </c>
      <c r="S300" s="995">
        <v>1397.4225338766214</v>
      </c>
      <c r="T300" s="1118">
        <f t="shared" si="67"/>
        <v>-108632.11554122747</v>
      </c>
      <c r="U300" s="1024">
        <v>44092</v>
      </c>
      <c r="V300" s="667" t="s">
        <v>1230</v>
      </c>
      <c r="W300" s="936">
        <v>44090.433785532405</v>
      </c>
      <c r="X300" s="1089">
        <f t="shared" si="70"/>
        <v>0.14999973595043095</v>
      </c>
      <c r="Y300" s="1111" t="e">
        <f>VLOOKUP(V300,'bic broker'!$A$1:$B$14,2,FALSE)</f>
        <v>#N/A</v>
      </c>
      <c r="Z300" s="1111" t="str">
        <f>VLOOKUP(AA300,'place of settlement'!A:C,2,FALSE)</f>
        <v>KSDCKRSEXXX</v>
      </c>
      <c r="AA300" s="1111" t="str">
        <f>LEFT(E300,2)</f>
        <v>KR</v>
      </c>
      <c r="AB300" s="1111" t="str">
        <f t="shared" si="71"/>
        <v>SamsungKR</v>
      </c>
      <c r="AC300" s="1090" t="e">
        <f>VLOOKUP(AB300,sample!$1:$1048576,2,FALSE)</f>
        <v>#N/A</v>
      </c>
      <c r="AD300" s="1111" t="e">
        <f>VLOOKUP($AB300,sample!$1:$1048576,3,FALSE)</f>
        <v>#N/A</v>
      </c>
      <c r="AE300" s="1104" t="e">
        <f>VLOOKUP($AB300,sample!$1:$1048576,4,FALSE)</f>
        <v>#N/A</v>
      </c>
      <c r="AF300" s="1111" t="e">
        <f>VLOOKUP($AB300,sample!$1:$1048576,5,FALSE)</f>
        <v>#N/A</v>
      </c>
      <c r="AL300" s="1104" t="e">
        <f>VLOOKUP($AB300,sample!$1:$1048576,11,FALSE)</f>
        <v>#N/A</v>
      </c>
      <c r="AM300" s="1104" t="e">
        <f>VLOOKUP($AB300,sample!$1:$1048576,12,FALSE)</f>
        <v>#N/A</v>
      </c>
      <c r="AN300" s="1104" t="e">
        <f>VLOOKUP($AB300,sample!$1:$1048576,13,FALSE)</f>
        <v>#N/A</v>
      </c>
      <c r="AP300" s="1111"/>
    </row>
    <row r="301" spans="1:42" s="690" customFormat="1" ht="12" customHeight="1">
      <c r="A301" s="1046">
        <v>2019200318</v>
      </c>
      <c r="B301" s="1004">
        <v>44098</v>
      </c>
      <c r="C301" s="933" t="s">
        <v>137</v>
      </c>
      <c r="D301" s="1127" t="str">
        <f>IFERROR(VLOOKUP(G301,PosAggregate!$B$13:$B$93,1,FALSE),"")</f>
        <v/>
      </c>
      <c r="E301" s="1022" t="s">
        <v>12861</v>
      </c>
      <c r="F301" s="1132" t="str">
        <f t="shared" si="66"/>
        <v/>
      </c>
      <c r="G301" s="667" t="s">
        <v>2202</v>
      </c>
      <c r="I301" s="949" t="s">
        <v>12797</v>
      </c>
      <c r="J301" s="949" t="s">
        <v>125</v>
      </c>
      <c r="K301" s="995">
        <v>2833.3809500000002</v>
      </c>
      <c r="L301" s="995"/>
      <c r="M301" s="1048">
        <v>4200</v>
      </c>
      <c r="N301" s="1103">
        <f t="shared" si="68"/>
        <v>-11900199.99</v>
      </c>
      <c r="O301" s="934">
        <v>-7140</v>
      </c>
      <c r="R301" s="1100">
        <f t="shared" si="69"/>
        <v>-11907339.99</v>
      </c>
      <c r="S301" s="995">
        <v>122.85038066479366</v>
      </c>
      <c r="T301" s="1118">
        <f t="shared" si="67"/>
        <v>-96925.544109546201</v>
      </c>
      <c r="U301" s="1024">
        <v>44102</v>
      </c>
      <c r="V301" s="667" t="s">
        <v>1725</v>
      </c>
      <c r="W301" s="936">
        <v>44098.418618402779</v>
      </c>
      <c r="X301" s="1089">
        <f t="shared" si="70"/>
        <v>5.9998991664004804E-2</v>
      </c>
      <c r="Y301" s="1111" t="str">
        <f>VLOOKUP(V301,'bic broker'!$A$1:$B$14,2,FALSE)</f>
        <v>TAVSGB21XXX</v>
      </c>
      <c r="Z301" s="1111" t="str">
        <f>VLOOKUP(AA301,'place of settlement'!A:C,2,FALSE)</f>
        <v>JJSDJPJTXXX</v>
      </c>
      <c r="AA301" s="1111" t="str">
        <f>LEFT(E301,2)</f>
        <v>JP</v>
      </c>
      <c r="AB301" s="1111" t="str">
        <f t="shared" si="71"/>
        <v>Tavira SecuritiesJP</v>
      </c>
      <c r="AC301" s="1090" t="str">
        <f>VLOOKUP(AB301,sample!$1:$1048576,2,FALSE)</f>
        <v>GSILGB2XXXX</v>
      </c>
      <c r="AD301" s="1111" t="str">
        <f>VLOOKUP($AB301,sample!$1:$1048576,3,FALSE)</f>
        <v>JJSDJPJTXXX</v>
      </c>
      <c r="AE301" s="1104">
        <f>VLOOKUP($AB301,sample!$1:$1048576,4,FALSE)</f>
        <v>6530490016</v>
      </c>
      <c r="AF301" s="1111" t="str">
        <f>VLOOKUP($AB301,sample!$1:$1048576,5,FALSE)</f>
        <v>N</v>
      </c>
      <c r="AL301" s="1104" t="str">
        <f>VLOOKUP($AB301,sample!$1:$1048576,11,FALSE)</f>
        <v xml:space="preserve">                  </v>
      </c>
      <c r="AM301" s="1104" t="str">
        <f>VLOOKUP($AB301,sample!$1:$1048576,12,FALSE)</f>
        <v xml:space="preserve">                          </v>
      </c>
      <c r="AN301" s="1104" t="str">
        <f>VLOOKUP($AB301,sample!$1:$1048576,13,FALSE)</f>
        <v>GOLDJPJXXXX</v>
      </c>
      <c r="AP301" s="1111"/>
    </row>
    <row r="302" spans="1:42" s="690" customFormat="1" ht="12" customHeight="1">
      <c r="A302" s="1046">
        <v>2019200319</v>
      </c>
      <c r="B302" s="1004">
        <v>44098</v>
      </c>
      <c r="C302" s="933" t="s">
        <v>138</v>
      </c>
      <c r="D302" s="1127" t="str">
        <f>IFERROR(VLOOKUP(G302,PosAggregate!$B$13:$B$93,1,FALSE),"")</f>
        <v/>
      </c>
      <c r="E302" s="1022" t="s">
        <v>1256</v>
      </c>
      <c r="F302" s="1132" t="str">
        <f t="shared" si="66"/>
        <v/>
      </c>
      <c r="G302" s="667" t="s">
        <v>1206</v>
      </c>
      <c r="I302" s="949" t="s">
        <v>1149</v>
      </c>
      <c r="J302" s="949" t="s">
        <v>123</v>
      </c>
      <c r="K302" s="995">
        <v>5632.0828000000001</v>
      </c>
      <c r="L302" s="995"/>
      <c r="M302" s="1048">
        <v>-33392</v>
      </c>
      <c r="N302" s="1103">
        <f t="shared" si="68"/>
        <v>188066508.8576</v>
      </c>
      <c r="O302" s="934">
        <v>-282100</v>
      </c>
      <c r="P302" s="934">
        <v>-470034</v>
      </c>
      <c r="R302" s="1100">
        <f t="shared" si="69"/>
        <v>187314374.8576</v>
      </c>
      <c r="S302" s="995">
        <v>1364.8552541068645</v>
      </c>
      <c r="T302" s="1118">
        <f t="shared" si="67"/>
        <v>137241.20143434184</v>
      </c>
      <c r="U302" s="1024">
        <v>44102</v>
      </c>
      <c r="V302" s="667" t="s">
        <v>1230</v>
      </c>
      <c r="W302" s="936">
        <v>44098.418859606485</v>
      </c>
      <c r="X302" s="1089">
        <f t="shared" si="70"/>
        <v>-0.15000012586696135</v>
      </c>
      <c r="Y302" s="1111" t="e">
        <f>VLOOKUP(V302,'bic broker'!$A$1:$B$14,2,FALSE)</f>
        <v>#N/A</v>
      </c>
      <c r="Z302" s="1111" t="str">
        <f>VLOOKUP(AA302,'place of settlement'!A:C,2,FALSE)</f>
        <v>KSDCKRSEXXX</v>
      </c>
      <c r="AA302" s="690" t="s">
        <v>1807</v>
      </c>
      <c r="AB302" s="1111" t="str">
        <f t="shared" si="71"/>
        <v>SamsungKR</v>
      </c>
      <c r="AC302" s="1090" t="e">
        <f>VLOOKUP(AB302,sample!$1:$1048576,2,FALSE)</f>
        <v>#N/A</v>
      </c>
      <c r="AD302" s="1111" t="e">
        <f>VLOOKUP($AB302,sample!$1:$1048576,3,FALSE)</f>
        <v>#N/A</v>
      </c>
      <c r="AE302" s="1104" t="e">
        <f>VLOOKUP($AB302,sample!$1:$1048576,4,FALSE)</f>
        <v>#N/A</v>
      </c>
      <c r="AF302" s="1111" t="e">
        <f>VLOOKUP($AB302,sample!$1:$1048576,5,FALSE)</f>
        <v>#N/A</v>
      </c>
      <c r="AL302" s="1104" t="e">
        <f>VLOOKUP($AB302,sample!$1:$1048576,11,FALSE)</f>
        <v>#N/A</v>
      </c>
      <c r="AM302" s="1104" t="e">
        <f>VLOOKUP($AB302,sample!$1:$1048576,12,FALSE)</f>
        <v>#N/A</v>
      </c>
      <c r="AN302" s="1104" t="e">
        <f>VLOOKUP($AB302,sample!$1:$1048576,13,FALSE)</f>
        <v>#N/A</v>
      </c>
      <c r="AP302" s="1111"/>
    </row>
    <row r="303" spans="1:42" s="690" customFormat="1" ht="14.25" customHeight="1">
      <c r="A303" s="1046">
        <v>2019200320</v>
      </c>
      <c r="B303" s="1004">
        <v>44098</v>
      </c>
      <c r="C303" s="933" t="s">
        <v>137</v>
      </c>
      <c r="D303" s="1127" t="str">
        <f>IFERROR(VLOOKUP(G303,PosAggregate!$B$13:$B$93,1,FALSE),"")</f>
        <v/>
      </c>
      <c r="E303" s="1022" t="s">
        <v>1698</v>
      </c>
      <c r="F303" s="1132" t="str">
        <f t="shared" si="66"/>
        <v/>
      </c>
      <c r="G303" s="667" t="s">
        <v>1687</v>
      </c>
      <c r="I303" s="949" t="s">
        <v>1688</v>
      </c>
      <c r="J303" s="949" t="s">
        <v>3</v>
      </c>
      <c r="K303" s="995">
        <v>24.392399999999999</v>
      </c>
      <c r="L303" s="995"/>
      <c r="M303" s="1048">
        <v>3500</v>
      </c>
      <c r="N303" s="1103">
        <f t="shared" si="68"/>
        <v>-85373.4</v>
      </c>
      <c r="O303" s="934">
        <v>-42.69</v>
      </c>
      <c r="R303" s="1100">
        <f t="shared" si="69"/>
        <v>-85416.09</v>
      </c>
      <c r="S303" s="995">
        <v>1.1658952326543937</v>
      </c>
      <c r="T303" s="1118">
        <f t="shared" si="67"/>
        <v>-73262.234553899994</v>
      </c>
      <c r="U303" s="1024">
        <v>44102</v>
      </c>
      <c r="V303" s="667" t="s">
        <v>2207</v>
      </c>
      <c r="W303" s="936">
        <v>44098.665131365742</v>
      </c>
      <c r="X303" s="1089">
        <f t="shared" si="70"/>
        <v>5.0003865372586775E-2</v>
      </c>
      <c r="Y303" s="690" t="s">
        <v>1763</v>
      </c>
      <c r="Z303" s="1111" t="str">
        <f>VLOOKUP(AA303,'place of settlement'!A:C,2,FALSE)</f>
        <v>DTCYUS33XXX</v>
      </c>
      <c r="AA303" s="1111" t="str">
        <f t="shared" ref="AA303:AA309" si="72">LEFT(E303,2)</f>
        <v>US</v>
      </c>
      <c r="AB303" s="1111" t="str">
        <f t="shared" si="71"/>
        <v>Kepler US</v>
      </c>
      <c r="AC303" s="1090" t="e">
        <f>VLOOKUP(AB303,sample!$1:$1048576,2,FALSE)</f>
        <v>#N/A</v>
      </c>
      <c r="AD303" s="1111" t="e">
        <f>VLOOKUP($AB303,sample!$1:$1048576,3,FALSE)</f>
        <v>#N/A</v>
      </c>
      <c r="AE303" s="1104" t="e">
        <f>VLOOKUP($AB303,sample!$1:$1048576,4,FALSE)</f>
        <v>#N/A</v>
      </c>
      <c r="AF303" s="1111" t="e">
        <f>VLOOKUP($AB303,sample!$1:$1048576,5,FALSE)</f>
        <v>#N/A</v>
      </c>
      <c r="AL303" s="1104" t="e">
        <f>VLOOKUP($AB303,sample!$1:$1048576,11,FALSE)</f>
        <v>#N/A</v>
      </c>
      <c r="AM303" s="1104" t="e">
        <f>VLOOKUP($AB303,sample!$1:$1048576,12,FALSE)</f>
        <v>#N/A</v>
      </c>
      <c r="AN303" s="1104" t="e">
        <f>VLOOKUP($AB303,sample!$1:$1048576,13,FALSE)</f>
        <v>#N/A</v>
      </c>
      <c r="AP303" s="1111"/>
    </row>
    <row r="304" spans="1:42" s="690" customFormat="1">
      <c r="A304" s="1046">
        <v>2019200321</v>
      </c>
      <c r="B304" s="1004">
        <v>44099</v>
      </c>
      <c r="C304" s="933" t="s">
        <v>137</v>
      </c>
      <c r="D304" s="1127" t="str">
        <f>IFERROR(VLOOKUP(G304,PosAggregate!$B$13:$B$93,1,FALSE),"")</f>
        <v/>
      </c>
      <c r="E304" s="1022" t="s">
        <v>12859</v>
      </c>
      <c r="F304" s="1132" t="str">
        <f t="shared" si="66"/>
        <v/>
      </c>
      <c r="G304" s="667" t="s">
        <v>2206</v>
      </c>
      <c r="I304" s="949" t="s">
        <v>12795</v>
      </c>
      <c r="J304" s="949" t="s">
        <v>125</v>
      </c>
      <c r="K304" s="995">
        <v>4773.6227500000005</v>
      </c>
      <c r="L304" s="995"/>
      <c r="M304" s="1048">
        <v>1670</v>
      </c>
      <c r="N304" s="1103">
        <f t="shared" si="68"/>
        <v>-7971949.9925000006</v>
      </c>
      <c r="O304" s="934">
        <v>-4783</v>
      </c>
      <c r="R304" s="1100">
        <f t="shared" si="69"/>
        <v>-7976732.9925000006</v>
      </c>
      <c r="S304" s="995">
        <v>122.85038066479349</v>
      </c>
      <c r="T304" s="1118">
        <f t="shared" si="67"/>
        <v>-64930.470295123603</v>
      </c>
      <c r="U304" s="1024">
        <v>44103</v>
      </c>
      <c r="V304" s="667" t="s">
        <v>1725</v>
      </c>
      <c r="W304" s="936">
        <v>44098.726701736108</v>
      </c>
      <c r="X304" s="1089">
        <f t="shared" si="70"/>
        <v>5.999786757944843E-2</v>
      </c>
      <c r="Y304" s="1111" t="str">
        <f>VLOOKUP(V304,'bic broker'!$A$1:$B$14,2,FALSE)</f>
        <v>TAVSGB21XXX</v>
      </c>
      <c r="Z304" s="1111" t="str">
        <f>VLOOKUP(AA304,'place of settlement'!A:C,2,FALSE)</f>
        <v>JJSDJPJTXXX</v>
      </c>
      <c r="AA304" s="1111" t="str">
        <f t="shared" si="72"/>
        <v>JP</v>
      </c>
      <c r="AB304" s="1111" t="str">
        <f t="shared" si="71"/>
        <v>Tavira SecuritiesJP</v>
      </c>
      <c r="AC304" s="1090" t="str">
        <f>VLOOKUP(AB304,sample!$1:$1048576,2,FALSE)</f>
        <v>GSILGB2XXXX</v>
      </c>
      <c r="AD304" s="1111" t="str">
        <f>VLOOKUP($AB304,sample!$1:$1048576,3,FALSE)</f>
        <v>JJSDJPJTXXX</v>
      </c>
      <c r="AE304" s="1104">
        <f>VLOOKUP($AB304,sample!$1:$1048576,4,FALSE)</f>
        <v>6530490016</v>
      </c>
      <c r="AF304" s="1111" t="str">
        <f>VLOOKUP($AB304,sample!$1:$1048576,5,FALSE)</f>
        <v>N</v>
      </c>
      <c r="AL304" s="1104" t="str">
        <f>VLOOKUP($AB304,sample!$1:$1048576,11,FALSE)</f>
        <v xml:space="preserve">                  </v>
      </c>
      <c r="AM304" s="1104" t="str">
        <f>VLOOKUP($AB304,sample!$1:$1048576,12,FALSE)</f>
        <v xml:space="preserve">                          </v>
      </c>
      <c r="AN304" s="1104" t="str">
        <f>VLOOKUP($AB304,sample!$1:$1048576,13,FALSE)</f>
        <v>GOLDJPJXXXX</v>
      </c>
      <c r="AP304" s="1111"/>
    </row>
    <row r="305" spans="1:42" s="690" customFormat="1">
      <c r="A305" s="1046">
        <v>2019200322</v>
      </c>
      <c r="B305" s="1004">
        <v>44099</v>
      </c>
      <c r="C305" s="933" t="s">
        <v>137</v>
      </c>
      <c r="D305" s="1127" t="str">
        <f>IFERROR(VLOOKUP(G305,PosAggregate!$B$13:$B$93,1,FALSE),"")</f>
        <v/>
      </c>
      <c r="E305" s="1022" t="s">
        <v>12860</v>
      </c>
      <c r="F305" s="1132" t="str">
        <f t="shared" si="66"/>
        <v/>
      </c>
      <c r="G305" s="667" t="s">
        <v>2208</v>
      </c>
      <c r="I305" s="949" t="s">
        <v>12796</v>
      </c>
      <c r="J305" s="949" t="s">
        <v>125</v>
      </c>
      <c r="K305" s="995">
        <v>1162.5029</v>
      </c>
      <c r="L305" s="995"/>
      <c r="M305" s="1048">
        <v>6900</v>
      </c>
      <c r="N305" s="1103">
        <f t="shared" si="68"/>
        <v>-8021270.0099999998</v>
      </c>
      <c r="O305" s="934">
        <v>-4813</v>
      </c>
      <c r="R305" s="1100">
        <f t="shared" si="69"/>
        <v>-8026083.0099999998</v>
      </c>
      <c r="S305" s="995">
        <v>122.8121183927429</v>
      </c>
      <c r="T305" s="1118">
        <f t="shared" si="67"/>
        <v>-65352.532918072924</v>
      </c>
      <c r="U305" s="1024">
        <v>44103</v>
      </c>
      <c r="V305" s="667" t="s">
        <v>1725</v>
      </c>
      <c r="W305" s="936">
        <v>44102.435952777778</v>
      </c>
      <c r="X305" s="1089">
        <f t="shared" si="70"/>
        <v>6.0002967036388299E-2</v>
      </c>
      <c r="Y305" s="1111" t="str">
        <f>VLOOKUP(V305,'bic broker'!$A$1:$B$14,2,FALSE)</f>
        <v>TAVSGB21XXX</v>
      </c>
      <c r="Z305" s="1111" t="str">
        <f>VLOOKUP(AA305,'place of settlement'!A:C,2,FALSE)</f>
        <v>JJSDJPJTXXX</v>
      </c>
      <c r="AA305" s="1111" t="str">
        <f t="shared" si="72"/>
        <v>JP</v>
      </c>
      <c r="AB305" s="1111" t="str">
        <f t="shared" si="71"/>
        <v>Tavira SecuritiesJP</v>
      </c>
      <c r="AC305" s="1090" t="str">
        <f>VLOOKUP(AB305,sample!$1:$1048576,2,FALSE)</f>
        <v>GSILGB2XXXX</v>
      </c>
      <c r="AD305" s="1111" t="str">
        <f>VLOOKUP($AB305,sample!$1:$1048576,3,FALSE)</f>
        <v>JJSDJPJTXXX</v>
      </c>
      <c r="AE305" s="1104">
        <f>VLOOKUP($AB305,sample!$1:$1048576,4,FALSE)</f>
        <v>6530490016</v>
      </c>
      <c r="AF305" s="1111" t="str">
        <f>VLOOKUP($AB305,sample!$1:$1048576,5,FALSE)</f>
        <v>N</v>
      </c>
      <c r="AL305" s="1104" t="str">
        <f>VLOOKUP($AB305,sample!$1:$1048576,11,FALSE)</f>
        <v xml:space="preserve">                  </v>
      </c>
      <c r="AM305" s="1104" t="str">
        <f>VLOOKUP($AB305,sample!$1:$1048576,12,FALSE)</f>
        <v xml:space="preserve">                          </v>
      </c>
      <c r="AN305" s="1104" t="str">
        <f>VLOOKUP($AB305,sample!$1:$1048576,13,FALSE)</f>
        <v>GOLDJPJXXXX</v>
      </c>
      <c r="AP305" s="1111"/>
    </row>
    <row r="306" spans="1:42" s="690" customFormat="1">
      <c r="A306" s="1049">
        <v>2019200323</v>
      </c>
      <c r="B306" s="1004">
        <v>44102</v>
      </c>
      <c r="C306" s="933" t="s">
        <v>138</v>
      </c>
      <c r="D306" s="1127" t="str">
        <f>IFERROR(VLOOKUP(G306,PosAggregate!$B$13:$B$93,1,FALSE),"")</f>
        <v/>
      </c>
      <c r="E306" s="1022" t="s">
        <v>1251</v>
      </c>
      <c r="F306" s="1132" t="str">
        <f t="shared" si="66"/>
        <v/>
      </c>
      <c r="G306" s="667" t="s">
        <v>1200</v>
      </c>
      <c r="I306" s="949" t="s">
        <v>1148</v>
      </c>
      <c r="J306" s="949" t="s">
        <v>125</v>
      </c>
      <c r="K306" s="995">
        <v>530.27</v>
      </c>
      <c r="L306" s="995"/>
      <c r="M306" s="1048">
        <v>-10000</v>
      </c>
      <c r="N306" s="1103">
        <f t="shared" si="68"/>
        <v>5302700</v>
      </c>
      <c r="O306" s="934">
        <v>-3182</v>
      </c>
      <c r="R306" s="1100">
        <f t="shared" si="69"/>
        <v>5299518</v>
      </c>
      <c r="S306" s="995">
        <v>122.812118392743</v>
      </c>
      <c r="T306" s="1118">
        <f t="shared" si="67"/>
        <v>43151.425684659065</v>
      </c>
      <c r="U306" s="1024">
        <v>44104</v>
      </c>
      <c r="V306" s="667" t="s">
        <v>1725</v>
      </c>
      <c r="W306" s="936">
        <v>44102.434742939811</v>
      </c>
      <c r="X306" s="1089">
        <f t="shared" si="70"/>
        <v>-6.0007166160635152E-2</v>
      </c>
      <c r="Y306" s="1111" t="str">
        <f>VLOOKUP(V306,'bic broker'!$A$1:$B$14,2,FALSE)</f>
        <v>TAVSGB21XXX</v>
      </c>
      <c r="Z306" s="1111" t="str">
        <f>VLOOKUP(AA306,'place of settlement'!A:C,2,FALSE)</f>
        <v>JJSDJPJTXXX</v>
      </c>
      <c r="AA306" s="1111" t="str">
        <f t="shared" si="72"/>
        <v>JP</v>
      </c>
      <c r="AB306" s="1111" t="str">
        <f t="shared" si="71"/>
        <v>Tavira SecuritiesJP</v>
      </c>
      <c r="AC306" s="1090" t="str">
        <f>VLOOKUP(AB306,sample!$1:$1048576,2,FALSE)</f>
        <v>GSILGB2XXXX</v>
      </c>
      <c r="AD306" s="1111" t="str">
        <f>VLOOKUP($AB306,sample!$1:$1048576,3,FALSE)</f>
        <v>JJSDJPJTXXX</v>
      </c>
      <c r="AE306" s="1104">
        <f>VLOOKUP($AB306,sample!$1:$1048576,4,FALSE)</f>
        <v>6530490016</v>
      </c>
      <c r="AF306" s="1111" t="str">
        <f>VLOOKUP($AB306,sample!$1:$1048576,5,FALSE)</f>
        <v>N</v>
      </c>
      <c r="AL306" s="1104" t="str">
        <f>VLOOKUP($AB306,sample!$1:$1048576,11,FALSE)</f>
        <v xml:space="preserve">                  </v>
      </c>
      <c r="AM306" s="1104" t="str">
        <f>VLOOKUP($AB306,sample!$1:$1048576,12,FALSE)</f>
        <v xml:space="preserve">                          </v>
      </c>
      <c r="AN306" s="1104" t="str">
        <f>VLOOKUP($AB306,sample!$1:$1048576,13,FALSE)</f>
        <v>GOLDJPJXXXX</v>
      </c>
      <c r="AP306" s="1111"/>
    </row>
    <row r="307" spans="1:42" s="690" customFormat="1">
      <c r="A307" s="1046">
        <v>2019200324</v>
      </c>
      <c r="B307" s="1004">
        <v>44102</v>
      </c>
      <c r="C307" s="933" t="s">
        <v>137</v>
      </c>
      <c r="D307" s="1127" t="str">
        <f>IFERROR(VLOOKUP(G307,PosAggregate!$B$13:$B$93,1,FALSE),"")</f>
        <v/>
      </c>
      <c r="E307" s="1022" t="s">
        <v>1258</v>
      </c>
      <c r="F307" s="1132" t="str">
        <f t="shared" si="66"/>
        <v/>
      </c>
      <c r="G307" s="667" t="s">
        <v>1208</v>
      </c>
      <c r="I307" s="949" t="s">
        <v>12884</v>
      </c>
      <c r="J307" s="949" t="s">
        <v>123</v>
      </c>
      <c r="K307" s="995">
        <v>44997.772700000001</v>
      </c>
      <c r="L307" s="995"/>
      <c r="M307" s="1048">
        <v>1100</v>
      </c>
      <c r="N307" s="1103">
        <f t="shared" si="68"/>
        <v>-49497549.969999999</v>
      </c>
      <c r="O307" s="934">
        <v>-74246</v>
      </c>
      <c r="R307" s="1100">
        <f t="shared" si="69"/>
        <v>-49571795.969999999</v>
      </c>
      <c r="S307" s="995">
        <v>1365.7265802174807</v>
      </c>
      <c r="T307" s="1118">
        <f t="shared" si="67"/>
        <v>-36297.013390561748</v>
      </c>
      <c r="U307" s="1024">
        <v>44109</v>
      </c>
      <c r="V307" s="667" t="s">
        <v>1230</v>
      </c>
      <c r="W307" s="936">
        <v>44102.438202430552</v>
      </c>
      <c r="X307" s="1089">
        <f t="shared" si="70"/>
        <v>0.14999934349275834</v>
      </c>
      <c r="Y307" s="1111" t="e">
        <f>VLOOKUP(V307,'bic broker'!$A$1:$B$14,2,FALSE)</f>
        <v>#N/A</v>
      </c>
      <c r="Z307" s="1111" t="str">
        <f>VLOOKUP(AA307,'place of settlement'!A:C,2,FALSE)</f>
        <v>KSDCKRSEXXX</v>
      </c>
      <c r="AA307" s="1111" t="str">
        <f t="shared" si="72"/>
        <v>KR</v>
      </c>
      <c r="AB307" s="1111" t="str">
        <f t="shared" si="71"/>
        <v>SamsungKR</v>
      </c>
      <c r="AC307" s="1090" t="e">
        <f>VLOOKUP(AB307,sample!$1:$1048576,2,FALSE)</f>
        <v>#N/A</v>
      </c>
      <c r="AD307" s="1111" t="e">
        <f>VLOOKUP($AB307,sample!$1:$1048576,3,FALSE)</f>
        <v>#N/A</v>
      </c>
      <c r="AE307" s="1104" t="e">
        <f>VLOOKUP($AB307,sample!$1:$1048576,4,FALSE)</f>
        <v>#N/A</v>
      </c>
      <c r="AF307" s="1111" t="e">
        <f>VLOOKUP($AB307,sample!$1:$1048576,5,FALSE)</f>
        <v>#N/A</v>
      </c>
      <c r="AL307" s="1104" t="e">
        <f>VLOOKUP($AB307,sample!$1:$1048576,11,FALSE)</f>
        <v>#N/A</v>
      </c>
      <c r="AM307" s="1104" t="e">
        <f>VLOOKUP($AB307,sample!$1:$1048576,12,FALSE)</f>
        <v>#N/A</v>
      </c>
      <c r="AN307" s="1104" t="e">
        <f>VLOOKUP($AB307,sample!$1:$1048576,13,FALSE)</f>
        <v>#N/A</v>
      </c>
      <c r="AP307" s="1111"/>
    </row>
    <row r="308" spans="1:42" s="690" customFormat="1">
      <c r="A308" s="1046">
        <v>2019200325</v>
      </c>
      <c r="B308" s="1004">
        <v>44102</v>
      </c>
      <c r="C308" s="933" t="s">
        <v>138</v>
      </c>
      <c r="D308" s="1127" t="str">
        <f>IFERROR(VLOOKUP(G308,PosAggregate!$B$13:$B$93,1,FALSE),"")</f>
        <v/>
      </c>
      <c r="E308" s="1022" t="s">
        <v>1681</v>
      </c>
      <c r="F308" s="1132" t="str">
        <f t="shared" si="66"/>
        <v/>
      </c>
      <c r="G308" s="667" t="s">
        <v>1661</v>
      </c>
      <c r="I308" s="949" t="s">
        <v>1664</v>
      </c>
      <c r="J308" s="949" t="s">
        <v>125</v>
      </c>
      <c r="K308" s="995">
        <v>4541.6363600000004</v>
      </c>
      <c r="L308" s="995"/>
      <c r="M308" s="1048">
        <v>-1100</v>
      </c>
      <c r="N308" s="1103">
        <f t="shared" si="68"/>
        <v>4995799.9960000003</v>
      </c>
      <c r="O308" s="934">
        <v>-2997</v>
      </c>
      <c r="R308" s="1100">
        <f t="shared" si="69"/>
        <v>4992802.9960000003</v>
      </c>
      <c r="S308" s="995">
        <v>122.812118392743</v>
      </c>
      <c r="T308" s="1118">
        <f t="shared" si="67"/>
        <v>40653.992955592781</v>
      </c>
      <c r="U308" s="1024">
        <v>44104</v>
      </c>
      <c r="V308" s="667" t="s">
        <v>1725</v>
      </c>
      <c r="W308" s="936">
        <v>44102.440104398149</v>
      </c>
      <c r="X308" s="1089">
        <f t="shared" si="70"/>
        <v>-5.9990391977253206E-2</v>
      </c>
      <c r="Y308" s="1111" t="str">
        <f>VLOOKUP(V308,'bic broker'!$A$1:$B$14,2,FALSE)</f>
        <v>TAVSGB21XXX</v>
      </c>
      <c r="Z308" s="1111" t="str">
        <f>VLOOKUP(AA308,'place of settlement'!A:C,2,FALSE)</f>
        <v>JJSDJPJTXXX</v>
      </c>
      <c r="AA308" s="1111" t="str">
        <f t="shared" si="72"/>
        <v>JP</v>
      </c>
      <c r="AB308" s="1111" t="str">
        <f t="shared" si="71"/>
        <v>Tavira SecuritiesJP</v>
      </c>
      <c r="AC308" s="1090" t="str">
        <f>VLOOKUP(AB308,sample!$1:$1048576,2,FALSE)</f>
        <v>GSILGB2XXXX</v>
      </c>
      <c r="AD308" s="1111" t="str">
        <f>VLOOKUP($AB308,sample!$1:$1048576,3,FALSE)</f>
        <v>JJSDJPJTXXX</v>
      </c>
      <c r="AE308" s="1104">
        <f>VLOOKUP($AB308,sample!$1:$1048576,4,FALSE)</f>
        <v>6530490016</v>
      </c>
      <c r="AF308" s="1111" t="str">
        <f>VLOOKUP($AB308,sample!$1:$1048576,5,FALSE)</f>
        <v>N</v>
      </c>
      <c r="AL308" s="1104" t="str">
        <f>VLOOKUP($AB308,sample!$1:$1048576,11,FALSE)</f>
        <v xml:space="preserve">                  </v>
      </c>
      <c r="AM308" s="1104" t="str">
        <f>VLOOKUP($AB308,sample!$1:$1048576,12,FALSE)</f>
        <v xml:space="preserve">                          </v>
      </c>
      <c r="AN308" s="1104" t="str">
        <f>VLOOKUP($AB308,sample!$1:$1048576,13,FALSE)</f>
        <v>GOLDJPJXXXX</v>
      </c>
      <c r="AP308" s="1111"/>
    </row>
    <row r="309" spans="1:42" s="690" customFormat="1">
      <c r="A309" s="1046">
        <v>2019200326</v>
      </c>
      <c r="B309" s="1004">
        <v>44102</v>
      </c>
      <c r="C309" s="933" t="s">
        <v>137</v>
      </c>
      <c r="D309" s="1127" t="str">
        <f>IFERROR(VLOOKUP(G309,PosAggregate!$B$13:$B$93,1,FALSE),"")</f>
        <v/>
      </c>
      <c r="E309" s="1022" t="s">
        <v>12861</v>
      </c>
      <c r="F309" s="1132" t="str">
        <f t="shared" si="66"/>
        <v/>
      </c>
      <c r="G309" s="667" t="s">
        <v>2202</v>
      </c>
      <c r="I309" s="949" t="s">
        <v>12797</v>
      </c>
      <c r="J309" s="949" t="s">
        <v>125</v>
      </c>
      <c r="K309" s="995">
        <v>2699.75938</v>
      </c>
      <c r="L309" s="995"/>
      <c r="M309" s="1048">
        <v>2200</v>
      </c>
      <c r="N309" s="1103">
        <f t="shared" si="68"/>
        <v>-5939470.6359999999</v>
      </c>
      <c r="O309" s="934">
        <v>-3564</v>
      </c>
      <c r="R309" s="1100">
        <f t="shared" si="69"/>
        <v>-5943034.6359999999</v>
      </c>
      <c r="S309" s="995">
        <v>122.81211839274312</v>
      </c>
      <c r="T309" s="1118">
        <f t="shared" si="67"/>
        <v>-48391.272081104085</v>
      </c>
      <c r="U309" s="1024">
        <v>44104</v>
      </c>
      <c r="V309" s="667" t="s">
        <v>1725</v>
      </c>
      <c r="W309" s="936">
        <v>44102.440941782406</v>
      </c>
      <c r="X309" s="1089">
        <f t="shared" si="70"/>
        <v>6.0005347587680211E-2</v>
      </c>
      <c r="Y309" s="1111" t="str">
        <f>VLOOKUP(V309,'bic broker'!$A$1:$B$14,2,FALSE)</f>
        <v>TAVSGB21XXX</v>
      </c>
      <c r="Z309" s="1111" t="str">
        <f>VLOOKUP(AA309,'place of settlement'!A:C,2,FALSE)</f>
        <v>JJSDJPJTXXX</v>
      </c>
      <c r="AA309" s="1111" t="str">
        <f t="shared" si="72"/>
        <v>JP</v>
      </c>
      <c r="AB309" s="1111" t="str">
        <f t="shared" si="71"/>
        <v>Tavira SecuritiesJP</v>
      </c>
      <c r="AC309" s="1090" t="str">
        <f>VLOOKUP(AB309,sample!$1:$1048576,2,FALSE)</f>
        <v>GSILGB2XXXX</v>
      </c>
      <c r="AD309" s="1111" t="str">
        <f>VLOOKUP($AB309,sample!$1:$1048576,3,FALSE)</f>
        <v>JJSDJPJTXXX</v>
      </c>
      <c r="AE309" s="1104">
        <f>VLOOKUP($AB309,sample!$1:$1048576,4,FALSE)</f>
        <v>6530490016</v>
      </c>
      <c r="AF309" s="1111" t="str">
        <f>VLOOKUP($AB309,sample!$1:$1048576,5,FALSE)</f>
        <v>N</v>
      </c>
      <c r="AL309" s="1104" t="str">
        <f>VLOOKUP($AB309,sample!$1:$1048576,11,FALSE)</f>
        <v xml:space="preserve">                  </v>
      </c>
      <c r="AM309" s="1104" t="str">
        <f>VLOOKUP($AB309,sample!$1:$1048576,12,FALSE)</f>
        <v xml:space="preserve">                          </v>
      </c>
      <c r="AN309" s="1104" t="str">
        <f>VLOOKUP($AB309,sample!$1:$1048576,13,FALSE)</f>
        <v>GOLDJPJXXXX</v>
      </c>
      <c r="AP309" s="1111"/>
    </row>
    <row r="310" spans="1:42" s="690" customFormat="1">
      <c r="A310" s="1046">
        <v>2019200327</v>
      </c>
      <c r="B310" s="1004">
        <v>44104</v>
      </c>
      <c r="C310" s="933" t="s">
        <v>138</v>
      </c>
      <c r="D310" s="1127" t="str">
        <f>IFERROR(VLOOKUP(G310,PosAggregate!$B$13:$B$93,1,FALSE),"")</f>
        <v/>
      </c>
      <c r="E310" s="1022" t="s">
        <v>1267</v>
      </c>
      <c r="F310" s="1132" t="str">
        <f t="shared" si="66"/>
        <v/>
      </c>
      <c r="G310" s="667" t="s">
        <v>1218</v>
      </c>
      <c r="I310" s="949" t="s">
        <v>131</v>
      </c>
      <c r="J310" s="949" t="s">
        <v>2</v>
      </c>
      <c r="K310" s="995">
        <v>46.034999999999997</v>
      </c>
      <c r="L310" s="995"/>
      <c r="M310" s="1048">
        <v>-600</v>
      </c>
      <c r="N310" s="1103">
        <f t="shared" si="68"/>
        <v>27620.999999999996</v>
      </c>
      <c r="O310" s="934">
        <v>-13.81</v>
      </c>
      <c r="R310" s="1100">
        <f t="shared" si="69"/>
        <v>27607.189999999995</v>
      </c>
      <c r="S310" s="995">
        <v>1</v>
      </c>
      <c r="T310" s="1118">
        <f t="shared" si="67"/>
        <v>27607.189999999995</v>
      </c>
      <c r="U310" s="1024">
        <v>44106</v>
      </c>
      <c r="V310" s="667" t="s">
        <v>1154</v>
      </c>
      <c r="W310" s="936">
        <v>44104.705729398149</v>
      </c>
      <c r="X310" s="1089">
        <f t="shared" si="70"/>
        <v>-4.9998189783136027E-2</v>
      </c>
      <c r="Y310" s="690" t="s">
        <v>1763</v>
      </c>
      <c r="Z310" s="690" t="s">
        <v>1790</v>
      </c>
      <c r="AA310" s="690" t="s">
        <v>1789</v>
      </c>
      <c r="AB310" s="690" t="s">
        <v>1951</v>
      </c>
      <c r="AC310" s="1090" t="str">
        <f>VLOOKUP(AB310,sample!$1:$1048576,2,FALSE)</f>
        <v>PAREFRPPXXX</v>
      </c>
      <c r="AD310" s="690" t="s">
        <v>1790</v>
      </c>
      <c r="AE310" s="935" t="s">
        <v>1953</v>
      </c>
      <c r="AF310" s="690" t="s">
        <v>1864</v>
      </c>
      <c r="AL310" s="1104" t="str">
        <f>VLOOKUP($AB310,sample!$1:$1048576,11,FALSE)</f>
        <v xml:space="preserve">        </v>
      </c>
      <c r="AM310" s="1104" t="str">
        <f>VLOOKUP($AB310,sample!$1:$1048576,12,FALSE)</f>
        <v xml:space="preserve">        </v>
      </c>
      <c r="AN310" s="1104" t="str">
        <f>VLOOKUP($AB310,sample!$1:$1048576,13,FALSE)</f>
        <v>SGABCHZZ448</v>
      </c>
      <c r="AP310" s="1111"/>
    </row>
    <row r="311" spans="1:42" s="690" customFormat="1">
      <c r="A311" s="1046">
        <v>2019200328</v>
      </c>
      <c r="B311" s="1004">
        <v>44106</v>
      </c>
      <c r="C311" s="933" t="s">
        <v>137</v>
      </c>
      <c r="D311" s="1127" t="str">
        <f>IFERROR(VLOOKUP(G311,PosAggregate!$B$13:$B$93,1,FALSE),"")</f>
        <v/>
      </c>
      <c r="E311" s="1022" t="s">
        <v>1232</v>
      </c>
      <c r="F311" s="1132" t="str">
        <f t="shared" si="66"/>
        <v/>
      </c>
      <c r="G311" s="667" t="s">
        <v>1112</v>
      </c>
      <c r="I311" s="949" t="s">
        <v>1122</v>
      </c>
      <c r="J311" s="949" t="s">
        <v>125</v>
      </c>
      <c r="K311" s="995">
        <v>887.85749999999996</v>
      </c>
      <c r="L311" s="995"/>
      <c r="M311" s="1048">
        <v>8000</v>
      </c>
      <c r="N311" s="1103">
        <f t="shared" si="68"/>
        <v>-7102860</v>
      </c>
      <c r="O311" s="934">
        <v>-3551</v>
      </c>
      <c r="R311" s="1100">
        <f t="shared" si="69"/>
        <v>-7106411</v>
      </c>
      <c r="S311" s="995">
        <v>124.04302287351466</v>
      </c>
      <c r="T311" s="1118">
        <f t="shared" si="67"/>
        <v>-57289.888906096159</v>
      </c>
      <c r="U311" s="1024">
        <v>44110</v>
      </c>
      <c r="V311" s="667" t="s">
        <v>1154</v>
      </c>
      <c r="W311" s="936">
        <v>44104.710219675922</v>
      </c>
      <c r="X311" s="1089">
        <f t="shared" si="70"/>
        <v>4.999394610058483E-2</v>
      </c>
      <c r="Y311" s="690" t="s">
        <v>1763</v>
      </c>
      <c r="Z311" s="1111" t="str">
        <f>VLOOKUP(AA311,'place of settlement'!A:C,2,FALSE)</f>
        <v>JJSDJPJTXXX</v>
      </c>
      <c r="AA311" s="1111" t="str">
        <f t="shared" ref="AA311:AA328" si="73">LEFT(E311,2)</f>
        <v>JP</v>
      </c>
      <c r="AB311" s="1111" t="str">
        <f t="shared" ref="AB311:AB329" si="74">CONCATENATE(V311,AA311)</f>
        <v>Kepler CheuvreuxJP</v>
      </c>
      <c r="AC311" s="1111" t="e">
        <f>VLOOKUP(AB311,sample!$1:$1048576,2,FALSE)</f>
        <v>#N/A</v>
      </c>
      <c r="AD311" s="1111" t="e">
        <f>VLOOKUP($AB311,sample!$1:$1048576,3,FALSE)</f>
        <v>#N/A</v>
      </c>
      <c r="AE311" s="1104" t="e">
        <f>VLOOKUP($AB311,sample!$1:$1048576,4,FALSE)</f>
        <v>#N/A</v>
      </c>
      <c r="AF311" s="1111" t="e">
        <f>VLOOKUP($AB311,sample!$1:$1048576,5,FALSE)</f>
        <v>#N/A</v>
      </c>
      <c r="AL311" s="1104" t="e">
        <f>VLOOKUP($AB311,sample!$1:$1048576,11,FALSE)</f>
        <v>#N/A</v>
      </c>
      <c r="AM311" s="1104" t="e">
        <f>VLOOKUP($AB311,sample!$1:$1048576,12,FALSE)</f>
        <v>#N/A</v>
      </c>
      <c r="AN311" s="1104" t="e">
        <f>VLOOKUP($AB311,sample!$1:$1048576,13,FALSE)</f>
        <v>#N/A</v>
      </c>
      <c r="AP311" s="1111"/>
    </row>
    <row r="312" spans="1:42" s="690" customFormat="1">
      <c r="A312" s="1046">
        <v>2019200329</v>
      </c>
      <c r="B312" s="1004">
        <v>44105</v>
      </c>
      <c r="C312" s="933" t="s">
        <v>137</v>
      </c>
      <c r="D312" s="1127" t="str">
        <f>IFERROR(VLOOKUP(G312,PosAggregate!$B$13:$B$93,1,FALSE),"")</f>
        <v/>
      </c>
      <c r="E312" s="1022" t="s">
        <v>12877</v>
      </c>
      <c r="F312" s="1132" t="str">
        <f t="shared" si="66"/>
        <v/>
      </c>
      <c r="G312" s="667" t="s">
        <v>2211</v>
      </c>
      <c r="I312" s="949" t="s">
        <v>12886</v>
      </c>
      <c r="J312" s="949" t="s">
        <v>1101</v>
      </c>
      <c r="K312" s="995">
        <v>0.56599999999999995</v>
      </c>
      <c r="L312" s="995"/>
      <c r="M312" s="1048">
        <v>2195</v>
      </c>
      <c r="N312" s="1103">
        <f t="shared" si="68"/>
        <v>-1242.3699999999999</v>
      </c>
      <c r="O312" s="934">
        <v>-0.75</v>
      </c>
      <c r="R312" s="1100">
        <f t="shared" si="69"/>
        <v>-1243.1199999999999</v>
      </c>
      <c r="S312" s="995">
        <v>1.0788736685454485</v>
      </c>
      <c r="T312" s="1118">
        <f t="shared" si="67"/>
        <v>-1152.2387062018024</v>
      </c>
      <c r="U312" s="1024">
        <v>44109</v>
      </c>
      <c r="V312" s="667" t="s">
        <v>1229</v>
      </c>
      <c r="W312" s="936">
        <v>44105.621430092593</v>
      </c>
      <c r="X312" s="1089">
        <f t="shared" si="70"/>
        <v>6.0368489258433487E-2</v>
      </c>
      <c r="Y312" s="690" t="s">
        <v>1763</v>
      </c>
      <c r="Z312" s="1111" t="str">
        <f>VLOOKUP(AA312,'place of settlement'!A:C,2,FALSE)</f>
        <v>INSECHZZXXX</v>
      </c>
      <c r="AA312" s="1111" t="str">
        <f t="shared" si="73"/>
        <v>CH</v>
      </c>
      <c r="AB312" s="1111" t="str">
        <f t="shared" si="74"/>
        <v>EquitaCH</v>
      </c>
      <c r="AC312" s="1111" t="str">
        <f>VLOOKUP(AB312,sample!$1:$1048576,2,FALSE)</f>
        <v>BCITITMMXXX</v>
      </c>
      <c r="AD312" s="1111" t="str">
        <f>VLOOKUP($AB312,sample!$1:$1048576,3,FALSE)</f>
        <v>INSECHZZXXX</v>
      </c>
      <c r="AE312" s="1104" t="str">
        <f>VLOOKUP($AB312,sample!$1:$1048576,4,FALSE)</f>
        <v>0835 0951260 75 010</v>
      </c>
      <c r="AF312" s="1111" t="str">
        <f>VLOOKUP($AB312,sample!$1:$1048576,5,FALSE)</f>
        <v>N</v>
      </c>
      <c r="AL312" s="1104" t="str">
        <f>VLOOKUP($AB312,sample!$1:$1048576,11,FALSE)</f>
        <v xml:space="preserve">        </v>
      </c>
      <c r="AM312" s="1104" t="str">
        <f>VLOOKUP($AB312,sample!$1:$1048576,12,FALSE)</f>
        <v xml:space="preserve">        </v>
      </c>
      <c r="AN312" s="1104" t="str">
        <f>VLOOKUP($AB312,sample!$1:$1048576,13,FALSE)</f>
        <v>CRESCHZZ80A</v>
      </c>
      <c r="AP312" s="1111"/>
    </row>
    <row r="313" spans="1:42" s="690" customFormat="1">
      <c r="A313" s="1046">
        <v>2019200330</v>
      </c>
      <c r="B313" s="1004">
        <v>44106</v>
      </c>
      <c r="C313" s="1050" t="s">
        <v>138</v>
      </c>
      <c r="D313" s="1127" t="str">
        <f>IFERROR(VLOOKUP(G313,PosAggregate!$B$13:$B$93,1,FALSE),"")</f>
        <v/>
      </c>
      <c r="E313" s="1022" t="s">
        <v>12876</v>
      </c>
      <c r="F313" s="1132" t="str">
        <f t="shared" si="66"/>
        <v/>
      </c>
      <c r="G313" s="667" t="s">
        <v>2170</v>
      </c>
      <c r="I313" s="949" t="s">
        <v>12885</v>
      </c>
      <c r="J313" s="949" t="s">
        <v>125</v>
      </c>
      <c r="K313" s="995">
        <v>1787.2701099999999</v>
      </c>
      <c r="L313" s="995"/>
      <c r="M313" s="1048">
        <v>-12800</v>
      </c>
      <c r="N313" s="1103">
        <f t="shared" si="68"/>
        <v>22877057.408</v>
      </c>
      <c r="O313" s="934">
        <v>-13726</v>
      </c>
      <c r="R313" s="1100">
        <f t="shared" si="69"/>
        <v>22863331.408</v>
      </c>
      <c r="S313" s="995">
        <v>123.56601319443601</v>
      </c>
      <c r="T313" s="1118">
        <f t="shared" si="67"/>
        <v>185029.28772188874</v>
      </c>
      <c r="U313" s="1024">
        <v>44110</v>
      </c>
      <c r="V313" s="667" t="s">
        <v>1725</v>
      </c>
      <c r="W313" s="936">
        <v>44105.812807291666</v>
      </c>
      <c r="X313" s="1089">
        <f t="shared" si="70"/>
        <v>-5.9998975196871612E-2</v>
      </c>
      <c r="Y313" s="690" t="s">
        <v>1763</v>
      </c>
      <c r="Z313" s="1111" t="str">
        <f>VLOOKUP(AA313,'place of settlement'!A:C,2,FALSE)</f>
        <v>JJSDJPJTXXX</v>
      </c>
      <c r="AA313" s="1111" t="str">
        <f t="shared" si="73"/>
        <v>JP</v>
      </c>
      <c r="AB313" s="1111" t="str">
        <f t="shared" si="74"/>
        <v>Tavira SecuritiesJP</v>
      </c>
      <c r="AC313" s="1111" t="str">
        <f>VLOOKUP(AB313,sample!$1:$1048576,2,FALSE)</f>
        <v>GSILGB2XXXX</v>
      </c>
      <c r="AD313" s="1111" t="str">
        <f>VLOOKUP($AB313,sample!$1:$1048576,3,FALSE)</f>
        <v>JJSDJPJTXXX</v>
      </c>
      <c r="AE313" s="1104">
        <f>VLOOKUP($AB313,sample!$1:$1048576,4,FALSE)</f>
        <v>6530490016</v>
      </c>
      <c r="AF313" s="1111" t="str">
        <f>VLOOKUP($AB313,sample!$1:$1048576,5,FALSE)</f>
        <v>N</v>
      </c>
      <c r="AL313" s="1104" t="str">
        <f>VLOOKUP($AB313,sample!$1:$1048576,11,FALSE)</f>
        <v xml:space="preserve">                  </v>
      </c>
      <c r="AM313" s="1104" t="str">
        <f>VLOOKUP($AB313,sample!$1:$1048576,12,FALSE)</f>
        <v xml:space="preserve">                          </v>
      </c>
      <c r="AN313" s="1104" t="str">
        <f>VLOOKUP($AB313,sample!$1:$1048576,13,FALSE)</f>
        <v>GOLDJPJXXXX</v>
      </c>
      <c r="AP313" s="1111"/>
    </row>
    <row r="314" spans="1:42" s="690" customFormat="1">
      <c r="A314" s="1046">
        <v>2019200331</v>
      </c>
      <c r="B314" s="1004">
        <v>44106</v>
      </c>
      <c r="C314" s="933" t="s">
        <v>137</v>
      </c>
      <c r="D314" s="1127" t="str">
        <f>IFERROR(VLOOKUP(G314,PosAggregate!$B$13:$B$93,1,FALSE),"")</f>
        <v/>
      </c>
      <c r="E314" s="1022" t="s">
        <v>12861</v>
      </c>
      <c r="F314" s="1132" t="str">
        <f t="shared" si="66"/>
        <v/>
      </c>
      <c r="G314" s="667" t="s">
        <v>2202</v>
      </c>
      <c r="I314" s="949" t="s">
        <v>12797</v>
      </c>
      <c r="J314" s="949" t="s">
        <v>125</v>
      </c>
      <c r="K314" s="995">
        <v>2647.5683899999999</v>
      </c>
      <c r="L314" s="995"/>
      <c r="M314" s="1048">
        <v>6400</v>
      </c>
      <c r="N314" s="1103">
        <f t="shared" si="68"/>
        <v>-16944437.695999999</v>
      </c>
      <c r="O314" s="934">
        <v>-10167</v>
      </c>
      <c r="R314" s="1100">
        <f t="shared" si="69"/>
        <v>-16954604.695999999</v>
      </c>
      <c r="S314" s="995">
        <v>123.5660131944362</v>
      </c>
      <c r="T314" s="1118">
        <f t="shared" si="67"/>
        <v>-137210.90660521053</v>
      </c>
      <c r="U314" s="1024">
        <v>44110</v>
      </c>
      <c r="V314" s="667" t="s">
        <v>1725</v>
      </c>
      <c r="W314" s="936">
        <v>44105.813975462966</v>
      </c>
      <c r="X314" s="1089">
        <f t="shared" si="70"/>
        <v>6.0001991110038906E-2</v>
      </c>
      <c r="Y314" s="690" t="s">
        <v>1763</v>
      </c>
      <c r="Z314" s="1111" t="str">
        <f>VLOOKUP(AA314,'place of settlement'!A:C,2,FALSE)</f>
        <v>JJSDJPJTXXX</v>
      </c>
      <c r="AA314" s="1111" t="str">
        <f t="shared" si="73"/>
        <v>JP</v>
      </c>
      <c r="AB314" s="1111" t="str">
        <f t="shared" si="74"/>
        <v>Tavira SecuritiesJP</v>
      </c>
      <c r="AC314" s="1111" t="str">
        <f>VLOOKUP(AB314,sample!$1:$1048576,2,FALSE)</f>
        <v>GSILGB2XXXX</v>
      </c>
      <c r="AD314" s="1111" t="str">
        <f>VLOOKUP($AB314,sample!$1:$1048576,3,FALSE)</f>
        <v>JJSDJPJTXXX</v>
      </c>
      <c r="AE314" s="1104">
        <f>VLOOKUP($AB314,sample!$1:$1048576,4,FALSE)</f>
        <v>6530490016</v>
      </c>
      <c r="AF314" s="1111" t="str">
        <f>VLOOKUP($AB314,sample!$1:$1048576,5,FALSE)</f>
        <v>N</v>
      </c>
      <c r="AL314" s="1104" t="str">
        <f>VLOOKUP($AB314,sample!$1:$1048576,11,FALSE)</f>
        <v xml:space="preserve">                  </v>
      </c>
      <c r="AM314" s="1104" t="str">
        <f>VLOOKUP($AB314,sample!$1:$1048576,12,FALSE)</f>
        <v xml:space="preserve">                          </v>
      </c>
      <c r="AN314" s="1104" t="str">
        <f>VLOOKUP($AB314,sample!$1:$1048576,13,FALSE)</f>
        <v>GOLDJPJXXXX</v>
      </c>
      <c r="AP314" s="1111"/>
    </row>
    <row r="315" spans="1:42" s="690" customFormat="1">
      <c r="A315" s="1046">
        <v>2019200332</v>
      </c>
      <c r="B315" s="1004">
        <v>44106</v>
      </c>
      <c r="C315" s="933" t="s">
        <v>137</v>
      </c>
      <c r="D315" s="1127" t="str">
        <f>IFERROR(VLOOKUP(G315,PosAggregate!$B$13:$B$93,1,FALSE),"")</f>
        <v/>
      </c>
      <c r="E315" s="1022" t="s">
        <v>12877</v>
      </c>
      <c r="F315" s="1132" t="str">
        <f t="shared" si="66"/>
        <v/>
      </c>
      <c r="G315" s="667" t="s">
        <v>2211</v>
      </c>
      <c r="I315" s="949" t="s">
        <v>12886</v>
      </c>
      <c r="J315" s="949" t="s">
        <v>1101</v>
      </c>
      <c r="K315" s="995">
        <v>0.55589999999999995</v>
      </c>
      <c r="L315" s="995"/>
      <c r="M315" s="1048">
        <v>35000</v>
      </c>
      <c r="N315" s="1103">
        <f t="shared" si="68"/>
        <v>-19456.5</v>
      </c>
      <c r="O315" s="934">
        <v>-11.67</v>
      </c>
      <c r="R315" s="1100">
        <f t="shared" si="69"/>
        <v>-19468.169999999998</v>
      </c>
      <c r="S315" s="995">
        <v>1.0787285029602476</v>
      </c>
      <c r="T315" s="1118">
        <f t="shared" si="67"/>
        <v>-18047.330673636072</v>
      </c>
      <c r="U315" s="1024">
        <v>44110</v>
      </c>
      <c r="V315" s="667" t="s">
        <v>1229</v>
      </c>
      <c r="W315" s="936">
        <v>44106.353692592595</v>
      </c>
      <c r="X315" s="1089">
        <f t="shared" si="70"/>
        <v>5.9979955284866236E-2</v>
      </c>
      <c r="Y315" s="690" t="s">
        <v>1763</v>
      </c>
      <c r="Z315" s="1111" t="str">
        <f>VLOOKUP(AA315,'place of settlement'!A:C,2,FALSE)</f>
        <v>INSECHZZXXX</v>
      </c>
      <c r="AA315" s="1111" t="str">
        <f t="shared" si="73"/>
        <v>CH</v>
      </c>
      <c r="AB315" s="1111" t="str">
        <f t="shared" si="74"/>
        <v>EquitaCH</v>
      </c>
      <c r="AC315" s="1111" t="str">
        <f>VLOOKUP(AB315,sample!$1:$1048576,2,FALSE)</f>
        <v>BCITITMMXXX</v>
      </c>
      <c r="AD315" s="1111" t="str">
        <f>VLOOKUP($AB315,sample!$1:$1048576,3,FALSE)</f>
        <v>INSECHZZXXX</v>
      </c>
      <c r="AE315" s="1104" t="str">
        <f>VLOOKUP($AB315,sample!$1:$1048576,4,FALSE)</f>
        <v>0835 0951260 75 010</v>
      </c>
      <c r="AF315" s="1111" t="str">
        <f>VLOOKUP($AB315,sample!$1:$1048576,5,FALSE)</f>
        <v>N</v>
      </c>
      <c r="AL315" s="1104" t="str">
        <f>VLOOKUP($AB315,sample!$1:$1048576,11,FALSE)</f>
        <v xml:space="preserve">        </v>
      </c>
      <c r="AM315" s="1104" t="str">
        <f>VLOOKUP($AB315,sample!$1:$1048576,12,FALSE)</f>
        <v xml:space="preserve">        </v>
      </c>
      <c r="AN315" s="1104" t="str">
        <f>VLOOKUP($AB315,sample!$1:$1048576,13,FALSE)</f>
        <v>CRESCHZZ80A</v>
      </c>
      <c r="AP315" s="1111"/>
    </row>
    <row r="316" spans="1:42" s="690" customFormat="1">
      <c r="A316" s="1046">
        <v>2019200333</v>
      </c>
      <c r="B316" s="1004">
        <v>44110</v>
      </c>
      <c r="C316" s="933" t="s">
        <v>137</v>
      </c>
      <c r="D316" s="1127" t="str">
        <f>IFERROR(VLOOKUP(G316,PosAggregate!$B$13:$B$93,1,FALSE),"")</f>
        <v/>
      </c>
      <c r="E316" s="1022" t="s">
        <v>12877</v>
      </c>
      <c r="F316" s="1132" t="str">
        <f t="shared" si="66"/>
        <v/>
      </c>
      <c r="G316" s="667" t="s">
        <v>2211</v>
      </c>
      <c r="I316" s="949" t="s">
        <v>12886</v>
      </c>
      <c r="J316" s="949" t="s">
        <v>1101</v>
      </c>
      <c r="K316" s="995">
        <v>0.5504</v>
      </c>
      <c r="L316" s="995"/>
      <c r="M316" s="1048">
        <v>35000</v>
      </c>
      <c r="N316" s="1103">
        <f t="shared" si="68"/>
        <v>-19264</v>
      </c>
      <c r="O316" s="934">
        <v>-11.56</v>
      </c>
      <c r="R316" s="1100">
        <f t="shared" si="69"/>
        <v>-19275.560000000001</v>
      </c>
      <c r="S316" s="995">
        <v>1.0783204919770968</v>
      </c>
      <c r="T316" s="1118">
        <f t="shared" si="67"/>
        <v>-17875.538991805981</v>
      </c>
      <c r="U316" s="1024">
        <v>44112</v>
      </c>
      <c r="V316" s="667" t="s">
        <v>2212</v>
      </c>
      <c r="W316" s="936">
        <v>44110.36282800926</v>
      </c>
      <c r="X316" s="1089">
        <f t="shared" si="70"/>
        <v>6.0008305647840536E-2</v>
      </c>
      <c r="Y316" s="690" t="s">
        <v>1763</v>
      </c>
      <c r="Z316" s="1111" t="str">
        <f>VLOOKUP(AA316,'place of settlement'!A:C,2,FALSE)</f>
        <v>INSECHZZXXX</v>
      </c>
      <c r="AA316" s="1111" t="str">
        <f t="shared" si="73"/>
        <v>CH</v>
      </c>
      <c r="AB316" s="1111" t="str">
        <f t="shared" si="74"/>
        <v>Equita CH</v>
      </c>
      <c r="AC316" s="690" t="s">
        <v>1870</v>
      </c>
      <c r="AD316" s="690" t="s">
        <v>1803</v>
      </c>
      <c r="AE316" s="935" t="s">
        <v>1897</v>
      </c>
      <c r="AF316" s="690" t="s">
        <v>1864</v>
      </c>
      <c r="AL316" s="935">
        <v>0</v>
      </c>
      <c r="AM316" s="935">
        <v>0</v>
      </c>
      <c r="AN316" s="935" t="s">
        <v>1898</v>
      </c>
      <c r="AP316" s="1111"/>
    </row>
    <row r="317" spans="1:42" s="690" customFormat="1">
      <c r="A317" s="690" t="s">
        <v>2166</v>
      </c>
      <c r="B317" s="933">
        <v>44113</v>
      </c>
      <c r="C317" s="933"/>
      <c r="D317" s="1127" t="str">
        <f>IFERROR(VLOOKUP(G317,PosAggregate!$B$13:$B$93,1,FALSE),"")</f>
        <v/>
      </c>
      <c r="E317" s="1022" t="s">
        <v>1723</v>
      </c>
      <c r="F317" s="1132" t="str">
        <f t="shared" si="66"/>
        <v/>
      </c>
      <c r="G317" s="667" t="s">
        <v>2213</v>
      </c>
      <c r="I317" s="949" t="s">
        <v>1724</v>
      </c>
      <c r="J317" s="949" t="s">
        <v>1104</v>
      </c>
      <c r="K317" s="995"/>
      <c r="L317" s="995"/>
      <c r="M317" s="1048">
        <v>1620</v>
      </c>
      <c r="N317" s="1103">
        <f t="shared" si="68"/>
        <v>0</v>
      </c>
      <c r="O317" s="934"/>
      <c r="R317" s="1100">
        <f t="shared" si="69"/>
        <v>0</v>
      </c>
      <c r="S317" s="995"/>
      <c r="T317" s="1023"/>
      <c r="U317" s="1024"/>
      <c r="V317" s="667"/>
      <c r="W317" s="936"/>
      <c r="X317" s="1089" t="e">
        <f t="shared" si="70"/>
        <v>#DIV/0!</v>
      </c>
      <c r="Y317" s="690" t="s">
        <v>1763</v>
      </c>
      <c r="Z317" s="1111" t="str">
        <f>VLOOKUP(AA317,'place of settlement'!A:C,2,FALSE)</f>
        <v>CAETAU21XXX</v>
      </c>
      <c r="AA317" s="1111" t="str">
        <f t="shared" si="73"/>
        <v>AU</v>
      </c>
      <c r="AB317" s="1111" t="str">
        <f t="shared" si="74"/>
        <v>AU</v>
      </c>
      <c r="AC317" s="1111" t="e">
        <f>VLOOKUP(AB317,sample!$1:$1048576,2,FALSE)</f>
        <v>#N/A</v>
      </c>
      <c r="AD317" s="1111" t="e">
        <f>VLOOKUP($AB317,sample!$1:$1048576,3,FALSE)</f>
        <v>#N/A</v>
      </c>
      <c r="AE317" s="1104" t="e">
        <f>VLOOKUP($AB317,sample!$1:$1048576,4,FALSE)</f>
        <v>#N/A</v>
      </c>
      <c r="AF317" s="1111" t="e">
        <f>VLOOKUP($AB317,sample!$1:$1048576,5,FALSE)</f>
        <v>#N/A</v>
      </c>
      <c r="AL317" s="1104" t="e">
        <f>VLOOKUP($AB317,sample!$1:$1048576,11,FALSE)</f>
        <v>#N/A</v>
      </c>
      <c r="AM317" s="1104" t="e">
        <f>VLOOKUP($AB317,sample!$1:$1048576,12,FALSE)</f>
        <v>#N/A</v>
      </c>
      <c r="AN317" s="1104" t="e">
        <f>VLOOKUP($AB317,sample!$1:$1048576,13,FALSE)</f>
        <v>#N/A</v>
      </c>
      <c r="AP317" s="1111"/>
    </row>
    <row r="318" spans="1:42">
      <c r="A318" s="827" t="s">
        <v>2166</v>
      </c>
      <c r="B318" s="998">
        <v>44124</v>
      </c>
      <c r="D318" s="1127" t="str">
        <f>IFERROR(VLOOKUP(G318,PosAggregate!$B$13:$B$93,1,FALSE),"")</f>
        <v/>
      </c>
      <c r="E318" s="880" t="s">
        <v>12878</v>
      </c>
      <c r="F318" s="1132" t="str">
        <f t="shared" si="66"/>
        <v/>
      </c>
      <c r="G318" s="701" t="s">
        <v>2215</v>
      </c>
      <c r="I318" s="950" t="s">
        <v>2216</v>
      </c>
      <c r="J318" s="950" t="s">
        <v>12790</v>
      </c>
      <c r="K318" s="995"/>
      <c r="L318" s="995"/>
      <c r="M318" s="1048">
        <v>93079</v>
      </c>
      <c r="N318" s="1103">
        <f t="shared" si="68"/>
        <v>0</v>
      </c>
      <c r="O318" s="934"/>
      <c r="P318" s="690"/>
      <c r="Q318" s="690"/>
      <c r="R318" s="1100">
        <f t="shared" si="69"/>
        <v>0</v>
      </c>
      <c r="S318" s="995"/>
      <c r="T318" s="1023"/>
      <c r="U318" s="1024"/>
      <c r="V318" s="667"/>
      <c r="W318" s="936"/>
      <c r="X318" s="1089" t="e">
        <f t="shared" si="70"/>
        <v>#DIV/0!</v>
      </c>
      <c r="Y318" s="690" t="s">
        <v>1763</v>
      </c>
      <c r="Z318" s="1111" t="str">
        <f>VLOOKUP(AA318,'place of settlement'!A:C,2,FALSE)</f>
        <v>VPCSSESSXXX</v>
      </c>
      <c r="AA318" s="1111" t="str">
        <f t="shared" si="73"/>
        <v>SE</v>
      </c>
      <c r="AB318" s="1111" t="str">
        <f t="shared" si="74"/>
        <v>SE</v>
      </c>
      <c r="AC318" s="1111" t="e">
        <f>VLOOKUP(AB318,sample!$1:$1048576,2,FALSE)</f>
        <v>#N/A</v>
      </c>
      <c r="AD318" s="1111" t="e">
        <f>VLOOKUP($AB318,sample!$1:$1048576,3,FALSE)</f>
        <v>#N/A</v>
      </c>
      <c r="AE318" s="1104" t="e">
        <f>VLOOKUP($AB318,sample!$1:$1048576,4,FALSE)</f>
        <v>#N/A</v>
      </c>
      <c r="AF318" s="1111" t="e">
        <f>VLOOKUP($AB318,sample!$1:$1048576,5,FALSE)</f>
        <v>#N/A</v>
      </c>
      <c r="AL318" s="1091" t="e">
        <f>VLOOKUP($AB318,sample!$1:$1048576,11,FALSE)</f>
        <v>#N/A</v>
      </c>
      <c r="AM318" s="1091" t="e">
        <f>VLOOKUP($AB318,sample!$1:$1048576,12,FALSE)</f>
        <v>#N/A</v>
      </c>
      <c r="AN318" s="1091" t="e">
        <f>VLOOKUP($AB318,sample!$1:$1048576,13,FALSE)</f>
        <v>#N/A</v>
      </c>
      <c r="AP318" s="1111"/>
    </row>
    <row r="319" spans="1:42">
      <c r="A319" s="1046">
        <v>2019200334</v>
      </c>
      <c r="B319" s="998">
        <v>44137</v>
      </c>
      <c r="C319" s="998" t="s">
        <v>138</v>
      </c>
      <c r="D319" s="1127" t="str">
        <f>IFERROR(VLOOKUP(G319,PosAggregate!$B$13:$B$93,1,FALSE),"")</f>
        <v/>
      </c>
      <c r="E319" s="880" t="s">
        <v>1245</v>
      </c>
      <c r="F319" s="1132" t="str">
        <f t="shared" si="66"/>
        <v/>
      </c>
      <c r="G319" s="701" t="s">
        <v>1194</v>
      </c>
      <c r="I319" s="950" t="s">
        <v>1125</v>
      </c>
      <c r="J319" s="950" t="s">
        <v>125</v>
      </c>
      <c r="K319" s="995">
        <v>595.59880999999996</v>
      </c>
      <c r="L319" s="995"/>
      <c r="M319" s="1048">
        <v>-20500</v>
      </c>
      <c r="N319" s="1103">
        <f t="shared" si="68"/>
        <v>12209775.604999999</v>
      </c>
      <c r="O319" s="934">
        <v>-7326</v>
      </c>
      <c r="P319" s="690"/>
      <c r="Q319" s="690"/>
      <c r="R319" s="1100">
        <f t="shared" si="69"/>
        <v>12202449.604999999</v>
      </c>
      <c r="S319" s="995">
        <v>122.12234415129581</v>
      </c>
      <c r="T319" s="1118">
        <f t="shared" ref="T319:T342" si="75">+R319/S319</f>
        <v>99919.876987314783</v>
      </c>
      <c r="U319" s="1024">
        <v>44140</v>
      </c>
      <c r="V319" s="667" t="s">
        <v>1725</v>
      </c>
      <c r="W319" s="936">
        <v>44134.760702083331</v>
      </c>
      <c r="X319" s="1089">
        <f t="shared" si="70"/>
        <v>-6.0001102698398041E-2</v>
      </c>
      <c r="Y319" s="690" t="s">
        <v>1763</v>
      </c>
      <c r="Z319" s="1111" t="str">
        <f>VLOOKUP(AA319,'place of settlement'!A:C,2,FALSE)</f>
        <v>JJSDJPJTXXX</v>
      </c>
      <c r="AA319" s="1111" t="str">
        <f t="shared" si="73"/>
        <v>JP</v>
      </c>
      <c r="AB319" s="1111" t="str">
        <f t="shared" si="74"/>
        <v>Tavira SecuritiesJP</v>
      </c>
      <c r="AC319" s="1111" t="str">
        <f>VLOOKUP(AB319,sample!$1:$1048576,2,FALSE)</f>
        <v>GSILGB2XXXX</v>
      </c>
      <c r="AD319" s="1111" t="str">
        <f>VLOOKUP($AB319,sample!$1:$1048576,3,FALSE)</f>
        <v>JJSDJPJTXXX</v>
      </c>
      <c r="AE319" s="1104">
        <f>VLOOKUP($AB319,sample!$1:$1048576,4,FALSE)</f>
        <v>6530490016</v>
      </c>
      <c r="AF319" s="1111" t="str">
        <f>VLOOKUP($AB319,sample!$1:$1048576,5,FALSE)</f>
        <v>N</v>
      </c>
      <c r="AL319" s="1091" t="str">
        <f>VLOOKUP($AB319,sample!$1:$1048576,11,FALSE)</f>
        <v xml:space="preserve">                  </v>
      </c>
      <c r="AM319" s="1091" t="str">
        <f>VLOOKUP($AB319,sample!$1:$1048576,12,FALSE)</f>
        <v xml:space="preserve">                          </v>
      </c>
      <c r="AN319" s="1091" t="str">
        <f>VLOOKUP($AB319,sample!$1:$1048576,13,FALSE)</f>
        <v>GOLDJPJXXXX</v>
      </c>
      <c r="AP319" s="1111"/>
    </row>
    <row r="320" spans="1:42">
      <c r="A320" s="1046">
        <v>2019200335</v>
      </c>
      <c r="B320" s="998">
        <v>44137</v>
      </c>
      <c r="C320" s="998" t="s">
        <v>138</v>
      </c>
      <c r="D320" s="1127" t="str">
        <f>IFERROR(VLOOKUP(G320,PosAggregate!$B$13:$B$93,1,FALSE),"")</f>
        <v/>
      </c>
      <c r="E320" s="880" t="s">
        <v>1257</v>
      </c>
      <c r="F320" s="1132" t="str">
        <f t="shared" si="66"/>
        <v/>
      </c>
      <c r="G320" s="701" t="s">
        <v>1207</v>
      </c>
      <c r="I320" s="950" t="s">
        <v>1135</v>
      </c>
      <c r="J320" s="950" t="s">
        <v>123</v>
      </c>
      <c r="K320" s="995">
        <v>42943.333333000002</v>
      </c>
      <c r="L320" s="995"/>
      <c r="M320" s="1048">
        <v>-1500</v>
      </c>
      <c r="N320" s="1103">
        <f t="shared" si="68"/>
        <v>64414999.999500006</v>
      </c>
      <c r="O320" s="934">
        <v>-96623</v>
      </c>
      <c r="P320" s="934">
        <v>-161030</v>
      </c>
      <c r="Q320" s="690"/>
      <c r="R320" s="1100">
        <f t="shared" si="69"/>
        <v>64157346.999500006</v>
      </c>
      <c r="S320" s="995">
        <v>1319.2388512724742</v>
      </c>
      <c r="T320" s="1121">
        <f t="shared" si="75"/>
        <v>48632.093375370896</v>
      </c>
      <c r="U320" s="1024">
        <v>44139</v>
      </c>
      <c r="V320" s="667" t="s">
        <v>1725</v>
      </c>
      <c r="W320" s="936">
        <v>44134.762179976853</v>
      </c>
      <c r="X320" s="1089">
        <f t="shared" si="70"/>
        <v>-0.15000077621788402</v>
      </c>
      <c r="Y320" s="690" t="s">
        <v>1763</v>
      </c>
      <c r="Z320" s="1111" t="str">
        <f>VLOOKUP(AA320,'place of settlement'!A:C,2,FALSE)</f>
        <v>KSDCKRSEXXX</v>
      </c>
      <c r="AA320" s="1111" t="str">
        <f t="shared" si="73"/>
        <v>KR</v>
      </c>
      <c r="AB320" s="1111" t="str">
        <f t="shared" si="74"/>
        <v>Tavira SecuritiesKR</v>
      </c>
      <c r="AC320" s="1111" t="str">
        <f>VLOOKUP(AB320,sample!$1:$1048576,2,FALSE)</f>
        <v>GSILGB2XXXX</v>
      </c>
      <c r="AD320" s="1111" t="str">
        <f>VLOOKUP($AB320,sample!$1:$1048576,3,FALSE)</f>
        <v>KSDCKRSE</v>
      </c>
      <c r="AE320" s="1104" t="str">
        <f>VLOOKUP($AB320,sample!$1:$1048576,4,FALSE)</f>
        <v>GSKR30004960</v>
      </c>
      <c r="AF320" s="1111" t="str">
        <f>VLOOKUP($AB320,sample!$1:$1048576,5,FALSE)</f>
        <v>N</v>
      </c>
      <c r="AL320" s="1091" t="str">
        <f>VLOOKUP($AB320,sample!$1:$1048576,11,FALSE)</f>
        <v xml:space="preserve">        </v>
      </c>
      <c r="AM320" s="1091" t="str">
        <f>VLOOKUP($AB320,sample!$1:$1048576,12,FALSE)</f>
        <v xml:space="preserve">        </v>
      </c>
      <c r="AN320" s="1091" t="str">
        <f>VLOOKUP($AB320,sample!$1:$1048576,13,FALSE)</f>
        <v>SCBLKRSE</v>
      </c>
      <c r="AP320" s="1111"/>
    </row>
    <row r="321" spans="1:42">
      <c r="A321" s="1046">
        <v>2019200336</v>
      </c>
      <c r="B321" s="998">
        <v>44137</v>
      </c>
      <c r="C321" s="998" t="s">
        <v>138</v>
      </c>
      <c r="D321" s="1127" t="str">
        <f>IFERROR(VLOOKUP(G321,PosAggregate!$B$13:$B$93,1,FALSE),"")</f>
        <v/>
      </c>
      <c r="E321" s="880" t="s">
        <v>1244</v>
      </c>
      <c r="F321" s="1132" t="str">
        <f t="shared" si="66"/>
        <v/>
      </c>
      <c r="G321" s="701" t="s">
        <v>1193</v>
      </c>
      <c r="I321" s="950" t="s">
        <v>1134</v>
      </c>
      <c r="J321" s="950" t="s">
        <v>125</v>
      </c>
      <c r="K321" s="995">
        <v>1719.4545499999999</v>
      </c>
      <c r="L321" s="995"/>
      <c r="M321" s="1048">
        <v>-2200</v>
      </c>
      <c r="N321" s="1103">
        <f t="shared" si="68"/>
        <v>3782800.01</v>
      </c>
      <c r="O321" s="934">
        <v>-2270</v>
      </c>
      <c r="P321" s="690"/>
      <c r="Q321" s="690"/>
      <c r="R321" s="1100">
        <f t="shared" si="69"/>
        <v>3780530.01</v>
      </c>
      <c r="S321" s="995">
        <v>122.12234415129581</v>
      </c>
      <c r="T321" s="1118">
        <f t="shared" si="75"/>
        <v>30956.906668253516</v>
      </c>
      <c r="U321" s="1024">
        <v>44140</v>
      </c>
      <c r="V321" s="667" t="s">
        <v>1725</v>
      </c>
      <c r="W321" s="936">
        <v>44134.764103935187</v>
      </c>
      <c r="X321" s="1089">
        <f t="shared" si="70"/>
        <v>-6.0008459183651108E-2</v>
      </c>
      <c r="Y321" s="690" t="s">
        <v>1763</v>
      </c>
      <c r="Z321" s="1111" t="str">
        <f>VLOOKUP(AA321,'place of settlement'!A:C,2,FALSE)</f>
        <v>JJSDJPJTXXX</v>
      </c>
      <c r="AA321" s="1111" t="str">
        <f t="shared" si="73"/>
        <v>JP</v>
      </c>
      <c r="AB321" s="1111" t="str">
        <f t="shared" si="74"/>
        <v>Tavira SecuritiesJP</v>
      </c>
      <c r="AC321" s="1111" t="str">
        <f>VLOOKUP(AB321,sample!$1:$1048576,2,FALSE)</f>
        <v>GSILGB2XXXX</v>
      </c>
      <c r="AD321" s="1111" t="str">
        <f>VLOOKUP($AB321,sample!$1:$1048576,3,FALSE)</f>
        <v>JJSDJPJTXXX</v>
      </c>
      <c r="AE321" s="1104">
        <f>VLOOKUP($AB321,sample!$1:$1048576,4,FALSE)</f>
        <v>6530490016</v>
      </c>
      <c r="AF321" s="1111" t="str">
        <f>VLOOKUP($AB321,sample!$1:$1048576,5,FALSE)</f>
        <v>N</v>
      </c>
      <c r="AL321" s="1091" t="str">
        <f>VLOOKUP($AB321,sample!$1:$1048576,11,FALSE)</f>
        <v xml:space="preserve">                  </v>
      </c>
      <c r="AM321" s="1091" t="str">
        <f>VLOOKUP($AB321,sample!$1:$1048576,12,FALSE)</f>
        <v xml:space="preserve">                          </v>
      </c>
      <c r="AN321" s="1091" t="str">
        <f>VLOOKUP($AB321,sample!$1:$1048576,13,FALSE)</f>
        <v>GOLDJPJXXXX</v>
      </c>
      <c r="AP321" s="1111"/>
    </row>
    <row r="322" spans="1:42">
      <c r="A322" s="1046">
        <v>2019200337</v>
      </c>
      <c r="B322" s="998">
        <v>44137</v>
      </c>
      <c r="C322" s="998" t="s">
        <v>138</v>
      </c>
      <c r="D322" s="1127" t="str">
        <f>IFERROR(VLOOKUP(G322,PosAggregate!$B$13:$B$93,1,FALSE),"")</f>
        <v/>
      </c>
      <c r="E322" s="880" t="s">
        <v>1246</v>
      </c>
      <c r="F322" s="1132" t="str">
        <f t="shared" si="66"/>
        <v/>
      </c>
      <c r="G322" s="701" t="s">
        <v>1195</v>
      </c>
      <c r="I322" s="950" t="s">
        <v>1139</v>
      </c>
      <c r="J322" s="950" t="s">
        <v>125</v>
      </c>
      <c r="K322" s="995">
        <v>1789.9085399999999</v>
      </c>
      <c r="L322" s="995"/>
      <c r="M322" s="1048">
        <v>-4920</v>
      </c>
      <c r="N322" s="1103">
        <f t="shared" si="68"/>
        <v>8806350.0167999994</v>
      </c>
      <c r="O322" s="934">
        <v>-5284</v>
      </c>
      <c r="P322" s="690"/>
      <c r="Q322" s="690"/>
      <c r="R322" s="1100">
        <f t="shared" si="69"/>
        <v>8801066.0167999994</v>
      </c>
      <c r="S322" s="995">
        <v>122.12234415129622</v>
      </c>
      <c r="T322" s="1118">
        <f t="shared" si="75"/>
        <v>72067.614472716334</v>
      </c>
      <c r="U322" s="1024">
        <v>44140</v>
      </c>
      <c r="V322" s="667" t="s">
        <v>1725</v>
      </c>
      <c r="W322" s="936">
        <v>44134.764984837966</v>
      </c>
      <c r="X322" s="1089">
        <f t="shared" si="70"/>
        <v>-6.0002157419585166E-2</v>
      </c>
      <c r="Y322" s="690" t="s">
        <v>1763</v>
      </c>
      <c r="Z322" s="1111" t="str">
        <f>VLOOKUP(AA322,'place of settlement'!A:C,2,FALSE)</f>
        <v>JJSDJPJTXXX</v>
      </c>
      <c r="AA322" s="1111" t="str">
        <f t="shared" si="73"/>
        <v>JP</v>
      </c>
      <c r="AB322" s="1111" t="str">
        <f t="shared" si="74"/>
        <v>Tavira SecuritiesJP</v>
      </c>
      <c r="AC322" s="1111" t="str">
        <f>VLOOKUP(AB322,sample!$1:$1048576,2,FALSE)</f>
        <v>GSILGB2XXXX</v>
      </c>
      <c r="AD322" s="1111" t="str">
        <f>VLOOKUP($AB322,sample!$1:$1048576,3,FALSE)</f>
        <v>JJSDJPJTXXX</v>
      </c>
      <c r="AE322" s="1104">
        <f>VLOOKUP($AB322,sample!$1:$1048576,4,FALSE)</f>
        <v>6530490016</v>
      </c>
      <c r="AF322" s="1111" t="str">
        <f>VLOOKUP($AB322,sample!$1:$1048576,5,FALSE)</f>
        <v>N</v>
      </c>
      <c r="AL322" s="1091" t="str">
        <f>VLOOKUP($AB322,sample!$1:$1048576,11,FALSE)</f>
        <v xml:space="preserve">                  </v>
      </c>
      <c r="AM322" s="1091" t="str">
        <f>VLOOKUP($AB322,sample!$1:$1048576,12,FALSE)</f>
        <v xml:space="preserve">                          </v>
      </c>
      <c r="AN322" s="1091" t="str">
        <f>VLOOKUP($AB322,sample!$1:$1048576,13,FALSE)</f>
        <v>GOLDJPJXXXX</v>
      </c>
      <c r="AP322" s="1111"/>
    </row>
    <row r="323" spans="1:42">
      <c r="A323" s="1046">
        <v>2019200338</v>
      </c>
      <c r="B323" s="998">
        <v>44137</v>
      </c>
      <c r="C323" s="998" t="s">
        <v>137</v>
      </c>
      <c r="D323" s="1127" t="str">
        <f>IFERROR(VLOOKUP(G323,PosAggregate!$B$13:$B$93,1,FALSE),"")</f>
        <v/>
      </c>
      <c r="E323" s="880" t="s">
        <v>1723</v>
      </c>
      <c r="F323" s="1132" t="str">
        <f t="shared" si="66"/>
        <v/>
      </c>
      <c r="G323" s="701" t="s">
        <v>1714</v>
      </c>
      <c r="I323" s="950" t="s">
        <v>1724</v>
      </c>
      <c r="J323" s="950" t="s">
        <v>1104</v>
      </c>
      <c r="K323" s="995">
        <v>1.94089</v>
      </c>
      <c r="L323" s="995"/>
      <c r="M323" s="1048">
        <v>120000</v>
      </c>
      <c r="N323" s="1103">
        <f t="shared" si="68"/>
        <v>-232906.8</v>
      </c>
      <c r="O323" s="934">
        <v>-139.74</v>
      </c>
      <c r="P323" s="690"/>
      <c r="Q323" s="690"/>
      <c r="R323" s="1100">
        <f t="shared" si="69"/>
        <v>-233046.53999999998</v>
      </c>
      <c r="S323" s="995">
        <v>1.6610786831660023</v>
      </c>
      <c r="T323" s="1121">
        <f t="shared" si="75"/>
        <v>-140298.31480096729</v>
      </c>
      <c r="U323" s="1024">
        <v>44139</v>
      </c>
      <c r="V323" s="667" t="s">
        <v>1725</v>
      </c>
      <c r="W323" s="936">
        <v>44134.766098495369</v>
      </c>
      <c r="X323" s="1089">
        <f t="shared" si="70"/>
        <v>5.9998248226329168E-2</v>
      </c>
      <c r="Y323" s="690" t="s">
        <v>1763</v>
      </c>
      <c r="Z323" s="1111" t="str">
        <f>VLOOKUP(AA323,'place of settlement'!A:C,2,FALSE)</f>
        <v>CAETAU21XXX</v>
      </c>
      <c r="AA323" s="1111" t="str">
        <f t="shared" si="73"/>
        <v>AU</v>
      </c>
      <c r="AB323" s="1111" t="str">
        <f t="shared" si="74"/>
        <v>Tavira SecuritiesAU</v>
      </c>
      <c r="AC323" s="1111" t="str">
        <f>VLOOKUP(AB323,sample!$1:$1048576,2,FALSE)</f>
        <v>GSILGB2XXXX</v>
      </c>
      <c r="AD323" s="1111" t="str">
        <f>VLOOKUP($AB323,sample!$1:$1048576,3,FALSE)</f>
        <v>CAETAU21</v>
      </c>
      <c r="AE323" s="1104" t="str">
        <f>VLOOKUP($AB323,sample!$1:$1048576,4,FALSE)</f>
        <v>011-109048-061</v>
      </c>
      <c r="AF323" s="1111" t="str">
        <f>VLOOKUP($AB323,sample!$1:$1048576,5,FALSE)</f>
        <v>N</v>
      </c>
      <c r="AL323" s="1091" t="str">
        <f>VLOOKUP($AB323,sample!$1:$1048576,11,FALSE)</f>
        <v xml:space="preserve">        </v>
      </c>
      <c r="AM323" s="1091" t="str">
        <f>VLOOKUP($AB323,sample!$1:$1048576,12,FALSE)</f>
        <v xml:space="preserve">        </v>
      </c>
      <c r="AN323" s="1091" t="str">
        <f>VLOOKUP($AB323,sample!$1:$1048576,13,FALSE)</f>
        <v>HKBAAU2SSYD</v>
      </c>
      <c r="AP323" s="1111"/>
    </row>
    <row r="324" spans="1:42">
      <c r="A324" s="1046">
        <v>2019200339</v>
      </c>
      <c r="B324" s="998">
        <v>44137</v>
      </c>
      <c r="C324" s="998" t="s">
        <v>137</v>
      </c>
      <c r="D324" s="1127" t="str">
        <f>IFERROR(VLOOKUP(G324,PosAggregate!$B$13:$B$93,1,FALSE),"")</f>
        <v/>
      </c>
      <c r="E324" s="880" t="s">
        <v>12861</v>
      </c>
      <c r="F324" s="1132" t="str">
        <f t="shared" si="66"/>
        <v/>
      </c>
      <c r="G324" s="701" t="s">
        <v>2202</v>
      </c>
      <c r="I324" s="950" t="s">
        <v>12797</v>
      </c>
      <c r="J324" s="950" t="s">
        <v>125</v>
      </c>
      <c r="K324" s="995">
        <v>2607</v>
      </c>
      <c r="L324" s="995"/>
      <c r="M324" s="995">
        <v>4200</v>
      </c>
      <c r="N324" s="1103">
        <f t="shared" si="68"/>
        <v>-10949400</v>
      </c>
      <c r="O324" s="934">
        <v>-6570</v>
      </c>
      <c r="P324" s="690"/>
      <c r="Q324" s="690"/>
      <c r="R324" s="1100">
        <f t="shared" si="69"/>
        <v>-10955970</v>
      </c>
      <c r="S324" s="995">
        <v>122.12234415129581</v>
      </c>
      <c r="T324" s="1118">
        <f t="shared" si="75"/>
        <v>-89713.066647548039</v>
      </c>
      <c r="U324" s="1024">
        <v>44140</v>
      </c>
      <c r="V324" s="667" t="s">
        <v>1725</v>
      </c>
      <c r="W324" s="936">
        <v>44134.767200694441</v>
      </c>
      <c r="X324" s="1089">
        <f t="shared" si="70"/>
        <v>6.0003287851389121E-2</v>
      </c>
      <c r="Y324" s="690" t="s">
        <v>1763</v>
      </c>
      <c r="Z324" s="1111" t="str">
        <f>VLOOKUP(AA324,'place of settlement'!A:C,2,FALSE)</f>
        <v>JJSDJPJTXXX</v>
      </c>
      <c r="AA324" s="1111" t="str">
        <f t="shared" si="73"/>
        <v>JP</v>
      </c>
      <c r="AB324" s="1111" t="str">
        <f t="shared" si="74"/>
        <v>Tavira SecuritiesJP</v>
      </c>
      <c r="AC324" s="1111" t="str">
        <f>VLOOKUP(AB324,sample!$1:$1048576,2,FALSE)</f>
        <v>GSILGB2XXXX</v>
      </c>
      <c r="AD324" s="1111" t="str">
        <f>VLOOKUP($AB324,sample!$1:$1048576,3,FALSE)</f>
        <v>JJSDJPJTXXX</v>
      </c>
      <c r="AE324" s="1104">
        <f>VLOOKUP($AB324,sample!$1:$1048576,4,FALSE)</f>
        <v>6530490016</v>
      </c>
      <c r="AF324" s="1111" t="str">
        <f>VLOOKUP($AB324,sample!$1:$1048576,5,FALSE)</f>
        <v>N</v>
      </c>
      <c r="AL324" s="1091" t="str">
        <f>VLOOKUP($AB324,sample!$1:$1048576,11,FALSE)</f>
        <v xml:space="preserve">                  </v>
      </c>
      <c r="AM324" s="1091" t="str">
        <f>VLOOKUP($AB324,sample!$1:$1048576,12,FALSE)</f>
        <v xml:space="preserve">                          </v>
      </c>
      <c r="AN324" s="1091" t="str">
        <f>VLOOKUP($AB324,sample!$1:$1048576,13,FALSE)</f>
        <v>GOLDJPJXXXX</v>
      </c>
      <c r="AP324" s="1111"/>
    </row>
    <row r="325" spans="1:42">
      <c r="A325" s="1046">
        <v>2019200340</v>
      </c>
      <c r="B325" s="998">
        <v>44137</v>
      </c>
      <c r="C325" s="998" t="s">
        <v>137</v>
      </c>
      <c r="D325" s="1127" t="str">
        <f>IFERROR(VLOOKUP(G325,PosAggregate!$B$13:$B$93,1,FALSE),"")</f>
        <v/>
      </c>
      <c r="E325" s="880" t="s">
        <v>1249</v>
      </c>
      <c r="F325" s="1132" t="str">
        <f t="shared" si="66"/>
        <v/>
      </c>
      <c r="G325" s="701" t="s">
        <v>1198</v>
      </c>
      <c r="I325" s="950" t="s">
        <v>1151</v>
      </c>
      <c r="J325" s="950" t="s">
        <v>125</v>
      </c>
      <c r="K325" s="995">
        <v>1080.1529399999999</v>
      </c>
      <c r="L325" s="995"/>
      <c r="M325" s="995">
        <v>4250</v>
      </c>
      <c r="N325" s="1103">
        <f t="shared" si="68"/>
        <v>-4590649.9950000001</v>
      </c>
      <c r="O325" s="934">
        <v>-2574</v>
      </c>
      <c r="P325" s="690"/>
      <c r="Q325" s="690"/>
      <c r="R325" s="1100">
        <f t="shared" si="69"/>
        <v>-4593223.9950000001</v>
      </c>
      <c r="S325" s="995">
        <v>122.12234415129581</v>
      </c>
      <c r="T325" s="1118">
        <f t="shared" si="75"/>
        <v>-37611.659249756245</v>
      </c>
      <c r="U325" s="1024">
        <v>44140</v>
      </c>
      <c r="V325" s="667" t="s">
        <v>1725</v>
      </c>
      <c r="W325" s="936">
        <v>44134.782312615738</v>
      </c>
      <c r="X325" s="1089">
        <f t="shared" si="70"/>
        <v>5.6070491167994167E-2</v>
      </c>
      <c r="Y325" s="690" t="s">
        <v>1763</v>
      </c>
      <c r="Z325" s="1111" t="str">
        <f>VLOOKUP(AA325,'place of settlement'!A:C,2,FALSE)</f>
        <v>JJSDJPJTXXX</v>
      </c>
      <c r="AA325" s="1111" t="str">
        <f t="shared" si="73"/>
        <v>JP</v>
      </c>
      <c r="AB325" s="1111" t="str">
        <f t="shared" si="74"/>
        <v>Tavira SecuritiesJP</v>
      </c>
      <c r="AC325" s="1111" t="str">
        <f>VLOOKUP(AB325,sample!$1:$1048576,2,FALSE)</f>
        <v>GSILGB2XXXX</v>
      </c>
      <c r="AD325" s="1111" t="str">
        <f>VLOOKUP($AB325,sample!$1:$1048576,3,FALSE)</f>
        <v>JJSDJPJTXXX</v>
      </c>
      <c r="AE325" s="1104">
        <f>VLOOKUP($AB325,sample!$1:$1048576,4,FALSE)</f>
        <v>6530490016</v>
      </c>
      <c r="AF325" s="1111" t="str">
        <f>VLOOKUP($AB325,sample!$1:$1048576,5,FALSE)</f>
        <v>N</v>
      </c>
      <c r="AL325" s="1091" t="str">
        <f>VLOOKUP($AB325,sample!$1:$1048576,11,FALSE)</f>
        <v xml:space="preserve">                  </v>
      </c>
      <c r="AM325" s="1091" t="str">
        <f>VLOOKUP($AB325,sample!$1:$1048576,12,FALSE)</f>
        <v xml:space="preserve">                          </v>
      </c>
      <c r="AN325" s="1091" t="str">
        <f>VLOOKUP($AB325,sample!$1:$1048576,13,FALSE)</f>
        <v>GOLDJPJXXXX</v>
      </c>
      <c r="AP325" s="1111"/>
    </row>
    <row r="326" spans="1:42">
      <c r="A326" s="1046">
        <v>2019200344</v>
      </c>
      <c r="B326" s="998">
        <v>44137</v>
      </c>
      <c r="C326" s="998" t="s">
        <v>137</v>
      </c>
      <c r="D326" s="1127" t="str">
        <f>IFERROR(VLOOKUP(G326,PosAggregate!$B$13:$B$93,1,FALSE),"")</f>
        <v/>
      </c>
      <c r="E326" s="880" t="s">
        <v>1697</v>
      </c>
      <c r="F326" s="1132" t="str">
        <f t="shared" si="66"/>
        <v/>
      </c>
      <c r="G326" s="701" t="s">
        <v>1689</v>
      </c>
      <c r="I326" s="950" t="s">
        <v>1690</v>
      </c>
      <c r="J326" s="950" t="s">
        <v>125</v>
      </c>
      <c r="K326" s="995">
        <v>2950.3487300000002</v>
      </c>
      <c r="L326" s="995"/>
      <c r="M326" s="995">
        <v>1150</v>
      </c>
      <c r="N326" s="1103">
        <f t="shared" si="68"/>
        <v>-3392901.0395</v>
      </c>
      <c r="O326" s="934">
        <v>-2036</v>
      </c>
      <c r="P326" s="690"/>
      <c r="Q326" s="690"/>
      <c r="R326" s="1100">
        <f t="shared" si="69"/>
        <v>-3394937.0395</v>
      </c>
      <c r="S326" s="995">
        <v>122.12234415129568</v>
      </c>
      <c r="T326" s="1118">
        <f t="shared" si="75"/>
        <v>-27799.47488801934</v>
      </c>
      <c r="U326" s="1024">
        <v>44140</v>
      </c>
      <c r="V326" s="667" t="s">
        <v>1725</v>
      </c>
      <c r="W326" s="936">
        <v>44134.783204861109</v>
      </c>
      <c r="X326" s="1089">
        <f t="shared" si="70"/>
        <v>6.0007644676251401E-2</v>
      </c>
      <c r="Y326" s="690" t="s">
        <v>1763</v>
      </c>
      <c r="Z326" s="1111" t="str">
        <f>VLOOKUP(AA326,'place of settlement'!A:C,2,FALSE)</f>
        <v>JJSDJPJTXXX</v>
      </c>
      <c r="AA326" s="1111" t="str">
        <f t="shared" si="73"/>
        <v>JP</v>
      </c>
      <c r="AB326" s="1111" t="str">
        <f t="shared" si="74"/>
        <v>Tavira SecuritiesJP</v>
      </c>
      <c r="AC326" s="1111" t="str">
        <f>VLOOKUP(AB326,sample!$1:$1048576,2,FALSE)</f>
        <v>GSILGB2XXXX</v>
      </c>
      <c r="AD326" s="1111" t="str">
        <f>VLOOKUP($AB326,sample!$1:$1048576,3,FALSE)</f>
        <v>JJSDJPJTXXX</v>
      </c>
      <c r="AE326" s="1104">
        <f>VLOOKUP($AB326,sample!$1:$1048576,4,FALSE)</f>
        <v>6530490016</v>
      </c>
      <c r="AF326" s="1111" t="str">
        <f>VLOOKUP($AB326,sample!$1:$1048576,5,FALSE)</f>
        <v>N</v>
      </c>
      <c r="AL326" s="1091" t="str">
        <f>VLOOKUP($AB326,sample!$1:$1048576,11,FALSE)</f>
        <v xml:space="preserve">                  </v>
      </c>
      <c r="AM326" s="1091" t="str">
        <f>VLOOKUP($AB326,sample!$1:$1048576,12,FALSE)</f>
        <v xml:space="preserve">                          </v>
      </c>
      <c r="AN326" s="1091" t="str">
        <f>VLOOKUP($AB326,sample!$1:$1048576,13,FALSE)</f>
        <v>GOLDJPJXXXX</v>
      </c>
      <c r="AP326" s="1111"/>
    </row>
    <row r="327" spans="1:42">
      <c r="A327" s="1046">
        <v>2019200345</v>
      </c>
      <c r="B327" s="998">
        <v>44137</v>
      </c>
      <c r="C327" s="998" t="s">
        <v>137</v>
      </c>
      <c r="D327" s="1127" t="str">
        <f>IFERROR(VLOOKUP(G327,PosAggregate!$B$13:$B$93,1,FALSE),"")</f>
        <v/>
      </c>
      <c r="E327" s="880" t="s">
        <v>12879</v>
      </c>
      <c r="F327" s="1132" t="str">
        <f t="shared" si="66"/>
        <v/>
      </c>
      <c r="G327" s="701" t="s">
        <v>2217</v>
      </c>
      <c r="I327" s="950" t="s">
        <v>1143</v>
      </c>
      <c r="J327" s="950" t="s">
        <v>123</v>
      </c>
      <c r="K327" s="995">
        <v>125073.232323</v>
      </c>
      <c r="L327" s="995"/>
      <c r="M327" s="995">
        <v>990</v>
      </c>
      <c r="N327" s="1103">
        <f t="shared" si="68"/>
        <v>-123822499.99977</v>
      </c>
      <c r="O327" s="934">
        <v>-185734</v>
      </c>
      <c r="P327" s="690"/>
      <c r="Q327" s="690"/>
      <c r="R327" s="1100">
        <f t="shared" si="69"/>
        <v>-124008233.99977</v>
      </c>
      <c r="S327" s="995">
        <v>1323.6702034731366</v>
      </c>
      <c r="T327" s="1121">
        <f t="shared" si="75"/>
        <v>-93685.144286234368</v>
      </c>
      <c r="U327" s="1024">
        <v>44139</v>
      </c>
      <c r="V327" s="667" t="s">
        <v>1230</v>
      </c>
      <c r="W327" s="936">
        <v>44137.463215046293</v>
      </c>
      <c r="X327" s="1089">
        <f t="shared" si="70"/>
        <v>0.15000020190219468</v>
      </c>
      <c r="Y327" s="690" t="s">
        <v>1763</v>
      </c>
      <c r="Z327" s="1111" t="str">
        <f>VLOOKUP(AA327,'place of settlement'!A:C,2,FALSE)</f>
        <v>KSDCKRSEXXX</v>
      </c>
      <c r="AA327" s="1111" t="str">
        <f t="shared" si="73"/>
        <v>KR</v>
      </c>
      <c r="AB327" s="1111" t="str">
        <f t="shared" si="74"/>
        <v>SamsungKR</v>
      </c>
      <c r="AC327" s="1111" t="e">
        <f>VLOOKUP(AB327,sample!$1:$1048576,2,FALSE)</f>
        <v>#N/A</v>
      </c>
      <c r="AD327" s="1111" t="e">
        <f>VLOOKUP($AB327,sample!$1:$1048576,3,FALSE)</f>
        <v>#N/A</v>
      </c>
      <c r="AE327" s="1104" t="e">
        <f>VLOOKUP($AB327,sample!$1:$1048576,4,FALSE)</f>
        <v>#N/A</v>
      </c>
      <c r="AF327" s="1111" t="e">
        <f>VLOOKUP($AB327,sample!$1:$1048576,5,FALSE)</f>
        <v>#N/A</v>
      </c>
      <c r="AL327" s="1091" t="e">
        <f>VLOOKUP($AB327,sample!$1:$1048576,11,FALSE)</f>
        <v>#N/A</v>
      </c>
      <c r="AM327" s="1091" t="e">
        <f>VLOOKUP($AB327,sample!$1:$1048576,12,FALSE)</f>
        <v>#N/A</v>
      </c>
      <c r="AN327" s="1091" t="e">
        <f>VLOOKUP($AB327,sample!$1:$1048576,13,FALSE)</f>
        <v>#N/A</v>
      </c>
      <c r="AP327" s="1111"/>
    </row>
    <row r="328" spans="1:42">
      <c r="A328" s="1046">
        <v>2019200341</v>
      </c>
      <c r="B328" s="998">
        <v>44137</v>
      </c>
      <c r="C328" s="998" t="s">
        <v>137</v>
      </c>
      <c r="D328" s="1127" t="str">
        <f>IFERROR(VLOOKUP(G328,PosAggregate!$B$13:$B$93,1,FALSE),"")</f>
        <v/>
      </c>
      <c r="E328" s="880" t="s">
        <v>12880</v>
      </c>
      <c r="F328" s="1132" t="str">
        <f t="shared" si="66"/>
        <v/>
      </c>
      <c r="G328" s="701" t="s">
        <v>2218</v>
      </c>
      <c r="I328" s="950" t="s">
        <v>12887</v>
      </c>
      <c r="J328" s="950" t="s">
        <v>2</v>
      </c>
      <c r="K328" s="995">
        <v>1.5</v>
      </c>
      <c r="M328" s="995">
        <v>80000</v>
      </c>
      <c r="N328" s="1103">
        <f t="shared" si="68"/>
        <v>-120000</v>
      </c>
      <c r="O328" s="934">
        <v>0</v>
      </c>
      <c r="P328" s="690"/>
      <c r="Q328" s="690"/>
      <c r="R328" s="1100">
        <f t="shared" si="69"/>
        <v>-120000</v>
      </c>
      <c r="S328" s="995">
        <v>1</v>
      </c>
      <c r="T328" s="1121">
        <f t="shared" si="75"/>
        <v>-120000</v>
      </c>
      <c r="U328" s="1024">
        <v>44138</v>
      </c>
      <c r="V328" s="667" t="s">
        <v>2219</v>
      </c>
      <c r="W328" s="936"/>
      <c r="X328" s="1089">
        <f t="shared" si="70"/>
        <v>0</v>
      </c>
      <c r="Y328" s="690" t="s">
        <v>1763</v>
      </c>
      <c r="Z328" s="1111" t="str">
        <f>VLOOKUP(AA328,'place of settlement'!A:C,2,FALSE)</f>
        <v>MOTIITMMXXX</v>
      </c>
      <c r="AA328" s="1111" t="str">
        <f t="shared" si="73"/>
        <v>IT</v>
      </c>
      <c r="AB328" s="1111" t="str">
        <f t="shared" si="74"/>
        <v>visorIT</v>
      </c>
      <c r="AC328" s="1111" t="e">
        <f>VLOOKUP(AB328,sample!$1:$1048576,2,FALSE)</f>
        <v>#N/A</v>
      </c>
      <c r="AD328" s="1111" t="e">
        <f>VLOOKUP($AB328,sample!$1:$1048576,3,FALSE)</f>
        <v>#N/A</v>
      </c>
      <c r="AE328" s="1104" t="e">
        <f>VLOOKUP($AB328,sample!$1:$1048576,4,FALSE)</f>
        <v>#N/A</v>
      </c>
      <c r="AF328" s="1111" t="e">
        <f>VLOOKUP($AB328,sample!$1:$1048576,5,FALSE)</f>
        <v>#N/A</v>
      </c>
      <c r="AL328" s="1091" t="e">
        <f>VLOOKUP($AB328,sample!$1:$1048576,11,FALSE)</f>
        <v>#N/A</v>
      </c>
      <c r="AM328" s="1091" t="e">
        <f>VLOOKUP($AB328,sample!$1:$1048576,12,FALSE)</f>
        <v>#N/A</v>
      </c>
      <c r="AN328" s="1091" t="e">
        <f>VLOOKUP($AB328,sample!$1:$1048576,13,FALSE)</f>
        <v>#N/A</v>
      </c>
      <c r="AP328" s="1111"/>
    </row>
    <row r="329" spans="1:42" s="690" customFormat="1">
      <c r="A329" s="1046">
        <v>2019200346</v>
      </c>
      <c r="B329" s="933">
        <v>44137</v>
      </c>
      <c r="C329" s="933" t="s">
        <v>138</v>
      </c>
      <c r="D329" s="1127" t="str">
        <f>IFERROR(VLOOKUP(G329,PosAggregate!$B$13:$B$93,1,FALSE),"")</f>
        <v/>
      </c>
      <c r="E329" s="1022" t="s">
        <v>12875</v>
      </c>
      <c r="F329" s="1132" t="str">
        <f t="shared" si="66"/>
        <v/>
      </c>
      <c r="G329" s="667" t="s">
        <v>2161</v>
      </c>
      <c r="I329" s="949" t="s">
        <v>12883</v>
      </c>
      <c r="J329" s="949" t="s">
        <v>1100</v>
      </c>
      <c r="K329" s="995">
        <v>154.69999999999999</v>
      </c>
      <c r="L329" s="934"/>
      <c r="M329" s="995">
        <v>-11000</v>
      </c>
      <c r="N329" s="1103">
        <f t="shared" ref="N329:N360" si="76">-K329*M329</f>
        <v>1701699.9999999998</v>
      </c>
      <c r="O329" s="934">
        <v>-1021.02</v>
      </c>
      <c r="P329" s="934">
        <v>-1833.04</v>
      </c>
      <c r="R329" s="1100">
        <f t="shared" ref="R329:R360" si="77">SUM(N329:Q329)</f>
        <v>1698845.9399999997</v>
      </c>
      <c r="S329" s="995">
        <v>9.0282905694219533</v>
      </c>
      <c r="T329" s="1121">
        <f t="shared" si="75"/>
        <v>188169.16967137117</v>
      </c>
      <c r="U329" s="1024">
        <v>44139</v>
      </c>
      <c r="V329" s="667" t="s">
        <v>1725</v>
      </c>
      <c r="W329" s="936">
        <v>44137.512200231482</v>
      </c>
      <c r="X329" s="1089">
        <f t="shared" si="70"/>
        <v>-6.0000000000000005E-2</v>
      </c>
      <c r="Y329" s="690" t="s">
        <v>1763</v>
      </c>
      <c r="Z329" s="1111" t="str">
        <f>VLOOKUP(AA329,'place of settlement'!A:C,2,FALSE)</f>
        <v>XHKCHKH1XXX</v>
      </c>
      <c r="AA329" s="690" t="s">
        <v>2220</v>
      </c>
      <c r="AB329" s="1111" t="str">
        <f t="shared" si="74"/>
        <v>Tavira Securitieshk</v>
      </c>
      <c r="AC329" s="1111" t="str">
        <f>VLOOKUP(AB329,sample!$1:$1048576,2,FALSE)</f>
        <v>GSILGB2XXXX</v>
      </c>
      <c r="AD329" s="1111" t="str">
        <f>VLOOKUP($AB329,sample!$1:$1048576,3,FALSE)</f>
        <v>XHKCHKH1XXX</v>
      </c>
      <c r="AE329" s="1104" t="str">
        <f>VLOOKUP($AB329,sample!$1:$1048576,4,FALSE)</f>
        <v xml:space="preserve">        </v>
      </c>
      <c r="AF329" s="1111" t="str">
        <f>VLOOKUP($AB329,sample!$1:$1048576,5,FALSE)</f>
        <v>N</v>
      </c>
      <c r="AL329" s="1104" t="str">
        <f>VLOOKUP($AB329,sample!$1:$1048576,11,FALSE)</f>
        <v>CCASS</v>
      </c>
      <c r="AM329" s="1104" t="str">
        <f>VLOOKUP($AB329,sample!$1:$1048576,12,FALSE)</f>
        <v>B01451</v>
      </c>
      <c r="AN329" s="1104" t="str">
        <f>VLOOKUP($AB329,sample!$1:$1048576,13,FALSE)</f>
        <v>GSASHKH1XX</v>
      </c>
      <c r="AP329" s="1111"/>
    </row>
    <row r="330" spans="1:42" s="690" customFormat="1">
      <c r="A330" s="1046">
        <v>2019200347</v>
      </c>
      <c r="B330" s="933">
        <v>44138</v>
      </c>
      <c r="C330" s="933" t="s">
        <v>138</v>
      </c>
      <c r="D330" s="1127" t="str">
        <f>IFERROR(VLOOKUP(G330,PosAggregate!$B$13:$B$93,1,FALSE),"")</f>
        <v/>
      </c>
      <c r="E330" s="1022" t="s">
        <v>12880</v>
      </c>
      <c r="F330" s="1132" t="str">
        <f t="shared" si="66"/>
        <v/>
      </c>
      <c r="G330" s="667" t="s">
        <v>2218</v>
      </c>
      <c r="I330" s="949" t="s">
        <v>12887</v>
      </c>
      <c r="J330" s="949" t="s">
        <v>2</v>
      </c>
      <c r="K330" s="995">
        <v>2.02</v>
      </c>
      <c r="L330" s="934"/>
      <c r="M330" s="995">
        <v>-11000</v>
      </c>
      <c r="N330" s="1103">
        <f t="shared" si="76"/>
        <v>22220</v>
      </c>
      <c r="O330" s="934">
        <v>-13.33</v>
      </c>
      <c r="P330" s="934"/>
      <c r="R330" s="1100">
        <f t="shared" si="77"/>
        <v>22206.67</v>
      </c>
      <c r="S330" s="995">
        <v>1</v>
      </c>
      <c r="T330" s="1121">
        <f t="shared" si="75"/>
        <v>22206.67</v>
      </c>
      <c r="U330" s="1024">
        <v>44140</v>
      </c>
      <c r="V330" s="667" t="s">
        <v>1153</v>
      </c>
      <c r="W330" s="936">
        <v>44138.548913310187</v>
      </c>
      <c r="X330" s="1089">
        <f t="shared" si="70"/>
        <v>-5.9990999099909986E-2</v>
      </c>
      <c r="Y330" s="690" t="s">
        <v>1763</v>
      </c>
      <c r="Z330" s="1111" t="str">
        <f>VLOOKUP(AA330,'place of settlement'!A:C,2,FALSE)</f>
        <v>MOTIITMMXXX</v>
      </c>
      <c r="AA330" s="1111" t="str">
        <f t="shared" ref="AA330:AA344" si="78">LEFT(E330,2)</f>
        <v>IT</v>
      </c>
      <c r="AB330" s="690" t="s">
        <v>1878</v>
      </c>
      <c r="AC330" s="1111" t="str">
        <f>VLOOKUP(AB330,sample!$1:$1048576,2,FALSE)</f>
        <v>EMSIITM1XXX</v>
      </c>
      <c r="AD330" s="1111" t="str">
        <f>VLOOKUP($AB330,sample!$1:$1048576,3,FALSE)</f>
        <v>MOTIITMMXXX</v>
      </c>
      <c r="AE330" s="1104" t="str">
        <f>VLOOKUP($AB330,sample!$1:$1048576,4,FALSE)</f>
        <v>MOTIBCITITMMXXX6039800</v>
      </c>
      <c r="AF330" s="1111" t="str">
        <f>VLOOKUP($AB330,sample!$1:$1048576,5,FALSE)</f>
        <v>N</v>
      </c>
      <c r="AL330" s="1104" t="str">
        <f>VLOOKUP($AB330,sample!$1:$1048576,11,FALSE)</f>
        <v xml:space="preserve">        </v>
      </c>
      <c r="AM330" s="1104" t="str">
        <f>VLOOKUP($AB330,sample!$1:$1048576,12,FALSE)</f>
        <v xml:space="preserve">        </v>
      </c>
      <c r="AN330" s="1104" t="str">
        <f>VLOOKUP($AB330,sample!$1:$1048576,13,FALSE)</f>
        <v>BCITITM1T03</v>
      </c>
      <c r="AP330" s="1111"/>
    </row>
    <row r="331" spans="1:42" s="690" customFormat="1">
      <c r="A331" s="1046">
        <v>2019200348</v>
      </c>
      <c r="B331" s="933">
        <v>44140</v>
      </c>
      <c r="C331" s="933" t="s">
        <v>138</v>
      </c>
      <c r="D331" s="1127" t="str">
        <f>IFERROR(VLOOKUP(G331,PosAggregate!$B$13:$B$93,1,FALSE),"")</f>
        <v/>
      </c>
      <c r="E331" s="1022" t="s">
        <v>1270</v>
      </c>
      <c r="F331" s="1132" t="str">
        <f t="shared" si="66"/>
        <v/>
      </c>
      <c r="G331" s="667" t="s">
        <v>1221</v>
      </c>
      <c r="I331" s="949" t="s">
        <v>1136</v>
      </c>
      <c r="J331" s="949" t="s">
        <v>3</v>
      </c>
      <c r="K331" s="995">
        <v>101.09273</v>
      </c>
      <c r="L331" s="934"/>
      <c r="M331" s="995">
        <v>-1100</v>
      </c>
      <c r="N331" s="1103">
        <f t="shared" si="76"/>
        <v>111202.003</v>
      </c>
      <c r="O331" s="934">
        <v>-55.6</v>
      </c>
      <c r="P331" s="934">
        <v>-2.46</v>
      </c>
      <c r="R331" s="1100">
        <f t="shared" si="77"/>
        <v>111143.94299999998</v>
      </c>
      <c r="S331" s="995">
        <v>1.1821029611679177</v>
      </c>
      <c r="T331" s="1121">
        <f t="shared" si="75"/>
        <v>94022.218580849993</v>
      </c>
      <c r="U331" s="1024">
        <v>44144</v>
      </c>
      <c r="V331" s="667" t="s">
        <v>1725</v>
      </c>
      <c r="W331" s="936">
        <v>44141.469706597221</v>
      </c>
      <c r="X331" s="1089">
        <f t="shared" ref="X331:X362" si="79">+O331/N331*100</f>
        <v>-4.9999099386725969E-2</v>
      </c>
      <c r="Y331" s="690" t="s">
        <v>1763</v>
      </c>
      <c r="Z331" s="1111" t="str">
        <f>VLOOKUP(AA331,'place of settlement'!A:C,2,FALSE)</f>
        <v>DTCYUS33XXX</v>
      </c>
      <c r="AA331" s="1111" t="str">
        <f t="shared" si="78"/>
        <v>US</v>
      </c>
      <c r="AB331" s="1111" t="str">
        <f t="shared" ref="AB331:AB369" si="80">CONCATENATE(V331,AA331)</f>
        <v>Tavira SecuritiesUS</v>
      </c>
      <c r="AC331" s="1111" t="str">
        <f>VLOOKUP(AB331,sample!$1:$1048576,2,FALSE)</f>
        <v>GSILGB2XXXX</v>
      </c>
      <c r="AD331" s="1111" t="str">
        <f>VLOOKUP($AB331,sample!$1:$1048576,3,FALSE)</f>
        <v>DTCYUS33</v>
      </c>
      <c r="AE331" s="1104" t="str">
        <f>VLOOKUP($AB331,sample!$1:$1048576,4,FALSE)</f>
        <v xml:space="preserve">        </v>
      </c>
      <c r="AF331" s="1111" t="str">
        <f>VLOOKUP($AB331,sample!$1:$1048576,5,FALSE)</f>
        <v>N</v>
      </c>
      <c r="AL331" s="1104" t="str">
        <f>VLOOKUP($AB331,sample!$1:$1048576,11,FALSE)</f>
        <v>DTCYID</v>
      </c>
      <c r="AM331" s="1104">
        <f>VLOOKUP($AB331,sample!$1:$1048576,12,FALSE)</f>
        <v>5208</v>
      </c>
      <c r="AN331" s="1104" t="str">
        <f>VLOOKUP($AB331,sample!$1:$1048576,13,FALSE)</f>
        <v xml:space="preserve">        </v>
      </c>
      <c r="AP331" s="1111"/>
    </row>
    <row r="332" spans="1:42" s="690" customFormat="1">
      <c r="A332" s="1046">
        <v>2019200349</v>
      </c>
      <c r="B332" s="933">
        <v>44144</v>
      </c>
      <c r="C332" s="933" t="s">
        <v>138</v>
      </c>
      <c r="D332" s="1127" t="str">
        <f>IFERROR(VLOOKUP(G332,PosAggregate!$B$13:$B$93,1,FALSE),"")</f>
        <v/>
      </c>
      <c r="E332" s="1022" t="s">
        <v>1271</v>
      </c>
      <c r="F332" s="1132" t="str">
        <f t="shared" ref="F332:F395" si="81">IF(D332=G332,"YES","")</f>
        <v/>
      </c>
      <c r="G332" s="667" t="s">
        <v>1222</v>
      </c>
      <c r="I332" s="949" t="s">
        <v>1228</v>
      </c>
      <c r="J332" s="949" t="s">
        <v>3</v>
      </c>
      <c r="K332" s="995">
        <v>14.5</v>
      </c>
      <c r="L332" s="934"/>
      <c r="M332" s="995">
        <v>-22100</v>
      </c>
      <c r="N332" s="1103">
        <f t="shared" si="76"/>
        <v>320450</v>
      </c>
      <c r="O332" s="934">
        <v>-160.22</v>
      </c>
      <c r="P332" s="934">
        <v>-7.08</v>
      </c>
      <c r="R332" s="1100">
        <f t="shared" si="77"/>
        <v>320282.7</v>
      </c>
      <c r="S332" s="995">
        <v>1.18</v>
      </c>
      <c r="T332" s="1121">
        <f t="shared" si="75"/>
        <v>271426.01694915257</v>
      </c>
      <c r="U332" s="1024">
        <v>44147</v>
      </c>
      <c r="V332" s="667" t="s">
        <v>1113</v>
      </c>
      <c r="W332" s="936">
        <v>44144.816250810189</v>
      </c>
      <c r="X332" s="1089">
        <f t="shared" si="79"/>
        <v>-4.9998439694180059E-2</v>
      </c>
      <c r="Y332" s="690" t="s">
        <v>1763</v>
      </c>
      <c r="Z332" s="1111" t="str">
        <f>VLOOKUP(AA332,'place of settlement'!A:C,2,FALSE)</f>
        <v>DTCYUS33XXX</v>
      </c>
      <c r="AA332" s="1111" t="str">
        <f t="shared" si="78"/>
        <v>US</v>
      </c>
      <c r="AB332" s="1111" t="str">
        <f t="shared" si="80"/>
        <v>KeplerUS</v>
      </c>
      <c r="AC332" s="1111" t="str">
        <f>VLOOKUP(AB332,sample!$1:$1048576,2,FALSE)</f>
        <v>SOGEFRPPTIT</v>
      </c>
      <c r="AD332" s="1111" t="str">
        <f>VLOOKUP($AB332,sample!$1:$1048576,3,FALSE)</f>
        <v>DTCYUS33XXX</v>
      </c>
      <c r="AE332" s="1104">
        <f>VLOOKUP($AB332,sample!$1:$1048576,4,FALSE)</f>
        <v>7027337</v>
      </c>
      <c r="AF332" s="1111" t="str">
        <f>VLOOKUP($AB332,sample!$1:$1048576,5,FALSE)</f>
        <v>N</v>
      </c>
      <c r="AL332" s="1104" t="str">
        <f>VLOOKUP($AB332,sample!$1:$1048576,11,FALSE)</f>
        <v>DTCYID</v>
      </c>
      <c r="AM332" s="1104" t="str">
        <f>VLOOKUP($AB332,sample!$1:$1048576,12,FALSE)</f>
        <v>0010</v>
      </c>
      <c r="AN332" s="1104" t="str">
        <f>VLOOKUP($AB332,sample!$1:$1048576,13,FALSE)</f>
        <v xml:space="preserve">        </v>
      </c>
      <c r="AP332" s="1111"/>
    </row>
    <row r="333" spans="1:42" s="690" customFormat="1">
      <c r="A333" s="1046">
        <v>2019200350</v>
      </c>
      <c r="B333" s="933">
        <v>44147</v>
      </c>
      <c r="C333" s="933" t="s">
        <v>137</v>
      </c>
      <c r="D333" s="1127" t="str">
        <f>IFERROR(VLOOKUP(G333,PosAggregate!$B$13:$B$93,1,FALSE),"")</f>
        <v/>
      </c>
      <c r="E333" s="1022" t="s">
        <v>12861</v>
      </c>
      <c r="F333" s="1132" t="str">
        <f t="shared" si="81"/>
        <v/>
      </c>
      <c r="G333" s="667" t="s">
        <v>2202</v>
      </c>
      <c r="I333" s="949" t="s">
        <v>12797</v>
      </c>
      <c r="J333" s="949" t="s">
        <v>125</v>
      </c>
      <c r="K333" s="995">
        <v>2796.8152300000002</v>
      </c>
      <c r="L333" s="934"/>
      <c r="M333" s="995">
        <v>4600</v>
      </c>
      <c r="N333" s="1103">
        <f t="shared" si="76"/>
        <v>-12865350.058</v>
      </c>
      <c r="O333" s="934">
        <v>-3860</v>
      </c>
      <c r="P333" s="934"/>
      <c r="R333" s="1100">
        <f t="shared" si="77"/>
        <v>-12869210.058</v>
      </c>
      <c r="S333" s="995">
        <v>124.37828578179467</v>
      </c>
      <c r="T333" s="1121">
        <f t="shared" si="75"/>
        <v>-103468.30218079493</v>
      </c>
      <c r="U333" s="1024">
        <v>44151</v>
      </c>
      <c r="V333" s="667" t="s">
        <v>1725</v>
      </c>
      <c r="W333" s="936">
        <v>44146.713606944446</v>
      </c>
      <c r="X333" s="1089">
        <f t="shared" si="79"/>
        <v>3.0003070127110565E-2</v>
      </c>
      <c r="Y333" s="690" t="s">
        <v>1763</v>
      </c>
      <c r="Z333" s="1111" t="str">
        <f>VLOOKUP(AA333,'place of settlement'!A:C,2,FALSE)</f>
        <v>JJSDJPJTXXX</v>
      </c>
      <c r="AA333" s="1111" t="str">
        <f t="shared" si="78"/>
        <v>JP</v>
      </c>
      <c r="AB333" s="1111" t="str">
        <f t="shared" si="80"/>
        <v>Tavira SecuritiesJP</v>
      </c>
      <c r="AC333" s="1111" t="str">
        <f>VLOOKUP(AB333,sample!$1:$1048576,2,FALSE)</f>
        <v>GSILGB2XXXX</v>
      </c>
      <c r="AD333" s="1111" t="str">
        <f>VLOOKUP($AB333,sample!$1:$1048576,3,FALSE)</f>
        <v>JJSDJPJTXXX</v>
      </c>
      <c r="AE333" s="1104">
        <f>VLOOKUP($AB333,sample!$1:$1048576,4,FALSE)</f>
        <v>6530490016</v>
      </c>
      <c r="AF333" s="1111" t="str">
        <f>VLOOKUP($AB333,sample!$1:$1048576,5,FALSE)</f>
        <v>N</v>
      </c>
      <c r="AL333" s="1104" t="str">
        <f>VLOOKUP($AB333,sample!$1:$1048576,11,FALSE)</f>
        <v xml:space="preserve">                  </v>
      </c>
      <c r="AM333" s="1104" t="str">
        <f>VLOOKUP($AB333,sample!$1:$1048576,12,FALSE)</f>
        <v xml:space="preserve">                          </v>
      </c>
      <c r="AN333" s="1104" t="str">
        <f>VLOOKUP($AB333,sample!$1:$1048576,13,FALSE)</f>
        <v>GOLDJPJXXXX</v>
      </c>
      <c r="AP333" s="1111"/>
    </row>
    <row r="334" spans="1:42" s="690" customFormat="1">
      <c r="A334" s="1046">
        <v>2019200351</v>
      </c>
      <c r="B334" s="933">
        <v>44147</v>
      </c>
      <c r="C334" s="933" t="s">
        <v>137</v>
      </c>
      <c r="D334" s="1127" t="str">
        <f>IFERROR(VLOOKUP(G334,PosAggregate!$B$13:$B$93,1,FALSE),"")</f>
        <v/>
      </c>
      <c r="E334" s="1022" t="s">
        <v>12877</v>
      </c>
      <c r="F334" s="1132" t="str">
        <f t="shared" si="81"/>
        <v/>
      </c>
      <c r="G334" s="667" t="s">
        <v>2211</v>
      </c>
      <c r="I334" s="949" t="s">
        <v>12886</v>
      </c>
      <c r="J334" s="949" t="s">
        <v>1101</v>
      </c>
      <c r="K334" s="995">
        <v>0.54942000000000002</v>
      </c>
      <c r="L334" s="934"/>
      <c r="M334" s="995">
        <v>31000</v>
      </c>
      <c r="N334" s="1103">
        <f t="shared" si="76"/>
        <v>-17032.02</v>
      </c>
      <c r="O334" s="934">
        <v>-10.220000000000001</v>
      </c>
      <c r="P334" s="934"/>
      <c r="R334" s="1100">
        <f t="shared" si="77"/>
        <v>-17042.240000000002</v>
      </c>
      <c r="S334" s="995">
        <v>1.0803076162099148</v>
      </c>
      <c r="T334" s="1121">
        <f t="shared" si="75"/>
        <v>-15775.358559249962</v>
      </c>
      <c r="U334" s="1024">
        <v>44151</v>
      </c>
      <c r="V334" s="667" t="s">
        <v>1725</v>
      </c>
      <c r="W334" s="936">
        <v>44147.440144791668</v>
      </c>
      <c r="X334" s="1089">
        <f t="shared" si="79"/>
        <v>6.0004626579818483E-2</v>
      </c>
      <c r="Y334" s="690" t="s">
        <v>1763</v>
      </c>
      <c r="Z334" s="1111" t="str">
        <f>VLOOKUP(AA334,'place of settlement'!A:C,2,FALSE)</f>
        <v>INSECHZZXXX</v>
      </c>
      <c r="AA334" s="1111" t="str">
        <f t="shared" si="78"/>
        <v>CH</v>
      </c>
      <c r="AB334" s="1111" t="str">
        <f t="shared" si="80"/>
        <v>Tavira SecuritiesCH</v>
      </c>
      <c r="AC334" s="1111" t="str">
        <f>VLOOKUP(AB334,sample!$1:$1048576,2,FALSE)</f>
        <v>GSILGB2XXXX</v>
      </c>
      <c r="AD334" s="1111" t="str">
        <f>VLOOKUP($AB334,sample!$1:$1048576,3,FALSE)</f>
        <v>INSECHZZ</v>
      </c>
      <c r="AE334" s="1104">
        <f>VLOOKUP($AB334,sample!$1:$1048576,4,FALSE)</f>
        <v>20319455</v>
      </c>
      <c r="AF334" s="1111" t="str">
        <f>VLOOKUP($AB334,sample!$1:$1048576,5,FALSE)</f>
        <v>N</v>
      </c>
      <c r="AL334" s="1104" t="str">
        <f>VLOOKUP($AB334,sample!$1:$1048576,11,FALSE)</f>
        <v>SCOM</v>
      </c>
      <c r="AM334" s="1104" t="str">
        <f>VLOOKUP($AB334,sample!$1:$1048576,12,FALSE)</f>
        <v>GB102183</v>
      </c>
      <c r="AN334" s="1104" t="str">
        <f>VLOOKUP($AB334,sample!$1:$1048576,13,FALSE)</f>
        <v>GSILGB2XXXX</v>
      </c>
      <c r="AP334" s="1111"/>
    </row>
    <row r="335" spans="1:42" s="690" customFormat="1">
      <c r="A335" s="1046">
        <v>2019200352</v>
      </c>
      <c r="B335" s="933">
        <v>44151</v>
      </c>
      <c r="C335" s="933" t="s">
        <v>137</v>
      </c>
      <c r="D335" s="1127" t="str">
        <f>IFERROR(VLOOKUP(G335,PosAggregate!$B$13:$B$93,1,FALSE),"")</f>
        <v/>
      </c>
      <c r="E335" s="1022" t="s">
        <v>12861</v>
      </c>
      <c r="F335" s="1132" t="str">
        <f t="shared" si="81"/>
        <v/>
      </c>
      <c r="G335" s="667" t="s">
        <v>2202</v>
      </c>
      <c r="I335" s="949" t="s">
        <v>12797</v>
      </c>
      <c r="J335" s="949" t="s">
        <v>125</v>
      </c>
      <c r="K335" s="995">
        <v>2715.3952399999998</v>
      </c>
      <c r="L335" s="934"/>
      <c r="M335" s="995">
        <v>4200</v>
      </c>
      <c r="N335" s="1103">
        <f t="shared" si="76"/>
        <v>-11404660.007999999</v>
      </c>
      <c r="O335" s="934">
        <v>-3421</v>
      </c>
      <c r="P335" s="934"/>
      <c r="R335" s="1100">
        <f t="shared" si="77"/>
        <v>-11408081.007999999</v>
      </c>
      <c r="S335" s="995">
        <v>123.78574724611623</v>
      </c>
      <c r="T335" s="1121">
        <f t="shared" si="75"/>
        <v>-92159.89127825803</v>
      </c>
      <c r="U335" s="933">
        <v>44153</v>
      </c>
      <c r="V335" s="667" t="s">
        <v>1725</v>
      </c>
      <c r="W335" s="936">
        <v>44151.352215162035</v>
      </c>
      <c r="X335" s="1089">
        <f t="shared" si="79"/>
        <v>2.9996510177421151E-2</v>
      </c>
      <c r="Y335" s="690" t="s">
        <v>1763</v>
      </c>
      <c r="Z335" s="1111" t="str">
        <f>VLOOKUP(AA335,'place of settlement'!A:C,2,FALSE)</f>
        <v>JJSDJPJTXXX</v>
      </c>
      <c r="AA335" s="1111" t="str">
        <f t="shared" si="78"/>
        <v>JP</v>
      </c>
      <c r="AB335" s="1111" t="str">
        <f t="shared" si="80"/>
        <v>Tavira SecuritiesJP</v>
      </c>
      <c r="AC335" s="1111" t="str">
        <f>VLOOKUP(AB335,sample!$1:$1048576,2,FALSE)</f>
        <v>GSILGB2XXXX</v>
      </c>
      <c r="AD335" s="1111" t="str">
        <f>VLOOKUP($AB335,sample!$1:$1048576,3,FALSE)</f>
        <v>JJSDJPJTXXX</v>
      </c>
      <c r="AE335" s="1104">
        <f>VLOOKUP($AB335,sample!$1:$1048576,4,FALSE)</f>
        <v>6530490016</v>
      </c>
      <c r="AF335" s="1111" t="str">
        <f>VLOOKUP($AB335,sample!$1:$1048576,5,FALSE)</f>
        <v>N</v>
      </c>
      <c r="AL335" s="1104" t="str">
        <f>VLOOKUP($AB335,sample!$1:$1048576,11,FALSE)</f>
        <v xml:space="preserve">                  </v>
      </c>
      <c r="AM335" s="1104" t="str">
        <f>VLOOKUP($AB335,sample!$1:$1048576,12,FALSE)</f>
        <v xml:space="preserve">                          </v>
      </c>
      <c r="AN335" s="1104" t="str">
        <f>VLOOKUP($AB335,sample!$1:$1048576,13,FALSE)</f>
        <v>GOLDJPJXXXX</v>
      </c>
      <c r="AP335" s="1111"/>
    </row>
    <row r="336" spans="1:42" s="690" customFormat="1">
      <c r="A336" s="1046">
        <v>2019200353</v>
      </c>
      <c r="B336" s="933">
        <v>44151</v>
      </c>
      <c r="C336" s="933" t="s">
        <v>138</v>
      </c>
      <c r="D336" s="1127" t="str">
        <f>IFERROR(VLOOKUP(G336,PosAggregate!$B$13:$B$93,1,FALSE),"")</f>
        <v/>
      </c>
      <c r="E336" s="1022" t="s">
        <v>12880</v>
      </c>
      <c r="F336" s="1132" t="str">
        <f t="shared" si="81"/>
        <v/>
      </c>
      <c r="G336" s="667" t="s">
        <v>2218</v>
      </c>
      <c r="I336" s="949" t="s">
        <v>12887</v>
      </c>
      <c r="J336" s="949" t="s">
        <v>2</v>
      </c>
      <c r="K336" s="995">
        <v>2.0454500000000002</v>
      </c>
      <c r="L336" s="934"/>
      <c r="M336" s="995">
        <v>-11000</v>
      </c>
      <c r="N336" s="1103">
        <f t="shared" si="76"/>
        <v>22499.95</v>
      </c>
      <c r="O336" s="934">
        <v>-13.5</v>
      </c>
      <c r="P336" s="934"/>
      <c r="R336" s="1100">
        <f t="shared" si="77"/>
        <v>22486.45</v>
      </c>
      <c r="S336" s="995">
        <v>1</v>
      </c>
      <c r="T336" s="1121">
        <f t="shared" si="75"/>
        <v>22486.45</v>
      </c>
      <c r="U336" s="933">
        <v>44153</v>
      </c>
      <c r="V336" s="667" t="s">
        <v>1725</v>
      </c>
      <c r="W336" s="936">
        <v>44151.492818287035</v>
      </c>
      <c r="X336" s="1089">
        <f t="shared" si="79"/>
        <v>-6.0000133333629621E-2</v>
      </c>
      <c r="Y336" s="690" t="s">
        <v>1763</v>
      </c>
      <c r="Z336" s="1111" t="str">
        <f>VLOOKUP(AA336,'place of settlement'!A:C,2,FALSE)</f>
        <v>MOTIITMMXXX</v>
      </c>
      <c r="AA336" s="1111" t="str">
        <f t="shared" si="78"/>
        <v>IT</v>
      </c>
      <c r="AB336" s="1111" t="str">
        <f t="shared" si="80"/>
        <v>Tavira SecuritiesIT</v>
      </c>
      <c r="AC336" s="1111" t="str">
        <f>VLOOKUP(AB336,sample!$1:$1048576,2,FALSE)</f>
        <v>GSILGB2XXXX</v>
      </c>
      <c r="AD336" s="1111" t="str">
        <f>VLOOKUP($AB336,sample!$1:$1048576,3,FALSE)</f>
        <v>MOTIITMMXXX</v>
      </c>
      <c r="AE336" s="1104" t="str">
        <f>VLOOKUP($AB336,sample!$1:$1048576,4,FALSE)</f>
        <v>MOTICITIITMXXXX6013800</v>
      </c>
      <c r="AF336" s="1111" t="str">
        <f>VLOOKUP($AB336,sample!$1:$1048576,5,FALSE)</f>
        <v>N</v>
      </c>
      <c r="AL336" s="1104" t="str">
        <f>VLOOKUP($AB336,sample!$1:$1048576,11,FALSE)</f>
        <v xml:space="preserve">        </v>
      </c>
      <c r="AM336" s="1104" t="str">
        <f>VLOOKUP($AB336,sample!$1:$1048576,12,FALSE)</f>
        <v xml:space="preserve">        </v>
      </c>
      <c r="AN336" s="1104" t="str">
        <f>VLOOKUP($AB336,sample!$1:$1048576,13,FALSE)</f>
        <v>CITIITM1012</v>
      </c>
      <c r="AP336" s="1111"/>
    </row>
    <row r="337" spans="1:42" s="690" customFormat="1">
      <c r="A337" s="690" t="s">
        <v>1777</v>
      </c>
      <c r="B337" s="933">
        <v>44151</v>
      </c>
      <c r="C337" s="933" t="s">
        <v>138</v>
      </c>
      <c r="D337" s="1127" t="str">
        <f>IFERROR(VLOOKUP(G337,PosAggregate!$B$13:$B$93,1,FALSE),"")</f>
        <v/>
      </c>
      <c r="E337" s="1022" t="s">
        <v>12878</v>
      </c>
      <c r="F337" s="1132" t="str">
        <f t="shared" si="81"/>
        <v/>
      </c>
      <c r="G337" s="667" t="s">
        <v>2215</v>
      </c>
      <c r="I337" s="949" t="s">
        <v>2216</v>
      </c>
      <c r="J337" s="949" t="s">
        <v>12790</v>
      </c>
      <c r="L337" s="934"/>
      <c r="M337" s="995">
        <v>-93079</v>
      </c>
      <c r="N337" s="1103">
        <f t="shared" si="76"/>
        <v>0</v>
      </c>
      <c r="O337" s="934"/>
      <c r="R337" s="1100">
        <f t="shared" si="77"/>
        <v>0</v>
      </c>
      <c r="S337" s="995"/>
      <c r="T337" s="1121" t="e">
        <f t="shared" si="75"/>
        <v>#DIV/0!</v>
      </c>
      <c r="U337" s="1024"/>
      <c r="V337" s="667"/>
      <c r="W337" s="936"/>
      <c r="X337" s="1089" t="e">
        <f t="shared" si="79"/>
        <v>#DIV/0!</v>
      </c>
      <c r="Y337" s="690" t="s">
        <v>1763</v>
      </c>
      <c r="Z337" s="1111" t="str">
        <f>VLOOKUP(AA337,'place of settlement'!A:C,2,FALSE)</f>
        <v>VPCSSESSXXX</v>
      </c>
      <c r="AA337" s="1111" t="str">
        <f t="shared" si="78"/>
        <v>SE</v>
      </c>
      <c r="AB337" s="1111" t="str">
        <f t="shared" si="80"/>
        <v>SE</v>
      </c>
      <c r="AC337" s="1111" t="e">
        <f>VLOOKUP(AB337,sample!$1:$1048576,2,FALSE)</f>
        <v>#N/A</v>
      </c>
      <c r="AD337" s="1111" t="e">
        <f>VLOOKUP($AB337,sample!$1:$1048576,3,FALSE)</f>
        <v>#N/A</v>
      </c>
      <c r="AE337" s="1104" t="e">
        <f>VLOOKUP($AB337,sample!$1:$1048576,4,FALSE)</f>
        <v>#N/A</v>
      </c>
      <c r="AF337" s="1111" t="e">
        <f>VLOOKUP($AB337,sample!$1:$1048576,5,FALSE)</f>
        <v>#N/A</v>
      </c>
      <c r="AL337" s="1104" t="e">
        <f>VLOOKUP($AB337,sample!$1:$1048576,11,FALSE)</f>
        <v>#N/A</v>
      </c>
      <c r="AM337" s="1104" t="e">
        <f>VLOOKUP($AB337,sample!$1:$1048576,12,FALSE)</f>
        <v>#N/A</v>
      </c>
      <c r="AN337" s="1104" t="e">
        <f>VLOOKUP($AB337,sample!$1:$1048576,13,FALSE)</f>
        <v>#N/A</v>
      </c>
      <c r="AP337" s="1111"/>
    </row>
    <row r="338" spans="1:42" s="690" customFormat="1">
      <c r="A338" s="690" t="s">
        <v>1777</v>
      </c>
      <c r="B338" s="933">
        <v>44151</v>
      </c>
      <c r="C338" s="933" t="s">
        <v>137</v>
      </c>
      <c r="D338" s="1127" t="str">
        <f>IFERROR(VLOOKUP(G338,PosAggregate!$B$13:$B$93,1,FALSE),"")</f>
        <v/>
      </c>
      <c r="E338" s="1022" t="s">
        <v>1274</v>
      </c>
      <c r="F338" s="1132" t="str">
        <f t="shared" si="81"/>
        <v/>
      </c>
      <c r="G338" s="1052" t="s">
        <v>1231</v>
      </c>
      <c r="I338" s="949" t="s">
        <v>1278</v>
      </c>
      <c r="J338" s="949" t="s">
        <v>1102</v>
      </c>
      <c r="L338" s="934"/>
      <c r="M338" s="995">
        <v>93079</v>
      </c>
      <c r="N338" s="1103">
        <f t="shared" si="76"/>
        <v>0</v>
      </c>
      <c r="R338" s="1100">
        <f t="shared" si="77"/>
        <v>0</v>
      </c>
      <c r="S338" s="667"/>
      <c r="T338" s="1121" t="e">
        <f t="shared" si="75"/>
        <v>#DIV/0!</v>
      </c>
      <c r="V338" s="667"/>
      <c r="W338" s="936"/>
      <c r="X338" s="1089" t="e">
        <f t="shared" si="79"/>
        <v>#DIV/0!</v>
      </c>
      <c r="Y338" s="690" t="s">
        <v>1763</v>
      </c>
      <c r="Z338" s="1111" t="str">
        <f>VLOOKUP(AA338,'place of settlement'!A:C,2,FALSE)</f>
        <v>VPCSSESSXXX</v>
      </c>
      <c r="AA338" s="1111" t="str">
        <f t="shared" si="78"/>
        <v>SE</v>
      </c>
      <c r="AB338" s="1111" t="str">
        <f t="shared" si="80"/>
        <v>SE</v>
      </c>
      <c r="AC338" s="1111" t="e">
        <f>VLOOKUP(AB338,sample!$1:$1048576,2,FALSE)</f>
        <v>#N/A</v>
      </c>
      <c r="AD338" s="1111" t="e">
        <f>VLOOKUP($AB338,sample!$1:$1048576,3,FALSE)</f>
        <v>#N/A</v>
      </c>
      <c r="AE338" s="1104" t="e">
        <f>VLOOKUP($AB338,sample!$1:$1048576,4,FALSE)</f>
        <v>#N/A</v>
      </c>
      <c r="AF338" s="1111" t="e">
        <f>VLOOKUP($AB338,sample!$1:$1048576,5,FALSE)</f>
        <v>#N/A</v>
      </c>
      <c r="AL338" s="1104" t="e">
        <f>VLOOKUP($AB338,sample!$1:$1048576,11,FALSE)</f>
        <v>#N/A</v>
      </c>
      <c r="AM338" s="1104" t="e">
        <f>VLOOKUP($AB338,sample!$1:$1048576,12,FALSE)</f>
        <v>#N/A</v>
      </c>
      <c r="AN338" s="1104" t="e">
        <f>VLOOKUP($AB338,sample!$1:$1048576,13,FALSE)</f>
        <v>#N/A</v>
      </c>
      <c r="AP338" s="1111"/>
    </row>
    <row r="339" spans="1:42" s="690" customFormat="1">
      <c r="A339" s="1046">
        <v>2019200354</v>
      </c>
      <c r="B339" s="933">
        <v>44151</v>
      </c>
      <c r="C339" s="933" t="s">
        <v>138</v>
      </c>
      <c r="D339" s="1127" t="str">
        <f>IFERROR(VLOOKUP(G339,PosAggregate!$B$13:$B$93,1,FALSE),"")</f>
        <v/>
      </c>
      <c r="E339" s="1022" t="s">
        <v>1270</v>
      </c>
      <c r="F339" s="1132" t="str">
        <f t="shared" si="81"/>
        <v/>
      </c>
      <c r="G339" s="667" t="s">
        <v>1221</v>
      </c>
      <c r="I339" s="949" t="s">
        <v>1136</v>
      </c>
      <c r="J339" s="949" t="s">
        <v>3</v>
      </c>
      <c r="K339" s="995">
        <v>128.14277999999999</v>
      </c>
      <c r="L339" s="934"/>
      <c r="M339" s="995">
        <v>-1685</v>
      </c>
      <c r="N339" s="1103">
        <f t="shared" si="76"/>
        <v>215920.58429999999</v>
      </c>
      <c r="O339" s="934">
        <v>-107.96</v>
      </c>
      <c r="P339" s="934">
        <v>-4.7699999999999996</v>
      </c>
      <c r="R339" s="1100">
        <f t="shared" si="77"/>
        <v>215807.85430000001</v>
      </c>
      <c r="S339" s="995">
        <v>1.1852975689546859</v>
      </c>
      <c r="T339" s="1121">
        <f t="shared" si="75"/>
        <v>182070.61243728103</v>
      </c>
      <c r="U339" s="933">
        <v>44153</v>
      </c>
      <c r="V339" s="667" t="s">
        <v>1725</v>
      </c>
      <c r="W339" s="936">
        <v>44152.413113888892</v>
      </c>
      <c r="X339" s="1089">
        <f t="shared" si="79"/>
        <v>-4.9999864695623647E-2</v>
      </c>
      <c r="Y339" s="690" t="s">
        <v>1763</v>
      </c>
      <c r="Z339" s="1111" t="str">
        <f>VLOOKUP(AA339,'place of settlement'!A:C,2,FALSE)</f>
        <v>DTCYUS33XXX</v>
      </c>
      <c r="AA339" s="1111" t="str">
        <f t="shared" si="78"/>
        <v>US</v>
      </c>
      <c r="AB339" s="1111" t="str">
        <f t="shared" si="80"/>
        <v>Tavira SecuritiesUS</v>
      </c>
      <c r="AC339" s="1111" t="str">
        <f>VLOOKUP(AB339,sample!$1:$1048576,2,FALSE)</f>
        <v>GSILGB2XXXX</v>
      </c>
      <c r="AD339" s="1111" t="str">
        <f>VLOOKUP($AB339,sample!$1:$1048576,3,FALSE)</f>
        <v>DTCYUS33</v>
      </c>
      <c r="AE339" s="1104" t="str">
        <f>VLOOKUP($AB339,sample!$1:$1048576,4,FALSE)</f>
        <v xml:space="preserve">        </v>
      </c>
      <c r="AF339" s="1111" t="str">
        <f>VLOOKUP($AB339,sample!$1:$1048576,5,FALSE)</f>
        <v>N</v>
      </c>
      <c r="AL339" s="1104" t="str">
        <f>VLOOKUP($AB339,sample!$1:$1048576,11,FALSE)</f>
        <v>DTCYID</v>
      </c>
      <c r="AM339" s="1104">
        <f>VLOOKUP($AB339,sample!$1:$1048576,12,FALSE)</f>
        <v>5208</v>
      </c>
      <c r="AN339" s="1104" t="str">
        <f>VLOOKUP($AB339,sample!$1:$1048576,13,FALSE)</f>
        <v xml:space="preserve">        </v>
      </c>
      <c r="AP339" s="1111"/>
    </row>
    <row r="340" spans="1:42" s="690" customFormat="1">
      <c r="A340" s="1046">
        <v>2019200355</v>
      </c>
      <c r="B340" s="933">
        <v>44152</v>
      </c>
      <c r="C340" s="933" t="s">
        <v>138</v>
      </c>
      <c r="D340" s="1127" t="str">
        <f>IFERROR(VLOOKUP(G340,PosAggregate!$B$13:$B$93,1,FALSE),"")</f>
        <v/>
      </c>
      <c r="E340" s="1022" t="s">
        <v>1709</v>
      </c>
      <c r="F340" s="1132" t="str">
        <f t="shared" si="81"/>
        <v/>
      </c>
      <c r="G340" s="667" t="s">
        <v>1701</v>
      </c>
      <c r="I340" s="949" t="s">
        <v>1706</v>
      </c>
      <c r="J340" s="949" t="s">
        <v>1104</v>
      </c>
      <c r="K340" s="995">
        <v>0.56855</v>
      </c>
      <c r="L340" s="934"/>
      <c r="M340" s="995">
        <v>-220000</v>
      </c>
      <c r="N340" s="1103">
        <f t="shared" si="76"/>
        <v>125081</v>
      </c>
      <c r="O340" s="934">
        <v>-75.05</v>
      </c>
      <c r="P340" s="934"/>
      <c r="R340" s="1100">
        <f t="shared" si="77"/>
        <v>125005.95</v>
      </c>
      <c r="S340" s="995">
        <v>1.6279446738525956</v>
      </c>
      <c r="T340" s="1121">
        <f t="shared" si="75"/>
        <v>76787.591131195179</v>
      </c>
      <c r="U340" s="933">
        <v>44154</v>
      </c>
      <c r="V340" s="667" t="s">
        <v>1725</v>
      </c>
      <c r="W340" s="936">
        <v>44151.351482060185</v>
      </c>
      <c r="X340" s="1089">
        <f t="shared" si="79"/>
        <v>-6.0001119274709989E-2</v>
      </c>
      <c r="Y340" s="690" t="s">
        <v>1763</v>
      </c>
      <c r="Z340" s="1111" t="str">
        <f>VLOOKUP(AA340,'place of settlement'!A:C,2,FALSE)</f>
        <v>CAETAU21XXX</v>
      </c>
      <c r="AA340" s="1111" t="str">
        <f t="shared" si="78"/>
        <v>AU</v>
      </c>
      <c r="AB340" s="1111" t="str">
        <f t="shared" si="80"/>
        <v>Tavira SecuritiesAU</v>
      </c>
      <c r="AC340" s="1111" t="str">
        <f>VLOOKUP(AB340,sample!$1:$1048576,2,FALSE)</f>
        <v>GSILGB2XXXX</v>
      </c>
      <c r="AD340" s="1111" t="str">
        <f>VLOOKUP($AB340,sample!$1:$1048576,3,FALSE)</f>
        <v>CAETAU21</v>
      </c>
      <c r="AE340" s="1104" t="str">
        <f>VLOOKUP($AB340,sample!$1:$1048576,4,FALSE)</f>
        <v>011-109048-061</v>
      </c>
      <c r="AF340" s="1111" t="str">
        <f>VLOOKUP($AB340,sample!$1:$1048576,5,FALSE)</f>
        <v>N</v>
      </c>
      <c r="AL340" s="1104" t="str">
        <f>VLOOKUP($AB340,sample!$1:$1048576,11,FALSE)</f>
        <v xml:space="preserve">        </v>
      </c>
      <c r="AM340" s="1104" t="str">
        <f>VLOOKUP($AB340,sample!$1:$1048576,12,FALSE)</f>
        <v xml:space="preserve">        </v>
      </c>
      <c r="AN340" s="1104" t="str">
        <f>VLOOKUP($AB340,sample!$1:$1048576,13,FALSE)</f>
        <v>HKBAAU2SSYD</v>
      </c>
      <c r="AP340" s="1111"/>
    </row>
    <row r="341" spans="1:42" s="690" customFormat="1">
      <c r="A341" s="1046">
        <v>2019200356</v>
      </c>
      <c r="B341" s="933">
        <v>44152</v>
      </c>
      <c r="C341" s="933" t="s">
        <v>138</v>
      </c>
      <c r="D341" s="1127" t="str">
        <f>IFERROR(VLOOKUP(G341,PosAggregate!$B$13:$B$93,1,FALSE),"")</f>
        <v/>
      </c>
      <c r="E341" s="1022" t="s">
        <v>12880</v>
      </c>
      <c r="F341" s="1132" t="str">
        <f t="shared" si="81"/>
        <v/>
      </c>
      <c r="G341" s="667" t="s">
        <v>2218</v>
      </c>
      <c r="I341" s="949" t="s">
        <v>12887</v>
      </c>
      <c r="J341" s="949" t="s">
        <v>2</v>
      </c>
      <c r="K341" s="995">
        <v>2.3554499999999998</v>
      </c>
      <c r="L341" s="934"/>
      <c r="M341" s="995">
        <v>-11000</v>
      </c>
      <c r="N341" s="1103">
        <f t="shared" si="76"/>
        <v>25909.949999999997</v>
      </c>
      <c r="O341" s="934">
        <v>-15.55</v>
      </c>
      <c r="P341" s="934"/>
      <c r="R341" s="1100">
        <f t="shared" si="77"/>
        <v>25894.399999999998</v>
      </c>
      <c r="S341" s="995">
        <v>1</v>
      </c>
      <c r="T341" s="1121">
        <f t="shared" si="75"/>
        <v>25894.399999999998</v>
      </c>
      <c r="U341" s="933">
        <v>44154</v>
      </c>
      <c r="V341" s="667" t="s">
        <v>1725</v>
      </c>
      <c r="W341" s="936">
        <v>44152.395082060182</v>
      </c>
      <c r="X341" s="1089">
        <f t="shared" si="79"/>
        <v>-6.0015553870231331E-2</v>
      </c>
      <c r="Y341" s="690" t="s">
        <v>1763</v>
      </c>
      <c r="Z341" s="1111" t="str">
        <f>VLOOKUP(AA341,'place of settlement'!A:C,2,FALSE)</f>
        <v>MOTIITMMXXX</v>
      </c>
      <c r="AA341" s="1111" t="str">
        <f t="shared" si="78"/>
        <v>IT</v>
      </c>
      <c r="AB341" s="1111" t="str">
        <f t="shared" si="80"/>
        <v>Tavira SecuritiesIT</v>
      </c>
      <c r="AC341" s="1111" t="str">
        <f>VLOOKUP(AB341,sample!$1:$1048576,2,FALSE)</f>
        <v>GSILGB2XXXX</v>
      </c>
      <c r="AD341" s="1111" t="str">
        <f>VLOOKUP($AB341,sample!$1:$1048576,3,FALSE)</f>
        <v>MOTIITMMXXX</v>
      </c>
      <c r="AE341" s="1104" t="str">
        <f>VLOOKUP($AB341,sample!$1:$1048576,4,FALSE)</f>
        <v>MOTICITIITMXXXX6013800</v>
      </c>
      <c r="AF341" s="1111" t="str">
        <f>VLOOKUP($AB341,sample!$1:$1048576,5,FALSE)</f>
        <v>N</v>
      </c>
      <c r="AL341" s="1104" t="str">
        <f>VLOOKUP($AB341,sample!$1:$1048576,11,FALSE)</f>
        <v xml:space="preserve">        </v>
      </c>
      <c r="AM341" s="1104" t="str">
        <f>VLOOKUP($AB341,sample!$1:$1048576,12,FALSE)</f>
        <v xml:space="preserve">        </v>
      </c>
      <c r="AN341" s="1104" t="str">
        <f>VLOOKUP($AB341,sample!$1:$1048576,13,FALSE)</f>
        <v>CITIITM1012</v>
      </c>
      <c r="AP341" s="1111"/>
    </row>
    <row r="342" spans="1:42" s="690" customFormat="1">
      <c r="A342" s="1046">
        <v>2019200357</v>
      </c>
      <c r="B342" s="933">
        <v>44153</v>
      </c>
      <c r="C342" s="933" t="s">
        <v>138</v>
      </c>
      <c r="D342" s="1127" t="str">
        <f>IFERROR(VLOOKUP(G342,PosAggregate!$B$13:$B$93,1,FALSE),"")</f>
        <v/>
      </c>
      <c r="E342" s="1022" t="s">
        <v>12880</v>
      </c>
      <c r="F342" s="1132" t="str">
        <f t="shared" si="81"/>
        <v/>
      </c>
      <c r="G342" s="667" t="s">
        <v>2218</v>
      </c>
      <c r="I342" s="949" t="s">
        <v>12887</v>
      </c>
      <c r="J342" s="949" t="s">
        <v>2</v>
      </c>
      <c r="K342" s="995">
        <v>2.5581800000000001</v>
      </c>
      <c r="L342" s="934"/>
      <c r="M342" s="995">
        <v>-11000</v>
      </c>
      <c r="N342" s="1103">
        <f t="shared" si="76"/>
        <v>28139.98</v>
      </c>
      <c r="O342" s="934">
        <v>-16.88</v>
      </c>
      <c r="P342" s="934"/>
      <c r="R342" s="1100">
        <f t="shared" si="77"/>
        <v>28123.1</v>
      </c>
      <c r="S342" s="995">
        <v>1</v>
      </c>
      <c r="T342" s="1121">
        <f t="shared" si="75"/>
        <v>28123.1</v>
      </c>
      <c r="U342" s="933">
        <v>44155</v>
      </c>
      <c r="V342" s="667" t="s">
        <v>1725</v>
      </c>
      <c r="W342" s="936">
        <v>44153.398557523149</v>
      </c>
      <c r="X342" s="1089">
        <f t="shared" si="79"/>
        <v>-5.9985827992770427E-2</v>
      </c>
      <c r="Y342" s="690" t="s">
        <v>1763</v>
      </c>
      <c r="Z342" s="1111" t="str">
        <f>VLOOKUP(AA342,'place of settlement'!A:C,2,FALSE)</f>
        <v>MOTIITMMXXX</v>
      </c>
      <c r="AA342" s="1111" t="str">
        <f t="shared" si="78"/>
        <v>IT</v>
      </c>
      <c r="AB342" s="1111" t="str">
        <f t="shared" si="80"/>
        <v>Tavira SecuritiesIT</v>
      </c>
      <c r="AC342" s="1111" t="str">
        <f>VLOOKUP(AB342,sample!$1:$1048576,2,FALSE)</f>
        <v>GSILGB2XXXX</v>
      </c>
      <c r="AD342" s="1111" t="str">
        <f>VLOOKUP($AB342,sample!$1:$1048576,3,FALSE)</f>
        <v>MOTIITMMXXX</v>
      </c>
      <c r="AE342" s="1104" t="str">
        <f>VLOOKUP($AB342,sample!$1:$1048576,4,FALSE)</f>
        <v>MOTICITIITMXXXX6013800</v>
      </c>
      <c r="AF342" s="1111" t="str">
        <f>VLOOKUP($AB342,sample!$1:$1048576,5,FALSE)</f>
        <v>N</v>
      </c>
      <c r="AL342" s="1104" t="str">
        <f>VLOOKUP($AB342,sample!$1:$1048576,11,FALSE)</f>
        <v xml:space="preserve">        </v>
      </c>
      <c r="AM342" s="1104" t="str">
        <f>VLOOKUP($AB342,sample!$1:$1048576,12,FALSE)</f>
        <v xml:space="preserve">        </v>
      </c>
      <c r="AN342" s="1104" t="str">
        <f>VLOOKUP($AB342,sample!$1:$1048576,13,FALSE)</f>
        <v>CITIITM1012</v>
      </c>
      <c r="AP342" s="1111"/>
    </row>
    <row r="343" spans="1:42" s="690" customFormat="1">
      <c r="A343" s="1046" t="s">
        <v>1777</v>
      </c>
      <c r="B343" s="933">
        <v>44153</v>
      </c>
      <c r="C343" s="933" t="s">
        <v>137</v>
      </c>
      <c r="D343" s="1127" t="str">
        <f>IFERROR(VLOOKUP(G343,PosAggregate!$B$13:$B$93,1,FALSE),"")</f>
        <v/>
      </c>
      <c r="E343" s="1022" t="s">
        <v>12881</v>
      </c>
      <c r="F343" s="1132" t="str">
        <f t="shared" si="81"/>
        <v/>
      </c>
      <c r="G343" s="667" t="s">
        <v>2222</v>
      </c>
      <c r="I343" s="949" t="s">
        <v>12888</v>
      </c>
      <c r="J343" s="949" t="s">
        <v>2</v>
      </c>
      <c r="K343" s="995"/>
      <c r="L343" s="934"/>
      <c r="M343" s="995">
        <v>8000</v>
      </c>
      <c r="N343" s="1103">
        <f t="shared" si="76"/>
        <v>0</v>
      </c>
      <c r="O343" s="934"/>
      <c r="P343" s="934"/>
      <c r="R343" s="1100">
        <f t="shared" si="77"/>
        <v>0</v>
      </c>
      <c r="S343" s="995"/>
      <c r="T343" s="1051">
        <v>0</v>
      </c>
      <c r="U343" s="933"/>
      <c r="V343" s="667"/>
      <c r="W343" s="936"/>
      <c r="X343" s="1089" t="e">
        <f t="shared" si="79"/>
        <v>#DIV/0!</v>
      </c>
      <c r="Y343" s="690" t="s">
        <v>1763</v>
      </c>
      <c r="Z343" s="1111" t="str">
        <f>VLOOKUP(AA343,'place of settlement'!A:C,2,FALSE)</f>
        <v>MOTIITMMXXX</v>
      </c>
      <c r="AA343" s="1111" t="str">
        <f t="shared" si="78"/>
        <v>IT</v>
      </c>
      <c r="AB343" s="1111" t="str">
        <f t="shared" si="80"/>
        <v>IT</v>
      </c>
      <c r="AC343" s="1111" t="e">
        <f>VLOOKUP(AB343,sample!$1:$1048576,2,FALSE)</f>
        <v>#N/A</v>
      </c>
      <c r="AD343" s="1111" t="e">
        <f>VLOOKUP($AB343,sample!$1:$1048576,3,FALSE)</f>
        <v>#N/A</v>
      </c>
      <c r="AE343" s="1104" t="e">
        <f>VLOOKUP($AB343,sample!$1:$1048576,4,FALSE)</f>
        <v>#N/A</v>
      </c>
      <c r="AF343" s="1111" t="e">
        <f>VLOOKUP($AB343,sample!$1:$1048576,5,FALSE)</f>
        <v>#N/A</v>
      </c>
      <c r="AL343" s="1104" t="e">
        <f>VLOOKUP($AB343,sample!$1:$1048576,11,FALSE)</f>
        <v>#N/A</v>
      </c>
      <c r="AM343" s="1104" t="e">
        <f>VLOOKUP($AB343,sample!$1:$1048576,12,FALSE)</f>
        <v>#N/A</v>
      </c>
      <c r="AN343" s="1104" t="e">
        <f>VLOOKUP($AB343,sample!$1:$1048576,13,FALSE)</f>
        <v>#N/A</v>
      </c>
      <c r="AP343" s="1111"/>
    </row>
    <row r="344" spans="1:42" s="690" customFormat="1">
      <c r="A344" s="1046" t="s">
        <v>1777</v>
      </c>
      <c r="B344" s="933">
        <v>44153</v>
      </c>
      <c r="C344" s="933" t="s">
        <v>137</v>
      </c>
      <c r="D344" s="1127" t="str">
        <f>IFERROR(VLOOKUP(G344,PosAggregate!$B$13:$B$93,1,FALSE),"")</f>
        <v/>
      </c>
      <c r="E344" s="1022" t="s">
        <v>12862</v>
      </c>
      <c r="F344" s="1132" t="str">
        <f t="shared" si="81"/>
        <v/>
      </c>
      <c r="G344" s="667" t="s">
        <v>2223</v>
      </c>
      <c r="I344" s="949" t="s">
        <v>12888</v>
      </c>
      <c r="J344" s="949" t="s">
        <v>12790</v>
      </c>
      <c r="K344" s="995"/>
      <c r="L344" s="934"/>
      <c r="M344" s="995">
        <v>93079</v>
      </c>
      <c r="N344" s="1103">
        <f t="shared" si="76"/>
        <v>0</v>
      </c>
      <c r="O344" s="934"/>
      <c r="P344" s="934"/>
      <c r="R344" s="1100">
        <f t="shared" si="77"/>
        <v>0</v>
      </c>
      <c r="S344" s="995"/>
      <c r="T344" s="1051">
        <v>0</v>
      </c>
      <c r="U344" s="933"/>
      <c r="V344" s="667"/>
      <c r="W344" s="936"/>
      <c r="X344" s="1089" t="e">
        <f t="shared" si="79"/>
        <v>#DIV/0!</v>
      </c>
      <c r="Y344" s="690" t="s">
        <v>1763</v>
      </c>
      <c r="Z344" s="1111" t="str">
        <f>VLOOKUP(AA344,'place of settlement'!A:C,2,FALSE)</f>
        <v>VPCSSESSXXX</v>
      </c>
      <c r="AA344" s="1111" t="str">
        <f t="shared" si="78"/>
        <v>SE</v>
      </c>
      <c r="AB344" s="1111" t="str">
        <f t="shared" si="80"/>
        <v>SE</v>
      </c>
      <c r="AC344" s="1111" t="e">
        <f>VLOOKUP(AB344,sample!$1:$1048576,2,FALSE)</f>
        <v>#N/A</v>
      </c>
      <c r="AD344" s="1111" t="e">
        <f>VLOOKUP($AB344,sample!$1:$1048576,3,FALSE)</f>
        <v>#N/A</v>
      </c>
      <c r="AE344" s="1104" t="e">
        <f>VLOOKUP($AB344,sample!$1:$1048576,4,FALSE)</f>
        <v>#N/A</v>
      </c>
      <c r="AF344" s="1111" t="e">
        <f>VLOOKUP($AB344,sample!$1:$1048576,5,FALSE)</f>
        <v>#N/A</v>
      </c>
      <c r="AL344" s="1104" t="e">
        <f>VLOOKUP($AB344,sample!$1:$1048576,11,FALSE)</f>
        <v>#N/A</v>
      </c>
      <c r="AM344" s="1104" t="e">
        <f>VLOOKUP($AB344,sample!$1:$1048576,12,FALSE)</f>
        <v>#N/A</v>
      </c>
      <c r="AN344" s="1104" t="e">
        <f>VLOOKUP($AB344,sample!$1:$1048576,13,FALSE)</f>
        <v>#N/A</v>
      </c>
      <c r="AP344" s="1111"/>
    </row>
    <row r="345" spans="1:42" s="690" customFormat="1">
      <c r="A345" s="1046">
        <v>2019200358</v>
      </c>
      <c r="B345" s="933">
        <v>44158</v>
      </c>
      <c r="C345" s="933" t="s">
        <v>137</v>
      </c>
      <c r="D345" s="1127" t="str">
        <f>IFERROR(VLOOKUP(G345,PosAggregate!$B$13:$B$93,1,FALSE),"")</f>
        <v/>
      </c>
      <c r="E345" s="1022" t="s">
        <v>1677</v>
      </c>
      <c r="F345" s="1132" t="str">
        <f t="shared" si="81"/>
        <v/>
      </c>
      <c r="G345" s="667" t="s">
        <v>1667</v>
      </c>
      <c r="I345" s="949" t="s">
        <v>1668</v>
      </c>
      <c r="J345" s="949" t="s">
        <v>1100</v>
      </c>
      <c r="K345" s="995">
        <v>3.1023499999999999</v>
      </c>
      <c r="L345" s="934"/>
      <c r="M345" s="995">
        <v>211000</v>
      </c>
      <c r="N345" s="1103">
        <f t="shared" si="76"/>
        <v>-654595.85</v>
      </c>
      <c r="O345" s="934">
        <v>-392.76</v>
      </c>
      <c r="P345" s="934">
        <v>-705.41</v>
      </c>
      <c r="R345" s="1100">
        <f t="shared" si="77"/>
        <v>-655694.02</v>
      </c>
      <c r="S345" s="995">
        <v>9.1886638140505159</v>
      </c>
      <c r="T345" s="1121">
        <f t="shared" ref="T345:T369" si="82">+R345/S345</f>
        <v>-71359.017292304139</v>
      </c>
      <c r="U345" s="933">
        <v>44160</v>
      </c>
      <c r="V345" s="667" t="s">
        <v>1725</v>
      </c>
      <c r="W345" s="936">
        <v>44158.406084259259</v>
      </c>
      <c r="X345" s="1089">
        <f t="shared" si="79"/>
        <v>6.0000380387379482E-2</v>
      </c>
      <c r="Y345" s="690" t="s">
        <v>1763</v>
      </c>
      <c r="Z345" s="1111" t="str">
        <f>VLOOKUP(AA345,'place of settlement'!A:C,2,FALSE)</f>
        <v>XHKCHKH1XXX</v>
      </c>
      <c r="AA345" s="690" t="s">
        <v>1839</v>
      </c>
      <c r="AB345" s="1111" t="str">
        <f t="shared" si="80"/>
        <v>Tavira SecuritiesHK</v>
      </c>
      <c r="AC345" s="1111" t="str">
        <f>VLOOKUP(AB345,sample!$1:$1048576,2,FALSE)</f>
        <v>GSILGB2XXXX</v>
      </c>
      <c r="AD345" s="1111" t="str">
        <f>VLOOKUP($AB345,sample!$1:$1048576,3,FALSE)</f>
        <v>XHKCHKH1XXX</v>
      </c>
      <c r="AE345" s="1104" t="str">
        <f>VLOOKUP($AB345,sample!$1:$1048576,4,FALSE)</f>
        <v xml:space="preserve">        </v>
      </c>
      <c r="AF345" s="1111" t="str">
        <f>VLOOKUP($AB345,sample!$1:$1048576,5,FALSE)</f>
        <v>N</v>
      </c>
      <c r="AL345" s="1104" t="str">
        <f>VLOOKUP($AB345,sample!$1:$1048576,11,FALSE)</f>
        <v>CCASS</v>
      </c>
      <c r="AM345" s="1104" t="str">
        <f>VLOOKUP($AB345,sample!$1:$1048576,12,FALSE)</f>
        <v>B01451</v>
      </c>
      <c r="AN345" s="1104" t="str">
        <f>VLOOKUP($AB345,sample!$1:$1048576,13,FALSE)</f>
        <v>GSASHKH1XX</v>
      </c>
      <c r="AP345" s="1111"/>
    </row>
    <row r="346" spans="1:42" s="690" customFormat="1">
      <c r="A346" s="1046">
        <v>2019200359</v>
      </c>
      <c r="B346" s="933">
        <v>44158</v>
      </c>
      <c r="C346" s="933" t="s">
        <v>137</v>
      </c>
      <c r="D346" s="1127" t="str">
        <f>IFERROR(VLOOKUP(G346,PosAggregate!$B$13:$B$93,1,FALSE),"")</f>
        <v/>
      </c>
      <c r="E346" s="1022" t="s">
        <v>12863</v>
      </c>
      <c r="F346" s="1132" t="str">
        <f t="shared" si="81"/>
        <v/>
      </c>
      <c r="G346" s="667" t="s">
        <v>2224</v>
      </c>
      <c r="I346" s="949" t="s">
        <v>12798</v>
      </c>
      <c r="J346" s="949" t="s">
        <v>1104</v>
      </c>
      <c r="K346" s="995">
        <v>4.9518800000000001</v>
      </c>
      <c r="L346" s="934"/>
      <c r="M346" s="995">
        <v>33000</v>
      </c>
      <c r="N346" s="1103">
        <f t="shared" si="76"/>
        <v>-163412.04</v>
      </c>
      <c r="O346" s="934">
        <v>-98.05</v>
      </c>
      <c r="P346" s="934"/>
      <c r="R346" s="1100">
        <f t="shared" si="77"/>
        <v>-163510.09</v>
      </c>
      <c r="S346" s="995">
        <v>1.6232531677077522</v>
      </c>
      <c r="T346" s="1121">
        <f t="shared" si="82"/>
        <v>-100729.87581530356</v>
      </c>
      <c r="U346" s="933">
        <v>44160</v>
      </c>
      <c r="V346" s="667" t="s">
        <v>1725</v>
      </c>
      <c r="W346" s="936">
        <v>44158.409638657409</v>
      </c>
      <c r="X346" s="1089">
        <f t="shared" si="79"/>
        <v>6.0001698773236037E-2</v>
      </c>
      <c r="Y346" s="690" t="s">
        <v>1763</v>
      </c>
      <c r="Z346" s="1111" t="str">
        <f>VLOOKUP(AA346,'place of settlement'!A:C,2,FALSE)</f>
        <v>CAETAU21XXX</v>
      </c>
      <c r="AA346" s="1111" t="str">
        <f t="shared" ref="AA346:AA353" si="83">LEFT(E346,2)</f>
        <v>AU</v>
      </c>
      <c r="AB346" s="1111" t="str">
        <f t="shared" si="80"/>
        <v>Tavira SecuritiesAU</v>
      </c>
      <c r="AC346" s="1111" t="str">
        <f>VLOOKUP(AB346,sample!$1:$1048576,2,FALSE)</f>
        <v>GSILGB2XXXX</v>
      </c>
      <c r="AD346" s="1111" t="str">
        <f>VLOOKUP($AB346,sample!$1:$1048576,3,FALSE)</f>
        <v>CAETAU21</v>
      </c>
      <c r="AE346" s="1104" t="str">
        <f>VLOOKUP($AB346,sample!$1:$1048576,4,FALSE)</f>
        <v>011-109048-061</v>
      </c>
      <c r="AF346" s="1111" t="str">
        <f>VLOOKUP($AB346,sample!$1:$1048576,5,FALSE)</f>
        <v>N</v>
      </c>
      <c r="AL346" s="1104" t="str">
        <f>VLOOKUP($AB346,sample!$1:$1048576,11,FALSE)</f>
        <v xml:space="preserve">        </v>
      </c>
      <c r="AM346" s="1104" t="str">
        <f>VLOOKUP($AB346,sample!$1:$1048576,12,FALSE)</f>
        <v xml:space="preserve">        </v>
      </c>
      <c r="AN346" s="1104" t="str">
        <f>VLOOKUP($AB346,sample!$1:$1048576,13,FALSE)</f>
        <v>HKBAAU2SSYD</v>
      </c>
      <c r="AP346" s="1111"/>
    </row>
    <row r="347" spans="1:42" s="690" customFormat="1">
      <c r="A347" s="1046">
        <v>2019200360</v>
      </c>
      <c r="B347" s="933">
        <v>44158</v>
      </c>
      <c r="C347" s="933" t="s">
        <v>138</v>
      </c>
      <c r="D347" s="1127" t="str">
        <f>IFERROR(VLOOKUP(G347,PosAggregate!$B$13:$B$93,1,FALSE),"")</f>
        <v/>
      </c>
      <c r="E347" s="1022" t="s">
        <v>1709</v>
      </c>
      <c r="F347" s="1132" t="str">
        <f t="shared" si="81"/>
        <v/>
      </c>
      <c r="G347" s="667" t="s">
        <v>1701</v>
      </c>
      <c r="I347" s="949" t="s">
        <v>1706</v>
      </c>
      <c r="J347" s="949" t="s">
        <v>1104</v>
      </c>
      <c r="K347" s="995">
        <v>0.67976999999999999</v>
      </c>
      <c r="L347" s="934"/>
      <c r="M347" s="995">
        <v>-270000</v>
      </c>
      <c r="N347" s="1103">
        <f t="shared" si="76"/>
        <v>183537.9</v>
      </c>
      <c r="O347" s="934">
        <v>-110.12</v>
      </c>
      <c r="P347" s="934"/>
      <c r="R347" s="1100">
        <f t="shared" si="77"/>
        <v>183427.78</v>
      </c>
      <c r="S347" s="995">
        <v>1.6232531677077533</v>
      </c>
      <c r="T347" s="1121">
        <f t="shared" si="82"/>
        <v>113000.10599025912</v>
      </c>
      <c r="U347" s="933">
        <v>44160</v>
      </c>
      <c r="V347" s="667" t="s">
        <v>1725</v>
      </c>
      <c r="W347" s="936">
        <v>44158.409993634261</v>
      </c>
      <c r="X347" s="1089">
        <f t="shared" si="79"/>
        <v>-5.9998507120327733E-2</v>
      </c>
      <c r="Y347" s="690" t="s">
        <v>1763</v>
      </c>
      <c r="Z347" s="1111" t="str">
        <f>VLOOKUP(AA347,'place of settlement'!A:C,2,FALSE)</f>
        <v>CAETAU21XXX</v>
      </c>
      <c r="AA347" s="1111" t="str">
        <f t="shared" si="83"/>
        <v>AU</v>
      </c>
      <c r="AB347" s="1111" t="str">
        <f t="shared" si="80"/>
        <v>Tavira SecuritiesAU</v>
      </c>
      <c r="AC347" s="1111" t="str">
        <f>VLOOKUP(AB347,sample!$1:$1048576,2,FALSE)</f>
        <v>GSILGB2XXXX</v>
      </c>
      <c r="AD347" s="1111" t="str">
        <f>VLOOKUP($AB347,sample!$1:$1048576,3,FALSE)</f>
        <v>CAETAU21</v>
      </c>
      <c r="AE347" s="1104" t="str">
        <f>VLOOKUP($AB347,sample!$1:$1048576,4,FALSE)</f>
        <v>011-109048-061</v>
      </c>
      <c r="AF347" s="1111" t="str">
        <f>VLOOKUP($AB347,sample!$1:$1048576,5,FALSE)</f>
        <v>N</v>
      </c>
      <c r="AL347" s="1104" t="str">
        <f>VLOOKUP($AB347,sample!$1:$1048576,11,FALSE)</f>
        <v xml:space="preserve">        </v>
      </c>
      <c r="AM347" s="1104" t="str">
        <f>VLOOKUP($AB347,sample!$1:$1048576,12,FALSE)</f>
        <v xml:space="preserve">        </v>
      </c>
      <c r="AN347" s="1104" t="str">
        <f>VLOOKUP($AB347,sample!$1:$1048576,13,FALSE)</f>
        <v>HKBAAU2SSYD</v>
      </c>
      <c r="AP347" s="1111"/>
    </row>
    <row r="348" spans="1:42" s="690" customFormat="1">
      <c r="A348" s="1046">
        <v>2019200361</v>
      </c>
      <c r="B348" s="933">
        <v>44159</v>
      </c>
      <c r="C348" s="933" t="s">
        <v>137</v>
      </c>
      <c r="D348" s="1127" t="str">
        <f>IFERROR(VLOOKUP(G348,PosAggregate!$B$13:$B$93,1,FALSE),"")</f>
        <v/>
      </c>
      <c r="E348" s="1022" t="s">
        <v>1237</v>
      </c>
      <c r="F348" s="1132" t="str">
        <f t="shared" si="81"/>
        <v/>
      </c>
      <c r="G348" s="667" t="s">
        <v>1186</v>
      </c>
      <c r="I348" s="949" t="s">
        <v>1132</v>
      </c>
      <c r="J348" s="949" t="s">
        <v>125</v>
      </c>
      <c r="K348" s="995">
        <v>1951.07536</v>
      </c>
      <c r="L348" s="934"/>
      <c r="M348" s="995">
        <v>11000</v>
      </c>
      <c r="N348" s="1103">
        <f t="shared" si="76"/>
        <v>-21461828.960000001</v>
      </c>
      <c r="O348" s="934">
        <v>-12877</v>
      </c>
      <c r="R348" s="1100">
        <f t="shared" si="77"/>
        <v>-21474705.960000001</v>
      </c>
      <c r="S348" s="995">
        <v>123.09315253594413</v>
      </c>
      <c r="T348" s="1121">
        <f t="shared" si="82"/>
        <v>-174458.98100407515</v>
      </c>
      <c r="U348" s="690">
        <v>44161</v>
      </c>
      <c r="V348" s="667" t="s">
        <v>1725</v>
      </c>
      <c r="W348" s="936">
        <v>44158.829302893515</v>
      </c>
      <c r="X348" s="1089">
        <f t="shared" si="79"/>
        <v>5.9999546282843916E-2</v>
      </c>
      <c r="Y348" s="690" t="s">
        <v>1763</v>
      </c>
      <c r="Z348" s="1111" t="str">
        <f>VLOOKUP(AA348,'place of settlement'!A:C,2,FALSE)</f>
        <v>JJSDJPJTXXX</v>
      </c>
      <c r="AA348" s="1111" t="str">
        <f t="shared" si="83"/>
        <v>JP</v>
      </c>
      <c r="AB348" s="1111" t="str">
        <f t="shared" si="80"/>
        <v>Tavira SecuritiesJP</v>
      </c>
      <c r="AC348" s="1111" t="str">
        <f>VLOOKUP(AB348,sample!$1:$1048576,2,FALSE)</f>
        <v>GSILGB2XXXX</v>
      </c>
      <c r="AD348" s="1111" t="str">
        <f>VLOOKUP($AB348,sample!$1:$1048576,3,FALSE)</f>
        <v>JJSDJPJTXXX</v>
      </c>
      <c r="AE348" s="1104">
        <f>VLOOKUP($AB348,sample!$1:$1048576,4,FALSE)</f>
        <v>6530490016</v>
      </c>
      <c r="AF348" s="1111" t="str">
        <f>VLOOKUP($AB348,sample!$1:$1048576,5,FALSE)</f>
        <v>N</v>
      </c>
      <c r="AL348" s="1104" t="str">
        <f>VLOOKUP($AB348,sample!$1:$1048576,11,FALSE)</f>
        <v xml:space="preserve">                  </v>
      </c>
      <c r="AM348" s="1104" t="str">
        <f>VLOOKUP($AB348,sample!$1:$1048576,12,FALSE)</f>
        <v xml:space="preserve">                          </v>
      </c>
      <c r="AN348" s="1104" t="str">
        <f>VLOOKUP($AB348,sample!$1:$1048576,13,FALSE)</f>
        <v>GOLDJPJXXXX</v>
      </c>
      <c r="AP348" s="1111"/>
    </row>
    <row r="349" spans="1:42" s="1053" customFormat="1">
      <c r="A349" s="1046">
        <v>2019200362</v>
      </c>
      <c r="B349" s="933">
        <v>44159</v>
      </c>
      <c r="C349" s="933" t="s">
        <v>138</v>
      </c>
      <c r="D349" s="1127" t="str">
        <f>IFERROR(VLOOKUP(G349,PosAggregate!$B$13:$B$93,1,FALSE),"")</f>
        <v/>
      </c>
      <c r="E349" s="1022" t="s">
        <v>1696</v>
      </c>
      <c r="F349" s="1132" t="str">
        <f t="shared" si="81"/>
        <v/>
      </c>
      <c r="G349" s="933" t="s">
        <v>1684</v>
      </c>
      <c r="I349" s="1054" t="s">
        <v>1686</v>
      </c>
      <c r="J349" s="949" t="s">
        <v>2</v>
      </c>
      <c r="K349" s="1055">
        <v>5.2982300000000002</v>
      </c>
      <c r="L349" s="1056"/>
      <c r="M349" s="1055">
        <v>-5300</v>
      </c>
      <c r="N349" s="1103">
        <f t="shared" si="76"/>
        <v>28080.619000000002</v>
      </c>
      <c r="O349" s="934">
        <v>-16.850000000000001</v>
      </c>
      <c r="R349" s="1100">
        <f t="shared" si="77"/>
        <v>28063.769000000004</v>
      </c>
      <c r="S349" s="1055">
        <v>1</v>
      </c>
      <c r="T349" s="1121">
        <f t="shared" si="82"/>
        <v>28063.769000000004</v>
      </c>
      <c r="U349" s="690">
        <v>44161</v>
      </c>
      <c r="V349" s="933" t="s">
        <v>1725</v>
      </c>
      <c r="W349" s="1057">
        <v>44159.674780787034</v>
      </c>
      <c r="X349" s="1124">
        <f t="shared" si="79"/>
        <v>-6.0005799729699688E-2</v>
      </c>
      <c r="Y349" s="1053" t="s">
        <v>1763</v>
      </c>
      <c r="Z349" s="1120" t="str">
        <f>VLOOKUP(AA349,'place of settlement'!A:C,2,FALSE)</f>
        <v>DAKVDEFFXXX</v>
      </c>
      <c r="AA349" s="1120" t="str">
        <f t="shared" si="83"/>
        <v>DE</v>
      </c>
      <c r="AB349" s="1120" t="str">
        <f t="shared" si="80"/>
        <v>Tavira SecuritiesDE</v>
      </c>
      <c r="AC349" s="1120" t="str">
        <f>VLOOKUP(AB349,sample!$1:$1048576,2,FALSE)</f>
        <v>GSILGB2XXXX</v>
      </c>
      <c r="AD349" s="1120" t="str">
        <f>VLOOKUP($AB349,sample!$1:$1048576,3,FALSE)</f>
        <v>DAKVDEFFXXX</v>
      </c>
      <c r="AE349" s="1119" t="str">
        <f>VLOOKUP($AB349,sample!$1:$1048576,4,FALSE)</f>
        <v>DAKV7372000</v>
      </c>
      <c r="AF349" s="1120" t="str">
        <f>VLOOKUP($AB349,sample!$1:$1048576,5,FALSE)</f>
        <v>N</v>
      </c>
      <c r="AL349" s="1119" t="str">
        <f>VLOOKUP($AB349,sample!$1:$1048576,11,FALSE)</f>
        <v xml:space="preserve">        </v>
      </c>
      <c r="AM349" s="1119" t="str">
        <f>VLOOKUP($AB349,sample!$1:$1048576,12,FALSE)</f>
        <v xml:space="preserve">        </v>
      </c>
      <c r="AN349" s="1119" t="str">
        <f>VLOOKUP($AB349,sample!$1:$1048576,13,FALSE)</f>
        <v>CITIDEFFXXX</v>
      </c>
      <c r="AP349" s="1111"/>
    </row>
    <row r="350" spans="1:42" s="1053" customFormat="1">
      <c r="A350" s="1046">
        <v>2019200363</v>
      </c>
      <c r="B350" s="933">
        <v>44159</v>
      </c>
      <c r="C350" s="933" t="s">
        <v>138</v>
      </c>
      <c r="D350" s="1127" t="str">
        <f>IFERROR(VLOOKUP(G350,PosAggregate!$B$13:$B$93,1,FALSE),"")</f>
        <v/>
      </c>
      <c r="E350" s="1022" t="s">
        <v>1269</v>
      </c>
      <c r="F350" s="1132" t="str">
        <f t="shared" si="81"/>
        <v/>
      </c>
      <c r="G350" s="933" t="s">
        <v>1220</v>
      </c>
      <c r="I350" s="1054" t="s">
        <v>1137</v>
      </c>
      <c r="J350" s="949" t="s">
        <v>3</v>
      </c>
      <c r="K350" s="1055">
        <v>47.869</v>
      </c>
      <c r="L350" s="1056"/>
      <c r="M350" s="1055">
        <v>-2000</v>
      </c>
      <c r="N350" s="1103">
        <f t="shared" si="76"/>
        <v>95738</v>
      </c>
      <c r="O350" s="934">
        <v>-47.87</v>
      </c>
      <c r="P350" s="934">
        <v>-2.12</v>
      </c>
      <c r="R350" s="1100">
        <f t="shared" si="77"/>
        <v>95688.010000000009</v>
      </c>
      <c r="S350" s="1055">
        <v>1.184006440995039</v>
      </c>
      <c r="T350" s="1121">
        <f t="shared" si="82"/>
        <v>80817.136365900005</v>
      </c>
      <c r="U350" s="690">
        <v>44162</v>
      </c>
      <c r="V350" s="933" t="s">
        <v>1725</v>
      </c>
      <c r="W350" s="1057">
        <v>44159.675282986114</v>
      </c>
      <c r="X350" s="1124">
        <f t="shared" si="79"/>
        <v>-5.0001044517328543E-2</v>
      </c>
      <c r="Y350" s="1053" t="s">
        <v>1763</v>
      </c>
      <c r="Z350" s="1120" t="str">
        <f>VLOOKUP(AA350,'place of settlement'!A:C,2,FALSE)</f>
        <v>DTCYUS33XXX</v>
      </c>
      <c r="AA350" s="1120" t="str">
        <f t="shared" si="83"/>
        <v>US</v>
      </c>
      <c r="AB350" s="1120" t="str">
        <f t="shared" si="80"/>
        <v>Tavira SecuritiesUS</v>
      </c>
      <c r="AC350" s="1120" t="str">
        <f>VLOOKUP(AB350,sample!$1:$1048576,2,FALSE)</f>
        <v>GSILGB2XXXX</v>
      </c>
      <c r="AD350" s="1120" t="str">
        <f>VLOOKUP($AB350,sample!$1:$1048576,3,FALSE)</f>
        <v>DTCYUS33</v>
      </c>
      <c r="AE350" s="1119" t="str">
        <f>VLOOKUP($AB350,sample!$1:$1048576,4,FALSE)</f>
        <v xml:space="preserve">        </v>
      </c>
      <c r="AF350" s="1120" t="str">
        <f>VLOOKUP($AB350,sample!$1:$1048576,5,FALSE)</f>
        <v>N</v>
      </c>
      <c r="AL350" s="1119" t="str">
        <f>VLOOKUP($AB350,sample!$1:$1048576,11,FALSE)</f>
        <v>DTCYID</v>
      </c>
      <c r="AM350" s="1119">
        <f>VLOOKUP($AB350,sample!$1:$1048576,12,FALSE)</f>
        <v>5208</v>
      </c>
      <c r="AN350" s="1119" t="str">
        <f>VLOOKUP($AB350,sample!$1:$1048576,13,FALSE)</f>
        <v xml:space="preserve">        </v>
      </c>
      <c r="AP350" s="1111"/>
    </row>
    <row r="351" spans="1:42" s="1053" customFormat="1">
      <c r="A351" s="1046">
        <v>2019200364</v>
      </c>
      <c r="B351" s="933">
        <v>44160</v>
      </c>
      <c r="C351" s="933" t="s">
        <v>138</v>
      </c>
      <c r="D351" s="1127" t="str">
        <f>IFERROR(VLOOKUP(G351,PosAggregate!$B$13:$B$93,1,FALSE),"")</f>
        <v/>
      </c>
      <c r="E351" s="1022" t="s">
        <v>1696</v>
      </c>
      <c r="F351" s="1132" t="str">
        <f t="shared" si="81"/>
        <v/>
      </c>
      <c r="G351" s="933" t="s">
        <v>1684</v>
      </c>
      <c r="I351" s="1054" t="s">
        <v>1686</v>
      </c>
      <c r="J351" s="949" t="s">
        <v>2</v>
      </c>
      <c r="K351" s="1055">
        <v>5.7228000000000003</v>
      </c>
      <c r="L351" s="1056"/>
      <c r="M351" s="1055">
        <v>-11000</v>
      </c>
      <c r="N351" s="1103">
        <f t="shared" si="76"/>
        <v>62950.8</v>
      </c>
      <c r="O351" s="934">
        <v>-37.770000000000003</v>
      </c>
      <c r="R351" s="1100">
        <f t="shared" si="77"/>
        <v>62913.030000000006</v>
      </c>
      <c r="S351" s="1055">
        <v>1</v>
      </c>
      <c r="T351" s="1121">
        <f t="shared" si="82"/>
        <v>62913.030000000006</v>
      </c>
      <c r="U351" s="690">
        <v>44162</v>
      </c>
      <c r="V351" s="933" t="s">
        <v>1725</v>
      </c>
      <c r="W351" s="1057">
        <v>44160.674833912039</v>
      </c>
      <c r="X351" s="1124">
        <f t="shared" si="79"/>
        <v>-5.9999237499761722E-2</v>
      </c>
      <c r="Y351" s="1053" t="s">
        <v>1763</v>
      </c>
      <c r="Z351" s="1120" t="str">
        <f>VLOOKUP(AA351,'place of settlement'!A:C,2,FALSE)</f>
        <v>DAKVDEFFXXX</v>
      </c>
      <c r="AA351" s="1120" t="str">
        <f t="shared" si="83"/>
        <v>DE</v>
      </c>
      <c r="AB351" s="1120" t="str">
        <f t="shared" si="80"/>
        <v>Tavira SecuritiesDE</v>
      </c>
      <c r="AC351" s="1120" t="str">
        <f>VLOOKUP(AB351,sample!$1:$1048576,2,FALSE)</f>
        <v>GSILGB2XXXX</v>
      </c>
      <c r="AD351" s="1120" t="str">
        <f>VLOOKUP($AB351,sample!$1:$1048576,3,FALSE)</f>
        <v>DAKVDEFFXXX</v>
      </c>
      <c r="AE351" s="1119" t="str">
        <f>VLOOKUP($AB351,sample!$1:$1048576,4,FALSE)</f>
        <v>DAKV7372000</v>
      </c>
      <c r="AF351" s="1120" t="str">
        <f>VLOOKUP($AB351,sample!$1:$1048576,5,FALSE)</f>
        <v>N</v>
      </c>
      <c r="AL351" s="1119" t="str">
        <f>VLOOKUP($AB351,sample!$1:$1048576,11,FALSE)</f>
        <v xml:space="preserve">        </v>
      </c>
      <c r="AM351" s="1119" t="str">
        <f>VLOOKUP($AB351,sample!$1:$1048576,12,FALSE)</f>
        <v xml:space="preserve">        </v>
      </c>
      <c r="AN351" s="1119" t="str">
        <f>VLOOKUP($AB351,sample!$1:$1048576,13,FALSE)</f>
        <v>CITIDEFFXXX</v>
      </c>
      <c r="AP351" s="1111"/>
    </row>
    <row r="352" spans="1:42" s="1053" customFormat="1">
      <c r="A352" s="1046">
        <v>2019200365</v>
      </c>
      <c r="B352" s="933">
        <v>44162</v>
      </c>
      <c r="C352" s="933" t="s">
        <v>138</v>
      </c>
      <c r="D352" s="1127" t="str">
        <f>IFERROR(VLOOKUP(G352,PosAggregate!$B$13:$B$93,1,FALSE),"")</f>
        <v/>
      </c>
      <c r="E352" s="1022" t="s">
        <v>12880</v>
      </c>
      <c r="F352" s="1132" t="str">
        <f t="shared" si="81"/>
        <v/>
      </c>
      <c r="G352" s="933" t="s">
        <v>2218</v>
      </c>
      <c r="I352" s="1054" t="s">
        <v>12887</v>
      </c>
      <c r="J352" s="949" t="s">
        <v>2</v>
      </c>
      <c r="K352" s="1055">
        <v>2.4263599999999999</v>
      </c>
      <c r="L352" s="1056"/>
      <c r="M352" s="1055">
        <v>-11000</v>
      </c>
      <c r="N352" s="1103">
        <f t="shared" si="76"/>
        <v>26689.96</v>
      </c>
      <c r="O352" s="934">
        <v>-16.010000000000002</v>
      </c>
      <c r="R352" s="1100">
        <f t="shared" si="77"/>
        <v>26673.95</v>
      </c>
      <c r="S352" s="1055">
        <v>1</v>
      </c>
      <c r="T352" s="1121">
        <f t="shared" si="82"/>
        <v>26673.95</v>
      </c>
      <c r="U352" s="690">
        <v>44166</v>
      </c>
      <c r="V352" s="933" t="s">
        <v>1725</v>
      </c>
      <c r="W352" s="1057">
        <v>44162.534380324076</v>
      </c>
      <c r="X352" s="1124">
        <f t="shared" si="79"/>
        <v>-5.9985103012518574E-2</v>
      </c>
      <c r="Y352" s="1053" t="s">
        <v>1763</v>
      </c>
      <c r="Z352" s="1120" t="str">
        <f>VLOOKUP(AA352,'place of settlement'!A:C,2,FALSE)</f>
        <v>MOTIITMMXXX</v>
      </c>
      <c r="AA352" s="1120" t="str">
        <f t="shared" si="83"/>
        <v>IT</v>
      </c>
      <c r="AB352" s="1120" t="str">
        <f t="shared" si="80"/>
        <v>Tavira SecuritiesIT</v>
      </c>
      <c r="AC352" s="1120" t="str">
        <f>VLOOKUP(AB352,sample!$1:$1048576,2,FALSE)</f>
        <v>GSILGB2XXXX</v>
      </c>
      <c r="AD352" s="1120" t="str">
        <f>VLOOKUP($AB352,sample!$1:$1048576,3,FALSE)</f>
        <v>MOTIITMMXXX</v>
      </c>
      <c r="AE352" s="1119" t="str">
        <f>VLOOKUP($AB352,sample!$1:$1048576,4,FALSE)</f>
        <v>MOTICITIITMXXXX6013800</v>
      </c>
      <c r="AF352" s="1120" t="str">
        <f>VLOOKUP($AB352,sample!$1:$1048576,5,FALSE)</f>
        <v>N</v>
      </c>
      <c r="AL352" s="1119" t="str">
        <f>VLOOKUP($AB352,sample!$1:$1048576,11,FALSE)</f>
        <v xml:space="preserve">        </v>
      </c>
      <c r="AM352" s="1119" t="str">
        <f>VLOOKUP($AB352,sample!$1:$1048576,12,FALSE)</f>
        <v xml:space="preserve">        </v>
      </c>
      <c r="AN352" s="1119" t="str">
        <f>VLOOKUP($AB352,sample!$1:$1048576,13,FALSE)</f>
        <v>CITIITM1012</v>
      </c>
      <c r="AP352" s="1111"/>
    </row>
    <row r="353" spans="1:42" s="1053" customFormat="1">
      <c r="A353" s="1046">
        <v>2019200366</v>
      </c>
      <c r="B353" s="933">
        <v>44166</v>
      </c>
      <c r="C353" s="933" t="s">
        <v>138</v>
      </c>
      <c r="D353" s="1127" t="str">
        <f>IFERROR(VLOOKUP(G353,PosAggregate!$B$13:$B$93,1,FALSE),"")</f>
        <v/>
      </c>
      <c r="E353" s="1022" t="s">
        <v>12877</v>
      </c>
      <c r="F353" s="1132" t="str">
        <f t="shared" si="81"/>
        <v/>
      </c>
      <c r="G353" s="933" t="s">
        <v>2211</v>
      </c>
      <c r="I353" s="1054" t="s">
        <v>12886</v>
      </c>
      <c r="J353" s="949" t="s">
        <v>1101</v>
      </c>
      <c r="K353" s="1055">
        <v>1.15798</v>
      </c>
      <c r="L353" s="1056"/>
      <c r="M353" s="1055">
        <v>-103195</v>
      </c>
      <c r="N353" s="1103">
        <f t="shared" si="76"/>
        <v>119497.7461</v>
      </c>
      <c r="O353" s="934">
        <v>-71.7</v>
      </c>
      <c r="R353" s="1100">
        <f t="shared" si="77"/>
        <v>119426.04610000001</v>
      </c>
      <c r="S353" s="1055">
        <v>1.0842597452168521</v>
      </c>
      <c r="T353" s="1121">
        <f t="shared" si="82"/>
        <v>110145.23653288888</v>
      </c>
      <c r="U353" s="690">
        <v>44168</v>
      </c>
      <c r="V353" s="933" t="s">
        <v>1725</v>
      </c>
      <c r="W353" s="1057">
        <v>44166.418353703702</v>
      </c>
      <c r="X353" s="1124">
        <f t="shared" si="79"/>
        <v>-6.0001131686616811E-2</v>
      </c>
      <c r="Y353" s="1053" t="s">
        <v>1763</v>
      </c>
      <c r="Z353" s="1120" t="str">
        <f>VLOOKUP(AA353,'place of settlement'!A:C,2,FALSE)</f>
        <v>INSECHZZXXX</v>
      </c>
      <c r="AA353" s="1120" t="str">
        <f t="shared" si="83"/>
        <v>CH</v>
      </c>
      <c r="AB353" s="1120" t="str">
        <f t="shared" si="80"/>
        <v>Tavira SecuritiesCH</v>
      </c>
      <c r="AC353" s="1120" t="str">
        <f>VLOOKUP(AB353,sample!$1:$1048576,2,FALSE)</f>
        <v>GSILGB2XXXX</v>
      </c>
      <c r="AD353" s="1120" t="str">
        <f>VLOOKUP($AB353,sample!$1:$1048576,3,FALSE)</f>
        <v>INSECHZZ</v>
      </c>
      <c r="AE353" s="1119">
        <f>VLOOKUP($AB353,sample!$1:$1048576,4,FALSE)</f>
        <v>20319455</v>
      </c>
      <c r="AF353" s="1120" t="str">
        <f>VLOOKUP($AB353,sample!$1:$1048576,5,FALSE)</f>
        <v>N</v>
      </c>
      <c r="AL353" s="1119" t="str">
        <f>VLOOKUP($AB353,sample!$1:$1048576,11,FALSE)</f>
        <v>SCOM</v>
      </c>
      <c r="AM353" s="1119" t="str">
        <f>VLOOKUP($AB353,sample!$1:$1048576,12,FALSE)</f>
        <v>GB102183</v>
      </c>
      <c r="AN353" s="1119" t="str">
        <f>VLOOKUP($AB353,sample!$1:$1048576,13,FALSE)</f>
        <v>GSILGB2XXXX</v>
      </c>
      <c r="AP353" s="1111"/>
    </row>
    <row r="354" spans="1:42" s="1053" customFormat="1">
      <c r="A354" s="1046">
        <v>2019200367</v>
      </c>
      <c r="B354" s="933">
        <v>44165</v>
      </c>
      <c r="C354" s="933" t="s">
        <v>137</v>
      </c>
      <c r="D354" s="1127" t="str">
        <f>IFERROR(VLOOKUP(G354,PosAggregate!$B$13:$B$93,1,FALSE),"")</f>
        <v/>
      </c>
      <c r="E354" s="1022" t="s">
        <v>12864</v>
      </c>
      <c r="F354" s="1132" t="str">
        <f t="shared" si="81"/>
        <v/>
      </c>
      <c r="G354" s="933" t="s">
        <v>2225</v>
      </c>
      <c r="I354" s="1054" t="s">
        <v>12799</v>
      </c>
      <c r="J354" s="949" t="s">
        <v>124</v>
      </c>
      <c r="K354" s="1055">
        <v>0.126</v>
      </c>
      <c r="L354" s="1056"/>
      <c r="M354" s="1055">
        <v>420000</v>
      </c>
      <c r="N354" s="1103">
        <f t="shared" si="76"/>
        <v>-52920</v>
      </c>
      <c r="O354" s="934">
        <v>-31.75</v>
      </c>
      <c r="P354" s="934">
        <v>-1</v>
      </c>
      <c r="R354" s="1100">
        <f t="shared" si="77"/>
        <v>-52952.75</v>
      </c>
      <c r="S354" s="1055">
        <v>0.89542678562908196</v>
      </c>
      <c r="T354" s="1121">
        <f t="shared" si="82"/>
        <v>-59136.884053337824</v>
      </c>
      <c r="U354" s="690">
        <v>44167</v>
      </c>
      <c r="V354" s="933" t="s">
        <v>1725</v>
      </c>
      <c r="W354" s="1057">
        <v>44166.45803425926</v>
      </c>
      <c r="X354" s="1124">
        <f t="shared" si="79"/>
        <v>5.999622071050642E-2</v>
      </c>
      <c r="Y354" s="1053" t="s">
        <v>1763</v>
      </c>
      <c r="Z354" s="1120" t="str">
        <f>VLOOKUP(AA354,'place of settlement'!A:C,2,FALSE)</f>
        <v>CRSTGB22XXX</v>
      </c>
      <c r="AA354" s="1053" t="s">
        <v>2226</v>
      </c>
      <c r="AB354" s="1120" t="str">
        <f t="shared" si="80"/>
        <v>Tavira Securitiesgb</v>
      </c>
      <c r="AC354" s="1120" t="str">
        <f>VLOOKUP(AB354,sample!$1:$1048576,2,FALSE)</f>
        <v>GSILGB2XXXX</v>
      </c>
      <c r="AD354" s="1120" t="str">
        <f>VLOOKUP($AB354,sample!$1:$1048576,3,FALSE)</f>
        <v>CRSTGB22</v>
      </c>
      <c r="AE354" s="1119" t="str">
        <f>VLOOKUP($AB354,sample!$1:$1048576,4,FALSE)</f>
        <v xml:space="preserve">        </v>
      </c>
      <c r="AF354" s="1120" t="str">
        <f>VLOOKUP($AB354,sample!$1:$1048576,5,FALSE)</f>
        <v>N</v>
      </c>
      <c r="AL354" s="1119" t="str">
        <f>VLOOKUP($AB354,sample!$1:$1048576,11,FALSE)</f>
        <v>CRST</v>
      </c>
      <c r="AM354" s="1119">
        <f>VLOOKUP($AB354,sample!$1:$1048576,12,FALSE)</f>
        <v>303</v>
      </c>
      <c r="AN354" s="1119" t="str">
        <f>VLOOKUP($AB354,sample!$1:$1048576,13,FALSE)</f>
        <v>GSILGB2XXXX</v>
      </c>
      <c r="AP354" s="1111"/>
    </row>
    <row r="355" spans="1:42" s="1053" customFormat="1">
      <c r="A355" s="1123">
        <f t="shared" ref="A355:A362" si="84">(A354+1)</f>
        <v>2019200368</v>
      </c>
      <c r="B355" s="933">
        <v>44166</v>
      </c>
      <c r="C355" s="933" t="s">
        <v>138</v>
      </c>
      <c r="D355" s="1127" t="str">
        <f>IFERROR(VLOOKUP(G355,PosAggregate!$B$13:$B$93,1,FALSE),"")</f>
        <v/>
      </c>
      <c r="E355" s="1022" t="s">
        <v>1272</v>
      </c>
      <c r="F355" s="1132" t="str">
        <f t="shared" si="81"/>
        <v/>
      </c>
      <c r="G355" s="933" t="s">
        <v>1224</v>
      </c>
      <c r="I355" s="1054" t="s">
        <v>1130</v>
      </c>
      <c r="J355" s="949" t="s">
        <v>3</v>
      </c>
      <c r="K355" s="1055">
        <v>20.253779999999999</v>
      </c>
      <c r="L355" s="1056"/>
      <c r="M355" s="1055">
        <v>-6300</v>
      </c>
      <c r="N355" s="1103">
        <f t="shared" si="76"/>
        <v>127598.814</v>
      </c>
      <c r="O355" s="934">
        <v>-63.8</v>
      </c>
      <c r="P355" s="934">
        <v>-2.82</v>
      </c>
      <c r="R355" s="1100">
        <f t="shared" si="77"/>
        <v>127532.19399999999</v>
      </c>
      <c r="S355" s="1055">
        <v>1.1928050002385611</v>
      </c>
      <c r="T355" s="1121">
        <f t="shared" si="82"/>
        <v>106917.89016183998</v>
      </c>
      <c r="U355" s="690">
        <v>44168</v>
      </c>
      <c r="V355" s="933" t="s">
        <v>1725</v>
      </c>
      <c r="W355" s="1057">
        <v>44166.759676967595</v>
      </c>
      <c r="X355" s="1124">
        <f t="shared" si="79"/>
        <v>-5.0000464737861898E-2</v>
      </c>
      <c r="Y355" s="1053" t="s">
        <v>1763</v>
      </c>
      <c r="Z355" s="1120" t="str">
        <f>VLOOKUP(AA355,'place of settlement'!A:C,2,FALSE)</f>
        <v>DTCYUS33XXX</v>
      </c>
      <c r="AA355" s="1120" t="str">
        <f>LEFT(E355,2)</f>
        <v>US</v>
      </c>
      <c r="AB355" s="1120" t="str">
        <f t="shared" si="80"/>
        <v>Tavira SecuritiesUS</v>
      </c>
      <c r="AC355" s="1120" t="str">
        <f>VLOOKUP(AB355,sample!$1:$1048576,2,FALSE)</f>
        <v>GSILGB2XXXX</v>
      </c>
      <c r="AD355" s="1120" t="str">
        <f>VLOOKUP($AB355,sample!$1:$1048576,3,FALSE)</f>
        <v>DTCYUS33</v>
      </c>
      <c r="AE355" s="1119" t="str">
        <f>VLOOKUP($AB355,sample!$1:$1048576,4,FALSE)</f>
        <v xml:space="preserve">        </v>
      </c>
      <c r="AF355" s="1120" t="str">
        <f>VLOOKUP($AB355,sample!$1:$1048576,5,FALSE)</f>
        <v>N</v>
      </c>
      <c r="AL355" s="1119" t="str">
        <f>VLOOKUP($AB355,sample!$1:$1048576,11,FALSE)</f>
        <v>DTCYID</v>
      </c>
      <c r="AM355" s="1119">
        <f>VLOOKUP($AB355,sample!$1:$1048576,12,FALSE)</f>
        <v>5208</v>
      </c>
      <c r="AN355" s="1119" t="str">
        <f>VLOOKUP($AB355,sample!$1:$1048576,13,FALSE)</f>
        <v xml:space="preserve">        </v>
      </c>
      <c r="AP355" s="1111"/>
    </row>
    <row r="356" spans="1:42" s="1053" customFormat="1">
      <c r="A356" s="1123">
        <f t="shared" si="84"/>
        <v>2019200369</v>
      </c>
      <c r="B356" s="933">
        <v>44167</v>
      </c>
      <c r="C356" s="933" t="s">
        <v>138</v>
      </c>
      <c r="D356" s="1127" t="str">
        <f>IFERROR(VLOOKUP(G356,PosAggregate!$B$13:$B$93,1,FALSE),"")</f>
        <v/>
      </c>
      <c r="E356" s="1022" t="s">
        <v>1273</v>
      </c>
      <c r="F356" s="1132" t="str">
        <f t="shared" si="81"/>
        <v/>
      </c>
      <c r="G356" s="933" t="s">
        <v>2227</v>
      </c>
      <c r="I356" s="1054" t="s">
        <v>1133</v>
      </c>
      <c r="J356" s="949" t="s">
        <v>1104</v>
      </c>
      <c r="K356" s="1055">
        <v>1.0014700000000001</v>
      </c>
      <c r="L356" s="1056"/>
      <c r="M356" s="1055">
        <v>-170000</v>
      </c>
      <c r="N356" s="1103">
        <f t="shared" si="76"/>
        <v>170249.90000000002</v>
      </c>
      <c r="O356" s="934">
        <v>-102.15</v>
      </c>
      <c r="P356" s="934"/>
      <c r="R356" s="1100">
        <f t="shared" si="77"/>
        <v>170147.75000000003</v>
      </c>
      <c r="S356" s="1055">
        <v>1.6379480989740487</v>
      </c>
      <c r="T356" s="1121">
        <f t="shared" si="82"/>
        <v>103878.59670680312</v>
      </c>
      <c r="U356" s="690">
        <v>44169</v>
      </c>
      <c r="V356" s="933" t="s">
        <v>1725</v>
      </c>
      <c r="W356" s="1057">
        <v>44167.350346412037</v>
      </c>
      <c r="X356" s="1124">
        <f t="shared" si="79"/>
        <v>-6.0000035242311442E-2</v>
      </c>
      <c r="Y356" s="1053" t="s">
        <v>1763</v>
      </c>
      <c r="Z356" s="1120" t="str">
        <f>VLOOKUP(AA356,'place of settlement'!A:C,2,FALSE)</f>
        <v>CAETAU21XXX</v>
      </c>
      <c r="AA356" s="1120" t="str">
        <f>LEFT(E356,2)</f>
        <v>AU</v>
      </c>
      <c r="AB356" s="1120" t="str">
        <f t="shared" si="80"/>
        <v>Tavira SecuritiesAU</v>
      </c>
      <c r="AC356" s="1120" t="str">
        <f>VLOOKUP(AB356,sample!$1:$1048576,2,FALSE)</f>
        <v>GSILGB2XXXX</v>
      </c>
      <c r="AD356" s="1120" t="str">
        <f>VLOOKUP($AB356,sample!$1:$1048576,3,FALSE)</f>
        <v>CAETAU21</v>
      </c>
      <c r="AE356" s="1119" t="str">
        <f>VLOOKUP($AB356,sample!$1:$1048576,4,FALSE)</f>
        <v>011-109048-061</v>
      </c>
      <c r="AF356" s="1120" t="str">
        <f>VLOOKUP($AB356,sample!$1:$1048576,5,FALSE)</f>
        <v>N</v>
      </c>
      <c r="AL356" s="1119" t="str">
        <f>VLOOKUP($AB356,sample!$1:$1048576,11,FALSE)</f>
        <v xml:space="preserve">        </v>
      </c>
      <c r="AM356" s="1119" t="str">
        <f>VLOOKUP($AB356,sample!$1:$1048576,12,FALSE)</f>
        <v xml:space="preserve">        </v>
      </c>
      <c r="AN356" s="1119" t="str">
        <f>VLOOKUP($AB356,sample!$1:$1048576,13,FALSE)</f>
        <v>HKBAAU2SSYD</v>
      </c>
      <c r="AP356" s="1111"/>
    </row>
    <row r="357" spans="1:42" s="1053" customFormat="1">
      <c r="A357" s="1123">
        <f t="shared" si="84"/>
        <v>2019200370</v>
      </c>
      <c r="B357" s="933">
        <v>44167</v>
      </c>
      <c r="C357" s="933" t="s">
        <v>138</v>
      </c>
      <c r="D357" s="1127" t="str">
        <f>IFERROR(VLOOKUP(G357,PosAggregate!$B$13:$B$93,1,FALSE),"")</f>
        <v/>
      </c>
      <c r="E357" s="1022" t="s">
        <v>12876</v>
      </c>
      <c r="F357" s="1132" t="str">
        <f t="shared" si="81"/>
        <v/>
      </c>
      <c r="G357" s="933" t="s">
        <v>2170</v>
      </c>
      <c r="I357" s="1054" t="s">
        <v>12885</v>
      </c>
      <c r="J357" s="949" t="s">
        <v>125</v>
      </c>
      <c r="K357" s="1055">
        <v>2589.8238099999999</v>
      </c>
      <c r="L357" s="1056"/>
      <c r="M357" s="1055">
        <v>-4200</v>
      </c>
      <c r="N357" s="1103">
        <f t="shared" si="76"/>
        <v>10877260.002</v>
      </c>
      <c r="O357" s="934">
        <v>-6526</v>
      </c>
      <c r="P357" s="934"/>
      <c r="R357" s="1100">
        <f t="shared" si="77"/>
        <v>10870734.002</v>
      </c>
      <c r="S357" s="1055">
        <v>125.89016294508122</v>
      </c>
      <c r="T357" s="1121">
        <f t="shared" si="82"/>
        <v>86350.940754142081</v>
      </c>
      <c r="U357" s="690">
        <v>44169</v>
      </c>
      <c r="V357" s="933" t="s">
        <v>1725</v>
      </c>
      <c r="W357" s="1057">
        <v>44167.35563726852</v>
      </c>
      <c r="X357" s="1124">
        <f t="shared" si="79"/>
        <v>-5.9996727105907782E-2</v>
      </c>
      <c r="Y357" s="1053" t="s">
        <v>1763</v>
      </c>
      <c r="Z357" s="1120" t="str">
        <f>VLOOKUP(AA357,'place of settlement'!A:C,2,FALSE)</f>
        <v>JJSDJPJTXXX</v>
      </c>
      <c r="AA357" s="1120" t="str">
        <f>LEFT(E357,2)</f>
        <v>JP</v>
      </c>
      <c r="AB357" s="1120" t="str">
        <f t="shared" si="80"/>
        <v>Tavira SecuritiesJP</v>
      </c>
      <c r="AC357" s="1120" t="str">
        <f>VLOOKUP(AB357,sample!$1:$1048576,2,FALSE)</f>
        <v>GSILGB2XXXX</v>
      </c>
      <c r="AD357" s="1120" t="str">
        <f>VLOOKUP($AB357,sample!$1:$1048576,3,FALSE)</f>
        <v>JJSDJPJTXXX</v>
      </c>
      <c r="AE357" s="1119">
        <f>VLOOKUP($AB357,sample!$1:$1048576,4,FALSE)</f>
        <v>6530490016</v>
      </c>
      <c r="AF357" s="1120" t="str">
        <f>VLOOKUP($AB357,sample!$1:$1048576,5,FALSE)</f>
        <v>N</v>
      </c>
      <c r="AL357" s="1119" t="str">
        <f>VLOOKUP($AB357,sample!$1:$1048576,11,FALSE)</f>
        <v xml:space="preserve">                  </v>
      </c>
      <c r="AM357" s="1119" t="str">
        <f>VLOOKUP($AB357,sample!$1:$1048576,12,FALSE)</f>
        <v xml:space="preserve">                          </v>
      </c>
      <c r="AN357" s="1119" t="str">
        <f>VLOOKUP($AB357,sample!$1:$1048576,13,FALSE)</f>
        <v>GOLDJPJXXXX</v>
      </c>
      <c r="AP357" s="1111"/>
    </row>
    <row r="358" spans="1:42" s="1053" customFormat="1">
      <c r="A358" s="1123">
        <f t="shared" si="84"/>
        <v>2019200371</v>
      </c>
      <c r="B358" s="933">
        <v>44167</v>
      </c>
      <c r="C358" s="933" t="s">
        <v>138</v>
      </c>
      <c r="D358" s="1127" t="str">
        <f>IFERROR(VLOOKUP(G358,PosAggregate!$B$13:$B$93,1,FALSE),"")</f>
        <v/>
      </c>
      <c r="E358" s="1022" t="s">
        <v>1273</v>
      </c>
      <c r="F358" s="1132" t="str">
        <f t="shared" si="81"/>
        <v/>
      </c>
      <c r="G358" s="933" t="s">
        <v>2227</v>
      </c>
      <c r="I358" s="1054" t="s">
        <v>1133</v>
      </c>
      <c r="J358" s="949" t="s">
        <v>1104</v>
      </c>
      <c r="K358" s="1055">
        <v>1.0491600000000001</v>
      </c>
      <c r="L358" s="1056"/>
      <c r="M358" s="1055">
        <v>-71461</v>
      </c>
      <c r="N358" s="1103">
        <f t="shared" si="76"/>
        <v>74974.022760000007</v>
      </c>
      <c r="O358" s="934">
        <v>-44.98</v>
      </c>
      <c r="P358" s="934"/>
      <c r="R358" s="1100">
        <f t="shared" si="77"/>
        <v>74929.042760000011</v>
      </c>
      <c r="S358" s="1055">
        <v>1.6379480989740487</v>
      </c>
      <c r="T358" s="1121">
        <f t="shared" si="82"/>
        <v>45745.675828759682</v>
      </c>
      <c r="U358" s="690">
        <v>44169</v>
      </c>
      <c r="V358" s="933" t="s">
        <v>1725</v>
      </c>
      <c r="W358" s="1057">
        <v>44167.350346412037</v>
      </c>
      <c r="X358" s="1124">
        <f t="shared" si="79"/>
        <v>-5.9994113086323062E-2</v>
      </c>
      <c r="Y358" s="1053" t="s">
        <v>1763</v>
      </c>
      <c r="Z358" s="1120" t="str">
        <f>VLOOKUP(AA358,'place of settlement'!A:C,2,FALSE)</f>
        <v>CAETAU21XXX</v>
      </c>
      <c r="AA358" s="1120" t="str">
        <f>LEFT(E358,2)</f>
        <v>AU</v>
      </c>
      <c r="AB358" s="1120" t="str">
        <f t="shared" si="80"/>
        <v>Tavira SecuritiesAU</v>
      </c>
      <c r="AC358" s="1120" t="str">
        <f>VLOOKUP(AB358,sample!$1:$1048576,2,FALSE)</f>
        <v>GSILGB2XXXX</v>
      </c>
      <c r="AD358" s="1120" t="str">
        <f>VLOOKUP($AB358,sample!$1:$1048576,3,FALSE)</f>
        <v>CAETAU21</v>
      </c>
      <c r="AE358" s="1119" t="str">
        <f>VLOOKUP($AB358,sample!$1:$1048576,4,FALSE)</f>
        <v>011-109048-061</v>
      </c>
      <c r="AF358" s="1120" t="str">
        <f>VLOOKUP($AB358,sample!$1:$1048576,5,FALSE)</f>
        <v>N</v>
      </c>
      <c r="AL358" s="1119" t="str">
        <f>VLOOKUP($AB358,sample!$1:$1048576,11,FALSE)</f>
        <v xml:space="preserve">        </v>
      </c>
      <c r="AM358" s="1119" t="str">
        <f>VLOOKUP($AB358,sample!$1:$1048576,12,FALSE)</f>
        <v xml:space="preserve">        </v>
      </c>
      <c r="AN358" s="1119" t="str">
        <f>VLOOKUP($AB358,sample!$1:$1048576,13,FALSE)</f>
        <v>HKBAAU2SSYD</v>
      </c>
      <c r="AP358" s="1111"/>
    </row>
    <row r="359" spans="1:42" s="1053" customFormat="1">
      <c r="A359" s="1123">
        <f t="shared" si="84"/>
        <v>2019200372</v>
      </c>
      <c r="B359" s="933">
        <v>44167</v>
      </c>
      <c r="C359" s="933" t="s">
        <v>138</v>
      </c>
      <c r="D359" s="1127" t="str">
        <f>IFERROR(VLOOKUP(G359,PosAggregate!$B$13:$B$93,1,FALSE),"")</f>
        <v/>
      </c>
      <c r="E359" s="1022" t="s">
        <v>12880</v>
      </c>
      <c r="F359" s="1132" t="str">
        <f t="shared" si="81"/>
        <v/>
      </c>
      <c r="G359" s="933" t="s">
        <v>2218</v>
      </c>
      <c r="I359" s="1054" t="s">
        <v>12887</v>
      </c>
      <c r="J359" s="949" t="s">
        <v>2</v>
      </c>
      <c r="K359" s="1055">
        <v>2.4</v>
      </c>
      <c r="L359" s="1056"/>
      <c r="M359" s="1055">
        <v>-1000</v>
      </c>
      <c r="N359" s="1103">
        <f t="shared" si="76"/>
        <v>2400</v>
      </c>
      <c r="O359" s="934">
        <v>-1.44</v>
      </c>
      <c r="P359" s="934"/>
      <c r="R359" s="1100">
        <f t="shared" si="77"/>
        <v>2398.56</v>
      </c>
      <c r="S359" s="1055">
        <v>1</v>
      </c>
      <c r="T359" s="1121">
        <f t="shared" si="82"/>
        <v>2398.56</v>
      </c>
      <c r="U359" s="690">
        <v>44169</v>
      </c>
      <c r="V359" s="933" t="s">
        <v>1725</v>
      </c>
      <c r="W359" s="1057">
        <v>44167.388066435182</v>
      </c>
      <c r="X359" s="1124">
        <f t="shared" si="79"/>
        <v>-0.06</v>
      </c>
      <c r="Y359" s="1053" t="s">
        <v>1763</v>
      </c>
      <c r="Z359" s="1120" t="str">
        <f>VLOOKUP(AA359,'place of settlement'!A:C,2,FALSE)</f>
        <v>MOTIITMMXXX</v>
      </c>
      <c r="AA359" s="1120" t="str">
        <f>LEFT(E359,2)</f>
        <v>IT</v>
      </c>
      <c r="AB359" s="1120" t="str">
        <f t="shared" si="80"/>
        <v>Tavira SecuritiesIT</v>
      </c>
      <c r="AC359" s="1120" t="str">
        <f>VLOOKUP(AB359,sample!$1:$1048576,2,FALSE)</f>
        <v>GSILGB2XXXX</v>
      </c>
      <c r="AD359" s="1120" t="str">
        <f>VLOOKUP($AB359,sample!$1:$1048576,3,FALSE)</f>
        <v>MOTIITMMXXX</v>
      </c>
      <c r="AE359" s="1119" t="str">
        <f>VLOOKUP($AB359,sample!$1:$1048576,4,FALSE)</f>
        <v>MOTICITIITMXXXX6013800</v>
      </c>
      <c r="AF359" s="1120" t="str">
        <f>VLOOKUP($AB359,sample!$1:$1048576,5,FALSE)</f>
        <v>N</v>
      </c>
      <c r="AL359" s="1119" t="str">
        <f>VLOOKUP($AB359,sample!$1:$1048576,11,FALSE)</f>
        <v xml:space="preserve">        </v>
      </c>
      <c r="AM359" s="1119" t="str">
        <f>VLOOKUP($AB359,sample!$1:$1048576,12,FALSE)</f>
        <v xml:space="preserve">        </v>
      </c>
      <c r="AN359" s="1119" t="str">
        <f>VLOOKUP($AB359,sample!$1:$1048576,13,FALSE)</f>
        <v>CITIITM1012</v>
      </c>
      <c r="AP359" s="1111"/>
    </row>
    <row r="360" spans="1:42">
      <c r="A360" s="1123">
        <f t="shared" si="84"/>
        <v>2019200373</v>
      </c>
      <c r="B360" s="998">
        <v>44168</v>
      </c>
      <c r="C360" s="998" t="s">
        <v>137</v>
      </c>
      <c r="D360" s="1108" t="str">
        <f>IFERROR(VLOOKUP(G360,PosAggregate!$B$13:$B$93,1,FALSE),"")</f>
        <v/>
      </c>
      <c r="E360" s="880" t="s">
        <v>1677</v>
      </c>
      <c r="F360" s="1132" t="str">
        <f t="shared" si="81"/>
        <v/>
      </c>
      <c r="G360" s="701" t="s">
        <v>1667</v>
      </c>
      <c r="I360" s="950" t="s">
        <v>1668</v>
      </c>
      <c r="J360" s="950" t="s">
        <v>1100</v>
      </c>
      <c r="K360" s="1055">
        <v>2.8241000000000001</v>
      </c>
      <c r="M360" s="1055">
        <v>250000</v>
      </c>
      <c r="N360" s="1103">
        <f t="shared" si="76"/>
        <v>-706025</v>
      </c>
      <c r="O360" s="934">
        <v>-423.62</v>
      </c>
      <c r="P360" s="1122">
        <f>-707-19.06-35.3</f>
        <v>-761.3599999999999</v>
      </c>
      <c r="R360" s="1100">
        <f t="shared" si="77"/>
        <v>-707209.98</v>
      </c>
      <c r="S360" s="1055">
        <v>9.3910978653291828</v>
      </c>
      <c r="T360" s="1121">
        <f t="shared" si="82"/>
        <v>-75306.422118220609</v>
      </c>
      <c r="U360" s="827">
        <v>44172</v>
      </c>
      <c r="V360" s="701" t="s">
        <v>1725</v>
      </c>
      <c r="W360" s="1031">
        <v>44168.445308564813</v>
      </c>
      <c r="X360" s="1089">
        <f t="shared" si="79"/>
        <v>6.0000708190219895E-2</v>
      </c>
      <c r="Y360" s="690" t="s">
        <v>1763</v>
      </c>
      <c r="Z360" s="1111" t="str">
        <f>VLOOKUP(AA360,'place of settlement'!A:C,2,FALSE)</f>
        <v>XHKCHKH1XXX</v>
      </c>
      <c r="AA360" s="690" t="s">
        <v>1839</v>
      </c>
      <c r="AB360" s="1111" t="str">
        <f t="shared" si="80"/>
        <v>Tavira SecuritiesHK</v>
      </c>
      <c r="AC360" s="1111" t="str">
        <f>VLOOKUP(AB360,sample!$1:$1048576,2,FALSE)</f>
        <v>GSILGB2XXXX</v>
      </c>
      <c r="AD360" s="1111" t="str">
        <f>VLOOKUP($AB360,sample!$1:$1048576,3,FALSE)</f>
        <v>XHKCHKH1XXX</v>
      </c>
      <c r="AE360" s="1104" t="str">
        <f>VLOOKUP($AB360,sample!$1:$1048576,4,FALSE)</f>
        <v xml:space="preserve">        </v>
      </c>
      <c r="AF360" s="1111" t="str">
        <f>VLOOKUP($AB360,sample!$1:$1048576,5,FALSE)</f>
        <v>N</v>
      </c>
      <c r="AL360" s="1091" t="str">
        <f>VLOOKUP($AB360,sample!$1:$1048576,11,FALSE)</f>
        <v>CCASS</v>
      </c>
      <c r="AM360" s="1091" t="str">
        <f>VLOOKUP($AB360,sample!$1:$1048576,12,FALSE)</f>
        <v>B01451</v>
      </c>
      <c r="AN360" s="1091" t="str">
        <f>VLOOKUP($AB360,sample!$1:$1048576,13,FALSE)</f>
        <v>GSASHKH1XX</v>
      </c>
      <c r="AP360" s="1111"/>
    </row>
    <row r="361" spans="1:42">
      <c r="A361" s="1123">
        <f t="shared" si="84"/>
        <v>2019200374</v>
      </c>
      <c r="B361" s="998">
        <v>44169</v>
      </c>
      <c r="C361" s="998" t="s">
        <v>138</v>
      </c>
      <c r="D361" s="1108" t="str">
        <f>IFERROR(VLOOKUP(G361,PosAggregate!$B$13:$B$93,1,FALSE),"")</f>
        <v/>
      </c>
      <c r="E361" s="880" t="s">
        <v>1249</v>
      </c>
      <c r="F361" s="1132" t="str">
        <f t="shared" si="81"/>
        <v/>
      </c>
      <c r="G361" s="701" t="s">
        <v>1198</v>
      </c>
      <c r="I361" s="950" t="s">
        <v>1151</v>
      </c>
      <c r="J361" s="950" t="s">
        <v>125</v>
      </c>
      <c r="K361" s="1055">
        <v>1533.2109599999999</v>
      </c>
      <c r="M361" s="1055">
        <v>-10950</v>
      </c>
      <c r="N361" s="1103">
        <f t="shared" ref="N361:N369" si="85">-K361*M361</f>
        <v>16788660.011999998</v>
      </c>
      <c r="O361" s="934">
        <v>-10073</v>
      </c>
      <c r="P361" s="934"/>
      <c r="R361" s="1100">
        <f t="shared" ref="R361:R369" si="86">SUM(N361:Q361)</f>
        <v>16778587.011999998</v>
      </c>
      <c r="S361" s="1055">
        <v>126.48106418550535</v>
      </c>
      <c r="T361" s="1121">
        <f t="shared" si="82"/>
        <v>132656.90892188757</v>
      </c>
      <c r="U361" s="827">
        <v>44173</v>
      </c>
      <c r="V361" s="701" t="s">
        <v>1725</v>
      </c>
      <c r="W361" s="1031">
        <v>44169.441084143516</v>
      </c>
      <c r="X361" s="1089">
        <f t="shared" si="79"/>
        <v>-5.9998832502416166E-2</v>
      </c>
      <c r="Y361" s="690" t="s">
        <v>1763</v>
      </c>
      <c r="Z361" s="1111" t="str">
        <f>VLOOKUP(AA361,'place of settlement'!A:C,2,FALSE)</f>
        <v>JJSDJPJTXXX</v>
      </c>
      <c r="AA361" s="1111" t="str">
        <f t="shared" ref="AA361:AA369" si="87">LEFT(E361,2)</f>
        <v>JP</v>
      </c>
      <c r="AB361" s="1111" t="str">
        <f t="shared" si="80"/>
        <v>Tavira SecuritiesJP</v>
      </c>
      <c r="AC361" s="1111" t="str">
        <f>VLOOKUP(AB361,sample!$1:$1048576,2,FALSE)</f>
        <v>GSILGB2XXXX</v>
      </c>
      <c r="AD361" s="1111" t="str">
        <f>VLOOKUP($AB361,sample!$1:$1048576,3,FALSE)</f>
        <v>JJSDJPJTXXX</v>
      </c>
      <c r="AE361" s="1104">
        <f>VLOOKUP($AB361,sample!$1:$1048576,4,FALSE)</f>
        <v>6530490016</v>
      </c>
      <c r="AF361" s="1111" t="str">
        <f>VLOOKUP($AB361,sample!$1:$1048576,5,FALSE)</f>
        <v>N</v>
      </c>
      <c r="AL361" s="1091" t="str">
        <f>VLOOKUP($AB361,sample!$1:$1048576,11,FALSE)</f>
        <v xml:space="preserve">                  </v>
      </c>
      <c r="AM361" s="1091" t="str">
        <f>VLOOKUP($AB361,sample!$1:$1048576,12,FALSE)</f>
        <v xml:space="preserve">                          </v>
      </c>
      <c r="AN361" s="1091" t="str">
        <f>VLOOKUP($AB361,sample!$1:$1048576,13,FALSE)</f>
        <v>GOLDJPJXXXX</v>
      </c>
      <c r="AP361" s="1111"/>
    </row>
    <row r="362" spans="1:42">
      <c r="A362" s="1123">
        <f t="shared" si="84"/>
        <v>2019200375</v>
      </c>
      <c r="B362" s="998">
        <v>44169</v>
      </c>
      <c r="C362" s="998" t="s">
        <v>138</v>
      </c>
      <c r="D362" s="1108" t="str">
        <f>IFERROR(VLOOKUP(G362,PosAggregate!$B$13:$B$93,1,FALSE),"")</f>
        <v/>
      </c>
      <c r="E362" s="880" t="s">
        <v>1244</v>
      </c>
      <c r="F362" s="1132" t="str">
        <f t="shared" si="81"/>
        <v/>
      </c>
      <c r="G362" s="701" t="s">
        <v>1193</v>
      </c>
      <c r="I362" s="950" t="s">
        <v>1134</v>
      </c>
      <c r="J362" s="950" t="s">
        <v>125</v>
      </c>
      <c r="K362" s="1055">
        <v>2507.6624999999999</v>
      </c>
      <c r="M362" s="1055">
        <v>-4000</v>
      </c>
      <c r="N362" s="1103">
        <f t="shared" si="85"/>
        <v>10030650</v>
      </c>
      <c r="O362" s="934">
        <v>-6018</v>
      </c>
      <c r="P362" s="934"/>
      <c r="R362" s="1100">
        <f t="shared" si="86"/>
        <v>10024632</v>
      </c>
      <c r="S362" s="1055">
        <v>126.48106418550557</v>
      </c>
      <c r="T362" s="1121">
        <f t="shared" si="82"/>
        <v>79257.966910344825</v>
      </c>
      <c r="U362" s="827">
        <v>44173</v>
      </c>
      <c r="V362" s="701" t="s">
        <v>1725</v>
      </c>
      <c r="W362" s="1031">
        <v>44169.441554166668</v>
      </c>
      <c r="X362" s="1089">
        <f t="shared" si="79"/>
        <v>-5.9996111916974466E-2</v>
      </c>
      <c r="Y362" s="690" t="s">
        <v>1763</v>
      </c>
      <c r="Z362" s="1111" t="str">
        <f>VLOOKUP(AA362,'place of settlement'!A:C,2,FALSE)</f>
        <v>JJSDJPJTXXX</v>
      </c>
      <c r="AA362" s="1111" t="str">
        <f t="shared" si="87"/>
        <v>JP</v>
      </c>
      <c r="AB362" s="1111" t="str">
        <f t="shared" si="80"/>
        <v>Tavira SecuritiesJP</v>
      </c>
      <c r="AC362" s="1111" t="str">
        <f>VLOOKUP(AB362,sample!$1:$1048576,2,FALSE)</f>
        <v>GSILGB2XXXX</v>
      </c>
      <c r="AD362" s="1111" t="str">
        <f>VLOOKUP($AB362,sample!$1:$1048576,3,FALSE)</f>
        <v>JJSDJPJTXXX</v>
      </c>
      <c r="AE362" s="1104">
        <f>VLOOKUP($AB362,sample!$1:$1048576,4,FALSE)</f>
        <v>6530490016</v>
      </c>
      <c r="AF362" s="1111" t="str">
        <f>VLOOKUP($AB362,sample!$1:$1048576,5,FALSE)</f>
        <v>N</v>
      </c>
      <c r="AL362" s="1091" t="str">
        <f>VLOOKUP($AB362,sample!$1:$1048576,11,FALSE)</f>
        <v xml:space="preserve">                  </v>
      </c>
      <c r="AM362" s="1091" t="str">
        <f>VLOOKUP($AB362,sample!$1:$1048576,12,FALSE)</f>
        <v xml:space="preserve">                          </v>
      </c>
      <c r="AN362" s="1091" t="str">
        <f>VLOOKUP($AB362,sample!$1:$1048576,13,FALSE)</f>
        <v>GOLDJPJXXXX</v>
      </c>
      <c r="AP362" s="1111"/>
    </row>
    <row r="363" spans="1:42" s="690" customFormat="1">
      <c r="A363" s="1046">
        <v>2019200377</v>
      </c>
      <c r="B363" s="933">
        <v>44172</v>
      </c>
      <c r="C363" s="933" t="s">
        <v>138</v>
      </c>
      <c r="D363" s="1127" t="str">
        <f>IFERROR(VLOOKUP(G363,PosAggregate!$B$13:$B$93,1,FALSE),"")</f>
        <v/>
      </c>
      <c r="E363" s="1022" t="s">
        <v>1273</v>
      </c>
      <c r="F363" s="1132" t="str">
        <f t="shared" si="81"/>
        <v/>
      </c>
      <c r="G363" s="667" t="s">
        <v>1209</v>
      </c>
      <c r="I363" s="949" t="s">
        <v>1133</v>
      </c>
      <c r="J363" s="949" t="s">
        <v>1104</v>
      </c>
      <c r="K363" s="1055">
        <v>1.0245</v>
      </c>
      <c r="L363" s="934"/>
      <c r="M363" s="1055">
        <v>-128539</v>
      </c>
      <c r="N363" s="1103">
        <f t="shared" si="85"/>
        <v>131688.20549999998</v>
      </c>
      <c r="O363" s="934">
        <v>-79.010000000000005</v>
      </c>
      <c r="P363" s="934"/>
      <c r="R363" s="1100">
        <f t="shared" si="86"/>
        <v>131609.19549999997</v>
      </c>
      <c r="S363" s="1055">
        <v>1.6332113249624287</v>
      </c>
      <c r="T363" s="1121">
        <f t="shared" si="82"/>
        <v>80583.077944936231</v>
      </c>
      <c r="U363" s="690">
        <v>44174</v>
      </c>
      <c r="V363" s="667" t="s">
        <v>1725</v>
      </c>
      <c r="W363" s="936">
        <v>44172.42610798611</v>
      </c>
      <c r="X363" s="1089">
        <f t="shared" ref="X363:X369" si="88">+O363/N363*100</f>
        <v>-5.9997780135290862E-2</v>
      </c>
      <c r="Y363" s="690" t="s">
        <v>1763</v>
      </c>
      <c r="Z363" s="1111" t="str">
        <f>VLOOKUP(AA363,'place of settlement'!A:C,2,FALSE)</f>
        <v>CAETAU21XXX</v>
      </c>
      <c r="AA363" s="1111" t="str">
        <f t="shared" si="87"/>
        <v>AU</v>
      </c>
      <c r="AB363" s="1111" t="str">
        <f t="shared" si="80"/>
        <v>Tavira SecuritiesAU</v>
      </c>
      <c r="AC363" s="1111" t="str">
        <f>VLOOKUP(AB363,sample!$1:$1048576,2,FALSE)</f>
        <v>GSILGB2XXXX</v>
      </c>
      <c r="AD363" s="1111" t="str">
        <f>VLOOKUP($AB363,sample!$1:$1048576,3,FALSE)</f>
        <v>CAETAU21</v>
      </c>
      <c r="AE363" s="1104" t="str">
        <f>VLOOKUP($AB363,sample!$1:$1048576,4,FALSE)</f>
        <v>011-109048-061</v>
      </c>
      <c r="AF363" s="1111" t="str">
        <f>VLOOKUP($AB363,sample!$1:$1048576,5,FALSE)</f>
        <v>N</v>
      </c>
      <c r="AL363" s="1104" t="str">
        <f>VLOOKUP($AB363,sample!$1:$1048576,11,FALSE)</f>
        <v xml:space="preserve">        </v>
      </c>
      <c r="AM363" s="1104" t="str">
        <f>VLOOKUP($AB363,sample!$1:$1048576,12,FALSE)</f>
        <v xml:space="preserve">        </v>
      </c>
      <c r="AN363" s="1104" t="str">
        <f>VLOOKUP($AB363,sample!$1:$1048576,13,FALSE)</f>
        <v>HKBAAU2SSYD</v>
      </c>
      <c r="AP363" s="1111"/>
    </row>
    <row r="364" spans="1:42" s="690" customFormat="1">
      <c r="A364" s="1046">
        <v>2019200378</v>
      </c>
      <c r="B364" s="933">
        <v>44172</v>
      </c>
      <c r="C364" s="933" t="s">
        <v>138</v>
      </c>
      <c r="D364" s="1127" t="str">
        <f>IFERROR(VLOOKUP(G364,PosAggregate!$B$13:$B$93,1,FALSE),"")</f>
        <v/>
      </c>
      <c r="E364" s="1022" t="s">
        <v>12880</v>
      </c>
      <c r="F364" s="1132" t="str">
        <f t="shared" si="81"/>
        <v/>
      </c>
      <c r="G364" s="667" t="s">
        <v>2218</v>
      </c>
      <c r="I364" s="949" t="s">
        <v>12887</v>
      </c>
      <c r="J364" s="949" t="s">
        <v>2</v>
      </c>
      <c r="K364" s="1055">
        <v>2.4329999999999998</v>
      </c>
      <c r="L364" s="934"/>
      <c r="M364" s="1055">
        <v>-10000</v>
      </c>
      <c r="N364" s="1103">
        <f t="shared" si="85"/>
        <v>24330</v>
      </c>
      <c r="O364" s="934">
        <v>-14.6</v>
      </c>
      <c r="R364" s="1100">
        <f t="shared" si="86"/>
        <v>24315.4</v>
      </c>
      <c r="S364" s="1055">
        <v>1</v>
      </c>
      <c r="T364" s="1121">
        <f t="shared" si="82"/>
        <v>24315.4</v>
      </c>
      <c r="U364" s="690">
        <v>44174</v>
      </c>
      <c r="V364" s="667" t="s">
        <v>1725</v>
      </c>
      <c r="W364" s="936">
        <v>44172.526560069447</v>
      </c>
      <c r="X364" s="1089">
        <f t="shared" si="88"/>
        <v>-6.0008220304151247E-2</v>
      </c>
      <c r="Y364" s="690" t="s">
        <v>1763</v>
      </c>
      <c r="Z364" s="1111" t="str">
        <f>VLOOKUP(AA364,'place of settlement'!A:C,2,FALSE)</f>
        <v>MOTIITMMXXX</v>
      </c>
      <c r="AA364" s="1111" t="str">
        <f t="shared" si="87"/>
        <v>IT</v>
      </c>
      <c r="AB364" s="1111" t="str">
        <f t="shared" si="80"/>
        <v>Tavira SecuritiesIT</v>
      </c>
      <c r="AC364" s="1111" t="str">
        <f>VLOOKUP(AB364,sample!$1:$1048576,2,FALSE)</f>
        <v>GSILGB2XXXX</v>
      </c>
      <c r="AD364" s="1111" t="str">
        <f>VLOOKUP($AB364,sample!$1:$1048576,3,FALSE)</f>
        <v>MOTIITMMXXX</v>
      </c>
      <c r="AE364" s="1104" t="str">
        <f>VLOOKUP($AB364,sample!$1:$1048576,4,FALSE)</f>
        <v>MOTICITIITMXXXX6013800</v>
      </c>
      <c r="AF364" s="1111" t="str">
        <f>VLOOKUP($AB364,sample!$1:$1048576,5,FALSE)</f>
        <v>N</v>
      </c>
      <c r="AL364" s="1104" t="str">
        <f>VLOOKUP($AB364,sample!$1:$1048576,11,FALSE)</f>
        <v xml:space="preserve">        </v>
      </c>
      <c r="AM364" s="1104" t="str">
        <f>VLOOKUP($AB364,sample!$1:$1048576,12,FALSE)</f>
        <v xml:space="preserve">        </v>
      </c>
      <c r="AN364" s="1104" t="str">
        <f>VLOOKUP($AB364,sample!$1:$1048576,13,FALSE)</f>
        <v>CITIITM1012</v>
      </c>
      <c r="AP364" s="1111"/>
    </row>
    <row r="365" spans="1:42" s="690" customFormat="1">
      <c r="A365" s="1123">
        <f t="shared" ref="A365:A372" si="89">(A364+1)</f>
        <v>2019200379</v>
      </c>
      <c r="B365" s="933">
        <v>44173</v>
      </c>
      <c r="C365" s="933" t="s">
        <v>138</v>
      </c>
      <c r="D365" s="1127" t="str">
        <f>IFERROR(VLOOKUP(G365,PosAggregate!$B$13:$B$93,1,FALSE),"")</f>
        <v/>
      </c>
      <c r="E365" s="1022" t="s">
        <v>1675</v>
      </c>
      <c r="F365" s="1132" t="str">
        <f t="shared" si="81"/>
        <v/>
      </c>
      <c r="G365" s="667" t="s">
        <v>1647</v>
      </c>
      <c r="I365" s="949" t="s">
        <v>1651</v>
      </c>
      <c r="J365" s="949" t="s">
        <v>3</v>
      </c>
      <c r="K365" s="1055">
        <v>18.4679</v>
      </c>
      <c r="L365" s="934"/>
      <c r="M365" s="1055">
        <v>-13450</v>
      </c>
      <c r="N365" s="1103">
        <f t="shared" si="85"/>
        <v>248393.255</v>
      </c>
      <c r="O365" s="934">
        <v>-124.2</v>
      </c>
      <c r="P365" s="934">
        <v>-5.49</v>
      </c>
      <c r="R365" s="1100">
        <f t="shared" si="86"/>
        <v>248263.565</v>
      </c>
      <c r="S365" s="1055">
        <v>1.2120036844912008</v>
      </c>
      <c r="T365" s="1121">
        <f t="shared" si="82"/>
        <v>204837.30221020003</v>
      </c>
      <c r="U365" s="690">
        <v>44175</v>
      </c>
      <c r="V365" s="667" t="s">
        <v>1725</v>
      </c>
      <c r="W365" s="936">
        <v>44172.898305671297</v>
      </c>
      <c r="X365" s="1089">
        <f t="shared" si="88"/>
        <v>-5.0001357726078353E-2</v>
      </c>
      <c r="Y365" s="690" t="s">
        <v>1763</v>
      </c>
      <c r="Z365" s="1111" t="str">
        <f>VLOOKUP(AA365,'place of settlement'!A:C,2,FALSE)</f>
        <v>DTCYUS33XXX</v>
      </c>
      <c r="AA365" s="1111" t="str">
        <f t="shared" si="87"/>
        <v>US</v>
      </c>
      <c r="AB365" s="1111" t="str">
        <f t="shared" si="80"/>
        <v>Tavira SecuritiesUS</v>
      </c>
      <c r="AC365" s="1111" t="str">
        <f>VLOOKUP(AB365,sample!$1:$1048576,2,FALSE)</f>
        <v>GSILGB2XXXX</v>
      </c>
      <c r="AD365" s="1111" t="str">
        <f>VLOOKUP($AB365,sample!$1:$1048576,3,FALSE)</f>
        <v>DTCYUS33</v>
      </c>
      <c r="AE365" s="1104" t="str">
        <f>VLOOKUP($AB365,sample!$1:$1048576,4,FALSE)</f>
        <v xml:space="preserve">        </v>
      </c>
      <c r="AF365" s="1111" t="str">
        <f>VLOOKUP($AB365,sample!$1:$1048576,5,FALSE)</f>
        <v>N</v>
      </c>
      <c r="AL365" s="1104" t="str">
        <f>VLOOKUP($AB365,sample!$1:$1048576,11,FALSE)</f>
        <v>DTCYID</v>
      </c>
      <c r="AM365" s="1104">
        <f>VLOOKUP($AB365,sample!$1:$1048576,12,FALSE)</f>
        <v>5208</v>
      </c>
      <c r="AN365" s="1104" t="str">
        <f>VLOOKUP($AB365,sample!$1:$1048576,13,FALSE)</f>
        <v xml:space="preserve">        </v>
      </c>
      <c r="AP365" s="1111"/>
    </row>
    <row r="366" spans="1:42" s="690" customFormat="1">
      <c r="A366" s="1123">
        <f t="shared" si="89"/>
        <v>2019200380</v>
      </c>
      <c r="B366" s="933">
        <v>44173</v>
      </c>
      <c r="C366" s="933" t="s">
        <v>138</v>
      </c>
      <c r="D366" s="1127" t="str">
        <f>IFERROR(VLOOKUP(G366,PosAggregate!$B$13:$B$93,1,FALSE),"")</f>
        <v/>
      </c>
      <c r="E366" s="1022" t="s">
        <v>12880</v>
      </c>
      <c r="F366" s="1132" t="str">
        <f t="shared" si="81"/>
        <v/>
      </c>
      <c r="G366" s="667" t="s">
        <v>2218</v>
      </c>
      <c r="I366" s="949" t="s">
        <v>12887</v>
      </c>
      <c r="J366" s="949" t="s">
        <v>2</v>
      </c>
      <c r="K366" s="1055">
        <v>2.4359999999999999</v>
      </c>
      <c r="L366" s="1055"/>
      <c r="M366" s="1055">
        <v>-5000</v>
      </c>
      <c r="N366" s="1103">
        <f t="shared" si="85"/>
        <v>12180</v>
      </c>
      <c r="O366" s="934">
        <v>-7.31</v>
      </c>
      <c r="R366" s="1100">
        <f t="shared" si="86"/>
        <v>12172.69</v>
      </c>
      <c r="S366" s="1055">
        <v>1</v>
      </c>
      <c r="T366" s="1121">
        <f t="shared" si="82"/>
        <v>12172.69</v>
      </c>
      <c r="U366" s="690">
        <v>44175</v>
      </c>
      <c r="V366" s="667" t="s">
        <v>1725</v>
      </c>
      <c r="W366" s="936">
        <v>44173.577652893517</v>
      </c>
      <c r="X366" s="1089">
        <f t="shared" si="88"/>
        <v>-6.0016420361247942E-2</v>
      </c>
      <c r="Y366" s="690" t="s">
        <v>1763</v>
      </c>
      <c r="Z366" s="1111" t="str">
        <f>VLOOKUP(AA366,'place of settlement'!A:C,2,FALSE)</f>
        <v>MOTIITMMXXX</v>
      </c>
      <c r="AA366" s="1111" t="str">
        <f t="shared" si="87"/>
        <v>IT</v>
      </c>
      <c r="AB366" s="1111" t="str">
        <f t="shared" si="80"/>
        <v>Tavira SecuritiesIT</v>
      </c>
      <c r="AC366" s="1111" t="str">
        <f>VLOOKUP(AB366,sample!$1:$1048576,2,FALSE)</f>
        <v>GSILGB2XXXX</v>
      </c>
      <c r="AD366" s="1111" t="str">
        <f>VLOOKUP($AB366,sample!$1:$1048576,3,FALSE)</f>
        <v>MOTIITMMXXX</v>
      </c>
      <c r="AE366" s="1104" t="str">
        <f>VLOOKUP($AB366,sample!$1:$1048576,4,FALSE)</f>
        <v>MOTICITIITMXXXX6013800</v>
      </c>
      <c r="AF366" s="1111" t="str">
        <f>VLOOKUP($AB366,sample!$1:$1048576,5,FALSE)</f>
        <v>N</v>
      </c>
      <c r="AL366" s="1104" t="str">
        <f>VLOOKUP($AB366,sample!$1:$1048576,11,FALSE)</f>
        <v xml:space="preserve">        </v>
      </c>
      <c r="AM366" s="1104" t="str">
        <f>VLOOKUP($AB366,sample!$1:$1048576,12,FALSE)</f>
        <v xml:space="preserve">        </v>
      </c>
      <c r="AN366" s="1104" t="str">
        <f>VLOOKUP($AB366,sample!$1:$1048576,13,FALSE)</f>
        <v>CITIITM1012</v>
      </c>
      <c r="AP366" s="1111"/>
    </row>
    <row r="367" spans="1:42" s="690" customFormat="1">
      <c r="A367" s="1123">
        <f t="shared" si="89"/>
        <v>2019200381</v>
      </c>
      <c r="B367" s="933">
        <v>44175</v>
      </c>
      <c r="C367" s="933" t="s">
        <v>138</v>
      </c>
      <c r="D367" s="1127" t="str">
        <f>IFERROR(VLOOKUP(G367,PosAggregate!$B$13:$B$93,1,FALSE),"")</f>
        <v/>
      </c>
      <c r="E367" s="1022" t="s">
        <v>12880</v>
      </c>
      <c r="F367" s="1132" t="str">
        <f t="shared" si="81"/>
        <v/>
      </c>
      <c r="G367" s="667" t="s">
        <v>2218</v>
      </c>
      <c r="I367" s="949" t="s">
        <v>12887</v>
      </c>
      <c r="J367" s="949" t="s">
        <v>2</v>
      </c>
      <c r="K367" s="1055">
        <v>2.3666999999999998</v>
      </c>
      <c r="L367" s="934"/>
      <c r="M367" s="1055">
        <v>-9000</v>
      </c>
      <c r="N367" s="1103">
        <f t="shared" si="85"/>
        <v>21300.3</v>
      </c>
      <c r="O367" s="934">
        <v>-12.27</v>
      </c>
      <c r="R367" s="1100">
        <f t="shared" si="86"/>
        <v>21288.03</v>
      </c>
      <c r="S367" s="1055">
        <v>1</v>
      </c>
      <c r="T367" s="1121">
        <f t="shared" si="82"/>
        <v>21288.03</v>
      </c>
      <c r="U367" s="690">
        <v>44179</v>
      </c>
      <c r="V367" s="667" t="s">
        <v>1725</v>
      </c>
      <c r="W367" s="936">
        <v>44174.420883217594</v>
      </c>
      <c r="X367" s="1089">
        <f t="shared" si="88"/>
        <v>-5.7604822467289193E-2</v>
      </c>
      <c r="Y367" s="690" t="s">
        <v>1763</v>
      </c>
      <c r="Z367" s="1111" t="str">
        <f>VLOOKUP(AA367,'place of settlement'!A:C,2,FALSE)</f>
        <v>MOTIITMMXXX</v>
      </c>
      <c r="AA367" s="1111" t="str">
        <f t="shared" si="87"/>
        <v>IT</v>
      </c>
      <c r="AB367" s="1111" t="str">
        <f t="shared" si="80"/>
        <v>Tavira SecuritiesIT</v>
      </c>
      <c r="AC367" s="1111" t="str">
        <f>VLOOKUP(AB367,sample!$1:$1048576,2,FALSE)</f>
        <v>GSILGB2XXXX</v>
      </c>
      <c r="AD367" s="1111" t="str">
        <f>VLOOKUP($AB367,sample!$1:$1048576,3,FALSE)</f>
        <v>MOTIITMMXXX</v>
      </c>
      <c r="AE367" s="1104" t="str">
        <f>VLOOKUP($AB367,sample!$1:$1048576,4,FALSE)</f>
        <v>MOTICITIITMXXXX6013800</v>
      </c>
      <c r="AF367" s="1111" t="str">
        <f>VLOOKUP($AB367,sample!$1:$1048576,5,FALSE)</f>
        <v>N</v>
      </c>
      <c r="AL367" s="1104" t="str">
        <f>VLOOKUP($AB367,sample!$1:$1048576,11,FALSE)</f>
        <v xml:space="preserve">        </v>
      </c>
      <c r="AM367" s="1104" t="str">
        <f>VLOOKUP($AB367,sample!$1:$1048576,12,FALSE)</f>
        <v xml:space="preserve">        </v>
      </c>
      <c r="AN367" s="1104" t="str">
        <f>VLOOKUP($AB367,sample!$1:$1048576,13,FALSE)</f>
        <v>CITIITM1012</v>
      </c>
      <c r="AP367" s="1111"/>
    </row>
    <row r="368" spans="1:42" s="690" customFormat="1">
      <c r="A368" s="1123">
        <f t="shared" si="89"/>
        <v>2019200382</v>
      </c>
      <c r="B368" s="933">
        <v>44180</v>
      </c>
      <c r="C368" s="933" t="s">
        <v>137</v>
      </c>
      <c r="D368" s="1127" t="str">
        <f>IFERROR(VLOOKUP(G368,PosAggregate!$B$13:$B$93,1,FALSE),"")</f>
        <v/>
      </c>
      <c r="E368" s="1022" t="s">
        <v>1236</v>
      </c>
      <c r="F368" s="1132" t="str">
        <f t="shared" si="81"/>
        <v/>
      </c>
      <c r="G368" s="667" t="s">
        <v>1185</v>
      </c>
      <c r="I368" s="949" t="s">
        <v>1126</v>
      </c>
      <c r="J368" s="949" t="s">
        <v>125</v>
      </c>
      <c r="K368" s="1055">
        <v>2587.5927000000001</v>
      </c>
      <c r="L368" s="1055"/>
      <c r="M368" s="1055">
        <v>4100</v>
      </c>
      <c r="N368" s="1103">
        <f t="shared" si="85"/>
        <v>-10609130.07</v>
      </c>
      <c r="O368" s="934">
        <v>-6365.4780000000001</v>
      </c>
      <c r="R368" s="1100">
        <f t="shared" si="86"/>
        <v>-10615495.548</v>
      </c>
      <c r="S368" s="1055">
        <v>126.32358655527501</v>
      </c>
      <c r="T368" s="1121">
        <f t="shared" si="82"/>
        <v>-84034.1525876089</v>
      </c>
      <c r="U368" s="690">
        <v>44182</v>
      </c>
      <c r="V368" s="667" t="s">
        <v>1725</v>
      </c>
      <c r="W368" s="936">
        <v>44180.440169212961</v>
      </c>
      <c r="X368" s="1089">
        <f t="shared" si="88"/>
        <v>5.9999999604114576E-2</v>
      </c>
      <c r="Y368" s="690" t="s">
        <v>1763</v>
      </c>
      <c r="Z368" s="1111" t="str">
        <f>VLOOKUP(AA368,'place of settlement'!A:C,2,FALSE)</f>
        <v>JJSDJPJTXXX</v>
      </c>
      <c r="AA368" s="1111" t="str">
        <f t="shared" si="87"/>
        <v>JP</v>
      </c>
      <c r="AB368" s="1111" t="str">
        <f t="shared" si="80"/>
        <v>Tavira SecuritiesJP</v>
      </c>
      <c r="AC368" s="1111" t="str">
        <f>VLOOKUP(AB368,sample!$1:$1048576,2,FALSE)</f>
        <v>GSILGB2XXXX</v>
      </c>
      <c r="AD368" s="1111" t="str">
        <f>VLOOKUP($AB368,sample!$1:$1048576,3,FALSE)</f>
        <v>JJSDJPJTXXX</v>
      </c>
      <c r="AE368" s="1104">
        <f>VLOOKUP($AB368,sample!$1:$1048576,4,FALSE)</f>
        <v>6530490016</v>
      </c>
      <c r="AF368" s="1111" t="str">
        <f>VLOOKUP($AB368,sample!$1:$1048576,5,FALSE)</f>
        <v>N</v>
      </c>
      <c r="AL368" s="1104" t="str">
        <f>VLOOKUP($AB368,sample!$1:$1048576,11,FALSE)</f>
        <v xml:space="preserve">                  </v>
      </c>
      <c r="AM368" s="1104" t="str">
        <f>VLOOKUP($AB368,sample!$1:$1048576,12,FALSE)</f>
        <v xml:space="preserve">                          </v>
      </c>
      <c r="AN368" s="1104" t="str">
        <f>VLOOKUP($AB368,sample!$1:$1048576,13,FALSE)</f>
        <v>GOLDJPJXXXX</v>
      </c>
      <c r="AP368" s="1111"/>
    </row>
    <row r="369" spans="1:42" s="690" customFormat="1">
      <c r="A369" s="1123">
        <f t="shared" si="89"/>
        <v>2019200383</v>
      </c>
      <c r="B369" s="933">
        <v>44183</v>
      </c>
      <c r="C369" s="933" t="s">
        <v>138</v>
      </c>
      <c r="D369" s="1127" t="str">
        <f>IFERROR(VLOOKUP(G369,PosAggregate!$B$13:$B$93,1,FALSE),"")</f>
        <v/>
      </c>
      <c r="E369" s="1022" t="s">
        <v>1256</v>
      </c>
      <c r="F369" s="1132" t="str">
        <f t="shared" si="81"/>
        <v/>
      </c>
      <c r="G369" s="667" t="s">
        <v>1206</v>
      </c>
      <c r="I369" s="949" t="s">
        <v>1149</v>
      </c>
      <c r="J369" s="949" t="s">
        <v>123</v>
      </c>
      <c r="K369" s="1055">
        <v>14749.932000000001</v>
      </c>
      <c r="L369" s="1055"/>
      <c r="M369" s="1055">
        <v>-25000</v>
      </c>
      <c r="N369" s="1103">
        <f t="shared" si="85"/>
        <v>368748300</v>
      </c>
      <c r="O369" s="934">
        <v>-553122</v>
      </c>
      <c r="P369" s="934">
        <v>-921769</v>
      </c>
      <c r="R369" s="1100">
        <f t="shared" si="86"/>
        <v>367273409</v>
      </c>
      <c r="S369" s="1055">
        <v>1340.6888599955846</v>
      </c>
      <c r="T369" s="1121">
        <f t="shared" si="82"/>
        <v>273943.80602312874</v>
      </c>
      <c r="U369" s="690">
        <v>44187</v>
      </c>
      <c r="V369" s="667" t="s">
        <v>1727</v>
      </c>
      <c r="W369" s="936">
        <v>44183.366652662036</v>
      </c>
      <c r="X369" s="1089">
        <f t="shared" si="88"/>
        <v>-0.1499998779655391</v>
      </c>
      <c r="Y369" s="690" t="s">
        <v>1763</v>
      </c>
      <c r="Z369" s="1111" t="str">
        <f>VLOOKUP(AA369,'place of settlement'!A:C,2,FALSE)</f>
        <v>KSDCKRSEXXX</v>
      </c>
      <c r="AA369" s="1111" t="str">
        <f t="shared" si="87"/>
        <v>KR</v>
      </c>
      <c r="AB369" s="1111" t="str">
        <f t="shared" si="80"/>
        <v>samsungKR</v>
      </c>
      <c r="AC369" s="1111" t="e">
        <f>VLOOKUP(AB369,sample!$1:$1048576,2,FALSE)</f>
        <v>#N/A</v>
      </c>
      <c r="AD369" s="1111" t="e">
        <f>VLOOKUP($AB369,sample!$1:$1048576,3,FALSE)</f>
        <v>#N/A</v>
      </c>
      <c r="AE369" s="1104" t="e">
        <f>VLOOKUP($AB369,sample!$1:$1048576,4,FALSE)</f>
        <v>#N/A</v>
      </c>
      <c r="AF369" s="1111" t="e">
        <f>VLOOKUP($AB369,sample!$1:$1048576,5,FALSE)</f>
        <v>#N/A</v>
      </c>
      <c r="AL369" s="1104" t="e">
        <f>VLOOKUP($AB369,sample!$1:$1048576,11,FALSE)</f>
        <v>#N/A</v>
      </c>
      <c r="AM369" s="1104" t="e">
        <f>VLOOKUP($AB369,sample!$1:$1048576,12,FALSE)</f>
        <v>#N/A</v>
      </c>
      <c r="AN369" s="1104" t="e">
        <f>VLOOKUP($AB369,sample!$1:$1048576,13,FALSE)</f>
        <v>#N/A</v>
      </c>
      <c r="AP369" s="1111"/>
    </row>
    <row r="370" spans="1:42" s="690" customFormat="1">
      <c r="A370" s="1123">
        <f t="shared" si="89"/>
        <v>2019200384</v>
      </c>
      <c r="B370" s="933">
        <v>44183</v>
      </c>
      <c r="C370" s="933" t="s">
        <v>137</v>
      </c>
      <c r="D370" s="1127" t="str">
        <f>IFERROR(VLOOKUP(G370,PosAggregate!$B$13:$B$93,1,FALSE),"")</f>
        <v/>
      </c>
      <c r="E370" s="1022" t="s">
        <v>1236</v>
      </c>
      <c r="F370" s="1132" t="str">
        <f t="shared" si="81"/>
        <v/>
      </c>
      <c r="G370" s="667" t="s">
        <v>1185</v>
      </c>
      <c r="I370" s="949" t="s">
        <v>1126</v>
      </c>
      <c r="J370" s="949" t="s">
        <v>125</v>
      </c>
      <c r="K370" s="1055">
        <v>2299.9774000000002</v>
      </c>
      <c r="L370" s="1055"/>
      <c r="M370" s="1055">
        <v>3100</v>
      </c>
      <c r="N370" s="1103">
        <f t="shared" ref="N370:N406" si="90">-K370*M370</f>
        <v>-7129929.9400000004</v>
      </c>
      <c r="O370" s="934">
        <v>-4278</v>
      </c>
      <c r="P370" s="934"/>
      <c r="R370" s="1100">
        <f t="shared" ref="R370:R434" si="91">SUM(N370:Q370)</f>
        <v>-7134207.9400000004</v>
      </c>
      <c r="S370" s="1055">
        <v>126.46272354831605</v>
      </c>
      <c r="T370" s="1121">
        <f t="shared" ref="T370:T378" si="92">+R370/S370</f>
        <v>-56413.524395386929</v>
      </c>
      <c r="U370" s="690">
        <v>44187</v>
      </c>
      <c r="V370" s="667" t="s">
        <v>1725</v>
      </c>
      <c r="W370" s="936">
        <v>44183.367190972225</v>
      </c>
      <c r="X370" s="1089">
        <f t="shared" ref="X370:X397" si="93">+O370/N370*100</f>
        <v>6.0000589571010558E-2</v>
      </c>
      <c r="Y370" s="690" t="s">
        <v>1763</v>
      </c>
      <c r="Z370" s="1111" t="str">
        <f>VLOOKUP(AA370,'place of settlement'!A:C,2,FALSE)</f>
        <v>JJSDJPJTXXX</v>
      </c>
      <c r="AA370" s="1111" t="str">
        <f t="shared" ref="AA370:AA397" si="94">LEFT(E370,2)</f>
        <v>JP</v>
      </c>
      <c r="AB370" s="1111" t="str">
        <f t="shared" ref="AB370:AB397" si="95">CONCATENATE(V370,AA370)</f>
        <v>Tavira SecuritiesJP</v>
      </c>
      <c r="AC370" s="1111" t="str">
        <f>VLOOKUP(AB370,sample!$1:$1048576,2,FALSE)</f>
        <v>GSILGB2XXXX</v>
      </c>
      <c r="AD370" s="1111" t="str">
        <f>VLOOKUP($AB370,sample!$1:$1048576,3,FALSE)</f>
        <v>JJSDJPJTXXX</v>
      </c>
      <c r="AE370" s="1104">
        <f>VLOOKUP($AB370,sample!$1:$1048576,4,FALSE)</f>
        <v>6530490016</v>
      </c>
      <c r="AF370" s="1111" t="str">
        <f>VLOOKUP($AB370,sample!$1:$1048576,5,FALSE)</f>
        <v>N</v>
      </c>
      <c r="AL370" s="1104" t="str">
        <f>VLOOKUP($AB370,sample!$1:$1048576,11,FALSE)</f>
        <v xml:space="preserve">                  </v>
      </c>
      <c r="AM370" s="1104" t="str">
        <f>VLOOKUP($AB370,sample!$1:$1048576,12,FALSE)</f>
        <v xml:space="preserve">                          </v>
      </c>
      <c r="AN370" s="1104" t="str">
        <f>VLOOKUP($AB370,sample!$1:$1048576,13,FALSE)</f>
        <v>GOLDJPJXXXX</v>
      </c>
      <c r="AP370" s="1111"/>
    </row>
    <row r="371" spans="1:42" s="690" customFormat="1">
      <c r="A371" s="1123">
        <f t="shared" si="89"/>
        <v>2019200385</v>
      </c>
      <c r="B371" s="933">
        <v>44183</v>
      </c>
      <c r="C371" s="933" t="s">
        <v>137</v>
      </c>
      <c r="D371" s="1127" t="str">
        <f>IFERROR(VLOOKUP(G371,PosAggregate!$B$13:$B$93,1,FALSE),"")</f>
        <v/>
      </c>
      <c r="E371" s="1022" t="s">
        <v>12861</v>
      </c>
      <c r="F371" s="1132" t="str">
        <f t="shared" si="81"/>
        <v/>
      </c>
      <c r="G371" s="667" t="s">
        <v>2202</v>
      </c>
      <c r="I371" s="949" t="s">
        <v>12797</v>
      </c>
      <c r="J371" s="949" t="s">
        <v>125</v>
      </c>
      <c r="K371" s="1055">
        <v>2998.64</v>
      </c>
      <c r="L371" s="1055"/>
      <c r="M371" s="1055">
        <v>3000</v>
      </c>
      <c r="N371" s="1103">
        <f t="shared" si="90"/>
        <v>-8995920</v>
      </c>
      <c r="O371" s="934">
        <v>-5398</v>
      </c>
      <c r="P371" s="934"/>
      <c r="R371" s="1100">
        <f t="shared" si="91"/>
        <v>-9001318</v>
      </c>
      <c r="S371" s="1055">
        <v>126.21513166721542</v>
      </c>
      <c r="T371" s="1121">
        <f t="shared" si="92"/>
        <v>-71317.265062427585</v>
      </c>
      <c r="U371" s="690">
        <v>44187</v>
      </c>
      <c r="V371" s="667" t="s">
        <v>1725</v>
      </c>
      <c r="W371" s="936">
        <v>44183.367708680555</v>
      </c>
      <c r="X371" s="1089">
        <f t="shared" si="93"/>
        <v>6.0004980035393826E-2</v>
      </c>
      <c r="Y371" s="690" t="s">
        <v>1763</v>
      </c>
      <c r="Z371" s="1111" t="str">
        <f>VLOOKUP(AA371,'place of settlement'!A:C,2,FALSE)</f>
        <v>JJSDJPJTXXX</v>
      </c>
      <c r="AA371" s="1111" t="str">
        <f t="shared" si="94"/>
        <v>JP</v>
      </c>
      <c r="AB371" s="1111" t="str">
        <f t="shared" si="95"/>
        <v>Tavira SecuritiesJP</v>
      </c>
      <c r="AC371" s="1111" t="str">
        <f>VLOOKUP(AB371,sample!$1:$1048576,2,FALSE)</f>
        <v>GSILGB2XXXX</v>
      </c>
      <c r="AD371" s="1111" t="str">
        <f>VLOOKUP($AB371,sample!$1:$1048576,3,FALSE)</f>
        <v>JJSDJPJTXXX</v>
      </c>
      <c r="AE371" s="1104">
        <f>VLOOKUP($AB371,sample!$1:$1048576,4,FALSE)</f>
        <v>6530490016</v>
      </c>
      <c r="AF371" s="1111" t="str">
        <f>VLOOKUP($AB371,sample!$1:$1048576,5,FALSE)</f>
        <v>N</v>
      </c>
      <c r="AL371" s="1104" t="str">
        <f>VLOOKUP($AB371,sample!$1:$1048576,11,FALSE)</f>
        <v xml:space="preserve">                  </v>
      </c>
      <c r="AM371" s="1104" t="str">
        <f>VLOOKUP($AB371,sample!$1:$1048576,12,FALSE)</f>
        <v xml:space="preserve">                          </v>
      </c>
      <c r="AN371" s="1104" t="str">
        <f>VLOOKUP($AB371,sample!$1:$1048576,13,FALSE)</f>
        <v>GOLDJPJXXXX</v>
      </c>
      <c r="AP371" s="1111"/>
    </row>
    <row r="372" spans="1:42" s="690" customFormat="1">
      <c r="A372" s="1123">
        <f t="shared" si="89"/>
        <v>2019200386</v>
      </c>
      <c r="B372" s="933">
        <v>44194</v>
      </c>
      <c r="C372" s="933" t="s">
        <v>138</v>
      </c>
      <c r="D372" s="1127" t="str">
        <f>IFERROR(VLOOKUP(G372,PosAggregate!$B$13:$B$93,1,FALSE),"")</f>
        <v/>
      </c>
      <c r="E372" s="1022" t="s">
        <v>12881</v>
      </c>
      <c r="F372" s="1132" t="str">
        <f t="shared" si="81"/>
        <v/>
      </c>
      <c r="G372" s="667" t="s">
        <v>2222</v>
      </c>
      <c r="I372" s="949" t="s">
        <v>12888</v>
      </c>
      <c r="J372" s="949" t="s">
        <v>2</v>
      </c>
      <c r="K372" s="1055">
        <v>2.1</v>
      </c>
      <c r="L372" s="934"/>
      <c r="M372" s="1055">
        <v>-1000</v>
      </c>
      <c r="N372" s="1103">
        <f t="shared" si="90"/>
        <v>2100</v>
      </c>
      <c r="O372" s="934">
        <v>-1.26</v>
      </c>
      <c r="R372" s="1100">
        <f t="shared" si="91"/>
        <v>2098.7399999999998</v>
      </c>
      <c r="S372" s="1055">
        <v>1</v>
      </c>
      <c r="T372" s="1121">
        <f t="shared" si="92"/>
        <v>2098.7399999999998</v>
      </c>
      <c r="U372" s="690">
        <v>44196</v>
      </c>
      <c r="V372" s="667" t="s">
        <v>1725</v>
      </c>
      <c r="W372" s="936">
        <v>44183.409375347197</v>
      </c>
      <c r="X372" s="1089">
        <f t="shared" si="93"/>
        <v>-6.0000000000000005E-2</v>
      </c>
      <c r="Y372" s="690" t="s">
        <v>1763</v>
      </c>
      <c r="Z372" s="1111" t="str">
        <f>VLOOKUP(AA372,'place of settlement'!A:C,2,FALSE)</f>
        <v>MOTIITMMXXX</v>
      </c>
      <c r="AA372" s="1111" t="str">
        <f t="shared" si="94"/>
        <v>IT</v>
      </c>
      <c r="AB372" s="1111" t="str">
        <f t="shared" si="95"/>
        <v>Tavira SecuritiesIT</v>
      </c>
      <c r="AC372" s="1111" t="str">
        <f>VLOOKUP(AB372,sample!$1:$1048576,2,FALSE)</f>
        <v>GSILGB2XXXX</v>
      </c>
      <c r="AD372" s="1111" t="str">
        <f>VLOOKUP($AB372,sample!$1:$1048576,3,FALSE)</f>
        <v>MOTIITMMXXX</v>
      </c>
      <c r="AE372" s="1104" t="str">
        <f>VLOOKUP($AB372,sample!$1:$1048576,4,FALSE)</f>
        <v>MOTICITIITMXXXX6013800</v>
      </c>
      <c r="AF372" s="1111" t="str">
        <f>VLOOKUP($AB372,sample!$1:$1048576,5,FALSE)</f>
        <v>N</v>
      </c>
      <c r="AL372" s="1104" t="str">
        <f>VLOOKUP($AB372,sample!$1:$1048576,11,FALSE)</f>
        <v xml:space="preserve">        </v>
      </c>
      <c r="AM372" s="1104" t="str">
        <f>VLOOKUP($AB372,sample!$1:$1048576,12,FALSE)</f>
        <v xml:space="preserve">        </v>
      </c>
      <c r="AN372" s="1104" t="str">
        <f>VLOOKUP($AB372,sample!$1:$1048576,13,FALSE)</f>
        <v>CITIITM1012</v>
      </c>
      <c r="AP372" s="1111"/>
    </row>
    <row r="373" spans="1:42" s="690" customFormat="1">
      <c r="A373" s="1046" t="s">
        <v>1777</v>
      </c>
      <c r="B373" s="933">
        <v>44196</v>
      </c>
      <c r="C373" s="933" t="s">
        <v>137</v>
      </c>
      <c r="D373" s="1127" t="str">
        <f>IFERROR(VLOOKUP(G373,PosAggregate!$B$13:$B$93,1,FALSE),"")</f>
        <v/>
      </c>
      <c r="E373" s="1022" t="s">
        <v>1257</v>
      </c>
      <c r="F373" s="1132" t="str">
        <f t="shared" si="81"/>
        <v/>
      </c>
      <c r="G373" s="1021" t="s">
        <v>1207</v>
      </c>
      <c r="I373" s="949" t="s">
        <v>1135</v>
      </c>
      <c r="J373" s="949" t="s">
        <v>2</v>
      </c>
      <c r="K373" s="1055"/>
      <c r="L373" s="934"/>
      <c r="M373" s="1055">
        <v>90</v>
      </c>
      <c r="N373" s="1001">
        <v>0</v>
      </c>
      <c r="O373" s="934"/>
      <c r="R373" s="992">
        <v>0</v>
      </c>
      <c r="S373" s="1055"/>
      <c r="T373" s="1051">
        <v>0</v>
      </c>
      <c r="V373" s="667"/>
      <c r="W373" s="936"/>
      <c r="X373" s="958" t="e">
        <v>#DIV/0!</v>
      </c>
      <c r="Y373" s="690" t="s">
        <v>1763</v>
      </c>
      <c r="Z373" s="690" t="s">
        <v>1814</v>
      </c>
      <c r="AA373" s="690" t="s">
        <v>1813</v>
      </c>
      <c r="AB373" s="690" t="s">
        <v>1813</v>
      </c>
      <c r="AC373" s="690" t="e">
        <v>#N/A</v>
      </c>
      <c r="AD373" s="690" t="e">
        <v>#N/A</v>
      </c>
      <c r="AE373" s="935" t="e">
        <v>#N/A</v>
      </c>
      <c r="AF373" s="690" t="e">
        <v>#N/A</v>
      </c>
      <c r="AL373" s="935" t="e">
        <v>#N/A</v>
      </c>
      <c r="AM373" s="935" t="e">
        <v>#N/A</v>
      </c>
      <c r="AN373" s="935" t="e">
        <v>#N/A</v>
      </c>
      <c r="AP373" s="1111"/>
    </row>
    <row r="374" spans="1:42" s="690" customFormat="1">
      <c r="A374" s="1046">
        <v>2019200388</v>
      </c>
      <c r="B374" s="933">
        <v>44200</v>
      </c>
      <c r="C374" s="933" t="s">
        <v>137</v>
      </c>
      <c r="D374" s="1127" t="str">
        <f>IFERROR(VLOOKUP(G374,PosAggregate!$B$13:$B$93,1,FALSE),"")</f>
        <v/>
      </c>
      <c r="E374" s="1022" t="s">
        <v>1232</v>
      </c>
      <c r="F374" s="1132" t="str">
        <f t="shared" si="81"/>
        <v/>
      </c>
      <c r="G374" s="667" t="s">
        <v>1112</v>
      </c>
      <c r="I374" s="949" t="s">
        <v>1122</v>
      </c>
      <c r="J374" s="949" t="s">
        <v>125</v>
      </c>
      <c r="K374" s="1055">
        <v>1188.9996000000001</v>
      </c>
      <c r="L374" s="1055"/>
      <c r="M374" s="1055">
        <v>9350</v>
      </c>
      <c r="N374" s="1103">
        <f t="shared" si="90"/>
        <v>-11117146.260000002</v>
      </c>
      <c r="O374" s="934">
        <v>-6670</v>
      </c>
      <c r="R374" s="1100">
        <f t="shared" si="91"/>
        <v>-11123816.260000002</v>
      </c>
      <c r="S374" s="1055">
        <v>125.25335890184844</v>
      </c>
      <c r="T374" s="1121">
        <f t="shared" si="92"/>
        <v>-88810.522588195759</v>
      </c>
      <c r="U374" s="690">
        <v>44202</v>
      </c>
      <c r="V374" s="667" t="s">
        <v>1725</v>
      </c>
      <c r="W374" s="936">
        <v>44200.434460069446</v>
      </c>
      <c r="X374" s="1089">
        <f t="shared" si="93"/>
        <v>5.9997411601923088E-2</v>
      </c>
      <c r="Y374" s="690" t="s">
        <v>1763</v>
      </c>
      <c r="Z374" s="1111" t="str">
        <f>VLOOKUP(AA374,'place of settlement'!A:C,2,FALSE)</f>
        <v>JJSDJPJTXXX</v>
      </c>
      <c r="AA374" s="1111" t="str">
        <f t="shared" si="94"/>
        <v>JP</v>
      </c>
      <c r="AB374" s="1111" t="str">
        <f t="shared" si="95"/>
        <v>Tavira SecuritiesJP</v>
      </c>
      <c r="AC374" s="1111" t="str">
        <f>VLOOKUP(AB374,sample!$1:$1048576,2,FALSE)</f>
        <v>GSILGB2XXXX</v>
      </c>
      <c r="AD374" s="1111" t="str">
        <f>VLOOKUP($AB374,sample!$1:$1048576,3,FALSE)</f>
        <v>JJSDJPJTXXX</v>
      </c>
      <c r="AE374" s="1104">
        <f>VLOOKUP($AB374,sample!$1:$1048576,4,FALSE)</f>
        <v>6530490016</v>
      </c>
      <c r="AF374" s="1111" t="str">
        <f>VLOOKUP($AB374,sample!$1:$1048576,5,FALSE)</f>
        <v>N</v>
      </c>
      <c r="AL374" s="1104" t="str">
        <f>VLOOKUP($AB374,sample!$1:$1048576,11,FALSE)</f>
        <v xml:space="preserve">                  </v>
      </c>
      <c r="AM374" s="1104" t="str">
        <f>VLOOKUP($AB374,sample!$1:$1048576,12,FALSE)</f>
        <v xml:space="preserve">                          </v>
      </c>
      <c r="AN374" s="1104" t="str">
        <f>VLOOKUP($AB374,sample!$1:$1048576,13,FALSE)</f>
        <v>GOLDJPJXXXX</v>
      </c>
      <c r="AP374" s="1111"/>
    </row>
    <row r="375" spans="1:42" s="690" customFormat="1">
      <c r="A375" s="1046">
        <v>2019200389</v>
      </c>
      <c r="B375" s="933">
        <v>44202</v>
      </c>
      <c r="C375" s="933" t="s">
        <v>137</v>
      </c>
      <c r="D375" s="1127" t="str">
        <f>IFERROR(VLOOKUP(G375,PosAggregate!$B$13:$B$93,1,FALSE),"")</f>
        <v/>
      </c>
      <c r="E375" s="1022" t="s">
        <v>1243</v>
      </c>
      <c r="F375" s="1132" t="str">
        <f t="shared" si="81"/>
        <v/>
      </c>
      <c r="G375" s="667" t="s">
        <v>1192</v>
      </c>
      <c r="I375" s="949" t="s">
        <v>1144</v>
      </c>
      <c r="J375" s="949" t="s">
        <v>125</v>
      </c>
      <c r="K375" s="1055">
        <v>1928.6948199999999</v>
      </c>
      <c r="L375" s="1055"/>
      <c r="M375" s="1055">
        <v>5800</v>
      </c>
      <c r="N375" s="1103">
        <f t="shared" si="90"/>
        <v>-11186429.956</v>
      </c>
      <c r="O375" s="934">
        <v>-6712</v>
      </c>
      <c r="P375" s="934"/>
      <c r="R375" s="1100">
        <f t="shared" si="91"/>
        <v>-11193141.956</v>
      </c>
      <c r="S375" s="1055">
        <v>126.28473075977354</v>
      </c>
      <c r="T375" s="1121">
        <f t="shared" si="92"/>
        <v>-88634.167319026659</v>
      </c>
      <c r="U375" s="690">
        <v>44204</v>
      </c>
      <c r="V375" s="667" t="s">
        <v>1725</v>
      </c>
      <c r="W375" s="936">
        <v>44202.414660300929</v>
      </c>
      <c r="X375" s="1089">
        <f t="shared" si="93"/>
        <v>6.0001269631156311E-2</v>
      </c>
      <c r="Y375" s="690" t="s">
        <v>1763</v>
      </c>
      <c r="Z375" s="1111" t="str">
        <f>VLOOKUP(AA375,'place of settlement'!A:C,2,FALSE)</f>
        <v>JJSDJPJTXXX</v>
      </c>
      <c r="AA375" s="1111" t="str">
        <f t="shared" si="94"/>
        <v>JP</v>
      </c>
      <c r="AB375" s="1111" t="str">
        <f t="shared" si="95"/>
        <v>Tavira SecuritiesJP</v>
      </c>
      <c r="AC375" s="1111" t="str">
        <f>VLOOKUP(AB375,sample!$1:$1048576,2,FALSE)</f>
        <v>GSILGB2XXXX</v>
      </c>
      <c r="AD375" s="1111" t="str">
        <f>VLOOKUP($AB375,sample!$1:$1048576,3,FALSE)</f>
        <v>JJSDJPJTXXX</v>
      </c>
      <c r="AE375" s="1104">
        <f>VLOOKUP($AB375,sample!$1:$1048576,4,FALSE)</f>
        <v>6530490016</v>
      </c>
      <c r="AF375" s="1111" t="str">
        <f>VLOOKUP($AB375,sample!$1:$1048576,5,FALSE)</f>
        <v>N</v>
      </c>
      <c r="AL375" s="1104" t="str">
        <f>VLOOKUP($AB375,sample!$1:$1048576,11,FALSE)</f>
        <v xml:space="preserve">                  </v>
      </c>
      <c r="AM375" s="1104" t="str">
        <f>VLOOKUP($AB375,sample!$1:$1048576,12,FALSE)</f>
        <v xml:space="preserve">                          </v>
      </c>
      <c r="AN375" s="1104" t="str">
        <f>VLOOKUP($AB375,sample!$1:$1048576,13,FALSE)</f>
        <v>GOLDJPJXXXX</v>
      </c>
      <c r="AP375" s="1111"/>
    </row>
    <row r="376" spans="1:42" s="690" customFormat="1">
      <c r="A376" s="1046">
        <v>2019200390</v>
      </c>
      <c r="B376" s="933">
        <v>44202</v>
      </c>
      <c r="C376" s="933" t="s">
        <v>138</v>
      </c>
      <c r="D376" s="1127" t="str">
        <f>IFERROR(VLOOKUP(G376,PosAggregate!$B$13:$B$93,1,FALSE),"")</f>
        <v/>
      </c>
      <c r="E376" s="1022" t="s">
        <v>12879</v>
      </c>
      <c r="F376" s="1132" t="str">
        <f t="shared" si="81"/>
        <v/>
      </c>
      <c r="G376" s="667" t="s">
        <v>2230</v>
      </c>
      <c r="I376" s="949" t="s">
        <v>1143</v>
      </c>
      <c r="J376" s="949" t="s">
        <v>123</v>
      </c>
      <c r="K376" s="1055">
        <v>262267.676768</v>
      </c>
      <c r="L376" s="1055"/>
      <c r="M376" s="1055">
        <v>-990</v>
      </c>
      <c r="N376" s="1103">
        <f>-K376*M376</f>
        <v>259645000.00032002</v>
      </c>
      <c r="O376" s="934">
        <v>-389468</v>
      </c>
      <c r="P376" s="934">
        <v>-597163</v>
      </c>
      <c r="R376" s="1100">
        <f t="shared" si="91"/>
        <v>258658369.00032002</v>
      </c>
      <c r="S376" s="1055">
        <v>1335.6528153430063</v>
      </c>
      <c r="T376" s="1121">
        <f t="shared" si="92"/>
        <v>193656.88899768051</v>
      </c>
      <c r="U376" s="690">
        <v>44204</v>
      </c>
      <c r="V376" s="667" t="s">
        <v>1727</v>
      </c>
      <c r="W376" s="936">
        <v>44202.417770138891</v>
      </c>
      <c r="X376" s="1089">
        <f t="shared" si="93"/>
        <v>-0.15000019257044039</v>
      </c>
      <c r="Y376" s="690" t="s">
        <v>1763</v>
      </c>
      <c r="Z376" s="1111" t="str">
        <f>VLOOKUP(AA376,'place of settlement'!A:C,2,FALSE)</f>
        <v>KSDCKRSEXXX</v>
      </c>
      <c r="AA376" s="1111" t="str">
        <f t="shared" si="94"/>
        <v>KR</v>
      </c>
      <c r="AB376" s="1111" t="str">
        <f t="shared" si="95"/>
        <v>samsungKR</v>
      </c>
      <c r="AC376" s="1111" t="e">
        <f>VLOOKUP(AB376,sample!$1:$1048576,2,FALSE)</f>
        <v>#N/A</v>
      </c>
      <c r="AD376" s="1111" t="e">
        <f>VLOOKUP($AB376,sample!$1:$1048576,3,FALSE)</f>
        <v>#N/A</v>
      </c>
      <c r="AE376" s="1104" t="e">
        <f>VLOOKUP($AB376,sample!$1:$1048576,4,FALSE)</f>
        <v>#N/A</v>
      </c>
      <c r="AF376" s="1111" t="e">
        <f>VLOOKUP($AB376,sample!$1:$1048576,5,FALSE)</f>
        <v>#N/A</v>
      </c>
      <c r="AL376" s="1104" t="e">
        <f>VLOOKUP($AB376,sample!$1:$1048576,11,FALSE)</f>
        <v>#N/A</v>
      </c>
      <c r="AM376" s="1104" t="e">
        <f>VLOOKUP($AB376,sample!$1:$1048576,12,FALSE)</f>
        <v>#N/A</v>
      </c>
      <c r="AN376" s="1104" t="e">
        <f>VLOOKUP($AB376,sample!$1:$1048576,13,FALSE)</f>
        <v>#N/A</v>
      </c>
      <c r="AP376" s="1111"/>
    </row>
    <row r="377" spans="1:42" s="690" customFormat="1">
      <c r="A377" s="1046">
        <v>2019200391</v>
      </c>
      <c r="B377" s="1004">
        <v>44207</v>
      </c>
      <c r="C377" s="933" t="s">
        <v>138</v>
      </c>
      <c r="D377" s="1127" t="str">
        <f>IFERROR(VLOOKUP(G377,PosAggregate!$B$13:$B$93,1,FALSE),"")</f>
        <v/>
      </c>
      <c r="E377" s="1022" t="s">
        <v>1254</v>
      </c>
      <c r="F377" s="1132" t="str">
        <f t="shared" si="81"/>
        <v/>
      </c>
      <c r="G377" s="667" t="s">
        <v>1204</v>
      </c>
      <c r="I377" s="949" t="s">
        <v>1123</v>
      </c>
      <c r="J377" s="949" t="s">
        <v>123</v>
      </c>
      <c r="K377" s="1055">
        <v>495811.66666699998</v>
      </c>
      <c r="L377" s="1055"/>
      <c r="M377" s="1055">
        <v>-300</v>
      </c>
      <c r="N377" s="1103">
        <f t="shared" si="90"/>
        <v>148743500.00009999</v>
      </c>
      <c r="O377" s="934">
        <v>-223115</v>
      </c>
      <c r="P377" s="934">
        <v>-342073</v>
      </c>
      <c r="R377" s="1100">
        <f t="shared" si="91"/>
        <v>148178312.00009999</v>
      </c>
      <c r="S377" s="1055">
        <v>1335.3493145663808</v>
      </c>
      <c r="T377" s="1121">
        <f t="shared" si="92"/>
        <v>110965.95503792726</v>
      </c>
      <c r="U377" s="690">
        <v>44209</v>
      </c>
      <c r="V377" s="667" t="s">
        <v>1230</v>
      </c>
      <c r="W377" s="936">
        <v>44207.387504976854</v>
      </c>
      <c r="X377" s="1089">
        <f t="shared" si="93"/>
        <v>-0.14999983192532784</v>
      </c>
      <c r="Y377" s="690" t="s">
        <v>1763</v>
      </c>
      <c r="Z377" s="1111" t="str">
        <f>VLOOKUP(AA377,'place of settlement'!A:C,2,FALSE)</f>
        <v>KSDCKRSEXXX</v>
      </c>
      <c r="AA377" s="1111" t="str">
        <f t="shared" si="94"/>
        <v>KR</v>
      </c>
      <c r="AB377" s="1111" t="str">
        <f t="shared" si="95"/>
        <v>SamsungKR</v>
      </c>
      <c r="AC377" s="1111" t="e">
        <f>VLOOKUP(AB377,sample!$1:$1048576,2,FALSE)</f>
        <v>#N/A</v>
      </c>
      <c r="AD377" s="1111" t="e">
        <f>VLOOKUP($AB377,sample!$1:$1048576,3,FALSE)</f>
        <v>#N/A</v>
      </c>
      <c r="AE377" s="1104" t="e">
        <f>VLOOKUP($AB377,sample!$1:$1048576,4,FALSE)</f>
        <v>#N/A</v>
      </c>
      <c r="AF377" s="1111" t="e">
        <f>VLOOKUP($AB377,sample!$1:$1048576,5,FALSE)</f>
        <v>#N/A</v>
      </c>
      <c r="AL377" s="1104" t="e">
        <f>VLOOKUP($AB377,sample!$1:$1048576,11,FALSE)</f>
        <v>#N/A</v>
      </c>
      <c r="AM377" s="1104" t="e">
        <f>VLOOKUP($AB377,sample!$1:$1048576,12,FALSE)</f>
        <v>#N/A</v>
      </c>
      <c r="AN377" s="1104" t="e">
        <f>VLOOKUP($AB377,sample!$1:$1048576,13,FALSE)</f>
        <v>#N/A</v>
      </c>
      <c r="AP377" s="1111"/>
    </row>
    <row r="378" spans="1:42" s="690" customFormat="1">
      <c r="A378" s="1046">
        <v>2019200392</v>
      </c>
      <c r="B378" s="933">
        <v>44208</v>
      </c>
      <c r="C378" s="933" t="s">
        <v>137</v>
      </c>
      <c r="D378" s="1127" t="str">
        <f>IFERROR(VLOOKUP(G378,PosAggregate!$B$13:$B$93,1,FALSE),"")</f>
        <v/>
      </c>
      <c r="E378" s="1022" t="s">
        <v>12861</v>
      </c>
      <c r="F378" s="1132" t="str">
        <f t="shared" si="81"/>
        <v/>
      </c>
      <c r="G378" s="667" t="s">
        <v>2202</v>
      </c>
      <c r="I378" s="949" t="s">
        <v>12797</v>
      </c>
      <c r="J378" s="949" t="s">
        <v>125</v>
      </c>
      <c r="K378" s="1055">
        <v>3039.2255559999999</v>
      </c>
      <c r="L378" s="1055"/>
      <c r="M378" s="1055">
        <v>9000</v>
      </c>
      <c r="N378" s="1103">
        <f t="shared" si="90"/>
        <v>-27353030.004000001</v>
      </c>
      <c r="O378" s="934">
        <v>-16412</v>
      </c>
      <c r="P378" s="934"/>
      <c r="R378" s="1100">
        <f t="shared" si="91"/>
        <v>-27369442.004000001</v>
      </c>
      <c r="S378" s="1055">
        <v>126.64163963504269</v>
      </c>
      <c r="T378" s="1121">
        <f t="shared" si="92"/>
        <v>-216117.24297690371</v>
      </c>
      <c r="U378" s="690">
        <v>44210</v>
      </c>
      <c r="V378" s="667" t="s">
        <v>1725</v>
      </c>
      <c r="W378" s="936">
        <v>44208.419682175925</v>
      </c>
      <c r="X378" s="1089">
        <f t="shared" si="93"/>
        <v>6.0000665365409142E-2</v>
      </c>
      <c r="Y378" s="690" t="s">
        <v>1763</v>
      </c>
      <c r="Z378" s="1111" t="str">
        <f>VLOOKUP(AA378,'place of settlement'!A:C,2,FALSE)</f>
        <v>JJSDJPJTXXX</v>
      </c>
      <c r="AA378" s="1111" t="str">
        <f t="shared" si="94"/>
        <v>JP</v>
      </c>
      <c r="AB378" s="1111" t="str">
        <f t="shared" si="95"/>
        <v>Tavira SecuritiesJP</v>
      </c>
      <c r="AC378" s="1111" t="str">
        <f>VLOOKUP(AB378,sample!$1:$1048576,2,FALSE)</f>
        <v>GSILGB2XXXX</v>
      </c>
      <c r="AD378" s="1111" t="str">
        <f>VLOOKUP($AB378,sample!$1:$1048576,3,FALSE)</f>
        <v>JJSDJPJTXXX</v>
      </c>
      <c r="AE378" s="1104">
        <f>VLOOKUP($AB378,sample!$1:$1048576,4,FALSE)</f>
        <v>6530490016</v>
      </c>
      <c r="AF378" s="1111" t="str">
        <f>VLOOKUP($AB378,sample!$1:$1048576,5,FALSE)</f>
        <v>N</v>
      </c>
      <c r="AL378" s="1104" t="str">
        <f>VLOOKUP($AB378,sample!$1:$1048576,11,FALSE)</f>
        <v xml:space="preserve">                  </v>
      </c>
      <c r="AM378" s="1104" t="str">
        <f>VLOOKUP($AB378,sample!$1:$1048576,12,FALSE)</f>
        <v xml:space="preserve">                          </v>
      </c>
      <c r="AN378" s="1104" t="str">
        <f>VLOOKUP($AB378,sample!$1:$1048576,13,FALSE)</f>
        <v>GOLDJPJXXXX</v>
      </c>
      <c r="AP378" s="1111"/>
    </row>
    <row r="379" spans="1:42" s="690" customFormat="1">
      <c r="A379" s="1046">
        <v>2019200393</v>
      </c>
      <c r="B379" s="933">
        <v>44208</v>
      </c>
      <c r="C379" s="933" t="s">
        <v>137</v>
      </c>
      <c r="D379" s="1127" t="str">
        <f>IFERROR(VLOOKUP(G379,PosAggregate!$B$13:$B$93,1,FALSE),"")</f>
        <v/>
      </c>
      <c r="E379" s="1022" t="s">
        <v>1232</v>
      </c>
      <c r="F379" s="1132" t="str">
        <f t="shared" si="81"/>
        <v/>
      </c>
      <c r="G379" s="667" t="s">
        <v>1180</v>
      </c>
      <c r="I379" s="949" t="s">
        <v>1122</v>
      </c>
      <c r="J379" s="949" t="s">
        <v>125</v>
      </c>
      <c r="K379" s="1055">
        <v>1287.3908329999999</v>
      </c>
      <c r="L379" s="1055"/>
      <c r="M379" s="1055">
        <v>6000</v>
      </c>
      <c r="N379" s="1103">
        <f t="shared" si="90"/>
        <v>-7724344.9979999997</v>
      </c>
      <c r="O379" s="934">
        <v>-4635</v>
      </c>
      <c r="R379" s="1100">
        <f t="shared" si="91"/>
        <v>-7728979.9979999997</v>
      </c>
      <c r="S379" s="1055">
        <v>126.6416396350424</v>
      </c>
      <c r="T379" s="1121">
        <f t="shared" ref="T379:T443" si="96">+R379/S379</f>
        <v>-61030.321624652679</v>
      </c>
      <c r="U379" s="690">
        <v>44210</v>
      </c>
      <c r="V379" s="667" t="s">
        <v>1725</v>
      </c>
      <c r="W379" s="936">
        <v>44208.420246296293</v>
      </c>
      <c r="X379" s="1089">
        <f t="shared" si="93"/>
        <v>6.0005087825570999E-2</v>
      </c>
      <c r="Y379" s="690" t="s">
        <v>1763</v>
      </c>
      <c r="Z379" s="1111" t="str">
        <f>VLOOKUP(AA379,'place of settlement'!A:C,2,FALSE)</f>
        <v>JJSDJPJTXXX</v>
      </c>
      <c r="AA379" s="1111" t="str">
        <f t="shared" si="94"/>
        <v>JP</v>
      </c>
      <c r="AB379" s="1111" t="str">
        <f t="shared" si="95"/>
        <v>Tavira SecuritiesJP</v>
      </c>
      <c r="AC379" s="1111" t="str">
        <f>VLOOKUP(AB379,sample!$1:$1048576,2,FALSE)</f>
        <v>GSILGB2XXXX</v>
      </c>
      <c r="AD379" s="1111" t="str">
        <f>VLOOKUP($AB379,sample!$1:$1048576,3,FALSE)</f>
        <v>JJSDJPJTXXX</v>
      </c>
      <c r="AE379" s="1104">
        <f>VLOOKUP($AB379,sample!$1:$1048576,4,FALSE)</f>
        <v>6530490016</v>
      </c>
      <c r="AF379" s="1111" t="str">
        <f>VLOOKUP($AB379,sample!$1:$1048576,5,FALSE)</f>
        <v>N</v>
      </c>
      <c r="AL379" s="1104" t="str">
        <f>VLOOKUP($AB379,sample!$1:$1048576,11,FALSE)</f>
        <v xml:space="preserve">                  </v>
      </c>
      <c r="AM379" s="1104" t="str">
        <f>VLOOKUP($AB379,sample!$1:$1048576,12,FALSE)</f>
        <v xml:space="preserve">                          </v>
      </c>
      <c r="AN379" s="1104" t="str">
        <f>VLOOKUP($AB379,sample!$1:$1048576,13,FALSE)</f>
        <v>GOLDJPJXXXX</v>
      </c>
      <c r="AP379" s="1111"/>
    </row>
    <row r="380" spans="1:42" s="690" customFormat="1">
      <c r="A380" s="1046">
        <v>2019200396</v>
      </c>
      <c r="B380" s="933">
        <v>44209</v>
      </c>
      <c r="C380" s="933" t="s">
        <v>137</v>
      </c>
      <c r="D380" s="1127" t="str">
        <f>IFERROR(VLOOKUP(G380,PosAggregate!$B$13:$B$93,1,FALSE),"")</f>
        <v/>
      </c>
      <c r="E380" s="1022" t="s">
        <v>1243</v>
      </c>
      <c r="F380" s="1132" t="str">
        <f t="shared" si="81"/>
        <v/>
      </c>
      <c r="G380" s="667" t="s">
        <v>1192</v>
      </c>
      <c r="I380" s="949" t="s">
        <v>1144</v>
      </c>
      <c r="J380" s="949" t="s">
        <v>125</v>
      </c>
      <c r="K380" s="1055">
        <v>1998.742</v>
      </c>
      <c r="L380" s="1055"/>
      <c r="M380" s="1055">
        <v>5000</v>
      </c>
      <c r="N380" s="1103">
        <f t="shared" si="90"/>
        <v>-9993710</v>
      </c>
      <c r="O380" s="934">
        <v>-5996</v>
      </c>
      <c r="R380" s="1100">
        <f t="shared" si="91"/>
        <v>-9999706</v>
      </c>
      <c r="S380" s="1055">
        <v>126.64794921875013</v>
      </c>
      <c r="T380" s="1121">
        <f t="shared" si="96"/>
        <v>-78956.714748915576</v>
      </c>
      <c r="U380" s="690">
        <v>44211</v>
      </c>
      <c r="V380" s="667" t="s">
        <v>1725</v>
      </c>
      <c r="W380" s="936">
        <v>44209.447673726849</v>
      </c>
      <c r="X380" s="1089">
        <f t="shared" si="93"/>
        <v>5.9997738577565289E-2</v>
      </c>
      <c r="Y380" s="690" t="s">
        <v>1763</v>
      </c>
      <c r="Z380" s="1111" t="str">
        <f>VLOOKUP(AA380,'place of settlement'!A:C,2,FALSE)</f>
        <v>JJSDJPJTXXX</v>
      </c>
      <c r="AA380" s="1111" t="str">
        <f t="shared" si="94"/>
        <v>JP</v>
      </c>
      <c r="AB380" s="1111" t="str">
        <f t="shared" si="95"/>
        <v>Tavira SecuritiesJP</v>
      </c>
      <c r="AC380" s="1111" t="str">
        <f>VLOOKUP(AB380,sample!$1:$1048576,2,FALSE)</f>
        <v>GSILGB2XXXX</v>
      </c>
      <c r="AD380" s="1111" t="str">
        <f>VLOOKUP($AB380,sample!$1:$1048576,3,FALSE)</f>
        <v>JJSDJPJTXXX</v>
      </c>
      <c r="AE380" s="1104">
        <f>VLOOKUP($AB380,sample!$1:$1048576,4,FALSE)</f>
        <v>6530490016</v>
      </c>
      <c r="AF380" s="1111" t="str">
        <f>VLOOKUP($AB380,sample!$1:$1048576,5,FALSE)</f>
        <v>N</v>
      </c>
      <c r="AL380" s="1104" t="str">
        <f>VLOOKUP($AB380,sample!$1:$1048576,11,FALSE)</f>
        <v xml:space="preserve">                  </v>
      </c>
      <c r="AM380" s="1104" t="str">
        <f>VLOOKUP($AB380,sample!$1:$1048576,12,FALSE)</f>
        <v xml:space="preserve">                          </v>
      </c>
      <c r="AN380" s="1104" t="str">
        <f>VLOOKUP($AB380,sample!$1:$1048576,13,FALSE)</f>
        <v>GOLDJPJXXXX</v>
      </c>
      <c r="AP380" s="1111"/>
    </row>
    <row r="381" spans="1:42" s="690" customFormat="1">
      <c r="A381" s="1046">
        <v>2019200397</v>
      </c>
      <c r="B381" s="933">
        <v>44210</v>
      </c>
      <c r="C381" s="933" t="s">
        <v>137</v>
      </c>
      <c r="D381" s="1127" t="str">
        <f>IFERROR(VLOOKUP(G381,PosAggregate!$B$13:$B$93,1,FALSE),"")</f>
        <v/>
      </c>
      <c r="E381" s="1022" t="s">
        <v>12861</v>
      </c>
      <c r="F381" s="1132" t="str">
        <f t="shared" si="81"/>
        <v/>
      </c>
      <c r="G381" s="667" t="s">
        <v>2202</v>
      </c>
      <c r="I381" s="949" t="s">
        <v>12797</v>
      </c>
      <c r="J381" s="949" t="s">
        <v>125</v>
      </c>
      <c r="K381" s="1055">
        <v>3005.1862000000001</v>
      </c>
      <c r="L381" s="1055"/>
      <c r="M381" s="1055">
        <v>8000</v>
      </c>
      <c r="N381" s="1103">
        <f>-K381*M381</f>
        <v>-24041489.600000001</v>
      </c>
      <c r="O381" s="934">
        <v>-14424.89</v>
      </c>
      <c r="R381" s="1100">
        <f t="shared" si="91"/>
        <v>-24055914.490000002</v>
      </c>
      <c r="S381" s="1055">
        <v>126.25065343982867</v>
      </c>
      <c r="T381" s="1121">
        <f t="shared" si="96"/>
        <v>-190540.91075627663</v>
      </c>
      <c r="U381" s="690">
        <v>44214</v>
      </c>
      <c r="V381" s="667" t="s">
        <v>1725</v>
      </c>
      <c r="W381" s="936">
        <v>44210.397743055553</v>
      </c>
      <c r="X381" s="1089">
        <f t="shared" si="93"/>
        <v>5.9999984360370073E-2</v>
      </c>
      <c r="Y381" s="690" t="s">
        <v>1763</v>
      </c>
      <c r="Z381" s="1111" t="str">
        <f>VLOOKUP(AA381,'place of settlement'!A:C,2,FALSE)</f>
        <v>JJSDJPJTXXX</v>
      </c>
      <c r="AA381" s="1111" t="str">
        <f t="shared" si="94"/>
        <v>JP</v>
      </c>
      <c r="AB381" s="1111" t="str">
        <f t="shared" si="95"/>
        <v>Tavira SecuritiesJP</v>
      </c>
      <c r="AC381" s="1111" t="str">
        <f>VLOOKUP(AB381,sample!$1:$1048576,2,FALSE)</f>
        <v>GSILGB2XXXX</v>
      </c>
      <c r="AD381" s="1111" t="str">
        <f>VLOOKUP($AB381,sample!$1:$1048576,3,FALSE)</f>
        <v>JJSDJPJTXXX</v>
      </c>
      <c r="AE381" s="1104">
        <f>VLOOKUP($AB381,sample!$1:$1048576,4,FALSE)</f>
        <v>6530490016</v>
      </c>
      <c r="AF381" s="1111" t="str">
        <f>VLOOKUP($AB381,sample!$1:$1048576,5,FALSE)</f>
        <v>N</v>
      </c>
      <c r="AL381" s="1104" t="str">
        <f>VLOOKUP($AB381,sample!$1:$1048576,11,FALSE)</f>
        <v xml:space="preserve">                  </v>
      </c>
      <c r="AM381" s="1104" t="str">
        <f>VLOOKUP($AB381,sample!$1:$1048576,12,FALSE)</f>
        <v xml:space="preserve">                          </v>
      </c>
      <c r="AN381" s="1104" t="str">
        <f>VLOOKUP($AB381,sample!$1:$1048576,13,FALSE)</f>
        <v>GOLDJPJXXXX</v>
      </c>
      <c r="AP381" s="1111"/>
    </row>
    <row r="382" spans="1:42" s="690" customFormat="1">
      <c r="A382" s="1046">
        <v>2019200398</v>
      </c>
      <c r="B382" s="933">
        <v>44210</v>
      </c>
      <c r="C382" s="933" t="s">
        <v>137</v>
      </c>
      <c r="D382" s="1127" t="str">
        <f>IFERROR(VLOOKUP(G382,PosAggregate!$B$13:$B$93,1,FALSE),"")</f>
        <v/>
      </c>
      <c r="E382" s="1022" t="s">
        <v>12855</v>
      </c>
      <c r="F382" s="1132" t="str">
        <f t="shared" si="81"/>
        <v/>
      </c>
      <c r="G382" s="667" t="s">
        <v>2160</v>
      </c>
      <c r="I382" s="949" t="s">
        <v>12809</v>
      </c>
      <c r="J382" s="949" t="s">
        <v>123</v>
      </c>
      <c r="K382" s="1055">
        <v>55624.95</v>
      </c>
      <c r="L382" s="1055"/>
      <c r="M382" s="1055">
        <v>2000</v>
      </c>
      <c r="N382" s="1103">
        <f t="shared" si="90"/>
        <v>-111249900</v>
      </c>
      <c r="O382" s="934">
        <v>-166875</v>
      </c>
      <c r="R382" s="1100">
        <f t="shared" si="91"/>
        <v>-111416775</v>
      </c>
      <c r="S382" s="1055">
        <v>1333.7709860558971</v>
      </c>
      <c r="T382" s="1121">
        <f t="shared" si="96"/>
        <v>-83535.161706786923</v>
      </c>
      <c r="U382" s="690">
        <v>44214</v>
      </c>
      <c r="V382" s="667" t="s">
        <v>1230</v>
      </c>
      <c r="W382" s="936">
        <v>44210.398551388891</v>
      </c>
      <c r="X382" s="1089">
        <f t="shared" si="93"/>
        <v>0.15000013483158187</v>
      </c>
      <c r="Y382" s="690" t="s">
        <v>1763</v>
      </c>
      <c r="Z382" s="1111" t="str">
        <f>VLOOKUP(AA382,'place of settlement'!A:C,2,FALSE)</f>
        <v>KSDCKRSEXXX</v>
      </c>
      <c r="AA382" s="1111" t="str">
        <f t="shared" si="94"/>
        <v>KR</v>
      </c>
      <c r="AB382" s="1111" t="str">
        <f t="shared" si="95"/>
        <v>SamsungKR</v>
      </c>
      <c r="AC382" s="1111" t="e">
        <f>VLOOKUP(AB382,sample!$1:$1048576,2,FALSE)</f>
        <v>#N/A</v>
      </c>
      <c r="AD382" s="1111" t="e">
        <f>VLOOKUP($AB382,sample!$1:$1048576,3,FALSE)</f>
        <v>#N/A</v>
      </c>
      <c r="AE382" s="1104" t="e">
        <f>VLOOKUP($AB382,sample!$1:$1048576,4,FALSE)</f>
        <v>#N/A</v>
      </c>
      <c r="AF382" s="1111" t="e">
        <f>VLOOKUP($AB382,sample!$1:$1048576,5,FALSE)</f>
        <v>#N/A</v>
      </c>
      <c r="AL382" s="1104" t="e">
        <f>VLOOKUP($AB382,sample!$1:$1048576,11,FALSE)</f>
        <v>#N/A</v>
      </c>
      <c r="AM382" s="1104" t="e">
        <f>VLOOKUP($AB382,sample!$1:$1048576,12,FALSE)</f>
        <v>#N/A</v>
      </c>
      <c r="AN382" s="1104" t="e">
        <f>VLOOKUP($AB382,sample!$1:$1048576,13,FALSE)</f>
        <v>#N/A</v>
      </c>
      <c r="AP382" s="1111"/>
    </row>
    <row r="383" spans="1:42" s="690" customFormat="1">
      <c r="A383" s="1046">
        <v>2019200399</v>
      </c>
      <c r="B383" s="933">
        <v>44210</v>
      </c>
      <c r="C383" s="933" t="s">
        <v>137</v>
      </c>
      <c r="D383" s="1127" t="str">
        <f>IFERROR(VLOOKUP(G383,PosAggregate!$B$13:$B$93,1,FALSE),"")</f>
        <v/>
      </c>
      <c r="E383" s="1022" t="s">
        <v>12858</v>
      </c>
      <c r="F383" s="1132" t="str">
        <f t="shared" si="81"/>
        <v/>
      </c>
      <c r="G383" s="667" t="s">
        <v>2204</v>
      </c>
      <c r="I383" s="949" t="s">
        <v>12794</v>
      </c>
      <c r="J383" s="949" t="s">
        <v>123</v>
      </c>
      <c r="K383" s="1055">
        <v>39313.154761999998</v>
      </c>
      <c r="L383" s="1055"/>
      <c r="M383" s="1055">
        <v>4200</v>
      </c>
      <c r="N383" s="1103">
        <f t="shared" si="90"/>
        <v>-165115250.00040001</v>
      </c>
      <c r="O383" s="934">
        <v>-247673</v>
      </c>
      <c r="R383" s="1100">
        <f t="shared" si="91"/>
        <v>-165362923.00040001</v>
      </c>
      <c r="S383" s="1055">
        <v>1333.7709860558982</v>
      </c>
      <c r="T383" s="1121">
        <f t="shared" si="96"/>
        <v>-123981.49662064224</v>
      </c>
      <c r="U383" s="690">
        <v>44214</v>
      </c>
      <c r="V383" s="667" t="s">
        <v>1230</v>
      </c>
      <c r="W383" s="936">
        <v>44210.39894363426</v>
      </c>
      <c r="X383" s="1089">
        <f t="shared" si="93"/>
        <v>0.15000007570433377</v>
      </c>
      <c r="Y383" s="690" t="s">
        <v>1763</v>
      </c>
      <c r="Z383" s="1111" t="str">
        <f>VLOOKUP(AA383,'place of settlement'!A:C,2,FALSE)</f>
        <v>KSDCKRSEXXX</v>
      </c>
      <c r="AA383" s="1111" t="str">
        <f t="shared" si="94"/>
        <v>KR</v>
      </c>
      <c r="AB383" s="1111" t="str">
        <f t="shared" si="95"/>
        <v>SamsungKR</v>
      </c>
      <c r="AC383" s="1111" t="e">
        <f>VLOOKUP(AB383,sample!$1:$1048576,2,FALSE)</f>
        <v>#N/A</v>
      </c>
      <c r="AD383" s="1111" t="e">
        <f>VLOOKUP($AB383,sample!$1:$1048576,3,FALSE)</f>
        <v>#N/A</v>
      </c>
      <c r="AE383" s="1104" t="e">
        <f>VLOOKUP($AB383,sample!$1:$1048576,4,FALSE)</f>
        <v>#N/A</v>
      </c>
      <c r="AF383" s="1111" t="e">
        <f>VLOOKUP($AB383,sample!$1:$1048576,5,FALSE)</f>
        <v>#N/A</v>
      </c>
      <c r="AL383" s="1104" t="e">
        <f>VLOOKUP($AB383,sample!$1:$1048576,11,FALSE)</f>
        <v>#N/A</v>
      </c>
      <c r="AM383" s="1104" t="e">
        <f>VLOOKUP($AB383,sample!$1:$1048576,12,FALSE)</f>
        <v>#N/A</v>
      </c>
      <c r="AN383" s="1104" t="e">
        <f>VLOOKUP($AB383,sample!$1:$1048576,13,FALSE)</f>
        <v>#N/A</v>
      </c>
      <c r="AP383" s="1111"/>
    </row>
    <row r="384" spans="1:42" s="690" customFormat="1">
      <c r="A384" s="1046">
        <v>2019200400</v>
      </c>
      <c r="B384" s="933">
        <v>44214</v>
      </c>
      <c r="C384" s="933" t="s">
        <v>137</v>
      </c>
      <c r="D384" s="1127" t="str">
        <f>IFERROR(VLOOKUP(G384,PosAggregate!$B$13:$B$93,1,FALSE),"")</f>
        <v/>
      </c>
      <c r="E384" s="1022" t="s">
        <v>12858</v>
      </c>
      <c r="F384" s="1132" t="str">
        <f t="shared" si="81"/>
        <v/>
      </c>
      <c r="G384" s="667" t="s">
        <v>2204</v>
      </c>
      <c r="I384" s="949" t="s">
        <v>12794</v>
      </c>
      <c r="J384" s="949" t="s">
        <v>123</v>
      </c>
      <c r="K384" s="1055">
        <v>38177.884599999998</v>
      </c>
      <c r="L384" s="1055"/>
      <c r="M384" s="1055">
        <v>2600</v>
      </c>
      <c r="N384" s="1103">
        <f t="shared" si="90"/>
        <v>-99262499.959999993</v>
      </c>
      <c r="O384" s="934">
        <v>-148894</v>
      </c>
      <c r="R384" s="1100">
        <f t="shared" si="91"/>
        <v>-99411393.959999993</v>
      </c>
      <c r="S384" s="1055">
        <v>1332.5321577389916</v>
      </c>
      <c r="T384" s="1121">
        <f t="shared" si="96"/>
        <v>-74603.373271440476</v>
      </c>
      <c r="U384" s="690">
        <v>44216</v>
      </c>
      <c r="V384" s="667" t="s">
        <v>1230</v>
      </c>
      <c r="W384" s="936">
        <v>44214.397655324072</v>
      </c>
      <c r="X384" s="1089">
        <f t="shared" si="93"/>
        <v>0.15000025191789457</v>
      </c>
      <c r="Y384" s="690" t="s">
        <v>1763</v>
      </c>
      <c r="Z384" s="1111" t="str">
        <f>VLOOKUP(AA384,'place of settlement'!A:C,2,FALSE)</f>
        <v>KSDCKRSEXXX</v>
      </c>
      <c r="AA384" s="1111" t="str">
        <f t="shared" si="94"/>
        <v>KR</v>
      </c>
      <c r="AB384" s="1111" t="str">
        <f t="shared" si="95"/>
        <v>SamsungKR</v>
      </c>
      <c r="AC384" s="1111" t="e">
        <f>VLOOKUP(AB384,sample!$1:$1048576,2,FALSE)</f>
        <v>#N/A</v>
      </c>
      <c r="AD384" s="1111" t="e">
        <f>VLOOKUP($AB384,sample!$1:$1048576,3,FALSE)</f>
        <v>#N/A</v>
      </c>
      <c r="AE384" s="1104" t="e">
        <f>VLOOKUP($AB384,sample!$1:$1048576,4,FALSE)</f>
        <v>#N/A</v>
      </c>
      <c r="AF384" s="1111" t="e">
        <f>VLOOKUP($AB384,sample!$1:$1048576,5,FALSE)</f>
        <v>#N/A</v>
      </c>
      <c r="AL384" s="1104" t="e">
        <f>VLOOKUP($AB384,sample!$1:$1048576,11,FALSE)</f>
        <v>#N/A</v>
      </c>
      <c r="AM384" s="1104" t="e">
        <f>VLOOKUP($AB384,sample!$1:$1048576,12,FALSE)</f>
        <v>#N/A</v>
      </c>
      <c r="AN384" s="1104" t="e">
        <f>VLOOKUP($AB384,sample!$1:$1048576,13,FALSE)</f>
        <v>#N/A</v>
      </c>
      <c r="AP384" s="1111"/>
    </row>
    <row r="385" spans="1:42" s="1062" customFormat="1">
      <c r="A385" s="1058">
        <v>2019200401</v>
      </c>
      <c r="B385" s="1059">
        <v>44215</v>
      </c>
      <c r="C385" s="1059" t="s">
        <v>138</v>
      </c>
      <c r="D385" s="1129" t="str">
        <f>IFERROR(VLOOKUP(G385,PosAggregate!$B$13:$B$93,1,FALSE),"")</f>
        <v/>
      </c>
      <c r="E385" s="1060" t="s">
        <v>12881</v>
      </c>
      <c r="F385" s="1132" t="str">
        <f t="shared" si="81"/>
        <v/>
      </c>
      <c r="G385" s="1061" t="s">
        <v>2222</v>
      </c>
      <c r="I385" s="1063" t="s">
        <v>12888</v>
      </c>
      <c r="J385" s="1063" t="s">
        <v>2</v>
      </c>
      <c r="K385" s="1064">
        <v>2.64</v>
      </c>
      <c r="L385" s="1065"/>
      <c r="M385" s="1064">
        <v>-7000</v>
      </c>
      <c r="N385" s="1134">
        <f t="shared" si="90"/>
        <v>18480</v>
      </c>
      <c r="O385" s="1065">
        <v>-11.09</v>
      </c>
      <c r="R385" s="1136">
        <f t="shared" si="91"/>
        <v>18468.91</v>
      </c>
      <c r="S385" s="1066">
        <v>1</v>
      </c>
      <c r="T385" s="1130">
        <f t="shared" si="96"/>
        <v>18468.91</v>
      </c>
      <c r="U385" s="1062">
        <v>44217</v>
      </c>
      <c r="V385" s="1061" t="s">
        <v>1153</v>
      </c>
      <c r="W385" s="1067">
        <v>44216.436645949078</v>
      </c>
      <c r="X385" s="1137">
        <f t="shared" si="93"/>
        <v>-6.0010822510822508E-2</v>
      </c>
      <c r="Y385" s="1062" t="s">
        <v>1763</v>
      </c>
      <c r="Z385" s="1125" t="str">
        <f>VLOOKUP(AA385,'place of settlement'!A:C,2,FALSE)</f>
        <v>MOTIITMMXXX</v>
      </c>
      <c r="AA385" s="1125" t="str">
        <f t="shared" si="94"/>
        <v>IT</v>
      </c>
      <c r="AB385" s="1125" t="str">
        <f t="shared" si="95"/>
        <v>Equita SimIT</v>
      </c>
      <c r="AC385" s="1125" t="e">
        <f>VLOOKUP(AB385,sample!$1:$1048576,2,FALSE)</f>
        <v>#N/A</v>
      </c>
      <c r="AD385" s="1125" t="e">
        <f>VLOOKUP($AB385,sample!$1:$1048576,3,FALSE)</f>
        <v>#N/A</v>
      </c>
      <c r="AE385" s="1126" t="e">
        <f>VLOOKUP($AB385,sample!$1:$1048576,4,FALSE)</f>
        <v>#N/A</v>
      </c>
      <c r="AF385" s="1125" t="e">
        <f>VLOOKUP($AB385,sample!$1:$1048576,5,FALSE)</f>
        <v>#N/A</v>
      </c>
      <c r="AL385" s="1126" t="e">
        <f>VLOOKUP($AB385,sample!$1:$1048576,11,FALSE)</f>
        <v>#N/A</v>
      </c>
      <c r="AM385" s="1126" t="e">
        <f>VLOOKUP($AB385,sample!$1:$1048576,12,FALSE)</f>
        <v>#N/A</v>
      </c>
      <c r="AN385" s="1126" t="e">
        <f>VLOOKUP($AB385,sample!$1:$1048576,13,FALSE)</f>
        <v>#N/A</v>
      </c>
      <c r="AP385" s="1111"/>
    </row>
    <row r="386" spans="1:42" s="690" customFormat="1">
      <c r="A386" s="1046">
        <v>2019200402</v>
      </c>
      <c r="B386" s="933">
        <v>44217</v>
      </c>
      <c r="C386" s="933" t="s">
        <v>137</v>
      </c>
      <c r="D386" s="1127" t="str">
        <f>IFERROR(VLOOKUP(G386,PosAggregate!$B$13:$B$93,1,FALSE),"")</f>
        <v/>
      </c>
      <c r="E386" s="1022" t="s">
        <v>1236</v>
      </c>
      <c r="F386" s="1132" t="str">
        <f t="shared" si="81"/>
        <v/>
      </c>
      <c r="G386" s="667" t="s">
        <v>1656</v>
      </c>
      <c r="I386" s="949" t="s">
        <v>1126</v>
      </c>
      <c r="J386" s="949" t="s">
        <v>125</v>
      </c>
      <c r="K386" s="1055">
        <v>2379.5090909999999</v>
      </c>
      <c r="L386" s="1055"/>
      <c r="M386" s="1055">
        <v>2200</v>
      </c>
      <c r="N386" s="1103">
        <f t="shared" si="90"/>
        <v>-5234920.0001999997</v>
      </c>
      <c r="O386" s="934">
        <v>-3141</v>
      </c>
      <c r="P386" s="934"/>
      <c r="R386" s="1100">
        <f t="shared" si="91"/>
        <v>-5238061.0001999997</v>
      </c>
      <c r="S386" s="995">
        <v>125.3010881537696</v>
      </c>
      <c r="T386" s="1121">
        <f t="shared" si="96"/>
        <v>-41803.794981986488</v>
      </c>
      <c r="U386" s="690">
        <v>44221</v>
      </c>
      <c r="V386" s="667" t="s">
        <v>1725</v>
      </c>
      <c r="W386" s="936">
        <v>44216.554416666666</v>
      </c>
      <c r="X386" s="1089">
        <f t="shared" si="93"/>
        <v>6.0000916917163936E-2</v>
      </c>
      <c r="Y386" s="690" t="s">
        <v>1763</v>
      </c>
      <c r="Z386" s="1111" t="str">
        <f>VLOOKUP(AA386,'place of settlement'!A:C,2,FALSE)</f>
        <v>JJSDJPJTXXX</v>
      </c>
      <c r="AA386" s="1111" t="str">
        <f t="shared" si="94"/>
        <v>JP</v>
      </c>
      <c r="AB386" s="1111" t="str">
        <f t="shared" si="95"/>
        <v>Tavira SecuritiesJP</v>
      </c>
      <c r="AC386" s="1111" t="str">
        <f>VLOOKUP(AB386,sample!$1:$1048576,2,FALSE)</f>
        <v>GSILGB2XXXX</v>
      </c>
      <c r="AD386" s="1111" t="str">
        <f>VLOOKUP($AB386,sample!$1:$1048576,3,FALSE)</f>
        <v>JJSDJPJTXXX</v>
      </c>
      <c r="AE386" s="1104">
        <f>VLOOKUP($AB386,sample!$1:$1048576,4,FALSE)</f>
        <v>6530490016</v>
      </c>
      <c r="AF386" s="1111" t="str">
        <f>VLOOKUP($AB386,sample!$1:$1048576,5,FALSE)</f>
        <v>N</v>
      </c>
      <c r="AL386" s="1104" t="str">
        <f>VLOOKUP($AB386,sample!$1:$1048576,11,FALSE)</f>
        <v xml:space="preserve">                  </v>
      </c>
      <c r="AM386" s="1104" t="str">
        <f>VLOOKUP($AB386,sample!$1:$1048576,12,FALSE)</f>
        <v xml:space="preserve">                          </v>
      </c>
      <c r="AN386" s="1104" t="str">
        <f>VLOOKUP($AB386,sample!$1:$1048576,13,FALSE)</f>
        <v>GOLDJPJXXXX</v>
      </c>
      <c r="AP386" s="1111"/>
    </row>
    <row r="387" spans="1:42" s="690" customFormat="1">
      <c r="A387" s="1046">
        <v>2019200403</v>
      </c>
      <c r="B387" s="933">
        <v>44217</v>
      </c>
      <c r="C387" s="933" t="s">
        <v>137</v>
      </c>
      <c r="D387" s="1127" t="str">
        <f>IFERROR(VLOOKUP(G387,PosAggregate!$B$13:$B$93,1,FALSE),"")</f>
        <v/>
      </c>
      <c r="E387" s="1022" t="s">
        <v>1243</v>
      </c>
      <c r="F387" s="1132" t="str">
        <f t="shared" si="81"/>
        <v/>
      </c>
      <c r="G387" s="667" t="s">
        <v>1192</v>
      </c>
      <c r="I387" s="949" t="s">
        <v>1144</v>
      </c>
      <c r="J387" s="949" t="s">
        <v>125</v>
      </c>
      <c r="K387" s="1055">
        <v>1937.501818</v>
      </c>
      <c r="L387" s="1055"/>
      <c r="M387" s="1055">
        <v>11000</v>
      </c>
      <c r="N387" s="1103">
        <f t="shared" si="90"/>
        <v>-21312519.998</v>
      </c>
      <c r="O387" s="934">
        <v>-12788</v>
      </c>
      <c r="P387" s="934"/>
      <c r="R387" s="1100">
        <f t="shared" si="91"/>
        <v>-21325307.998</v>
      </c>
      <c r="S387" s="995">
        <v>125.3010881537696</v>
      </c>
      <c r="T387" s="1121">
        <f t="shared" si="96"/>
        <v>-170192.52037005109</v>
      </c>
      <c r="U387" s="690">
        <v>44221</v>
      </c>
      <c r="V387" s="667" t="s">
        <v>1725</v>
      </c>
      <c r="W387" s="936">
        <v>44216.554416666666</v>
      </c>
      <c r="X387" s="1089">
        <f t="shared" si="93"/>
        <v>6.0002289739552364E-2</v>
      </c>
      <c r="Y387" s="690" t="s">
        <v>1763</v>
      </c>
      <c r="Z387" s="1111" t="str">
        <f>VLOOKUP(AA387,'place of settlement'!A:C,2,FALSE)</f>
        <v>JJSDJPJTXXX</v>
      </c>
      <c r="AA387" s="1111" t="str">
        <f t="shared" si="94"/>
        <v>JP</v>
      </c>
      <c r="AB387" s="1111" t="str">
        <f t="shared" si="95"/>
        <v>Tavira SecuritiesJP</v>
      </c>
      <c r="AC387" s="1111" t="str">
        <f>VLOOKUP(AB387,sample!$1:$1048576,2,FALSE)</f>
        <v>GSILGB2XXXX</v>
      </c>
      <c r="AD387" s="1111" t="str">
        <f>VLOOKUP($AB387,sample!$1:$1048576,3,FALSE)</f>
        <v>JJSDJPJTXXX</v>
      </c>
      <c r="AE387" s="1104">
        <f>VLOOKUP($AB387,sample!$1:$1048576,4,FALSE)</f>
        <v>6530490016</v>
      </c>
      <c r="AF387" s="1111" t="str">
        <f>VLOOKUP($AB387,sample!$1:$1048576,5,FALSE)</f>
        <v>N</v>
      </c>
      <c r="AL387" s="1104" t="str">
        <f>VLOOKUP($AB387,sample!$1:$1048576,11,FALSE)</f>
        <v xml:space="preserve">                  </v>
      </c>
      <c r="AM387" s="1104" t="str">
        <f>VLOOKUP($AB387,sample!$1:$1048576,12,FALSE)</f>
        <v xml:space="preserve">                          </v>
      </c>
      <c r="AN387" s="1104" t="str">
        <f>VLOOKUP($AB387,sample!$1:$1048576,13,FALSE)</f>
        <v>GOLDJPJXXXX</v>
      </c>
      <c r="AP387" s="1111"/>
    </row>
    <row r="388" spans="1:42" s="690" customFormat="1">
      <c r="A388" s="1046">
        <v>2019200404</v>
      </c>
      <c r="B388" s="933">
        <v>44217</v>
      </c>
      <c r="C388" s="933" t="s">
        <v>137</v>
      </c>
      <c r="D388" s="1127" t="str">
        <f>IFERROR(VLOOKUP(G388,PosAggregate!$B$13:$B$93,1,FALSE),"")</f>
        <v/>
      </c>
      <c r="E388" s="1022" t="s">
        <v>12861</v>
      </c>
      <c r="F388" s="1132" t="str">
        <f t="shared" si="81"/>
        <v/>
      </c>
      <c r="G388" s="667" t="s">
        <v>2202</v>
      </c>
      <c r="I388" s="949" t="s">
        <v>12797</v>
      </c>
      <c r="J388" s="949" t="s">
        <v>125</v>
      </c>
      <c r="K388" s="1055">
        <v>3001.8760000000002</v>
      </c>
      <c r="L388" s="1055"/>
      <c r="M388" s="1055">
        <v>5000</v>
      </c>
      <c r="N388" s="1103">
        <f t="shared" si="90"/>
        <v>-15009380.000000002</v>
      </c>
      <c r="O388" s="934">
        <v>-9006</v>
      </c>
      <c r="P388" s="934"/>
      <c r="R388" s="1100">
        <f t="shared" si="91"/>
        <v>-15018386.000000002</v>
      </c>
      <c r="S388" s="995">
        <v>125.3010881537696</v>
      </c>
      <c r="T388" s="1121">
        <f t="shared" si="96"/>
        <v>-119858.38448241907</v>
      </c>
      <c r="U388" s="690">
        <v>44221</v>
      </c>
      <c r="V388" s="667" t="s">
        <v>1725</v>
      </c>
      <c r="W388" s="936">
        <v>44216.554416666666</v>
      </c>
      <c r="X388" s="1089">
        <f t="shared" si="93"/>
        <v>6.0002478450142512E-2</v>
      </c>
      <c r="Y388" s="690" t="s">
        <v>1763</v>
      </c>
      <c r="Z388" s="1111" t="str">
        <f>VLOOKUP(AA388,'place of settlement'!A:C,2,FALSE)</f>
        <v>JJSDJPJTXXX</v>
      </c>
      <c r="AA388" s="1111" t="str">
        <f t="shared" si="94"/>
        <v>JP</v>
      </c>
      <c r="AB388" s="1111" t="str">
        <f t="shared" si="95"/>
        <v>Tavira SecuritiesJP</v>
      </c>
      <c r="AC388" s="1111" t="str">
        <f>VLOOKUP(AB388,sample!$1:$1048576,2,FALSE)</f>
        <v>GSILGB2XXXX</v>
      </c>
      <c r="AD388" s="1111" t="str">
        <f>VLOOKUP($AB388,sample!$1:$1048576,3,FALSE)</f>
        <v>JJSDJPJTXXX</v>
      </c>
      <c r="AE388" s="1104">
        <f>VLOOKUP($AB388,sample!$1:$1048576,4,FALSE)</f>
        <v>6530490016</v>
      </c>
      <c r="AF388" s="1111" t="str">
        <f>VLOOKUP($AB388,sample!$1:$1048576,5,FALSE)</f>
        <v>N</v>
      </c>
      <c r="AL388" s="1104" t="str">
        <f>VLOOKUP($AB388,sample!$1:$1048576,11,FALSE)</f>
        <v xml:space="preserve">                  </v>
      </c>
      <c r="AM388" s="1104" t="str">
        <f>VLOOKUP($AB388,sample!$1:$1048576,12,FALSE)</f>
        <v xml:space="preserve">                          </v>
      </c>
      <c r="AN388" s="1104" t="str">
        <f>VLOOKUP($AB388,sample!$1:$1048576,13,FALSE)</f>
        <v>GOLDJPJXXXX</v>
      </c>
      <c r="AP388" s="1111"/>
    </row>
    <row r="389" spans="1:42" s="690" customFormat="1">
      <c r="A389" s="1046">
        <v>2019200405</v>
      </c>
      <c r="B389" s="933">
        <v>44218</v>
      </c>
      <c r="C389" s="933" t="s">
        <v>137</v>
      </c>
      <c r="D389" s="1127" t="str">
        <f>IFERROR(VLOOKUP(G389,PosAggregate!$B$13:$B$93,1,FALSE),"")</f>
        <v/>
      </c>
      <c r="E389" s="1022" t="s">
        <v>1236</v>
      </c>
      <c r="F389" s="1132" t="str">
        <f t="shared" si="81"/>
        <v/>
      </c>
      <c r="G389" s="667" t="s">
        <v>1656</v>
      </c>
      <c r="I389" s="949" t="s">
        <v>1126</v>
      </c>
      <c r="J389" s="949" t="s">
        <v>125</v>
      </c>
      <c r="K389" s="1055">
        <v>2349.166667</v>
      </c>
      <c r="L389" s="1055"/>
      <c r="M389" s="1055">
        <v>2100</v>
      </c>
      <c r="N389" s="1103">
        <f t="shared" si="90"/>
        <v>-4933250.0006999997</v>
      </c>
      <c r="O389" s="934">
        <v>-2960</v>
      </c>
      <c r="P389" s="934"/>
      <c r="R389" s="1100">
        <f t="shared" si="91"/>
        <v>-4936210.0006999997</v>
      </c>
      <c r="S389" s="995">
        <v>125.3010881537696</v>
      </c>
      <c r="T389" s="1121">
        <f t="shared" si="96"/>
        <v>-39394.789569922003</v>
      </c>
      <c r="U389" s="690">
        <v>44222</v>
      </c>
      <c r="V389" s="667" t="s">
        <v>1725</v>
      </c>
      <c r="W389" s="936">
        <v>44216.554416666666</v>
      </c>
      <c r="X389" s="1089">
        <f t="shared" si="93"/>
        <v>6.0001013522120165E-2</v>
      </c>
      <c r="Y389" s="690" t="s">
        <v>1763</v>
      </c>
      <c r="Z389" s="1111" t="str">
        <f>VLOOKUP(AA389,'place of settlement'!A:C,2,FALSE)</f>
        <v>JJSDJPJTXXX</v>
      </c>
      <c r="AA389" s="1111" t="str">
        <f t="shared" si="94"/>
        <v>JP</v>
      </c>
      <c r="AB389" s="1111" t="str">
        <f t="shared" si="95"/>
        <v>Tavira SecuritiesJP</v>
      </c>
      <c r="AC389" s="1111" t="str">
        <f>VLOOKUP(AB389,sample!$1:$1048576,2,FALSE)</f>
        <v>GSILGB2XXXX</v>
      </c>
      <c r="AD389" s="1111" t="str">
        <f>VLOOKUP($AB389,sample!$1:$1048576,3,FALSE)</f>
        <v>JJSDJPJTXXX</v>
      </c>
      <c r="AE389" s="1104">
        <f>VLOOKUP($AB389,sample!$1:$1048576,4,FALSE)</f>
        <v>6530490016</v>
      </c>
      <c r="AF389" s="1111" t="str">
        <f>VLOOKUP($AB389,sample!$1:$1048576,5,FALSE)</f>
        <v>N</v>
      </c>
      <c r="AL389" s="1104" t="str">
        <f>VLOOKUP($AB389,sample!$1:$1048576,11,FALSE)</f>
        <v xml:space="preserve">                  </v>
      </c>
      <c r="AM389" s="1104" t="str">
        <f>VLOOKUP($AB389,sample!$1:$1048576,12,FALSE)</f>
        <v xml:space="preserve">                          </v>
      </c>
      <c r="AN389" s="1104" t="str">
        <f>VLOOKUP($AB389,sample!$1:$1048576,13,FALSE)</f>
        <v>GOLDJPJXXXX</v>
      </c>
      <c r="AP389" s="1111"/>
    </row>
    <row r="390" spans="1:42" s="690" customFormat="1">
      <c r="A390" s="1046">
        <v>2019200406</v>
      </c>
      <c r="B390" s="933">
        <v>44218</v>
      </c>
      <c r="C390" s="933" t="s">
        <v>137</v>
      </c>
      <c r="D390" s="1127" t="str">
        <f>IFERROR(VLOOKUP(G390,PosAggregate!$B$13:$B$93,1,FALSE),"")</f>
        <v/>
      </c>
      <c r="E390" s="1022" t="s">
        <v>1243</v>
      </c>
      <c r="F390" s="1132" t="str">
        <f t="shared" si="81"/>
        <v/>
      </c>
      <c r="G390" s="667" t="s">
        <v>1192</v>
      </c>
      <c r="I390" s="949" t="s">
        <v>1144</v>
      </c>
      <c r="J390" s="949" t="s">
        <v>125</v>
      </c>
      <c r="K390" s="1055">
        <v>1903.633333</v>
      </c>
      <c r="L390" s="1055"/>
      <c r="M390" s="1055">
        <v>4200</v>
      </c>
      <c r="N390" s="1103">
        <f t="shared" si="90"/>
        <v>-7995259.9985999996</v>
      </c>
      <c r="O390" s="934">
        <v>-4797</v>
      </c>
      <c r="P390" s="934"/>
      <c r="R390" s="1100">
        <f t="shared" si="91"/>
        <v>-8000056.9985999996</v>
      </c>
      <c r="S390" s="995">
        <v>125.3010881537696</v>
      </c>
      <c r="T390" s="1121">
        <f t="shared" si="96"/>
        <v>-63846.668185214185</v>
      </c>
      <c r="U390" s="690">
        <v>44222</v>
      </c>
      <c r="V390" s="667" t="s">
        <v>1725</v>
      </c>
      <c r="W390" s="936">
        <v>44216.554416666666</v>
      </c>
      <c r="X390" s="1089">
        <f t="shared" si="93"/>
        <v>5.9998048854445915E-2</v>
      </c>
      <c r="Y390" s="690" t="s">
        <v>1763</v>
      </c>
      <c r="Z390" s="1111" t="str">
        <f>VLOOKUP(AA390,'place of settlement'!A:C,2,FALSE)</f>
        <v>JJSDJPJTXXX</v>
      </c>
      <c r="AA390" s="1111" t="str">
        <f t="shared" si="94"/>
        <v>JP</v>
      </c>
      <c r="AB390" s="1111" t="str">
        <f t="shared" si="95"/>
        <v>Tavira SecuritiesJP</v>
      </c>
      <c r="AC390" s="1111" t="str">
        <f>VLOOKUP(AB390,sample!$1:$1048576,2,FALSE)</f>
        <v>GSILGB2XXXX</v>
      </c>
      <c r="AD390" s="1111" t="str">
        <f>VLOOKUP($AB390,sample!$1:$1048576,3,FALSE)</f>
        <v>JJSDJPJTXXX</v>
      </c>
      <c r="AE390" s="1104">
        <f>VLOOKUP($AB390,sample!$1:$1048576,4,FALSE)</f>
        <v>6530490016</v>
      </c>
      <c r="AF390" s="1111" t="str">
        <f>VLOOKUP($AB390,sample!$1:$1048576,5,FALSE)</f>
        <v>N</v>
      </c>
      <c r="AL390" s="1104" t="str">
        <f>VLOOKUP($AB390,sample!$1:$1048576,11,FALSE)</f>
        <v xml:space="preserve">                  </v>
      </c>
      <c r="AM390" s="1104" t="str">
        <f>VLOOKUP($AB390,sample!$1:$1048576,12,FALSE)</f>
        <v xml:space="preserve">                          </v>
      </c>
      <c r="AN390" s="1104" t="str">
        <f>VLOOKUP($AB390,sample!$1:$1048576,13,FALSE)</f>
        <v>GOLDJPJXXXX</v>
      </c>
      <c r="AP390" s="1111"/>
    </row>
    <row r="391" spans="1:42" s="690" customFormat="1">
      <c r="A391" s="1046">
        <v>2019200407</v>
      </c>
      <c r="B391" s="933">
        <v>44218</v>
      </c>
      <c r="C391" s="933" t="s">
        <v>137</v>
      </c>
      <c r="D391" s="1127" t="str">
        <f>IFERROR(VLOOKUP(G391,PosAggregate!$B$13:$B$93,1,FALSE),"")</f>
        <v/>
      </c>
      <c r="E391" s="1022" t="s">
        <v>1683</v>
      </c>
      <c r="F391" s="1132" t="str">
        <f t="shared" si="81"/>
        <v/>
      </c>
      <c r="G391" s="667" t="s">
        <v>12696</v>
      </c>
      <c r="I391" s="949" t="s">
        <v>1685</v>
      </c>
      <c r="J391" s="949" t="s">
        <v>125</v>
      </c>
      <c r="K391" s="1055">
        <v>1350.732143</v>
      </c>
      <c r="L391" s="1055"/>
      <c r="M391" s="1055">
        <v>5600</v>
      </c>
      <c r="N391" s="1103">
        <f t="shared" si="90"/>
        <v>-7564100.0007999996</v>
      </c>
      <c r="O391" s="934">
        <v>-4538</v>
      </c>
      <c r="P391" s="934"/>
      <c r="R391" s="1100">
        <f>SUM(N391:Q391)</f>
        <v>-7568638.0007999996</v>
      </c>
      <c r="S391" s="995">
        <v>125.3010881537696</v>
      </c>
      <c r="T391" s="1121">
        <f t="shared" si="96"/>
        <v>-60403.609516237884</v>
      </c>
      <c r="U391" s="690">
        <v>44222</v>
      </c>
      <c r="V391" s="667" t="s">
        <v>1725</v>
      </c>
      <c r="W391" s="936">
        <v>44216.554416666666</v>
      </c>
      <c r="X391" s="1089">
        <f t="shared" si="93"/>
        <v>5.9993918635661198E-2</v>
      </c>
      <c r="Y391" s="690" t="s">
        <v>1763</v>
      </c>
      <c r="Z391" s="1111" t="str">
        <f>VLOOKUP(AA391,'place of settlement'!A:C,2,FALSE)</f>
        <v>JJSDJPJTXXX</v>
      </c>
      <c r="AA391" s="1111" t="str">
        <f t="shared" si="94"/>
        <v>JP</v>
      </c>
      <c r="AB391" s="1111" t="str">
        <f t="shared" si="95"/>
        <v>Tavira SecuritiesJP</v>
      </c>
      <c r="AC391" s="1111" t="str">
        <f>VLOOKUP(AB391,sample!$1:$1048576,2,FALSE)</f>
        <v>GSILGB2XXXX</v>
      </c>
      <c r="AD391" s="1111" t="str">
        <f>VLOOKUP($AB391,sample!$1:$1048576,3,FALSE)</f>
        <v>JJSDJPJTXXX</v>
      </c>
      <c r="AE391" s="1104">
        <f>VLOOKUP($AB391,sample!$1:$1048576,4,FALSE)</f>
        <v>6530490016</v>
      </c>
      <c r="AF391" s="1111" t="str">
        <f>VLOOKUP($AB391,sample!$1:$1048576,5,FALSE)</f>
        <v>N</v>
      </c>
      <c r="AL391" s="1104" t="str">
        <f>VLOOKUP($AB391,sample!$1:$1048576,11,FALSE)</f>
        <v xml:space="preserve">                  </v>
      </c>
      <c r="AM391" s="1104" t="str">
        <f>VLOOKUP($AB391,sample!$1:$1048576,12,FALSE)</f>
        <v xml:space="preserve">                          </v>
      </c>
      <c r="AN391" s="1104" t="str">
        <f>VLOOKUP($AB391,sample!$1:$1048576,13,FALSE)</f>
        <v>GOLDJPJXXXX</v>
      </c>
      <c r="AP391" s="1111"/>
    </row>
    <row r="392" spans="1:42" s="690" customFormat="1">
      <c r="A392" s="1046">
        <v>2019200408</v>
      </c>
      <c r="B392" s="933">
        <v>44218</v>
      </c>
      <c r="C392" s="933" t="s">
        <v>137</v>
      </c>
      <c r="D392" s="1127" t="str">
        <f>IFERROR(VLOOKUP(G392,PosAggregate!$B$13:$B$93,1,FALSE),"")</f>
        <v/>
      </c>
      <c r="E392" s="1022" t="s">
        <v>12865</v>
      </c>
      <c r="F392" s="1132" t="str">
        <f t="shared" si="81"/>
        <v/>
      </c>
      <c r="G392" s="667" t="s">
        <v>12697</v>
      </c>
      <c r="I392" s="949" t="s">
        <v>12800</v>
      </c>
      <c r="J392" s="949" t="s">
        <v>125</v>
      </c>
      <c r="K392" s="1055">
        <v>283.14285699999999</v>
      </c>
      <c r="L392" s="1055"/>
      <c r="M392" s="1055">
        <v>42000</v>
      </c>
      <c r="N392" s="1103">
        <f t="shared" si="90"/>
        <v>-11891999.993999999</v>
      </c>
      <c r="O392" s="934">
        <v>-7135</v>
      </c>
      <c r="P392" s="934"/>
      <c r="R392" s="1100">
        <f t="shared" si="91"/>
        <v>-11899134.993999999</v>
      </c>
      <c r="S392" s="995">
        <v>125.3010881537696</v>
      </c>
      <c r="T392" s="1121">
        <f t="shared" si="96"/>
        <v>-94964.338852328015</v>
      </c>
      <c r="U392" s="690">
        <v>44222</v>
      </c>
      <c r="V392" s="667" t="s">
        <v>1725</v>
      </c>
      <c r="W392" s="936">
        <v>44216.554416666666</v>
      </c>
      <c r="X392" s="1089">
        <f t="shared" si="93"/>
        <v>5.9998318227378902E-2</v>
      </c>
      <c r="Y392" s="690" t="s">
        <v>1763</v>
      </c>
      <c r="Z392" s="1111" t="str">
        <f>VLOOKUP(AA392,'place of settlement'!A:C,2,FALSE)</f>
        <v>JJSDJPJTXXX</v>
      </c>
      <c r="AA392" s="1111" t="str">
        <f t="shared" si="94"/>
        <v>JP</v>
      </c>
      <c r="AB392" s="1111" t="str">
        <f t="shared" si="95"/>
        <v>Tavira SecuritiesJP</v>
      </c>
      <c r="AC392" s="1111" t="str">
        <f>VLOOKUP(AB392,sample!$1:$1048576,2,FALSE)</f>
        <v>GSILGB2XXXX</v>
      </c>
      <c r="AD392" s="1111" t="str">
        <f>VLOOKUP($AB392,sample!$1:$1048576,3,FALSE)</f>
        <v>JJSDJPJTXXX</v>
      </c>
      <c r="AE392" s="1104">
        <f>VLOOKUP($AB392,sample!$1:$1048576,4,FALSE)</f>
        <v>6530490016</v>
      </c>
      <c r="AF392" s="1111" t="str">
        <f>VLOOKUP($AB392,sample!$1:$1048576,5,FALSE)</f>
        <v>N</v>
      </c>
      <c r="AL392" s="1104" t="str">
        <f>VLOOKUP($AB392,sample!$1:$1048576,11,FALSE)</f>
        <v xml:space="preserve">                  </v>
      </c>
      <c r="AM392" s="1104" t="str">
        <f>VLOOKUP($AB392,sample!$1:$1048576,12,FALSE)</f>
        <v xml:space="preserve">                          </v>
      </c>
      <c r="AN392" s="1104" t="str">
        <f>VLOOKUP($AB392,sample!$1:$1048576,13,FALSE)</f>
        <v>GOLDJPJXXXX</v>
      </c>
      <c r="AP392" s="1111"/>
    </row>
    <row r="393" spans="1:42" s="690" customFormat="1">
      <c r="A393" s="1046">
        <v>2019200409</v>
      </c>
      <c r="B393" s="933">
        <v>44218</v>
      </c>
      <c r="C393" s="933" t="s">
        <v>137</v>
      </c>
      <c r="D393" s="1127" t="str">
        <f>IFERROR(VLOOKUP(G393,PosAggregate!$B$13:$B$93,1,FALSE),"")</f>
        <v/>
      </c>
      <c r="E393" s="1022" t="s">
        <v>12866</v>
      </c>
      <c r="F393" s="1132" t="str">
        <f t="shared" si="81"/>
        <v/>
      </c>
      <c r="G393" s="667" t="s">
        <v>12698</v>
      </c>
      <c r="I393" s="949" t="s">
        <v>12801</v>
      </c>
      <c r="J393" s="949" t="s">
        <v>125</v>
      </c>
      <c r="K393" s="1055">
        <v>826.39588200000003</v>
      </c>
      <c r="L393" s="1055"/>
      <c r="M393" s="1055">
        <v>17000</v>
      </c>
      <c r="N393" s="1103">
        <f t="shared" si="90"/>
        <v>-14048729.994000001</v>
      </c>
      <c r="O393" s="934">
        <v>-8429</v>
      </c>
      <c r="P393" s="934"/>
      <c r="R393" s="1100">
        <f t="shared" si="91"/>
        <v>-14057158.994000001</v>
      </c>
      <c r="S393" s="995">
        <v>125.3010881537696</v>
      </c>
      <c r="T393" s="1121">
        <f t="shared" si="96"/>
        <v>-112187.04642651661</v>
      </c>
      <c r="U393" s="690">
        <v>44222</v>
      </c>
      <c r="V393" s="667" t="s">
        <v>1725</v>
      </c>
      <c r="W393" s="936">
        <v>44216.554416666666</v>
      </c>
      <c r="X393" s="1089">
        <f t="shared" si="93"/>
        <v>5.9998305922313963E-2</v>
      </c>
      <c r="Y393" s="690" t="s">
        <v>1763</v>
      </c>
      <c r="Z393" s="1111" t="str">
        <f>VLOOKUP(AA393,'place of settlement'!A:C,2,FALSE)</f>
        <v>JJSDJPJTXXX</v>
      </c>
      <c r="AA393" s="1111" t="str">
        <f t="shared" si="94"/>
        <v>JP</v>
      </c>
      <c r="AB393" s="1111" t="str">
        <f t="shared" si="95"/>
        <v>Tavira SecuritiesJP</v>
      </c>
      <c r="AC393" s="1111" t="str">
        <f>VLOOKUP(AB393,sample!$1:$1048576,2,FALSE)</f>
        <v>GSILGB2XXXX</v>
      </c>
      <c r="AD393" s="1111" t="str">
        <f>VLOOKUP($AB393,sample!$1:$1048576,3,FALSE)</f>
        <v>JJSDJPJTXXX</v>
      </c>
      <c r="AE393" s="1104">
        <f>VLOOKUP($AB393,sample!$1:$1048576,4,FALSE)</f>
        <v>6530490016</v>
      </c>
      <c r="AF393" s="1111" t="str">
        <f>VLOOKUP($AB393,sample!$1:$1048576,5,FALSE)</f>
        <v>N</v>
      </c>
      <c r="AL393" s="1104" t="str">
        <f>VLOOKUP($AB393,sample!$1:$1048576,11,FALSE)</f>
        <v xml:space="preserve">                  </v>
      </c>
      <c r="AM393" s="1104" t="str">
        <f>VLOOKUP($AB393,sample!$1:$1048576,12,FALSE)</f>
        <v xml:space="preserve">                          </v>
      </c>
      <c r="AN393" s="1104" t="str">
        <f>VLOOKUP($AB393,sample!$1:$1048576,13,FALSE)</f>
        <v>GOLDJPJXXXX</v>
      </c>
      <c r="AP393" s="1111"/>
    </row>
    <row r="394" spans="1:42" s="690" customFormat="1">
      <c r="A394" s="1046">
        <v>2019200410</v>
      </c>
      <c r="B394" s="933">
        <v>44218</v>
      </c>
      <c r="C394" s="933" t="s">
        <v>137</v>
      </c>
      <c r="D394" s="1127" t="str">
        <f>IFERROR(VLOOKUP(G394,PosAggregate!$B$13:$B$93,1,FALSE),"")</f>
        <v/>
      </c>
      <c r="E394" s="1022" t="s">
        <v>12867</v>
      </c>
      <c r="F394" s="1132" t="str">
        <f t="shared" si="81"/>
        <v/>
      </c>
      <c r="G394" s="667" t="s">
        <v>12699</v>
      </c>
      <c r="I394" s="949" t="s">
        <v>12802</v>
      </c>
      <c r="J394" s="949" t="s">
        <v>125</v>
      </c>
      <c r="K394" s="1055">
        <v>1089.5999999999999</v>
      </c>
      <c r="L394" s="1055"/>
      <c r="M394" s="1055">
        <v>4300</v>
      </c>
      <c r="N394" s="1103">
        <f t="shared" si="90"/>
        <v>-4685280</v>
      </c>
      <c r="O394" s="934">
        <v>-2811</v>
      </c>
      <c r="P394" s="934"/>
      <c r="R394" s="1100">
        <f t="shared" si="91"/>
        <v>-4688091</v>
      </c>
      <c r="S394" s="995">
        <v>125.3010881537696</v>
      </c>
      <c r="T394" s="1121">
        <f t="shared" si="96"/>
        <v>-37414.607239857098</v>
      </c>
      <c r="U394" s="690">
        <v>44222</v>
      </c>
      <c r="V394" s="667" t="s">
        <v>1725</v>
      </c>
      <c r="W394" s="936">
        <v>44216.554416666666</v>
      </c>
      <c r="X394" s="1089">
        <f t="shared" si="93"/>
        <v>5.9996414301813336E-2</v>
      </c>
      <c r="Y394" s="690" t="s">
        <v>1763</v>
      </c>
      <c r="Z394" s="1111" t="str">
        <f>VLOOKUP(AA394,'place of settlement'!A:C,2,FALSE)</f>
        <v>JJSDJPJTXXX</v>
      </c>
      <c r="AA394" s="1111" t="str">
        <f t="shared" si="94"/>
        <v>JP</v>
      </c>
      <c r="AB394" s="1111" t="str">
        <f t="shared" si="95"/>
        <v>Tavira SecuritiesJP</v>
      </c>
      <c r="AC394" s="1111" t="str">
        <f>VLOOKUP(AB394,sample!$1:$1048576,2,FALSE)</f>
        <v>GSILGB2XXXX</v>
      </c>
      <c r="AD394" s="1111" t="str">
        <f>VLOOKUP($AB394,sample!$1:$1048576,3,FALSE)</f>
        <v>JJSDJPJTXXX</v>
      </c>
      <c r="AE394" s="1104">
        <f>VLOOKUP($AB394,sample!$1:$1048576,4,FALSE)</f>
        <v>6530490016</v>
      </c>
      <c r="AF394" s="1111" t="str">
        <f>VLOOKUP($AB394,sample!$1:$1048576,5,FALSE)</f>
        <v>N</v>
      </c>
      <c r="AL394" s="1104" t="str">
        <f>VLOOKUP($AB394,sample!$1:$1048576,11,FALSE)</f>
        <v xml:space="preserve">                  </v>
      </c>
      <c r="AM394" s="1104" t="str">
        <f>VLOOKUP($AB394,sample!$1:$1048576,12,FALSE)</f>
        <v xml:space="preserve">                          </v>
      </c>
      <c r="AN394" s="1104" t="str">
        <f>VLOOKUP($AB394,sample!$1:$1048576,13,FALSE)</f>
        <v>GOLDJPJXXXX</v>
      </c>
      <c r="AP394" s="1111"/>
    </row>
    <row r="395" spans="1:42" s="690" customFormat="1">
      <c r="A395" s="1046">
        <v>2019200411</v>
      </c>
      <c r="B395" s="933">
        <v>44218</v>
      </c>
      <c r="C395" s="933" t="s">
        <v>137</v>
      </c>
      <c r="D395" s="1127" t="str">
        <f>IFERROR(VLOOKUP(G395,PosAggregate!$B$13:$B$93,1,FALSE),"")</f>
        <v/>
      </c>
      <c r="E395" s="1022" t="s">
        <v>12868</v>
      </c>
      <c r="F395" s="1132" t="str">
        <f t="shared" si="81"/>
        <v/>
      </c>
      <c r="G395" s="667" t="s">
        <v>12700</v>
      </c>
      <c r="I395" s="949" t="s">
        <v>12803</v>
      </c>
      <c r="J395" s="949" t="s">
        <v>125</v>
      </c>
      <c r="K395" s="1055">
        <v>903.14359000000002</v>
      </c>
      <c r="L395" s="1055"/>
      <c r="M395" s="1055">
        <v>3900</v>
      </c>
      <c r="N395" s="1103">
        <f t="shared" si="90"/>
        <v>-3522260.0010000002</v>
      </c>
      <c r="O395" s="934">
        <v>-2113</v>
      </c>
      <c r="P395" s="934"/>
      <c r="R395" s="1100">
        <f t="shared" si="91"/>
        <v>-3524373.0010000002</v>
      </c>
      <c r="S395" s="995">
        <v>125.3010881537696</v>
      </c>
      <c r="T395" s="1121">
        <f t="shared" si="96"/>
        <v>-28127.233792853312</v>
      </c>
      <c r="U395" s="690">
        <v>44222</v>
      </c>
      <c r="V395" s="667" t="s">
        <v>1725</v>
      </c>
      <c r="W395" s="936">
        <v>44216.554416666666</v>
      </c>
      <c r="X395" s="1089">
        <f t="shared" si="93"/>
        <v>5.9989892835852578E-2</v>
      </c>
      <c r="Y395" s="690" t="s">
        <v>1763</v>
      </c>
      <c r="Z395" s="1111" t="str">
        <f>VLOOKUP(AA395,'place of settlement'!A:C,2,FALSE)</f>
        <v>JJSDJPJTXXX</v>
      </c>
      <c r="AA395" s="1111" t="str">
        <f t="shared" si="94"/>
        <v>JP</v>
      </c>
      <c r="AB395" s="1111" t="str">
        <f t="shared" si="95"/>
        <v>Tavira SecuritiesJP</v>
      </c>
      <c r="AC395" s="1111" t="str">
        <f>VLOOKUP(AB395,sample!$1:$1048576,2,FALSE)</f>
        <v>GSILGB2XXXX</v>
      </c>
      <c r="AD395" s="1111" t="str">
        <f>VLOOKUP($AB395,sample!$1:$1048576,3,FALSE)</f>
        <v>JJSDJPJTXXX</v>
      </c>
      <c r="AE395" s="1104">
        <f>VLOOKUP($AB395,sample!$1:$1048576,4,FALSE)</f>
        <v>6530490016</v>
      </c>
      <c r="AF395" s="1111" t="str">
        <f>VLOOKUP($AB395,sample!$1:$1048576,5,FALSE)</f>
        <v>N</v>
      </c>
      <c r="AL395" s="1104" t="str">
        <f>VLOOKUP($AB395,sample!$1:$1048576,11,FALSE)</f>
        <v xml:space="preserve">                  </v>
      </c>
      <c r="AM395" s="1104" t="str">
        <f>VLOOKUP($AB395,sample!$1:$1048576,12,FALSE)</f>
        <v xml:space="preserve">                          </v>
      </c>
      <c r="AN395" s="1104" t="str">
        <f>VLOOKUP($AB395,sample!$1:$1048576,13,FALSE)</f>
        <v>GOLDJPJXXXX</v>
      </c>
      <c r="AP395" s="1111"/>
    </row>
    <row r="396" spans="1:42" s="690" customFormat="1">
      <c r="A396" s="1046">
        <v>2019200412</v>
      </c>
      <c r="B396" s="933">
        <v>44218</v>
      </c>
      <c r="C396" s="933" t="s">
        <v>137</v>
      </c>
      <c r="D396" s="1127" t="str">
        <f>IFERROR(VLOOKUP(G396,PosAggregate!$B$13:$B$93,1,FALSE),"")</f>
        <v/>
      </c>
      <c r="E396" s="1022" t="s">
        <v>12858</v>
      </c>
      <c r="F396" s="1132" t="str">
        <f t="shared" ref="F396:F459" si="97">IF(D396=G396,"YES","")</f>
        <v/>
      </c>
      <c r="G396" s="667" t="s">
        <v>2204</v>
      </c>
      <c r="I396" s="949" t="s">
        <v>12794</v>
      </c>
      <c r="J396" s="949" t="s">
        <v>123</v>
      </c>
      <c r="K396" s="1055">
        <v>40127.031300000002</v>
      </c>
      <c r="L396" s="1055"/>
      <c r="M396" s="1055">
        <v>3200</v>
      </c>
      <c r="N396" s="1103">
        <f t="shared" si="90"/>
        <v>-128406500.16000001</v>
      </c>
      <c r="O396" s="934">
        <v>-192610</v>
      </c>
      <c r="R396" s="1100">
        <f t="shared" si="91"/>
        <v>-128599110.16000001</v>
      </c>
      <c r="S396" s="995">
        <v>1337.6792381693695</v>
      </c>
      <c r="T396" s="1121">
        <f t="shared" si="96"/>
        <v>-96135.984240877864</v>
      </c>
      <c r="U396" s="690">
        <v>44222</v>
      </c>
      <c r="V396" s="667" t="s">
        <v>1230</v>
      </c>
      <c r="W396" s="936">
        <v>44216.554416666666</v>
      </c>
      <c r="X396" s="1089">
        <f t="shared" si="93"/>
        <v>0.15000019450728713</v>
      </c>
      <c r="Y396" s="690" t="s">
        <v>1763</v>
      </c>
      <c r="Z396" s="1111" t="str">
        <f>VLOOKUP(AA396,'place of settlement'!A:C,2,FALSE)</f>
        <v>KSDCKRSEXXX</v>
      </c>
      <c r="AA396" s="1111" t="str">
        <f t="shared" si="94"/>
        <v>KR</v>
      </c>
      <c r="AB396" s="1111" t="str">
        <f t="shared" si="95"/>
        <v>SamsungKR</v>
      </c>
      <c r="AC396" s="1111" t="e">
        <f>VLOOKUP(AB396,sample!$1:$1048576,2,FALSE)</f>
        <v>#N/A</v>
      </c>
      <c r="AD396" s="1111" t="e">
        <f>VLOOKUP($AB396,sample!$1:$1048576,3,FALSE)</f>
        <v>#N/A</v>
      </c>
      <c r="AE396" s="1104" t="e">
        <f>VLOOKUP($AB396,sample!$1:$1048576,4,FALSE)</f>
        <v>#N/A</v>
      </c>
      <c r="AF396" s="1111" t="e">
        <f>VLOOKUP($AB396,sample!$1:$1048576,5,FALSE)</f>
        <v>#N/A</v>
      </c>
      <c r="AL396" s="1104" t="e">
        <f>VLOOKUP($AB396,sample!$1:$1048576,11,FALSE)</f>
        <v>#N/A</v>
      </c>
      <c r="AM396" s="1104" t="e">
        <f>VLOOKUP($AB396,sample!$1:$1048576,12,FALSE)</f>
        <v>#N/A</v>
      </c>
      <c r="AN396" s="1104" t="e">
        <f>VLOOKUP($AB396,sample!$1:$1048576,13,FALSE)</f>
        <v>#N/A</v>
      </c>
      <c r="AP396" s="1111"/>
    </row>
    <row r="397" spans="1:42" s="690" customFormat="1">
      <c r="A397" s="1046">
        <v>2019200413</v>
      </c>
      <c r="B397" s="933">
        <v>44221</v>
      </c>
      <c r="C397" s="933" t="s">
        <v>137</v>
      </c>
      <c r="D397" s="1127" t="str">
        <f>IFERROR(VLOOKUP(G397,PosAggregate!$B$13:$B$93,1,FALSE),"")</f>
        <v/>
      </c>
      <c r="E397" s="1022" t="s">
        <v>12867</v>
      </c>
      <c r="F397" s="1132" t="str">
        <f t="shared" si="97"/>
        <v/>
      </c>
      <c r="G397" s="667" t="s">
        <v>12699</v>
      </c>
      <c r="I397" s="949" t="s">
        <v>12802</v>
      </c>
      <c r="J397" s="949" t="s">
        <v>125</v>
      </c>
      <c r="K397" s="1055">
        <v>1095.1904259999999</v>
      </c>
      <c r="L397" s="1055"/>
      <c r="M397" s="1055">
        <v>9400</v>
      </c>
      <c r="N397" s="1103">
        <f t="shared" si="90"/>
        <v>-10294790.004399998</v>
      </c>
      <c r="O397" s="934">
        <v>-6177</v>
      </c>
      <c r="R397" s="1100">
        <f t="shared" si="91"/>
        <v>-10300967.004399998</v>
      </c>
      <c r="S397" s="995">
        <v>126.25623555177025</v>
      </c>
      <c r="T397" s="1121">
        <f t="shared" si="96"/>
        <v>-81587.78819424074</v>
      </c>
      <c r="U397" s="690">
        <v>44223</v>
      </c>
      <c r="V397" s="667" t="s">
        <v>1725</v>
      </c>
      <c r="W397" s="936">
        <v>44216.554416666666</v>
      </c>
      <c r="X397" s="1089">
        <f t="shared" si="93"/>
        <v>6.0001223894415985E-2</v>
      </c>
      <c r="Y397" s="690" t="s">
        <v>1763</v>
      </c>
      <c r="Z397" s="1111" t="str">
        <f>VLOOKUP(AA397,'place of settlement'!A:C,2,FALSE)</f>
        <v>JJSDJPJTXXX</v>
      </c>
      <c r="AA397" s="1111" t="str">
        <f t="shared" si="94"/>
        <v>JP</v>
      </c>
      <c r="AB397" s="1111" t="str">
        <f t="shared" si="95"/>
        <v>Tavira SecuritiesJP</v>
      </c>
      <c r="AC397" s="1111" t="str">
        <f>VLOOKUP(AB397,sample!$1:$1048576,2,FALSE)</f>
        <v>GSILGB2XXXX</v>
      </c>
      <c r="AD397" s="1111" t="str">
        <f>VLOOKUP($AB397,sample!$1:$1048576,3,FALSE)</f>
        <v>JJSDJPJTXXX</v>
      </c>
      <c r="AE397" s="1104">
        <f>VLOOKUP($AB397,sample!$1:$1048576,4,FALSE)</f>
        <v>6530490016</v>
      </c>
      <c r="AF397" s="1111" t="str">
        <f>VLOOKUP($AB397,sample!$1:$1048576,5,FALSE)</f>
        <v>N</v>
      </c>
      <c r="AL397" s="1104" t="str">
        <f>VLOOKUP($AB397,sample!$1:$1048576,11,FALSE)</f>
        <v xml:space="preserve">                  </v>
      </c>
      <c r="AM397" s="1104" t="str">
        <f>VLOOKUP($AB397,sample!$1:$1048576,12,FALSE)</f>
        <v xml:space="preserve">                          </v>
      </c>
      <c r="AN397" s="1104" t="str">
        <f>VLOOKUP($AB397,sample!$1:$1048576,13,FALSE)</f>
        <v>GOLDJPJXXXX</v>
      </c>
      <c r="AP397" s="1111"/>
    </row>
    <row r="398" spans="1:42" s="690" customFormat="1">
      <c r="A398" s="1046">
        <v>2019200414</v>
      </c>
      <c r="B398" s="933">
        <v>44221</v>
      </c>
      <c r="C398" s="933" t="s">
        <v>137</v>
      </c>
      <c r="D398" s="1127" t="str">
        <f>IFERROR(VLOOKUP(G398,PosAggregate!$B$13:$B$93,1,FALSE),"")</f>
        <v/>
      </c>
      <c r="E398" s="1022" t="s">
        <v>12868</v>
      </c>
      <c r="F398" s="1132" t="str">
        <f t="shared" si="97"/>
        <v/>
      </c>
      <c r="G398" s="667" t="s">
        <v>12700</v>
      </c>
      <c r="I398" s="949" t="s">
        <v>12803</v>
      </c>
      <c r="J398" s="949" t="s">
        <v>125</v>
      </c>
      <c r="K398" s="1055">
        <v>929.54909099999998</v>
      </c>
      <c r="L398" s="1055"/>
      <c r="M398" s="1055">
        <v>11000</v>
      </c>
      <c r="N398" s="1103">
        <f t="shared" si="90"/>
        <v>-10225040.001</v>
      </c>
      <c r="O398" s="934">
        <v>-6135</v>
      </c>
      <c r="R398" s="1100">
        <f t="shared" si="91"/>
        <v>-10231175.001</v>
      </c>
      <c r="S398" s="995">
        <v>126.25623555177027</v>
      </c>
      <c r="T398" s="1121">
        <f t="shared" si="96"/>
        <v>-81035.007548635447</v>
      </c>
      <c r="U398" s="690">
        <v>44223</v>
      </c>
      <c r="V398" s="667" t="s">
        <v>1725</v>
      </c>
      <c r="W398" s="936">
        <v>44216.554416666666</v>
      </c>
      <c r="X398" s="1089">
        <f t="shared" ref="X398:X428" si="98">+O398/N398*100</f>
        <v>5.9999765276223881E-2</v>
      </c>
      <c r="Y398" s="690" t="s">
        <v>1763</v>
      </c>
      <c r="Z398" s="1111" t="str">
        <f>VLOOKUP(AA398,'place of settlement'!A:C,2,FALSE)</f>
        <v>JJSDJPJTXXX</v>
      </c>
      <c r="AA398" s="1111" t="str">
        <f t="shared" ref="AA398:AA428" si="99">LEFT(E398,2)</f>
        <v>JP</v>
      </c>
      <c r="AB398" s="1111" t="str">
        <f t="shared" ref="AB398:AB428" si="100">CONCATENATE(V398,AA398)</f>
        <v>Tavira SecuritiesJP</v>
      </c>
      <c r="AC398" s="1111" t="str">
        <f>VLOOKUP(AB398,sample!$1:$1048576,2,FALSE)</f>
        <v>GSILGB2XXXX</v>
      </c>
      <c r="AD398" s="1111" t="str">
        <f>VLOOKUP($AB398,sample!$1:$1048576,3,FALSE)</f>
        <v>JJSDJPJTXXX</v>
      </c>
      <c r="AE398" s="1104">
        <f>VLOOKUP($AB398,sample!$1:$1048576,4,FALSE)</f>
        <v>6530490016</v>
      </c>
      <c r="AF398" s="1111" t="str">
        <f>VLOOKUP($AB398,sample!$1:$1048576,5,FALSE)</f>
        <v>N</v>
      </c>
      <c r="AL398" s="1104" t="str">
        <f>VLOOKUP($AB398,sample!$1:$1048576,11,FALSE)</f>
        <v xml:space="preserve">                  </v>
      </c>
      <c r="AM398" s="1104" t="str">
        <f>VLOOKUP($AB398,sample!$1:$1048576,12,FALSE)</f>
        <v xml:space="preserve">                          </v>
      </c>
      <c r="AN398" s="1104" t="str">
        <f>VLOOKUP($AB398,sample!$1:$1048576,13,FALSE)</f>
        <v>GOLDJPJXXXX</v>
      </c>
      <c r="AP398" s="1111"/>
    </row>
    <row r="399" spans="1:42" s="690" customFormat="1">
      <c r="A399" s="1046">
        <v>2019200415</v>
      </c>
      <c r="B399" s="933">
        <v>44221</v>
      </c>
      <c r="C399" s="933" t="s">
        <v>137</v>
      </c>
      <c r="D399" s="1127" t="str">
        <f>IFERROR(VLOOKUP(G399,PosAggregate!$B$13:$B$93,1,FALSE),"")</f>
        <v/>
      </c>
      <c r="E399" s="1022" t="s">
        <v>12869</v>
      </c>
      <c r="F399" s="1132" t="str">
        <f t="shared" si="97"/>
        <v/>
      </c>
      <c r="G399" s="667" t="s">
        <v>12701</v>
      </c>
      <c r="I399" s="949" t="s">
        <v>12804</v>
      </c>
      <c r="J399" s="949" t="s">
        <v>125</v>
      </c>
      <c r="K399" s="1055">
        <v>2185.7746269999998</v>
      </c>
      <c r="L399" s="1055"/>
      <c r="M399" s="1055">
        <v>6700</v>
      </c>
      <c r="N399" s="1103">
        <f t="shared" si="90"/>
        <v>-14644690.000899998</v>
      </c>
      <c r="O399" s="934">
        <v>-8787</v>
      </c>
      <c r="R399" s="1100">
        <f t="shared" si="91"/>
        <v>-14653477.000899998</v>
      </c>
      <c r="S399" s="995">
        <v>126.25623555177022</v>
      </c>
      <c r="T399" s="1121">
        <f t="shared" si="96"/>
        <v>-116061.41222935064</v>
      </c>
      <c r="U399" s="690">
        <v>44223</v>
      </c>
      <c r="V399" s="667" t="s">
        <v>1725</v>
      </c>
      <c r="W399" s="936">
        <v>44216.554416666666</v>
      </c>
      <c r="X399" s="1089">
        <f t="shared" si="98"/>
        <v>6.0001270081237561E-2</v>
      </c>
      <c r="Y399" s="690" t="s">
        <v>1763</v>
      </c>
      <c r="Z399" s="1111" t="str">
        <f>VLOOKUP(AA399,'place of settlement'!A:C,2,FALSE)</f>
        <v>JJSDJPJTXXX</v>
      </c>
      <c r="AA399" s="1111" t="str">
        <f t="shared" si="99"/>
        <v>JP</v>
      </c>
      <c r="AB399" s="1111" t="str">
        <f t="shared" si="100"/>
        <v>Tavira SecuritiesJP</v>
      </c>
      <c r="AC399" s="1111" t="str">
        <f>VLOOKUP(AB399,sample!$1:$1048576,2,FALSE)</f>
        <v>GSILGB2XXXX</v>
      </c>
      <c r="AD399" s="1111" t="str">
        <f>VLOOKUP($AB399,sample!$1:$1048576,3,FALSE)</f>
        <v>JJSDJPJTXXX</v>
      </c>
      <c r="AE399" s="1104">
        <f>VLOOKUP($AB399,sample!$1:$1048576,4,FALSE)</f>
        <v>6530490016</v>
      </c>
      <c r="AF399" s="1111" t="str">
        <f>VLOOKUP($AB399,sample!$1:$1048576,5,FALSE)</f>
        <v>N</v>
      </c>
      <c r="AL399" s="1104" t="str">
        <f>VLOOKUP($AB399,sample!$1:$1048576,11,FALSE)</f>
        <v xml:space="preserve">                  </v>
      </c>
      <c r="AM399" s="1104" t="str">
        <f>VLOOKUP($AB399,sample!$1:$1048576,12,FALSE)</f>
        <v xml:space="preserve">                          </v>
      </c>
      <c r="AN399" s="1104" t="str">
        <f>VLOOKUP($AB399,sample!$1:$1048576,13,FALSE)</f>
        <v>GOLDJPJXXXX</v>
      </c>
      <c r="AP399" s="1111"/>
    </row>
    <row r="400" spans="1:42" s="690" customFormat="1">
      <c r="A400" s="1046">
        <v>2019200416</v>
      </c>
      <c r="B400" s="933">
        <v>44221</v>
      </c>
      <c r="C400" s="933" t="s">
        <v>137</v>
      </c>
      <c r="D400" s="1127" t="str">
        <f>IFERROR(VLOOKUP(G400,PosAggregate!$B$13:$B$93,1,FALSE),"")</f>
        <v/>
      </c>
      <c r="E400" s="1022" t="s">
        <v>12870</v>
      </c>
      <c r="F400" s="1132" t="str">
        <f t="shared" si="97"/>
        <v/>
      </c>
      <c r="G400" s="667" t="s">
        <v>12702</v>
      </c>
      <c r="I400" s="949" t="s">
        <v>12805</v>
      </c>
      <c r="J400" s="949" t="s">
        <v>125</v>
      </c>
      <c r="K400" s="1055">
        <v>3108.7336359999999</v>
      </c>
      <c r="L400" s="1055"/>
      <c r="M400" s="1055">
        <v>11000</v>
      </c>
      <c r="N400" s="1103">
        <f t="shared" si="90"/>
        <v>-34196069.995999999</v>
      </c>
      <c r="O400" s="934">
        <v>-20518</v>
      </c>
      <c r="R400" s="1100">
        <f t="shared" si="91"/>
        <v>-34216587.995999999</v>
      </c>
      <c r="S400" s="995">
        <v>126.25623555177026</v>
      </c>
      <c r="T400" s="1121">
        <f t="shared" si="96"/>
        <v>-271009.09389912698</v>
      </c>
      <c r="U400" s="690">
        <v>44223</v>
      </c>
      <c r="V400" s="667" t="s">
        <v>1725</v>
      </c>
      <c r="W400" s="936">
        <v>44216.554416666666</v>
      </c>
      <c r="X400" s="1089">
        <f t="shared" si="98"/>
        <v>6.0001046910946321E-2</v>
      </c>
      <c r="Y400" s="690" t="s">
        <v>1763</v>
      </c>
      <c r="Z400" s="1111" t="str">
        <f>VLOOKUP(AA400,'place of settlement'!A:C,2,FALSE)</f>
        <v>JJSDJPJTXXX</v>
      </c>
      <c r="AA400" s="1111" t="str">
        <f t="shared" si="99"/>
        <v>JP</v>
      </c>
      <c r="AB400" s="1111" t="str">
        <f t="shared" si="100"/>
        <v>Tavira SecuritiesJP</v>
      </c>
      <c r="AC400" s="1111" t="str">
        <f>VLOOKUP(AB400,sample!$1:$1048576,2,FALSE)</f>
        <v>GSILGB2XXXX</v>
      </c>
      <c r="AD400" s="1111" t="str">
        <f>VLOOKUP($AB400,sample!$1:$1048576,3,FALSE)</f>
        <v>JJSDJPJTXXX</v>
      </c>
      <c r="AE400" s="1104">
        <f>VLOOKUP($AB400,sample!$1:$1048576,4,FALSE)</f>
        <v>6530490016</v>
      </c>
      <c r="AF400" s="1111" t="str">
        <f>VLOOKUP($AB400,sample!$1:$1048576,5,FALSE)</f>
        <v>N</v>
      </c>
      <c r="AL400" s="1104" t="str">
        <f>VLOOKUP($AB400,sample!$1:$1048576,11,FALSE)</f>
        <v xml:space="preserve">                  </v>
      </c>
      <c r="AM400" s="1104" t="str">
        <f>VLOOKUP($AB400,sample!$1:$1048576,12,FALSE)</f>
        <v xml:space="preserve">                          </v>
      </c>
      <c r="AN400" s="1104" t="str">
        <f>VLOOKUP($AB400,sample!$1:$1048576,13,FALSE)</f>
        <v>GOLDJPJXXXX</v>
      </c>
      <c r="AP400" s="1111"/>
    </row>
    <row r="401" spans="1:42" s="690" customFormat="1">
      <c r="A401" s="1046">
        <v>2019200417</v>
      </c>
      <c r="B401" s="933">
        <v>44221</v>
      </c>
      <c r="C401" s="933" t="s">
        <v>137</v>
      </c>
      <c r="D401" s="1127" t="str">
        <f>IFERROR(VLOOKUP(G401,PosAggregate!$B$13:$B$93,1,FALSE),"")</f>
        <v/>
      </c>
      <c r="E401" s="1022" t="s">
        <v>12871</v>
      </c>
      <c r="F401" s="1132" t="str">
        <f t="shared" si="97"/>
        <v/>
      </c>
      <c r="G401" s="667" t="s">
        <v>12703</v>
      </c>
      <c r="I401" s="949" t="s">
        <v>12812</v>
      </c>
      <c r="J401" s="949" t="s">
        <v>125</v>
      </c>
      <c r="K401" s="1055">
        <v>3085</v>
      </c>
      <c r="L401" s="1055"/>
      <c r="M401" s="1055">
        <v>2200</v>
      </c>
      <c r="N401" s="1103">
        <f t="shared" si="90"/>
        <v>-6787000</v>
      </c>
      <c r="O401" s="934">
        <v>-4073</v>
      </c>
      <c r="R401" s="1100">
        <f t="shared" si="91"/>
        <v>-6791073</v>
      </c>
      <c r="S401" s="995">
        <v>126.25623555177047</v>
      </c>
      <c r="T401" s="1121">
        <f t="shared" si="96"/>
        <v>-53788.020610002815</v>
      </c>
      <c r="U401" s="690">
        <v>44223</v>
      </c>
      <c r="V401" s="667" t="s">
        <v>1725</v>
      </c>
      <c r="W401" s="936">
        <v>44216.554416666666</v>
      </c>
      <c r="X401" s="1089">
        <f t="shared" si="98"/>
        <v>6.0011787240312364E-2</v>
      </c>
      <c r="Y401" s="690" t="s">
        <v>1763</v>
      </c>
      <c r="Z401" s="1111" t="str">
        <f>VLOOKUP(AA401,'place of settlement'!A:C,2,FALSE)</f>
        <v>JJSDJPJTXXX</v>
      </c>
      <c r="AA401" s="1111" t="str">
        <f t="shared" si="99"/>
        <v>JP</v>
      </c>
      <c r="AB401" s="1111" t="str">
        <f t="shared" si="100"/>
        <v>Tavira SecuritiesJP</v>
      </c>
      <c r="AC401" s="1111" t="str">
        <f>VLOOKUP(AB401,sample!$1:$1048576,2,FALSE)</f>
        <v>GSILGB2XXXX</v>
      </c>
      <c r="AD401" s="1111" t="str">
        <f>VLOOKUP($AB401,sample!$1:$1048576,3,FALSE)</f>
        <v>JJSDJPJTXXX</v>
      </c>
      <c r="AE401" s="1104">
        <f>VLOOKUP($AB401,sample!$1:$1048576,4,FALSE)</f>
        <v>6530490016</v>
      </c>
      <c r="AF401" s="1111" t="str">
        <f>VLOOKUP($AB401,sample!$1:$1048576,5,FALSE)</f>
        <v>N</v>
      </c>
      <c r="AL401" s="1104" t="str">
        <f>VLOOKUP($AB401,sample!$1:$1048576,11,FALSE)</f>
        <v xml:space="preserve">                  </v>
      </c>
      <c r="AM401" s="1104" t="str">
        <f>VLOOKUP($AB401,sample!$1:$1048576,12,FALSE)</f>
        <v xml:space="preserve">                          </v>
      </c>
      <c r="AN401" s="1104" t="str">
        <f>VLOOKUP($AB401,sample!$1:$1048576,13,FALSE)</f>
        <v>GOLDJPJXXXX</v>
      </c>
      <c r="AP401" s="1111"/>
    </row>
    <row r="402" spans="1:42" s="690" customFormat="1">
      <c r="A402" s="1046">
        <v>2019200418</v>
      </c>
      <c r="B402" s="933">
        <v>44221</v>
      </c>
      <c r="C402" s="933" t="s">
        <v>137</v>
      </c>
      <c r="D402" s="1127" t="str">
        <f>IFERROR(VLOOKUP(G402,PosAggregate!$B$13:$B$93,1,FALSE),"")</f>
        <v/>
      </c>
      <c r="E402" s="1022" t="s">
        <v>1243</v>
      </c>
      <c r="F402" s="1132" t="str">
        <f t="shared" si="97"/>
        <v/>
      </c>
      <c r="G402" s="667" t="s">
        <v>1192</v>
      </c>
      <c r="I402" s="949" t="s">
        <v>1144</v>
      </c>
      <c r="J402" s="949" t="s">
        <v>125</v>
      </c>
      <c r="K402" s="1055">
        <v>1944.8227300000001</v>
      </c>
      <c r="L402" s="1055"/>
      <c r="M402" s="1055">
        <v>2200</v>
      </c>
      <c r="N402" s="1103">
        <f t="shared" si="90"/>
        <v>-4278610.0060000001</v>
      </c>
      <c r="O402" s="934">
        <v>-2567</v>
      </c>
      <c r="R402" s="1100">
        <f t="shared" si="91"/>
        <v>-4281177.0060000001</v>
      </c>
      <c r="S402" s="995">
        <v>126.25623555177044</v>
      </c>
      <c r="T402" s="1121">
        <f t="shared" si="96"/>
        <v>-33908.638153911495</v>
      </c>
      <c r="U402" s="690">
        <v>44223</v>
      </c>
      <c r="V402" s="667" t="s">
        <v>1725</v>
      </c>
      <c r="W402" s="936">
        <v>44216.554416666666</v>
      </c>
      <c r="X402" s="1089">
        <f t="shared" si="98"/>
        <v>5.999612015117603E-2</v>
      </c>
      <c r="Y402" s="690" t="s">
        <v>1763</v>
      </c>
      <c r="Z402" s="1111" t="str">
        <f>VLOOKUP(AA402,'place of settlement'!A:C,2,FALSE)</f>
        <v>JJSDJPJTXXX</v>
      </c>
      <c r="AA402" s="1111" t="str">
        <f t="shared" si="99"/>
        <v>JP</v>
      </c>
      <c r="AB402" s="1111" t="str">
        <f t="shared" si="100"/>
        <v>Tavira SecuritiesJP</v>
      </c>
      <c r="AC402" s="1111" t="str">
        <f>VLOOKUP(AB402,sample!$1:$1048576,2,FALSE)</f>
        <v>GSILGB2XXXX</v>
      </c>
      <c r="AD402" s="1111" t="str">
        <f>VLOOKUP($AB402,sample!$1:$1048576,3,FALSE)</f>
        <v>JJSDJPJTXXX</v>
      </c>
      <c r="AE402" s="1104">
        <f>VLOOKUP($AB402,sample!$1:$1048576,4,FALSE)</f>
        <v>6530490016</v>
      </c>
      <c r="AF402" s="1111" t="str">
        <f>VLOOKUP($AB402,sample!$1:$1048576,5,FALSE)</f>
        <v>N</v>
      </c>
      <c r="AL402" s="1104" t="str">
        <f>VLOOKUP($AB402,sample!$1:$1048576,11,FALSE)</f>
        <v xml:space="preserve">                  </v>
      </c>
      <c r="AM402" s="1104" t="str">
        <f>VLOOKUP($AB402,sample!$1:$1048576,12,FALSE)</f>
        <v xml:space="preserve">                          </v>
      </c>
      <c r="AN402" s="1104" t="str">
        <f>VLOOKUP($AB402,sample!$1:$1048576,13,FALSE)</f>
        <v>GOLDJPJXXXX</v>
      </c>
      <c r="AP402" s="1111"/>
    </row>
    <row r="403" spans="1:42" s="690" customFormat="1">
      <c r="A403" s="1046">
        <v>2019200419</v>
      </c>
      <c r="B403" s="933">
        <v>44221</v>
      </c>
      <c r="C403" s="933" t="s">
        <v>137</v>
      </c>
      <c r="D403" s="1127" t="str">
        <f>IFERROR(VLOOKUP(G403,PosAggregate!$B$13:$B$93,1,FALSE),"")</f>
        <v/>
      </c>
      <c r="E403" s="1022" t="s">
        <v>1236</v>
      </c>
      <c r="F403" s="1132" t="str">
        <f t="shared" si="97"/>
        <v/>
      </c>
      <c r="G403" s="667" t="s">
        <v>1656</v>
      </c>
      <c r="I403" s="949" t="s">
        <v>1126</v>
      </c>
      <c r="J403" s="949" t="s">
        <v>125</v>
      </c>
      <c r="K403" s="1055">
        <v>2390.181818</v>
      </c>
      <c r="L403" s="1055"/>
      <c r="M403" s="1055">
        <v>2200</v>
      </c>
      <c r="N403" s="1103">
        <f t="shared" si="90"/>
        <v>-5258399.9995999997</v>
      </c>
      <c r="O403" s="934">
        <v>-3155</v>
      </c>
      <c r="R403" s="1100">
        <f t="shared" si="91"/>
        <v>-5261554.9995999997</v>
      </c>
      <c r="S403" s="995">
        <v>126.25623555177053</v>
      </c>
      <c r="T403" s="1121">
        <f t="shared" si="96"/>
        <v>-41673.624883600576</v>
      </c>
      <c r="U403" s="690">
        <v>44223</v>
      </c>
      <c r="V403" s="667" t="s">
        <v>1725</v>
      </c>
      <c r="W403" s="936">
        <v>44216.554416666666</v>
      </c>
      <c r="X403" s="1089">
        <f t="shared" si="98"/>
        <v>5.9999239316902431E-2</v>
      </c>
      <c r="Y403" s="690" t="s">
        <v>1763</v>
      </c>
      <c r="Z403" s="1111" t="str">
        <f>VLOOKUP(AA403,'place of settlement'!A:C,2,FALSE)</f>
        <v>JJSDJPJTXXX</v>
      </c>
      <c r="AA403" s="1111" t="str">
        <f t="shared" si="99"/>
        <v>JP</v>
      </c>
      <c r="AB403" s="1111" t="str">
        <f t="shared" si="100"/>
        <v>Tavira SecuritiesJP</v>
      </c>
      <c r="AC403" s="1111" t="str">
        <f>VLOOKUP(AB403,sample!$1:$1048576,2,FALSE)</f>
        <v>GSILGB2XXXX</v>
      </c>
      <c r="AD403" s="1111" t="str">
        <f>VLOOKUP($AB403,sample!$1:$1048576,3,FALSE)</f>
        <v>JJSDJPJTXXX</v>
      </c>
      <c r="AE403" s="1104">
        <f>VLOOKUP($AB403,sample!$1:$1048576,4,FALSE)</f>
        <v>6530490016</v>
      </c>
      <c r="AF403" s="1111" t="str">
        <f>VLOOKUP($AB403,sample!$1:$1048576,5,FALSE)</f>
        <v>N</v>
      </c>
      <c r="AL403" s="1104" t="str">
        <f>VLOOKUP($AB403,sample!$1:$1048576,11,FALSE)</f>
        <v xml:space="preserve">                  </v>
      </c>
      <c r="AM403" s="1104" t="str">
        <f>VLOOKUP($AB403,sample!$1:$1048576,12,FALSE)</f>
        <v xml:space="preserve">                          </v>
      </c>
      <c r="AN403" s="1104" t="str">
        <f>VLOOKUP($AB403,sample!$1:$1048576,13,FALSE)</f>
        <v>GOLDJPJXXXX</v>
      </c>
      <c r="AP403" s="1111"/>
    </row>
    <row r="404" spans="1:42" s="690" customFormat="1">
      <c r="A404" s="1046">
        <v>2019200420</v>
      </c>
      <c r="B404" s="933">
        <v>44221</v>
      </c>
      <c r="C404" s="933" t="s">
        <v>137</v>
      </c>
      <c r="D404" s="1127" t="str">
        <f>IFERROR(VLOOKUP(G404,PosAggregate!$B$13:$B$93,1,FALSE),"")</f>
        <v/>
      </c>
      <c r="E404" s="1022" t="s">
        <v>12872</v>
      </c>
      <c r="F404" s="1132" t="str">
        <f t="shared" si="97"/>
        <v/>
      </c>
      <c r="G404" s="667" t="s">
        <v>12704</v>
      </c>
      <c r="I404" s="949" t="s">
        <v>12806</v>
      </c>
      <c r="J404" s="949" t="s">
        <v>1104</v>
      </c>
      <c r="K404" s="1055">
        <v>5.0746000000000002</v>
      </c>
      <c r="L404" s="1055"/>
      <c r="M404" s="1055">
        <v>42000</v>
      </c>
      <c r="N404" s="1103">
        <f t="shared" si="90"/>
        <v>-213133.2</v>
      </c>
      <c r="O404" s="934">
        <v>-127.88</v>
      </c>
      <c r="R404" s="1100">
        <f t="shared" si="91"/>
        <v>-213261.08000000002</v>
      </c>
      <c r="S404" s="995">
        <v>1.5768463316705177</v>
      </c>
      <c r="T404" s="1121">
        <f t="shared" si="96"/>
        <v>-135245.31573984787</v>
      </c>
      <c r="U404" s="690">
        <v>44224</v>
      </c>
      <c r="V404" s="667" t="s">
        <v>1725</v>
      </c>
      <c r="W404" s="936">
        <v>44216.554416666666</v>
      </c>
      <c r="X404" s="1089">
        <f t="shared" si="98"/>
        <v>6.0000037535212714E-2</v>
      </c>
      <c r="Y404" s="690" t="s">
        <v>1763</v>
      </c>
      <c r="Z404" s="1111" t="str">
        <f>VLOOKUP(AA404,'place of settlement'!A:C,2,FALSE)</f>
        <v>CAETAU21XXX</v>
      </c>
      <c r="AA404" s="1111" t="str">
        <f t="shared" si="99"/>
        <v>AU</v>
      </c>
      <c r="AB404" s="1111" t="str">
        <f t="shared" si="100"/>
        <v>Tavira SecuritiesAU</v>
      </c>
      <c r="AC404" s="1111" t="str">
        <f>VLOOKUP(AB404,sample!$1:$1048576,2,FALSE)</f>
        <v>GSILGB2XXXX</v>
      </c>
      <c r="AD404" s="1111" t="str">
        <f>VLOOKUP($AB404,sample!$1:$1048576,3,FALSE)</f>
        <v>CAETAU21</v>
      </c>
      <c r="AE404" s="1104" t="str">
        <f>VLOOKUP($AB404,sample!$1:$1048576,4,FALSE)</f>
        <v>011-109048-061</v>
      </c>
      <c r="AF404" s="1111" t="str">
        <f>VLOOKUP($AB404,sample!$1:$1048576,5,FALSE)</f>
        <v>N</v>
      </c>
      <c r="AL404" s="1104" t="str">
        <f>VLOOKUP($AB404,sample!$1:$1048576,11,FALSE)</f>
        <v xml:space="preserve">        </v>
      </c>
      <c r="AM404" s="1104" t="str">
        <f>VLOOKUP($AB404,sample!$1:$1048576,12,FALSE)</f>
        <v xml:space="preserve">        </v>
      </c>
      <c r="AN404" s="1104" t="str">
        <f>VLOOKUP($AB404,sample!$1:$1048576,13,FALSE)</f>
        <v>HKBAAU2SSYD</v>
      </c>
      <c r="AP404" s="1111"/>
    </row>
    <row r="405" spans="1:42" s="690" customFormat="1">
      <c r="A405" s="1046">
        <v>2019200421</v>
      </c>
      <c r="B405" s="933">
        <v>44221</v>
      </c>
      <c r="C405" s="933" t="s">
        <v>137</v>
      </c>
      <c r="D405" s="1127" t="str">
        <f>IFERROR(VLOOKUP(G405,PosAggregate!$B$13:$B$93,1,FALSE),"")</f>
        <v/>
      </c>
      <c r="E405" s="1022" t="s">
        <v>1677</v>
      </c>
      <c r="F405" s="1132" t="str">
        <f t="shared" si="97"/>
        <v/>
      </c>
      <c r="G405" s="667" t="s">
        <v>1667</v>
      </c>
      <c r="I405" s="949" t="s">
        <v>1668</v>
      </c>
      <c r="J405" s="949" t="s">
        <v>1100</v>
      </c>
      <c r="K405" s="1055">
        <v>2.9624999999999999</v>
      </c>
      <c r="L405" s="1055"/>
      <c r="M405" s="1055">
        <v>430000</v>
      </c>
      <c r="N405" s="1103">
        <f t="shared" si="90"/>
        <v>-1273875</v>
      </c>
      <c r="O405" s="934">
        <v>-764.33</v>
      </c>
      <c r="P405" s="934">
        <v>-1372.05</v>
      </c>
      <c r="R405" s="1100">
        <f t="shared" si="91"/>
        <v>-1276011.3800000001</v>
      </c>
      <c r="S405" s="995">
        <v>9.4316826864582026</v>
      </c>
      <c r="T405" s="1121">
        <f t="shared" si="96"/>
        <v>-135289.8970861338</v>
      </c>
      <c r="U405" s="690">
        <v>44223</v>
      </c>
      <c r="V405" s="667" t="s">
        <v>1725</v>
      </c>
      <c r="W405" s="936">
        <v>44216.554416666666</v>
      </c>
      <c r="X405" s="1089">
        <f t="shared" si="98"/>
        <v>6.0000392503189094E-2</v>
      </c>
      <c r="Y405" s="690" t="s">
        <v>1763</v>
      </c>
      <c r="Z405" s="1111" t="str">
        <f>VLOOKUP(AA405,'place of settlement'!A:C,2,FALSE)</f>
        <v>XHKCHKH1XXX</v>
      </c>
      <c r="AA405" s="1111" t="str">
        <f t="shared" si="99"/>
        <v>CN</v>
      </c>
      <c r="AB405" s="1111" t="str">
        <f t="shared" si="100"/>
        <v>Tavira SecuritiesCN</v>
      </c>
      <c r="AC405" s="1111" t="e">
        <f>VLOOKUP(AB405,sample!$1:$1048576,2,FALSE)</f>
        <v>#N/A</v>
      </c>
      <c r="AD405" s="1111" t="e">
        <f>VLOOKUP($AB405,sample!$1:$1048576,3,FALSE)</f>
        <v>#N/A</v>
      </c>
      <c r="AE405" s="1104" t="e">
        <f>VLOOKUP($AB405,sample!$1:$1048576,4,FALSE)</f>
        <v>#N/A</v>
      </c>
      <c r="AF405" s="1111" t="e">
        <f>VLOOKUP($AB405,sample!$1:$1048576,5,FALSE)</f>
        <v>#N/A</v>
      </c>
      <c r="AL405" s="1104" t="e">
        <f>VLOOKUP($AB405,sample!$1:$1048576,11,FALSE)</f>
        <v>#N/A</v>
      </c>
      <c r="AM405" s="1104" t="e">
        <f>VLOOKUP($AB405,sample!$1:$1048576,12,FALSE)</f>
        <v>#N/A</v>
      </c>
      <c r="AN405" s="1104" t="e">
        <f>VLOOKUP($AB405,sample!$1:$1048576,13,FALSE)</f>
        <v>#N/A</v>
      </c>
      <c r="AP405" s="1111"/>
    </row>
    <row r="406" spans="1:42" s="690" customFormat="1">
      <c r="A406" s="1046">
        <v>2019200422</v>
      </c>
      <c r="B406" s="933">
        <v>44222</v>
      </c>
      <c r="C406" s="933" t="s">
        <v>138</v>
      </c>
      <c r="D406" s="1127" t="str">
        <f>IFERROR(VLOOKUP(G406,PosAggregate!$B$13:$B$93,1,FALSE),"")</f>
        <v/>
      </c>
      <c r="E406" s="1022" t="s">
        <v>1254</v>
      </c>
      <c r="F406" s="1132" t="str">
        <f t="shared" si="97"/>
        <v/>
      </c>
      <c r="G406" s="667" t="s">
        <v>1720</v>
      </c>
      <c r="I406" s="949" t="s">
        <v>1123</v>
      </c>
      <c r="J406" s="949" t="s">
        <v>123</v>
      </c>
      <c r="K406" s="1055">
        <v>551103.33330000006</v>
      </c>
      <c r="L406" s="1055"/>
      <c r="M406" s="1055">
        <v>-300</v>
      </c>
      <c r="N406" s="1103">
        <f t="shared" si="90"/>
        <v>165330999.99000001</v>
      </c>
      <c r="O406" s="934">
        <v>-247997</v>
      </c>
      <c r="P406" s="934">
        <v>-380254</v>
      </c>
      <c r="R406" s="1100">
        <f t="shared" si="91"/>
        <v>164702748.99000001</v>
      </c>
      <c r="S406" s="995">
        <v>1338.1962059883724</v>
      </c>
      <c r="T406" s="1121">
        <f t="shared" si="96"/>
        <v>123078.17661786967</v>
      </c>
      <c r="U406" s="690">
        <v>44224</v>
      </c>
      <c r="V406" s="667" t="s">
        <v>1230</v>
      </c>
      <c r="W406" s="936">
        <v>44216.554416666666</v>
      </c>
      <c r="X406" s="1089">
        <f t="shared" si="98"/>
        <v>-0.15000030243269563</v>
      </c>
      <c r="Y406" s="690" t="s">
        <v>1763</v>
      </c>
      <c r="Z406" s="1111" t="str">
        <f>VLOOKUP(AA406,'place of settlement'!A:C,2,FALSE)</f>
        <v>KSDCKRSEXXX</v>
      </c>
      <c r="AA406" s="1111" t="str">
        <f t="shared" si="99"/>
        <v>KR</v>
      </c>
      <c r="AB406" s="1111" t="str">
        <f t="shared" si="100"/>
        <v>SamsungKR</v>
      </c>
      <c r="AC406" s="1111" t="e">
        <f>VLOOKUP(AB406,sample!$1:$1048576,2,FALSE)</f>
        <v>#N/A</v>
      </c>
      <c r="AD406" s="1111" t="e">
        <f>VLOOKUP($AB406,sample!$1:$1048576,3,FALSE)</f>
        <v>#N/A</v>
      </c>
      <c r="AE406" s="1104" t="e">
        <f>VLOOKUP($AB406,sample!$1:$1048576,4,FALSE)</f>
        <v>#N/A</v>
      </c>
      <c r="AF406" s="1111" t="e">
        <f>VLOOKUP($AB406,sample!$1:$1048576,5,FALSE)</f>
        <v>#N/A</v>
      </c>
      <c r="AL406" s="1104" t="e">
        <f>VLOOKUP($AB406,sample!$1:$1048576,11,FALSE)</f>
        <v>#N/A</v>
      </c>
      <c r="AM406" s="1104" t="e">
        <f>VLOOKUP($AB406,sample!$1:$1048576,12,FALSE)</f>
        <v>#N/A</v>
      </c>
      <c r="AN406" s="1104" t="e">
        <f>VLOOKUP($AB406,sample!$1:$1048576,13,FALSE)</f>
        <v>#N/A</v>
      </c>
      <c r="AP406" s="1111"/>
    </row>
    <row r="407" spans="1:42" s="690" customFormat="1">
      <c r="A407" s="1046">
        <v>2019200423</v>
      </c>
      <c r="B407" s="933">
        <v>44223</v>
      </c>
      <c r="C407" s="933" t="s">
        <v>138</v>
      </c>
      <c r="D407" s="1127" t="str">
        <f>IFERROR(VLOOKUP(G407,PosAggregate!$B$13:$B$93,1,FALSE),"")</f>
        <v/>
      </c>
      <c r="E407" s="1022" t="s">
        <v>1254</v>
      </c>
      <c r="F407" s="1132" t="str">
        <f t="shared" si="97"/>
        <v/>
      </c>
      <c r="G407" s="667" t="s">
        <v>1720</v>
      </c>
      <c r="I407" s="949" t="s">
        <v>1123</v>
      </c>
      <c r="J407" s="949" t="s">
        <v>123</v>
      </c>
      <c r="K407" s="1055">
        <v>605356.66666700004</v>
      </c>
      <c r="L407" s="1055"/>
      <c r="M407" s="1055">
        <v>-300</v>
      </c>
      <c r="N407" s="1103">
        <f t="shared" ref="N407:N468" si="101">-K407*M407</f>
        <v>181607000.00010002</v>
      </c>
      <c r="O407" s="934">
        <v>-272411</v>
      </c>
      <c r="P407" s="934">
        <v>-417664</v>
      </c>
      <c r="R407" s="1100">
        <f t="shared" si="91"/>
        <v>180916925.00010002</v>
      </c>
      <c r="S407" s="995">
        <v>1338.1962059883724</v>
      </c>
      <c r="T407" s="1121">
        <f t="shared" si="96"/>
        <v>135194.61809150578</v>
      </c>
      <c r="U407" s="690">
        <v>44225</v>
      </c>
      <c r="V407" s="667" t="s">
        <v>1230</v>
      </c>
      <c r="W407" s="936">
        <v>44216.554416666666</v>
      </c>
      <c r="X407" s="1089">
        <f t="shared" ref="X407:X412" si="102">+O407/N407*100</f>
        <v>-0.15000027531970134</v>
      </c>
      <c r="Y407" s="690" t="s">
        <v>1763</v>
      </c>
      <c r="Z407" s="1111" t="str">
        <f>VLOOKUP(AA407,'place of settlement'!A:C,2,FALSE)</f>
        <v>KSDCKRSEXXX</v>
      </c>
      <c r="AA407" s="1111" t="str">
        <f t="shared" si="99"/>
        <v>KR</v>
      </c>
      <c r="AB407" s="1111" t="str">
        <f t="shared" ref="AB407:AB412" si="103">CONCATENATE(V407,AA407)</f>
        <v>SamsungKR</v>
      </c>
      <c r="AC407" s="1111" t="e">
        <f>VLOOKUP(AB407,sample!$1:$1048576,2,FALSE)</f>
        <v>#N/A</v>
      </c>
      <c r="AD407" s="1111" t="e">
        <f>VLOOKUP($AB407,sample!$1:$1048576,3,FALSE)</f>
        <v>#N/A</v>
      </c>
      <c r="AE407" s="1104" t="e">
        <f>VLOOKUP($AB407,sample!$1:$1048576,4,FALSE)</f>
        <v>#N/A</v>
      </c>
      <c r="AF407" s="1111" t="e">
        <f>VLOOKUP($AB407,sample!$1:$1048576,5,FALSE)</f>
        <v>#N/A</v>
      </c>
      <c r="AL407" s="1104" t="e">
        <f>VLOOKUP($AB407,sample!$1:$1048576,11,FALSE)</f>
        <v>#N/A</v>
      </c>
      <c r="AM407" s="1104" t="e">
        <f>VLOOKUP($AB407,sample!$1:$1048576,12,FALSE)</f>
        <v>#N/A</v>
      </c>
      <c r="AN407" s="1104" t="e">
        <f>VLOOKUP($AB407,sample!$1:$1048576,13,FALSE)</f>
        <v>#N/A</v>
      </c>
      <c r="AP407" s="1111"/>
    </row>
    <row r="408" spans="1:42" s="690" customFormat="1">
      <c r="A408" s="1046">
        <v>2019200424</v>
      </c>
      <c r="B408" s="933">
        <v>44225</v>
      </c>
      <c r="C408" s="933" t="s">
        <v>137</v>
      </c>
      <c r="D408" s="1127" t="str">
        <f>IFERROR(VLOOKUP(G408,PosAggregate!$B$13:$B$93,1,FALSE),"")</f>
        <v/>
      </c>
      <c r="E408" s="1022" t="s">
        <v>1723</v>
      </c>
      <c r="F408" s="1132" t="str">
        <f t="shared" si="97"/>
        <v/>
      </c>
      <c r="G408" s="667" t="s">
        <v>1714</v>
      </c>
      <c r="I408" s="949" t="s">
        <v>1724</v>
      </c>
      <c r="J408" s="949" t="s">
        <v>1104</v>
      </c>
      <c r="K408" s="1055">
        <v>2.3704670000000001</v>
      </c>
      <c r="L408" s="1055"/>
      <c r="M408" s="1055">
        <v>61726</v>
      </c>
      <c r="N408" s="1103">
        <f t="shared" si="101"/>
        <v>-146319.446042</v>
      </c>
      <c r="O408" s="934">
        <v>-87.79</v>
      </c>
      <c r="P408" s="934"/>
      <c r="R408" s="1100">
        <f t="shared" si="91"/>
        <v>-146407.236042</v>
      </c>
      <c r="S408" s="995">
        <v>1.5784657155670876</v>
      </c>
      <c r="T408" s="1121">
        <f t="shared" si="96"/>
        <v>-92752.876795553966</v>
      </c>
      <c r="U408" s="690">
        <v>44229</v>
      </c>
      <c r="V408" s="667" t="s">
        <v>1725</v>
      </c>
      <c r="W408" s="936">
        <v>44216.554416666666</v>
      </c>
      <c r="X408" s="1089">
        <f t="shared" si="102"/>
        <v>5.9998860284640826E-2</v>
      </c>
      <c r="Y408" s="690" t="s">
        <v>1763</v>
      </c>
      <c r="Z408" s="1111" t="str">
        <f>VLOOKUP(AA408,'place of settlement'!A:C,2,FALSE)</f>
        <v>CAETAU21XXX</v>
      </c>
      <c r="AA408" s="1111" t="str">
        <f t="shared" si="99"/>
        <v>AU</v>
      </c>
      <c r="AB408" s="1111" t="str">
        <f t="shared" si="103"/>
        <v>Tavira SecuritiesAU</v>
      </c>
      <c r="AC408" s="1111" t="str">
        <f>VLOOKUP(AB408,sample!$1:$1048576,2,FALSE)</f>
        <v>GSILGB2XXXX</v>
      </c>
      <c r="AD408" s="1111" t="str">
        <f>VLOOKUP($AB408,sample!$1:$1048576,3,FALSE)</f>
        <v>CAETAU21</v>
      </c>
      <c r="AE408" s="1104" t="str">
        <f>VLOOKUP($AB408,sample!$1:$1048576,4,FALSE)</f>
        <v>011-109048-061</v>
      </c>
      <c r="AF408" s="1111" t="str">
        <f>VLOOKUP($AB408,sample!$1:$1048576,5,FALSE)</f>
        <v>N</v>
      </c>
      <c r="AL408" s="1104" t="str">
        <f>VLOOKUP($AB408,sample!$1:$1048576,11,FALSE)</f>
        <v xml:space="preserve">        </v>
      </c>
      <c r="AM408" s="1104" t="str">
        <f>VLOOKUP($AB408,sample!$1:$1048576,12,FALSE)</f>
        <v xml:space="preserve">        </v>
      </c>
      <c r="AN408" s="1104" t="str">
        <f>VLOOKUP($AB408,sample!$1:$1048576,13,FALSE)</f>
        <v>HKBAAU2SSYD</v>
      </c>
      <c r="AP408" s="1111"/>
    </row>
    <row r="409" spans="1:42" s="690" customFormat="1">
      <c r="A409" s="1046">
        <v>2019200425</v>
      </c>
      <c r="B409" s="933">
        <v>44228</v>
      </c>
      <c r="C409" s="933" t="s">
        <v>138</v>
      </c>
      <c r="D409" s="1127" t="str">
        <f>IFERROR(VLOOKUP(G409,PosAggregate!$B$13:$B$93,1,FALSE),"")</f>
        <v/>
      </c>
      <c r="E409" s="1022" t="s">
        <v>1255</v>
      </c>
      <c r="F409" s="1132" t="str">
        <f t="shared" si="97"/>
        <v/>
      </c>
      <c r="G409" s="667" t="s">
        <v>1205</v>
      </c>
      <c r="I409" s="949" t="s">
        <v>1143</v>
      </c>
      <c r="J409" s="949" t="s">
        <v>123</v>
      </c>
      <c r="K409" s="1055">
        <v>199226.81820000001</v>
      </c>
      <c r="L409" s="1055"/>
      <c r="M409" s="1055">
        <v>-1100</v>
      </c>
      <c r="N409" s="1103">
        <f t="shared" si="101"/>
        <v>219149500.02000001</v>
      </c>
      <c r="O409" s="934">
        <v>-328724</v>
      </c>
      <c r="P409" s="934">
        <v>-504012</v>
      </c>
      <c r="R409" s="1100">
        <f t="shared" si="91"/>
        <v>218316764.02000001</v>
      </c>
      <c r="S409" s="995">
        <v>1356.3756841709244</v>
      </c>
      <c r="T409" s="1121">
        <f t="shared" si="96"/>
        <v>160955.97006624658</v>
      </c>
      <c r="U409" s="690">
        <v>44230</v>
      </c>
      <c r="V409" s="667" t="s">
        <v>1230</v>
      </c>
      <c r="W409" s="936">
        <v>44216.554416666666</v>
      </c>
      <c r="X409" s="1089">
        <f t="shared" si="102"/>
        <v>-0.14999988590893432</v>
      </c>
      <c r="Y409" s="690" t="s">
        <v>1763</v>
      </c>
      <c r="Z409" s="1111" t="str">
        <f>VLOOKUP(AA409,'place of settlement'!A:C,2,FALSE)</f>
        <v>KSDCKRSEXXX</v>
      </c>
      <c r="AA409" s="1111" t="str">
        <f t="shared" si="99"/>
        <v>KR</v>
      </c>
      <c r="AB409" s="1111" t="str">
        <f t="shared" si="103"/>
        <v>SamsungKR</v>
      </c>
      <c r="AC409" s="1111" t="e">
        <f>VLOOKUP(AB409,sample!$1:$1048576,2,FALSE)</f>
        <v>#N/A</v>
      </c>
      <c r="AD409" s="1111" t="e">
        <f>VLOOKUP($AB409,sample!$1:$1048576,3,FALSE)</f>
        <v>#N/A</v>
      </c>
      <c r="AE409" s="1104" t="e">
        <f>VLOOKUP($AB409,sample!$1:$1048576,4,FALSE)</f>
        <v>#N/A</v>
      </c>
      <c r="AF409" s="1111" t="e">
        <f>VLOOKUP($AB409,sample!$1:$1048576,5,FALSE)</f>
        <v>#N/A</v>
      </c>
      <c r="AL409" s="1104" t="e">
        <f>VLOOKUP($AB409,sample!$1:$1048576,11,FALSE)</f>
        <v>#N/A</v>
      </c>
      <c r="AM409" s="1104" t="e">
        <f>VLOOKUP($AB409,sample!$1:$1048576,12,FALSE)</f>
        <v>#N/A</v>
      </c>
      <c r="AN409" s="1104" t="e">
        <f>VLOOKUP($AB409,sample!$1:$1048576,13,FALSE)</f>
        <v>#N/A</v>
      </c>
      <c r="AP409" s="1111"/>
    </row>
    <row r="410" spans="1:42" s="690" customFormat="1">
      <c r="A410" s="1046">
        <v>2019200426</v>
      </c>
      <c r="B410" s="933">
        <v>44230</v>
      </c>
      <c r="C410" s="933" t="s">
        <v>138</v>
      </c>
      <c r="D410" s="1127" t="str">
        <f>IFERROR(VLOOKUP(G410,PosAggregate!$B$13:$B$93,1,FALSE),"")</f>
        <v/>
      </c>
      <c r="E410" s="1022" t="s">
        <v>1255</v>
      </c>
      <c r="F410" s="1132" t="str">
        <f t="shared" si="97"/>
        <v/>
      </c>
      <c r="G410" s="667" t="s">
        <v>1205</v>
      </c>
      <c r="I410" s="949" t="s">
        <v>1143</v>
      </c>
      <c r="J410" s="949" t="s">
        <v>123</v>
      </c>
      <c r="K410" s="1055">
        <v>230827.7273</v>
      </c>
      <c r="L410" s="1055"/>
      <c r="M410" s="1055">
        <v>-1100</v>
      </c>
      <c r="N410" s="1103">
        <f t="shared" si="101"/>
        <v>253910500.03</v>
      </c>
      <c r="O410" s="934">
        <v>-380866</v>
      </c>
      <c r="P410" s="934">
        <v>-583910</v>
      </c>
      <c r="R410" s="1100">
        <f t="shared" si="91"/>
        <v>252945724.03</v>
      </c>
      <c r="S410" s="995">
        <v>1343.1234420721817</v>
      </c>
      <c r="T410" s="1121">
        <f t="shared" si="96"/>
        <v>188326.49040787591</v>
      </c>
      <c r="U410" s="690">
        <v>44232</v>
      </c>
      <c r="V410" s="667" t="s">
        <v>1156</v>
      </c>
      <c r="W410" s="936">
        <v>44216.554416666666</v>
      </c>
      <c r="X410" s="1089">
        <f t="shared" si="102"/>
        <v>-0.15000009844216761</v>
      </c>
      <c r="Y410" s="690" t="s">
        <v>1763</v>
      </c>
      <c r="Z410" s="1111" t="str">
        <f>VLOOKUP(AA410,'place of settlement'!A:C,2,FALSE)</f>
        <v>KSDCKRSEXXX</v>
      </c>
      <c r="AA410" s="1111" t="str">
        <f t="shared" si="99"/>
        <v>KR</v>
      </c>
      <c r="AB410" s="690" t="s">
        <v>1972</v>
      </c>
      <c r="AC410" s="1111" t="e">
        <f>VLOOKUP(AB410,sample!$1:$1048576,2,FALSE)</f>
        <v>#N/A</v>
      </c>
      <c r="AD410" s="1111" t="e">
        <f>VLOOKUP($AB410,sample!$1:$1048576,3,FALSE)</f>
        <v>#N/A</v>
      </c>
      <c r="AE410" s="1104" t="e">
        <f>VLOOKUP($AB410,sample!$1:$1048576,4,FALSE)</f>
        <v>#N/A</v>
      </c>
      <c r="AF410" s="1111" t="e">
        <f>VLOOKUP($AB410,sample!$1:$1048576,5,FALSE)</f>
        <v>#N/A</v>
      </c>
      <c r="AL410" s="1104" t="e">
        <f>VLOOKUP($AB410,sample!$1:$1048576,11,FALSE)</f>
        <v>#N/A</v>
      </c>
      <c r="AM410" s="1104" t="e">
        <f>VLOOKUP($AB410,sample!$1:$1048576,12,FALSE)</f>
        <v>#N/A</v>
      </c>
      <c r="AN410" s="1104" t="e">
        <f>VLOOKUP($AB410,sample!$1:$1048576,13,FALSE)</f>
        <v>#N/A</v>
      </c>
      <c r="AP410" s="1111"/>
    </row>
    <row r="411" spans="1:42" s="690" customFormat="1">
      <c r="A411" s="1046">
        <v>2019200427</v>
      </c>
      <c r="B411" s="933">
        <v>44231</v>
      </c>
      <c r="C411" s="933" t="s">
        <v>137</v>
      </c>
      <c r="D411" s="1127" t="str">
        <f>IFERROR(VLOOKUP(G411,PosAggregate!$B$13:$B$93,1,FALSE),"")</f>
        <v/>
      </c>
      <c r="E411" s="1022" t="s">
        <v>1236</v>
      </c>
      <c r="F411" s="1132" t="str">
        <f t="shared" si="97"/>
        <v/>
      </c>
      <c r="G411" s="667" t="s">
        <v>1185</v>
      </c>
      <c r="I411" s="949" t="s">
        <v>1126</v>
      </c>
      <c r="J411" s="949" t="s">
        <v>125</v>
      </c>
      <c r="K411" s="1055">
        <v>2215.882353</v>
      </c>
      <c r="L411" s="1055"/>
      <c r="M411" s="1055">
        <v>3400</v>
      </c>
      <c r="N411" s="1103">
        <f t="shared" si="101"/>
        <v>-7534000.0001999997</v>
      </c>
      <c r="O411" s="934">
        <v>-4520</v>
      </c>
      <c r="P411" s="934"/>
      <c r="R411" s="1100">
        <f t="shared" si="91"/>
        <v>-7538520.0001999997</v>
      </c>
      <c r="S411" s="995">
        <v>126.36886567667064</v>
      </c>
      <c r="T411" s="1121">
        <f t="shared" si="96"/>
        <v>-59654.883818362156</v>
      </c>
      <c r="U411" s="690">
        <v>44235</v>
      </c>
      <c r="V411" s="667" t="s">
        <v>1725</v>
      </c>
      <c r="W411" s="936">
        <v>44216.554416666666</v>
      </c>
      <c r="X411" s="1089">
        <f t="shared" si="102"/>
        <v>5.9994690733740516E-2</v>
      </c>
      <c r="Y411" s="690" t="s">
        <v>1763</v>
      </c>
      <c r="Z411" s="1111" t="str">
        <f>VLOOKUP(AA411,'place of settlement'!A:C,2,FALSE)</f>
        <v>JJSDJPJTXXX</v>
      </c>
      <c r="AA411" s="1111" t="str">
        <f t="shared" si="99"/>
        <v>JP</v>
      </c>
      <c r="AB411" s="1111" t="str">
        <f t="shared" si="103"/>
        <v>Tavira SecuritiesJP</v>
      </c>
      <c r="AC411" s="1111" t="str">
        <f>VLOOKUP(AB411,sample!$1:$1048576,2,FALSE)</f>
        <v>GSILGB2XXXX</v>
      </c>
      <c r="AD411" s="1111" t="str">
        <f>VLOOKUP($AB411,sample!$1:$1048576,3,FALSE)</f>
        <v>JJSDJPJTXXX</v>
      </c>
      <c r="AE411" s="1104">
        <f>VLOOKUP($AB411,sample!$1:$1048576,4,FALSE)</f>
        <v>6530490016</v>
      </c>
      <c r="AF411" s="1111" t="str">
        <f>VLOOKUP($AB411,sample!$1:$1048576,5,FALSE)</f>
        <v>N</v>
      </c>
      <c r="AL411" s="1104" t="str">
        <f>VLOOKUP($AB411,sample!$1:$1048576,11,FALSE)</f>
        <v xml:space="preserve">                  </v>
      </c>
      <c r="AM411" s="1104" t="str">
        <f>VLOOKUP($AB411,sample!$1:$1048576,12,FALSE)</f>
        <v xml:space="preserve">                          </v>
      </c>
      <c r="AN411" s="1104" t="str">
        <f>VLOOKUP($AB411,sample!$1:$1048576,13,FALSE)</f>
        <v>GOLDJPJXXXX</v>
      </c>
      <c r="AP411" s="1111"/>
    </row>
    <row r="412" spans="1:42" s="690" customFormat="1">
      <c r="A412" s="1046">
        <v>2019200428</v>
      </c>
      <c r="B412" s="933">
        <v>44232</v>
      </c>
      <c r="C412" s="933" t="s">
        <v>137</v>
      </c>
      <c r="D412" s="1127" t="str">
        <f>IFERROR(VLOOKUP(G412,PosAggregate!$B$13:$B$93,1,FALSE),"")</f>
        <v/>
      </c>
      <c r="E412" s="1022" t="s">
        <v>1236</v>
      </c>
      <c r="F412" s="1132" t="str">
        <f t="shared" si="97"/>
        <v/>
      </c>
      <c r="G412" s="667" t="s">
        <v>1185</v>
      </c>
      <c r="I412" s="949" t="s">
        <v>1126</v>
      </c>
      <c r="J412" s="949" t="s">
        <v>125</v>
      </c>
      <c r="K412" s="1055">
        <v>2236.5700000000002</v>
      </c>
      <c r="L412" s="1055"/>
      <c r="M412" s="1055">
        <v>3000</v>
      </c>
      <c r="N412" s="1103">
        <f t="shared" si="101"/>
        <v>-6709710.0000000009</v>
      </c>
      <c r="O412" s="934">
        <v>-4026</v>
      </c>
      <c r="P412" s="934"/>
      <c r="R412" s="1100">
        <f t="shared" si="91"/>
        <v>-6713736.0000000009</v>
      </c>
      <c r="S412" s="995">
        <v>126.24703940285667</v>
      </c>
      <c r="T412" s="1121">
        <f t="shared" si="96"/>
        <v>-53179.354001136955</v>
      </c>
      <c r="U412" s="690">
        <v>44236</v>
      </c>
      <c r="V412" s="667" t="s">
        <v>1725</v>
      </c>
      <c r="W412" s="936">
        <v>44216.554416666666</v>
      </c>
      <c r="X412" s="1089">
        <f t="shared" si="102"/>
        <v>6.0002593256638502E-2</v>
      </c>
      <c r="Y412" s="690" t="s">
        <v>1763</v>
      </c>
      <c r="Z412" s="1111" t="str">
        <f>VLOOKUP(AA412,'place of settlement'!A:C,2,FALSE)</f>
        <v>JJSDJPJTXXX</v>
      </c>
      <c r="AA412" s="1111" t="str">
        <f t="shared" si="99"/>
        <v>JP</v>
      </c>
      <c r="AB412" s="1111" t="str">
        <f t="shared" si="103"/>
        <v>Tavira SecuritiesJP</v>
      </c>
      <c r="AC412" s="1111" t="str">
        <f>VLOOKUP(AB412,sample!$1:$1048576,2,FALSE)</f>
        <v>GSILGB2XXXX</v>
      </c>
      <c r="AD412" s="1111" t="str">
        <f>VLOOKUP($AB412,sample!$1:$1048576,3,FALSE)</f>
        <v>JJSDJPJTXXX</v>
      </c>
      <c r="AE412" s="1104">
        <f>VLOOKUP($AB412,sample!$1:$1048576,4,FALSE)</f>
        <v>6530490016</v>
      </c>
      <c r="AF412" s="1111" t="str">
        <f>VLOOKUP($AB412,sample!$1:$1048576,5,FALSE)</f>
        <v>N</v>
      </c>
      <c r="AL412" s="1104" t="str">
        <f>VLOOKUP($AB412,sample!$1:$1048576,11,FALSE)</f>
        <v xml:space="preserve">                  </v>
      </c>
      <c r="AM412" s="1104" t="str">
        <f>VLOOKUP($AB412,sample!$1:$1048576,12,FALSE)</f>
        <v xml:space="preserve">                          </v>
      </c>
      <c r="AN412" s="1104" t="str">
        <f>VLOOKUP($AB412,sample!$1:$1048576,13,FALSE)</f>
        <v>GOLDJPJXXXX</v>
      </c>
      <c r="AP412" s="1111"/>
    </row>
    <row r="413" spans="1:42" s="690" customFormat="1">
      <c r="A413" s="1046">
        <v>2019200429</v>
      </c>
      <c r="B413" s="933">
        <v>44232</v>
      </c>
      <c r="C413" s="933" t="s">
        <v>137</v>
      </c>
      <c r="D413" s="1127" t="str">
        <f>IFERROR(VLOOKUP(G413,PosAggregate!$B$13:$B$93,1,FALSE),"")</f>
        <v/>
      </c>
      <c r="E413" s="1022" t="s">
        <v>1235</v>
      </c>
      <c r="F413" s="1132" t="str">
        <f t="shared" si="97"/>
        <v/>
      </c>
      <c r="G413" s="667" t="s">
        <v>1649</v>
      </c>
      <c r="I413" s="949" t="s">
        <v>1127</v>
      </c>
      <c r="J413" s="949" t="s">
        <v>125</v>
      </c>
      <c r="K413" s="1055">
        <v>2954</v>
      </c>
      <c r="L413" s="1055"/>
      <c r="M413" s="1055">
        <v>3300</v>
      </c>
      <c r="N413" s="1103">
        <f t="shared" si="101"/>
        <v>-9748200</v>
      </c>
      <c r="O413" s="934">
        <v>-5849</v>
      </c>
      <c r="P413" s="934"/>
      <c r="R413" s="1100">
        <f t="shared" si="91"/>
        <v>-9754049</v>
      </c>
      <c r="S413" s="995">
        <v>126.24703940285629</v>
      </c>
      <c r="T413" s="1121">
        <f t="shared" si="96"/>
        <v>-77261.605865264501</v>
      </c>
      <c r="U413" s="690">
        <v>44236</v>
      </c>
      <c r="V413" s="667" t="s">
        <v>1725</v>
      </c>
      <c r="W413" s="936">
        <v>44216.554416666666</v>
      </c>
      <c r="X413" s="1089">
        <f t="shared" si="98"/>
        <v>6.0000820664327777E-2</v>
      </c>
      <c r="Y413" s="690" t="s">
        <v>1763</v>
      </c>
      <c r="Z413" s="1111" t="str">
        <f>VLOOKUP(AA413,'place of settlement'!A:C,2,FALSE)</f>
        <v>JJSDJPJTXXX</v>
      </c>
      <c r="AA413" s="1111" t="str">
        <f t="shared" si="99"/>
        <v>JP</v>
      </c>
      <c r="AB413" s="1111" t="str">
        <f t="shared" si="100"/>
        <v>Tavira SecuritiesJP</v>
      </c>
      <c r="AC413" s="1111" t="str">
        <f>VLOOKUP(AB413,sample!$1:$1048576,2,FALSE)</f>
        <v>GSILGB2XXXX</v>
      </c>
      <c r="AD413" s="1111" t="str">
        <f>VLOOKUP($AB413,sample!$1:$1048576,3,FALSE)</f>
        <v>JJSDJPJTXXX</v>
      </c>
      <c r="AE413" s="1104">
        <f>VLOOKUP($AB413,sample!$1:$1048576,4,FALSE)</f>
        <v>6530490016</v>
      </c>
      <c r="AF413" s="1111" t="str">
        <f>VLOOKUP($AB413,sample!$1:$1048576,5,FALSE)</f>
        <v>N</v>
      </c>
      <c r="AL413" s="1104" t="str">
        <f>VLOOKUP($AB413,sample!$1:$1048576,11,FALSE)</f>
        <v xml:space="preserve">                  </v>
      </c>
      <c r="AM413" s="1104" t="str">
        <f>VLOOKUP($AB413,sample!$1:$1048576,12,FALSE)</f>
        <v xml:space="preserve">                          </v>
      </c>
      <c r="AN413" s="1104" t="str">
        <f>VLOOKUP($AB413,sample!$1:$1048576,13,FALSE)</f>
        <v>GOLDJPJXXXX</v>
      </c>
      <c r="AP413" s="1111"/>
    </row>
    <row r="414" spans="1:42" s="690" customFormat="1">
      <c r="A414" s="1046">
        <v>2019200430</v>
      </c>
      <c r="B414" s="933">
        <v>44235</v>
      </c>
      <c r="C414" s="933" t="s">
        <v>137</v>
      </c>
      <c r="D414" s="1127" t="str">
        <f>IFERROR(VLOOKUP(G414,PosAggregate!$B$13:$B$93,1,FALSE),"")</f>
        <v/>
      </c>
      <c r="E414" s="1022" t="s">
        <v>1235</v>
      </c>
      <c r="F414" s="1132" t="str">
        <f t="shared" si="97"/>
        <v/>
      </c>
      <c r="G414" s="667" t="s">
        <v>1649</v>
      </c>
      <c r="I414" s="949" t="s">
        <v>1127</v>
      </c>
      <c r="J414" s="949" t="s">
        <v>125</v>
      </c>
      <c r="K414" s="1055">
        <v>2990.6333300000001</v>
      </c>
      <c r="L414" s="1055"/>
      <c r="M414" s="1055">
        <v>3000</v>
      </c>
      <c r="N414" s="1103">
        <f t="shared" si="101"/>
        <v>-8971899.9900000002</v>
      </c>
      <c r="O414" s="934">
        <v>-5383</v>
      </c>
      <c r="P414" s="934"/>
      <c r="R414" s="1100">
        <f t="shared" si="91"/>
        <v>-8977282.9900000002</v>
      </c>
      <c r="S414" s="995">
        <v>126.87402911744522</v>
      </c>
      <c r="T414" s="1121">
        <f t="shared" si="96"/>
        <v>-70757.451721580277</v>
      </c>
      <c r="U414" s="690">
        <v>44237</v>
      </c>
      <c r="V414" s="667" t="s">
        <v>1725</v>
      </c>
      <c r="W414" s="936">
        <v>44216.554416666666</v>
      </c>
      <c r="X414" s="1089">
        <f t="shared" si="98"/>
        <v>5.9998439639316573E-2</v>
      </c>
      <c r="Y414" s="690" t="s">
        <v>1763</v>
      </c>
      <c r="Z414" s="1111" t="str">
        <f>VLOOKUP(AA414,'place of settlement'!A:C,2,FALSE)</f>
        <v>JJSDJPJTXXX</v>
      </c>
      <c r="AA414" s="1111" t="str">
        <f t="shared" si="99"/>
        <v>JP</v>
      </c>
      <c r="AB414" s="1111" t="str">
        <f t="shared" si="100"/>
        <v>Tavira SecuritiesJP</v>
      </c>
      <c r="AC414" s="1111" t="str">
        <f>VLOOKUP(AB414,sample!$1:$1048576,2,FALSE)</f>
        <v>GSILGB2XXXX</v>
      </c>
      <c r="AD414" s="1111" t="str">
        <f>VLOOKUP($AB414,sample!$1:$1048576,3,FALSE)</f>
        <v>JJSDJPJTXXX</v>
      </c>
      <c r="AE414" s="1104">
        <f>VLOOKUP($AB414,sample!$1:$1048576,4,FALSE)</f>
        <v>6530490016</v>
      </c>
      <c r="AF414" s="1111" t="str">
        <f>VLOOKUP($AB414,sample!$1:$1048576,5,FALSE)</f>
        <v>N</v>
      </c>
      <c r="AL414" s="1104" t="str">
        <f>VLOOKUP($AB414,sample!$1:$1048576,11,FALSE)</f>
        <v xml:space="preserve">                  </v>
      </c>
      <c r="AM414" s="1104" t="str">
        <f>VLOOKUP($AB414,sample!$1:$1048576,12,FALSE)</f>
        <v xml:space="preserve">                          </v>
      </c>
      <c r="AN414" s="1104" t="str">
        <f>VLOOKUP($AB414,sample!$1:$1048576,13,FALSE)</f>
        <v>GOLDJPJXXXX</v>
      </c>
      <c r="AP414" s="1111"/>
    </row>
    <row r="415" spans="1:42" s="690" customFormat="1">
      <c r="A415" s="1046">
        <v>2019200431</v>
      </c>
      <c r="B415" s="933">
        <v>44235</v>
      </c>
      <c r="C415" s="933" t="s">
        <v>137</v>
      </c>
      <c r="D415" s="1127" t="str">
        <f>IFERROR(VLOOKUP(G415,PosAggregate!$B$13:$B$93,1,FALSE),"")</f>
        <v/>
      </c>
      <c r="E415" s="1022" t="s">
        <v>1236</v>
      </c>
      <c r="F415" s="1132" t="str">
        <f t="shared" si="97"/>
        <v/>
      </c>
      <c r="G415" s="667" t="s">
        <v>1185</v>
      </c>
      <c r="I415" s="949" t="s">
        <v>1126</v>
      </c>
      <c r="J415" s="949" t="s">
        <v>125</v>
      </c>
      <c r="K415" s="1055">
        <v>2252</v>
      </c>
      <c r="L415" s="1055"/>
      <c r="M415" s="1055">
        <v>3000</v>
      </c>
      <c r="N415" s="1103">
        <f t="shared" si="101"/>
        <v>-6756000</v>
      </c>
      <c r="O415" s="934">
        <v>-4054</v>
      </c>
      <c r="P415" s="934"/>
      <c r="R415" s="1100">
        <f t="shared" si="91"/>
        <v>-6760054</v>
      </c>
      <c r="S415" s="995">
        <v>126.87402911744499</v>
      </c>
      <c r="T415" s="1121">
        <f t="shared" si="96"/>
        <v>-53281.621518792788</v>
      </c>
      <c r="U415" s="690">
        <v>44237</v>
      </c>
      <c r="V415" s="667" t="s">
        <v>1725</v>
      </c>
      <c r="W415" s="936">
        <v>44216.554416666666</v>
      </c>
      <c r="X415" s="1089">
        <f t="shared" si="98"/>
        <v>6.0005920663114262E-2</v>
      </c>
      <c r="Y415" s="690" t="s">
        <v>1763</v>
      </c>
      <c r="Z415" s="1111" t="str">
        <f>VLOOKUP(AA415,'place of settlement'!A:C,2,FALSE)</f>
        <v>JJSDJPJTXXX</v>
      </c>
      <c r="AA415" s="1111" t="str">
        <f t="shared" si="99"/>
        <v>JP</v>
      </c>
      <c r="AB415" s="1111" t="str">
        <f t="shared" si="100"/>
        <v>Tavira SecuritiesJP</v>
      </c>
      <c r="AC415" s="1111" t="str">
        <f>VLOOKUP(AB415,sample!$1:$1048576,2,FALSE)</f>
        <v>GSILGB2XXXX</v>
      </c>
      <c r="AD415" s="1111" t="str">
        <f>VLOOKUP($AB415,sample!$1:$1048576,3,FALSE)</f>
        <v>JJSDJPJTXXX</v>
      </c>
      <c r="AE415" s="1104">
        <f>VLOOKUP($AB415,sample!$1:$1048576,4,FALSE)</f>
        <v>6530490016</v>
      </c>
      <c r="AF415" s="1111" t="str">
        <f>VLOOKUP($AB415,sample!$1:$1048576,5,FALSE)</f>
        <v>N</v>
      </c>
      <c r="AL415" s="1104" t="str">
        <f>VLOOKUP($AB415,sample!$1:$1048576,11,FALSE)</f>
        <v xml:space="preserve">                  </v>
      </c>
      <c r="AM415" s="1104" t="str">
        <f>VLOOKUP($AB415,sample!$1:$1048576,12,FALSE)</f>
        <v xml:space="preserve">                          </v>
      </c>
      <c r="AN415" s="1104" t="str">
        <f>VLOOKUP($AB415,sample!$1:$1048576,13,FALSE)</f>
        <v>GOLDJPJXXXX</v>
      </c>
      <c r="AP415" s="1111"/>
    </row>
    <row r="416" spans="1:42" s="690" customFormat="1">
      <c r="A416" s="1046">
        <v>2019200432</v>
      </c>
      <c r="B416" s="933">
        <v>44236</v>
      </c>
      <c r="C416" s="933" t="s">
        <v>137</v>
      </c>
      <c r="D416" s="1127" t="str">
        <f>IFERROR(VLOOKUP(G416,PosAggregate!$B$13:$B$93,1,FALSE),"")</f>
        <v/>
      </c>
      <c r="E416" s="1022" t="s">
        <v>1236</v>
      </c>
      <c r="F416" s="1132" t="str">
        <f t="shared" si="97"/>
        <v/>
      </c>
      <c r="G416" s="667" t="s">
        <v>1185</v>
      </c>
      <c r="I416" s="949" t="s">
        <v>1126</v>
      </c>
      <c r="J416" s="949" t="s">
        <v>125</v>
      </c>
      <c r="K416" s="1055">
        <v>2182</v>
      </c>
      <c r="L416" s="1055"/>
      <c r="M416" s="1055">
        <v>3000</v>
      </c>
      <c r="N416" s="1103">
        <f t="shared" si="101"/>
        <v>-6546000</v>
      </c>
      <c r="O416" s="934">
        <v>-3928</v>
      </c>
      <c r="R416" s="1100">
        <f t="shared" si="91"/>
        <v>-6549928</v>
      </c>
      <c r="S416" s="995">
        <v>126.70697572974339</v>
      </c>
      <c r="T416" s="1121">
        <f t="shared" si="96"/>
        <v>-51693.507498517778</v>
      </c>
      <c r="U416" s="690">
        <v>44239</v>
      </c>
      <c r="V416" s="667" t="s">
        <v>1725</v>
      </c>
      <c r="W416" s="936">
        <v>44216.554416666666</v>
      </c>
      <c r="X416" s="1089">
        <f t="shared" si="98"/>
        <v>6.0006110601894293E-2</v>
      </c>
      <c r="Y416" s="690" t="s">
        <v>1763</v>
      </c>
      <c r="Z416" s="1111" t="str">
        <f>VLOOKUP(AA416,'place of settlement'!A:C,2,FALSE)</f>
        <v>JJSDJPJTXXX</v>
      </c>
      <c r="AA416" s="1111" t="str">
        <f t="shared" si="99"/>
        <v>JP</v>
      </c>
      <c r="AB416" s="1111" t="str">
        <f t="shared" si="100"/>
        <v>Tavira SecuritiesJP</v>
      </c>
      <c r="AC416" s="1111" t="str">
        <f>VLOOKUP(AB416,sample!$1:$1048576,2,FALSE)</f>
        <v>GSILGB2XXXX</v>
      </c>
      <c r="AD416" s="1111" t="str">
        <f>VLOOKUP($AB416,sample!$1:$1048576,3,FALSE)</f>
        <v>JJSDJPJTXXX</v>
      </c>
      <c r="AE416" s="1104">
        <f>VLOOKUP($AB416,sample!$1:$1048576,4,FALSE)</f>
        <v>6530490016</v>
      </c>
      <c r="AF416" s="1111" t="str">
        <f>VLOOKUP($AB416,sample!$1:$1048576,5,FALSE)</f>
        <v>N</v>
      </c>
      <c r="AL416" s="1104" t="str">
        <f>VLOOKUP($AB416,sample!$1:$1048576,11,FALSE)</f>
        <v xml:space="preserve">                  </v>
      </c>
      <c r="AM416" s="1104" t="str">
        <f>VLOOKUP($AB416,sample!$1:$1048576,12,FALSE)</f>
        <v xml:space="preserve">                          </v>
      </c>
      <c r="AN416" s="1104" t="str">
        <f>VLOOKUP($AB416,sample!$1:$1048576,13,FALSE)</f>
        <v>GOLDJPJXXXX</v>
      </c>
      <c r="AP416" s="1111"/>
    </row>
    <row r="417" spans="1:42" s="690" customFormat="1">
      <c r="A417" s="690" t="s">
        <v>2166</v>
      </c>
      <c r="B417" s="933">
        <v>44237</v>
      </c>
      <c r="C417" s="933" t="s">
        <v>137</v>
      </c>
      <c r="D417" s="1021"/>
      <c r="E417" s="880" t="s">
        <v>12714</v>
      </c>
      <c r="F417" s="1132" t="str">
        <f t="shared" si="97"/>
        <v/>
      </c>
      <c r="G417" s="667" t="s">
        <v>12715</v>
      </c>
      <c r="I417" s="949" t="s">
        <v>12716</v>
      </c>
      <c r="J417" s="949" t="s">
        <v>12790</v>
      </c>
      <c r="L417" s="934"/>
      <c r="M417" s="1055">
        <v>16000</v>
      </c>
      <c r="N417" s="1103">
        <f t="shared" si="101"/>
        <v>0</v>
      </c>
      <c r="O417" s="934"/>
      <c r="R417" s="1100">
        <f t="shared" si="91"/>
        <v>0</v>
      </c>
      <c r="S417" s="667"/>
      <c r="T417" s="1051">
        <v>0</v>
      </c>
      <c r="V417" s="667"/>
      <c r="W417" s="936"/>
      <c r="X417" s="1089" t="e">
        <f t="shared" si="98"/>
        <v>#DIV/0!</v>
      </c>
      <c r="Y417" s="690" t="s">
        <v>1763</v>
      </c>
      <c r="Z417" s="1111" t="str">
        <f>VLOOKUP(AA417,'place of settlement'!A:C,2,FALSE)</f>
        <v>MOTIITMMXXX</v>
      </c>
      <c r="AA417" s="1111" t="str">
        <f t="shared" si="99"/>
        <v>IT</v>
      </c>
      <c r="AB417" s="1111" t="str">
        <f t="shared" si="100"/>
        <v>IT</v>
      </c>
      <c r="AC417" s="1111" t="e">
        <f>VLOOKUP(AB417,sample!$1:$1048576,2,FALSE)</f>
        <v>#N/A</v>
      </c>
      <c r="AD417" s="1111" t="e">
        <f>VLOOKUP($AB417,sample!$1:$1048576,3,FALSE)</f>
        <v>#N/A</v>
      </c>
      <c r="AE417" s="1104" t="e">
        <f>VLOOKUP($AB417,sample!$1:$1048576,4,FALSE)</f>
        <v>#N/A</v>
      </c>
      <c r="AF417" s="1111" t="e">
        <f>VLOOKUP($AB417,sample!$1:$1048576,5,FALSE)</f>
        <v>#N/A</v>
      </c>
      <c r="AL417" s="1104" t="e">
        <f>VLOOKUP($AB417,sample!$1:$1048576,11,FALSE)</f>
        <v>#N/A</v>
      </c>
      <c r="AM417" s="1104" t="e">
        <f>VLOOKUP($AB417,sample!$1:$1048576,12,FALSE)</f>
        <v>#N/A</v>
      </c>
      <c r="AN417" s="1104" t="e">
        <f>VLOOKUP($AB417,sample!$1:$1048576,13,FALSE)</f>
        <v>#N/A</v>
      </c>
      <c r="AP417" s="1111"/>
    </row>
    <row r="418" spans="1:42" s="690" customFormat="1">
      <c r="A418" s="1046">
        <v>2019200433</v>
      </c>
      <c r="B418" s="933">
        <v>44242</v>
      </c>
      <c r="C418" s="933" t="s">
        <v>137</v>
      </c>
      <c r="D418" s="1127" t="str">
        <f>IFERROR(VLOOKUP(G418,PosAggregate!$B$13:$B$93,1,FALSE),"")</f>
        <v/>
      </c>
      <c r="E418" s="1022" t="s">
        <v>12867</v>
      </c>
      <c r="F418" s="1132" t="str">
        <f t="shared" si="97"/>
        <v/>
      </c>
      <c r="G418" s="667" t="s">
        <v>12699</v>
      </c>
      <c r="I418" s="949" t="s">
        <v>12802</v>
      </c>
      <c r="J418" s="949" t="s">
        <v>125</v>
      </c>
      <c r="K418" s="1055">
        <v>1028.8722889999999</v>
      </c>
      <c r="L418" s="1055"/>
      <c r="M418" s="1055">
        <v>8300</v>
      </c>
      <c r="N418" s="1103">
        <f t="shared" si="101"/>
        <v>-8539639.9986999985</v>
      </c>
      <c r="O418" s="934">
        <v>-5124</v>
      </c>
      <c r="R418" s="1100">
        <f t="shared" si="91"/>
        <v>-8544763.9986999985</v>
      </c>
      <c r="S418" s="995">
        <v>127.15397106226213</v>
      </c>
      <c r="T418" s="1121">
        <f t="shared" si="96"/>
        <v>-67200.134823284243</v>
      </c>
      <c r="U418" s="690">
        <v>44244</v>
      </c>
      <c r="V418" s="667" t="s">
        <v>1725</v>
      </c>
      <c r="W418" s="936">
        <v>44216.554416666666</v>
      </c>
      <c r="X418" s="1089">
        <f t="shared" si="98"/>
        <v>6.0002529389763901E-2</v>
      </c>
      <c r="Y418" s="690" t="s">
        <v>1763</v>
      </c>
      <c r="Z418" s="1111" t="str">
        <f>VLOOKUP(AA418,'place of settlement'!A:C,2,FALSE)</f>
        <v>JJSDJPJTXXX</v>
      </c>
      <c r="AA418" s="1111" t="str">
        <f t="shared" si="99"/>
        <v>JP</v>
      </c>
      <c r="AB418" s="1111" t="str">
        <f t="shared" si="100"/>
        <v>Tavira SecuritiesJP</v>
      </c>
      <c r="AC418" s="1111" t="str">
        <f>VLOOKUP(AB418,sample!$1:$1048576,2,FALSE)</f>
        <v>GSILGB2XXXX</v>
      </c>
      <c r="AD418" s="1111" t="str">
        <f>VLOOKUP($AB418,sample!$1:$1048576,3,FALSE)</f>
        <v>JJSDJPJTXXX</v>
      </c>
      <c r="AE418" s="1104">
        <f>VLOOKUP($AB418,sample!$1:$1048576,4,FALSE)</f>
        <v>6530490016</v>
      </c>
      <c r="AF418" s="1111" t="str">
        <f>VLOOKUP($AB418,sample!$1:$1048576,5,FALSE)</f>
        <v>N</v>
      </c>
      <c r="AL418" s="1104" t="str">
        <f>VLOOKUP($AB418,sample!$1:$1048576,11,FALSE)</f>
        <v xml:space="preserve">                  </v>
      </c>
      <c r="AM418" s="1104" t="str">
        <f>VLOOKUP($AB418,sample!$1:$1048576,12,FALSE)</f>
        <v xml:space="preserve">                          </v>
      </c>
      <c r="AN418" s="1104" t="str">
        <f>VLOOKUP($AB418,sample!$1:$1048576,13,FALSE)</f>
        <v>GOLDJPJXXXX</v>
      </c>
      <c r="AP418" s="1111"/>
    </row>
    <row r="419" spans="1:42" s="690" customFormat="1">
      <c r="A419" s="1046">
        <v>2019200434</v>
      </c>
      <c r="B419" s="933">
        <v>44251</v>
      </c>
      <c r="C419" s="933" t="s">
        <v>137</v>
      </c>
      <c r="D419" s="1127" t="str">
        <f>IFERROR(VLOOKUP(G419,PosAggregate!$B$13:$B$93,1,FALSE),"")</f>
        <v/>
      </c>
      <c r="E419" s="1022" t="s">
        <v>12868</v>
      </c>
      <c r="F419" s="1132" t="str">
        <f t="shared" si="97"/>
        <v/>
      </c>
      <c r="G419" s="667" t="s">
        <v>12700</v>
      </c>
      <c r="I419" s="949" t="s">
        <v>12803</v>
      </c>
      <c r="J419" s="949" t="s">
        <v>125</v>
      </c>
      <c r="K419" s="1055">
        <v>847.11549300000001</v>
      </c>
      <c r="L419" s="934"/>
      <c r="M419" s="1055">
        <v>7100</v>
      </c>
      <c r="N419" s="1103">
        <f t="shared" si="101"/>
        <v>-6014520.0003000004</v>
      </c>
      <c r="O419" s="934">
        <v>-3609</v>
      </c>
      <c r="R419" s="1100">
        <f t="shared" si="91"/>
        <v>-6018129.0003000004</v>
      </c>
      <c r="S419" s="995">
        <v>127.85654408280777</v>
      </c>
      <c r="T419" s="1121">
        <f t="shared" si="96"/>
        <v>-47069.385798526586</v>
      </c>
      <c r="U419" s="690">
        <v>44253</v>
      </c>
      <c r="V419" s="667" t="s">
        <v>1725</v>
      </c>
      <c r="W419" s="936">
        <v>44216.554416666666</v>
      </c>
      <c r="X419" s="1089">
        <f t="shared" si="98"/>
        <v>6.0004788409049853E-2</v>
      </c>
      <c r="Y419" s="690" t="s">
        <v>1763</v>
      </c>
      <c r="Z419" s="1111" t="str">
        <f>VLOOKUP(AA419,'place of settlement'!A:C,2,FALSE)</f>
        <v>JJSDJPJTXXX</v>
      </c>
      <c r="AA419" s="1111" t="str">
        <f t="shared" si="99"/>
        <v>JP</v>
      </c>
      <c r="AB419" s="1111" t="str">
        <f t="shared" si="100"/>
        <v>Tavira SecuritiesJP</v>
      </c>
      <c r="AC419" s="1111" t="str">
        <f>VLOOKUP(AB419,sample!$1:$1048576,2,FALSE)</f>
        <v>GSILGB2XXXX</v>
      </c>
      <c r="AD419" s="1111" t="str">
        <f>VLOOKUP($AB419,sample!$1:$1048576,3,FALSE)</f>
        <v>JJSDJPJTXXX</v>
      </c>
      <c r="AE419" s="1104">
        <f>VLOOKUP($AB419,sample!$1:$1048576,4,FALSE)</f>
        <v>6530490016</v>
      </c>
      <c r="AF419" s="1111" t="str">
        <f>VLOOKUP($AB419,sample!$1:$1048576,5,FALSE)</f>
        <v>N</v>
      </c>
      <c r="AL419" s="1104" t="str">
        <f>VLOOKUP($AB419,sample!$1:$1048576,11,FALSE)</f>
        <v xml:space="preserve">                  </v>
      </c>
      <c r="AM419" s="1104" t="str">
        <f>VLOOKUP($AB419,sample!$1:$1048576,12,FALSE)</f>
        <v xml:space="preserve">                          </v>
      </c>
      <c r="AN419" s="1104" t="str">
        <f>VLOOKUP($AB419,sample!$1:$1048576,13,FALSE)</f>
        <v>GOLDJPJXXXX</v>
      </c>
      <c r="AP419" s="1111"/>
    </row>
    <row r="420" spans="1:42" s="690" customFormat="1">
      <c r="A420" s="1046">
        <v>2019200435</v>
      </c>
      <c r="B420" s="933">
        <v>44251</v>
      </c>
      <c r="C420" s="933" t="s">
        <v>137</v>
      </c>
      <c r="D420" s="1127" t="str">
        <f>IFERROR(VLOOKUP(G420,PosAggregate!$B$13:$B$93,1,FALSE),"")</f>
        <v/>
      </c>
      <c r="E420" s="1022" t="s">
        <v>12865</v>
      </c>
      <c r="F420" s="1132" t="str">
        <f t="shared" si="97"/>
        <v/>
      </c>
      <c r="G420" s="667" t="s">
        <v>12713</v>
      </c>
      <c r="I420" s="949" t="s">
        <v>12800</v>
      </c>
      <c r="J420" s="949" t="s">
        <v>125</v>
      </c>
      <c r="K420" s="1055">
        <v>285.52814799999999</v>
      </c>
      <c r="L420" s="934"/>
      <c r="M420" s="1055">
        <v>27000</v>
      </c>
      <c r="N420" s="1103">
        <f t="shared" si="101"/>
        <v>-7709259.9959999993</v>
      </c>
      <c r="O420" s="934">
        <v>-4626</v>
      </c>
      <c r="R420" s="1100">
        <f t="shared" si="91"/>
        <v>-7713885.9959999993</v>
      </c>
      <c r="S420" s="995">
        <v>127.8565440828078</v>
      </c>
      <c r="T420" s="1121">
        <f t="shared" si="96"/>
        <v>-60332.351787985215</v>
      </c>
      <c r="U420" s="690">
        <v>44253</v>
      </c>
      <c r="V420" s="667" t="s">
        <v>1725</v>
      </c>
      <c r="W420" s="936">
        <v>44216.554416666666</v>
      </c>
      <c r="X420" s="1089">
        <f t="shared" si="98"/>
        <v>6.0005759338772217E-2</v>
      </c>
      <c r="Y420" s="690" t="s">
        <v>1763</v>
      </c>
      <c r="Z420" s="1111" t="str">
        <f>VLOOKUP(AA420,'place of settlement'!A:C,2,FALSE)</f>
        <v>JJSDJPJTXXX</v>
      </c>
      <c r="AA420" s="1111" t="str">
        <f t="shared" si="99"/>
        <v>JP</v>
      </c>
      <c r="AB420" s="1111" t="str">
        <f t="shared" si="100"/>
        <v>Tavira SecuritiesJP</v>
      </c>
      <c r="AC420" s="1111" t="str">
        <f>VLOOKUP(AB420,sample!$1:$1048576,2,FALSE)</f>
        <v>GSILGB2XXXX</v>
      </c>
      <c r="AD420" s="1111" t="str">
        <f>VLOOKUP($AB420,sample!$1:$1048576,3,FALSE)</f>
        <v>JJSDJPJTXXX</v>
      </c>
      <c r="AE420" s="1104">
        <f>VLOOKUP($AB420,sample!$1:$1048576,4,FALSE)</f>
        <v>6530490016</v>
      </c>
      <c r="AF420" s="1111" t="str">
        <f>VLOOKUP($AB420,sample!$1:$1048576,5,FALSE)</f>
        <v>N</v>
      </c>
      <c r="AL420" s="1104" t="str">
        <f>VLOOKUP($AB420,sample!$1:$1048576,11,FALSE)</f>
        <v xml:space="preserve">                  </v>
      </c>
      <c r="AM420" s="1104" t="str">
        <f>VLOOKUP($AB420,sample!$1:$1048576,12,FALSE)</f>
        <v xml:space="preserve">                          </v>
      </c>
      <c r="AN420" s="1104" t="str">
        <f>VLOOKUP($AB420,sample!$1:$1048576,13,FALSE)</f>
        <v>GOLDJPJXXXX</v>
      </c>
      <c r="AP420" s="1111"/>
    </row>
    <row r="421" spans="1:42" s="690" customFormat="1">
      <c r="A421" s="1046">
        <v>2019200436</v>
      </c>
      <c r="B421" s="933">
        <v>44256</v>
      </c>
      <c r="C421" s="933" t="s">
        <v>137</v>
      </c>
      <c r="D421" s="1127" t="str">
        <f>IFERROR(VLOOKUP(G421,PosAggregate!$B$13:$B$93,1,FALSE),"")</f>
        <v/>
      </c>
      <c r="E421" s="1022" t="s">
        <v>12873</v>
      </c>
      <c r="F421" s="1132" t="str">
        <f t="shared" si="97"/>
        <v/>
      </c>
      <c r="G421" s="667" t="s">
        <v>12718</v>
      </c>
      <c r="I421" s="949" t="s">
        <v>12807</v>
      </c>
      <c r="J421" s="949" t="s">
        <v>125</v>
      </c>
      <c r="K421" s="1055">
        <v>2657.2294000000002</v>
      </c>
      <c r="L421" s="934"/>
      <c r="M421" s="1055">
        <v>17000</v>
      </c>
      <c r="N421" s="1103">
        <f t="shared" si="101"/>
        <v>-45172899.800000004</v>
      </c>
      <c r="O421" s="934">
        <v>-27104</v>
      </c>
      <c r="R421" s="1100">
        <f t="shared" si="91"/>
        <v>-45200003.800000004</v>
      </c>
      <c r="S421" s="995">
        <v>128.68406119073191</v>
      </c>
      <c r="T421" s="1121">
        <f t="shared" si="96"/>
        <v>-351247.88090893265</v>
      </c>
      <c r="U421" s="690">
        <v>44258</v>
      </c>
      <c r="V421" s="667" t="s">
        <v>1725</v>
      </c>
      <c r="W421" s="936">
        <v>44216.554416666666</v>
      </c>
      <c r="X421" s="1089">
        <f t="shared" si="98"/>
        <v>6.0000575831972595E-2</v>
      </c>
      <c r="Y421" s="690" t="s">
        <v>1763</v>
      </c>
      <c r="Z421" s="1111" t="str">
        <f>VLOOKUP(AA421,'place of settlement'!A:C,2,FALSE)</f>
        <v>JJSDJPJTXXX</v>
      </c>
      <c r="AA421" s="1111" t="str">
        <f t="shared" si="99"/>
        <v>JP</v>
      </c>
      <c r="AB421" s="1111" t="str">
        <f t="shared" si="100"/>
        <v>Tavira SecuritiesJP</v>
      </c>
      <c r="AC421" s="1111" t="str">
        <f>VLOOKUP(AB421,sample!$1:$1048576,2,FALSE)</f>
        <v>GSILGB2XXXX</v>
      </c>
      <c r="AD421" s="1111" t="str">
        <f>VLOOKUP($AB421,sample!$1:$1048576,3,FALSE)</f>
        <v>JJSDJPJTXXX</v>
      </c>
      <c r="AE421" s="1104">
        <f>VLOOKUP($AB421,sample!$1:$1048576,4,FALSE)</f>
        <v>6530490016</v>
      </c>
      <c r="AF421" s="1111" t="str">
        <f>VLOOKUP($AB421,sample!$1:$1048576,5,FALSE)</f>
        <v>N</v>
      </c>
      <c r="AL421" s="1104" t="str">
        <f>VLOOKUP($AB421,sample!$1:$1048576,11,FALSE)</f>
        <v xml:space="preserve">                  </v>
      </c>
      <c r="AM421" s="1104" t="str">
        <f>VLOOKUP($AB421,sample!$1:$1048576,12,FALSE)</f>
        <v xml:space="preserve">                          </v>
      </c>
      <c r="AN421" s="1104" t="str">
        <f>VLOOKUP($AB421,sample!$1:$1048576,13,FALSE)</f>
        <v>GOLDJPJXXXX</v>
      </c>
      <c r="AP421" s="1111"/>
    </row>
    <row r="422" spans="1:42" s="690" customFormat="1">
      <c r="A422" s="1046">
        <v>2019200437</v>
      </c>
      <c r="B422" s="933">
        <v>44260</v>
      </c>
      <c r="C422" s="933" t="s">
        <v>137</v>
      </c>
      <c r="D422" s="1127" t="str">
        <f>IFERROR(VLOOKUP(G422,PosAggregate!$B$13:$B$93,1,FALSE),"")</f>
        <v/>
      </c>
      <c r="E422" s="1022" t="s">
        <v>1263</v>
      </c>
      <c r="F422" s="1132" t="str">
        <f t="shared" si="97"/>
        <v/>
      </c>
      <c r="G422" s="667" t="s">
        <v>1214</v>
      </c>
      <c r="I422" s="949" t="s">
        <v>12811</v>
      </c>
      <c r="J422" s="949" t="s">
        <v>2</v>
      </c>
      <c r="K422" s="1055">
        <v>29.857177</v>
      </c>
      <c r="L422" s="934"/>
      <c r="M422" s="1055">
        <v>3800</v>
      </c>
      <c r="N422" s="1103">
        <f t="shared" si="101"/>
        <v>-113457.2726</v>
      </c>
      <c r="O422" s="934">
        <v>-68.069999999999993</v>
      </c>
      <c r="P422" s="934">
        <v>-340.37</v>
      </c>
      <c r="Q422" s="934"/>
      <c r="R422" s="1100">
        <f t="shared" si="91"/>
        <v>-113865.7126</v>
      </c>
      <c r="S422" s="995">
        <v>1</v>
      </c>
      <c r="T422" s="1121">
        <f t="shared" si="96"/>
        <v>-113865.7126</v>
      </c>
      <c r="U422" s="690">
        <v>44264</v>
      </c>
      <c r="V422" s="667" t="s">
        <v>1725</v>
      </c>
      <c r="W422" s="936">
        <v>44216.554416666666</v>
      </c>
      <c r="X422" s="1089">
        <f t="shared" si="98"/>
        <v>5.9996154005908998E-2</v>
      </c>
      <c r="Y422" s="690" t="s">
        <v>1763</v>
      </c>
      <c r="Z422" s="1111" t="str">
        <f>VLOOKUP(AA422,'place of settlement'!A:C,2,FALSE)</f>
        <v>SICVFRPPXXX</v>
      </c>
      <c r="AA422" s="1111" t="str">
        <f t="shared" si="99"/>
        <v>FR</v>
      </c>
      <c r="AB422" s="1111" t="str">
        <f t="shared" si="100"/>
        <v>Tavira SecuritiesFR</v>
      </c>
      <c r="AC422" s="1111" t="str">
        <f>VLOOKUP(AB422,sample!$1:$1048576,2,FALSE)</f>
        <v>GSILGB2XXXX</v>
      </c>
      <c r="AD422" s="1111" t="str">
        <f>VLOOKUP($AB422,sample!$1:$1048576,3,FALSE)</f>
        <v>SICVFRPPXXX</v>
      </c>
      <c r="AE422" s="1104" t="str">
        <f>VLOOKUP($AB422,sample!$1:$1048576,4,FALSE)</f>
        <v>SICVPARBFRPPXXX000L10</v>
      </c>
      <c r="AF422" s="1111" t="str">
        <f>VLOOKUP($AB422,sample!$1:$1048576,5,FALSE)</f>
        <v>N</v>
      </c>
      <c r="AL422" s="1104" t="str">
        <f>VLOOKUP($AB422,sample!$1:$1048576,11,FALSE)</f>
        <v xml:space="preserve">        </v>
      </c>
      <c r="AM422" s="1104" t="str">
        <f>VLOOKUP($AB422,sample!$1:$1048576,12,FALSE)</f>
        <v xml:space="preserve">        </v>
      </c>
      <c r="AN422" s="1104" t="str">
        <f>VLOOKUP($AB422,sample!$1:$1048576,13,FALSE)</f>
        <v>PARBFRPPXXX</v>
      </c>
      <c r="AP422" s="1111"/>
    </row>
    <row r="423" spans="1:42" s="690" customFormat="1">
      <c r="A423" s="1123">
        <f>(A422+1)</f>
        <v>2019200438</v>
      </c>
      <c r="B423" s="933">
        <v>44264</v>
      </c>
      <c r="C423" s="933" t="s">
        <v>138</v>
      </c>
      <c r="D423" s="1127" t="str">
        <f>IFERROR(VLOOKUP(G423,PosAggregate!$B$13:$B$93,1,FALSE),"")</f>
        <v/>
      </c>
      <c r="E423" s="1022" t="s">
        <v>12856</v>
      </c>
      <c r="F423" s="1132" t="str">
        <f t="shared" si="97"/>
        <v/>
      </c>
      <c r="G423" s="667" t="s">
        <v>2168</v>
      </c>
      <c r="I423" s="949" t="s">
        <v>1142</v>
      </c>
      <c r="J423" s="949" t="s">
        <v>123</v>
      </c>
      <c r="K423" s="1055">
        <v>288547.27269999997</v>
      </c>
      <c r="L423" s="934"/>
      <c r="M423" s="1055">
        <v>-165</v>
      </c>
      <c r="N423" s="1103">
        <f t="shared" si="101"/>
        <v>47610299.995499998</v>
      </c>
      <c r="O423" s="934">
        <v>-71415</v>
      </c>
      <c r="P423" s="934">
        <v>-109498</v>
      </c>
      <c r="Q423" s="934"/>
      <c r="R423" s="1100">
        <f t="shared" si="91"/>
        <v>47429386.995499998</v>
      </c>
      <c r="S423" s="995">
        <v>1351.0860039318775</v>
      </c>
      <c r="T423" s="1121">
        <f t="shared" si="96"/>
        <v>35104.639421526728</v>
      </c>
      <c r="U423" s="690">
        <v>44266</v>
      </c>
      <c r="V423" s="667" t="s">
        <v>1230</v>
      </c>
      <c r="W423" s="936">
        <v>44216.554416666666</v>
      </c>
      <c r="X423" s="1089">
        <f t="shared" si="98"/>
        <v>-0.14999905484054912</v>
      </c>
      <c r="Y423" s="690" t="s">
        <v>1763</v>
      </c>
      <c r="Z423" s="1111" t="str">
        <f>VLOOKUP(AA423,'place of settlement'!A:C,2,FALSE)</f>
        <v>KSDCKRSEXXX</v>
      </c>
      <c r="AA423" s="1111" t="str">
        <f t="shared" si="99"/>
        <v>KR</v>
      </c>
      <c r="AB423" s="1111" t="str">
        <f t="shared" si="100"/>
        <v>SamsungKR</v>
      </c>
      <c r="AC423" s="1111" t="e">
        <f>VLOOKUP(AB423,sample!$1:$1048576,2,FALSE)</f>
        <v>#N/A</v>
      </c>
      <c r="AD423" s="1111" t="e">
        <f>VLOOKUP($AB423,sample!$1:$1048576,3,FALSE)</f>
        <v>#N/A</v>
      </c>
      <c r="AE423" s="1104" t="e">
        <f>VLOOKUP($AB423,sample!$1:$1048576,4,FALSE)</f>
        <v>#N/A</v>
      </c>
      <c r="AF423" s="1111" t="e">
        <f>VLOOKUP($AB423,sample!$1:$1048576,5,FALSE)</f>
        <v>#N/A</v>
      </c>
      <c r="AL423" s="1104" t="e">
        <f>VLOOKUP($AB423,sample!$1:$1048576,11,FALSE)</f>
        <v>#N/A</v>
      </c>
      <c r="AM423" s="1104" t="e">
        <f>VLOOKUP($AB423,sample!$1:$1048576,12,FALSE)</f>
        <v>#N/A</v>
      </c>
      <c r="AN423" s="1104" t="e">
        <f>VLOOKUP($AB423,sample!$1:$1048576,13,FALSE)</f>
        <v>#N/A</v>
      </c>
      <c r="AP423" s="1111"/>
    </row>
    <row r="424" spans="1:42" s="690" customFormat="1">
      <c r="A424" s="1123">
        <f t="shared" ref="A424:A433" si="104">(A423+1)</f>
        <v>2019200439</v>
      </c>
      <c r="B424" s="933">
        <v>44264</v>
      </c>
      <c r="C424" s="933" t="s">
        <v>138</v>
      </c>
      <c r="D424" s="1127" t="str">
        <f>IFERROR(VLOOKUP(G424,PosAggregate!$B$13:$B$93,1,FALSE),"")</f>
        <v/>
      </c>
      <c r="E424" s="1022" t="s">
        <v>1257</v>
      </c>
      <c r="F424" s="1132" t="str">
        <f t="shared" si="97"/>
        <v/>
      </c>
      <c r="G424" s="667" t="s">
        <v>1207</v>
      </c>
      <c r="I424" s="949" t="s">
        <v>1135</v>
      </c>
      <c r="J424" s="949" t="s">
        <v>123</v>
      </c>
      <c r="K424" s="1055">
        <v>64285.188300000002</v>
      </c>
      <c r="L424" s="934"/>
      <c r="M424" s="1055">
        <v>-2390</v>
      </c>
      <c r="N424" s="1103">
        <f t="shared" si="101"/>
        <v>153641600.037</v>
      </c>
      <c r="O424" s="934">
        <v>-230462</v>
      </c>
      <c r="P424" s="934">
        <v>-353361</v>
      </c>
      <c r="Q424" s="934"/>
      <c r="R424" s="1100">
        <f t="shared" si="91"/>
        <v>153057777.037</v>
      </c>
      <c r="S424" s="995">
        <v>1351.0860039318786</v>
      </c>
      <c r="T424" s="1121">
        <f t="shared" si="96"/>
        <v>113284.9993202336</v>
      </c>
      <c r="U424" s="690">
        <v>44266</v>
      </c>
      <c r="V424" s="667" t="s">
        <v>1230</v>
      </c>
      <c r="W424" s="936">
        <v>44216.554416666666</v>
      </c>
      <c r="X424" s="1089">
        <f t="shared" si="98"/>
        <v>-0.14999973961772078</v>
      </c>
      <c r="Y424" s="690" t="s">
        <v>1763</v>
      </c>
      <c r="Z424" s="1111" t="str">
        <f>VLOOKUP(AA424,'place of settlement'!A:C,2,FALSE)</f>
        <v>KSDCKRSEXXX</v>
      </c>
      <c r="AA424" s="1111" t="str">
        <f t="shared" si="99"/>
        <v>KR</v>
      </c>
      <c r="AB424" s="1111" t="str">
        <f t="shared" si="100"/>
        <v>SamsungKR</v>
      </c>
      <c r="AC424" s="1111" t="e">
        <f>VLOOKUP(AB424,sample!$1:$1048576,2,FALSE)</f>
        <v>#N/A</v>
      </c>
      <c r="AD424" s="1111" t="e">
        <f>VLOOKUP($AB424,sample!$1:$1048576,3,FALSE)</f>
        <v>#N/A</v>
      </c>
      <c r="AE424" s="1104" t="e">
        <f>VLOOKUP($AB424,sample!$1:$1048576,4,FALSE)</f>
        <v>#N/A</v>
      </c>
      <c r="AF424" s="1111" t="e">
        <f>VLOOKUP($AB424,sample!$1:$1048576,5,FALSE)</f>
        <v>#N/A</v>
      </c>
      <c r="AL424" s="1104" t="e">
        <f>VLOOKUP($AB424,sample!$1:$1048576,11,FALSE)</f>
        <v>#N/A</v>
      </c>
      <c r="AM424" s="1104" t="e">
        <f>VLOOKUP($AB424,sample!$1:$1048576,12,FALSE)</f>
        <v>#N/A</v>
      </c>
      <c r="AN424" s="1104" t="e">
        <f>VLOOKUP($AB424,sample!$1:$1048576,13,FALSE)</f>
        <v>#N/A</v>
      </c>
      <c r="AP424" s="1111"/>
    </row>
    <row r="425" spans="1:42" s="690" customFormat="1">
      <c r="A425" s="1123">
        <f t="shared" si="104"/>
        <v>2019200440</v>
      </c>
      <c r="B425" s="933">
        <v>44264</v>
      </c>
      <c r="C425" s="933" t="s">
        <v>138</v>
      </c>
      <c r="D425" s="1127" t="str">
        <f>IFERROR(VLOOKUP(G425,PosAggregate!$B$13:$B$93,1,FALSE),"")</f>
        <v/>
      </c>
      <c r="E425" s="1022" t="s">
        <v>1672</v>
      </c>
      <c r="F425" s="1132" t="str">
        <f t="shared" si="97"/>
        <v/>
      </c>
      <c r="G425" s="667" t="s">
        <v>1639</v>
      </c>
      <c r="I425" s="949" t="s">
        <v>1643</v>
      </c>
      <c r="J425" s="949" t="s">
        <v>123</v>
      </c>
      <c r="K425" s="1055">
        <v>17759.7965</v>
      </c>
      <c r="L425" s="934"/>
      <c r="M425" s="1055">
        <v>-8355</v>
      </c>
      <c r="N425" s="1103">
        <f t="shared" si="101"/>
        <v>148383099.75749999</v>
      </c>
      <c r="O425" s="934">
        <v>-222575</v>
      </c>
      <c r="P425" s="934">
        <v>-341212</v>
      </c>
      <c r="Q425" s="934"/>
      <c r="R425" s="1100">
        <f t="shared" si="91"/>
        <v>147819312.75749999</v>
      </c>
      <c r="S425" s="995">
        <v>1351.0860039318754</v>
      </c>
      <c r="T425" s="1121">
        <f t="shared" si="96"/>
        <v>109407.77443280609</v>
      </c>
      <c r="U425" s="690">
        <v>44266</v>
      </c>
      <c r="V425" s="667" t="s">
        <v>1230</v>
      </c>
      <c r="W425" s="936">
        <v>44216.554416666666</v>
      </c>
      <c r="X425" s="1089">
        <f t="shared" si="98"/>
        <v>-0.15000023612106136</v>
      </c>
      <c r="Y425" s="690" t="s">
        <v>1763</v>
      </c>
      <c r="Z425" s="1111" t="str">
        <f>VLOOKUP(AA425,'place of settlement'!A:C,2,FALSE)</f>
        <v>KSDCKRSEXXX</v>
      </c>
      <c r="AA425" s="1111" t="str">
        <f t="shared" si="99"/>
        <v>KR</v>
      </c>
      <c r="AB425" s="1111" t="str">
        <f t="shared" si="100"/>
        <v>SamsungKR</v>
      </c>
      <c r="AC425" s="1111" t="e">
        <f>VLOOKUP(AB425,sample!$1:$1048576,2,FALSE)</f>
        <v>#N/A</v>
      </c>
      <c r="AD425" s="1111" t="e">
        <f>VLOOKUP($AB425,sample!$1:$1048576,3,FALSE)</f>
        <v>#N/A</v>
      </c>
      <c r="AE425" s="1104" t="e">
        <f>VLOOKUP($AB425,sample!$1:$1048576,4,FALSE)</f>
        <v>#N/A</v>
      </c>
      <c r="AF425" s="1111" t="e">
        <f>VLOOKUP($AB425,sample!$1:$1048576,5,FALSE)</f>
        <v>#N/A</v>
      </c>
      <c r="AL425" s="1104" t="e">
        <f>VLOOKUP($AB425,sample!$1:$1048576,11,FALSE)</f>
        <v>#N/A</v>
      </c>
      <c r="AM425" s="1104" t="e">
        <f>VLOOKUP($AB425,sample!$1:$1048576,12,FALSE)</f>
        <v>#N/A</v>
      </c>
      <c r="AN425" s="1104" t="e">
        <f>VLOOKUP($AB425,sample!$1:$1048576,13,FALSE)</f>
        <v>#N/A</v>
      </c>
      <c r="AP425" s="1111"/>
    </row>
    <row r="426" spans="1:42" s="690" customFormat="1">
      <c r="A426" s="1123">
        <f t="shared" si="104"/>
        <v>2019200441</v>
      </c>
      <c r="B426" s="933">
        <v>44264</v>
      </c>
      <c r="C426" s="933" t="s">
        <v>137</v>
      </c>
      <c r="D426" s="1127" t="str">
        <f>IFERROR(VLOOKUP(G426,PosAggregate!$B$13:$B$93,1,FALSE),"")</f>
        <v/>
      </c>
      <c r="E426" s="1022" t="s">
        <v>1236</v>
      </c>
      <c r="F426" s="1132" t="str">
        <f t="shared" si="97"/>
        <v/>
      </c>
      <c r="G426" s="667" t="s">
        <v>1656</v>
      </c>
      <c r="I426" s="949" t="s">
        <v>1126</v>
      </c>
      <c r="J426" s="949" t="s">
        <v>125</v>
      </c>
      <c r="K426" s="1055">
        <v>2098.8435899999999</v>
      </c>
      <c r="L426" s="1055"/>
      <c r="M426" s="1055">
        <v>3900</v>
      </c>
      <c r="N426" s="1103">
        <f t="shared" si="101"/>
        <v>-8185490.0010000002</v>
      </c>
      <c r="O426" s="934">
        <v>-4911</v>
      </c>
      <c r="P426" s="934"/>
      <c r="Q426" s="934"/>
      <c r="R426" s="1100">
        <f t="shared" si="91"/>
        <v>-8190401.0010000002</v>
      </c>
      <c r="S426" s="995">
        <v>128.92299675501567</v>
      </c>
      <c r="T426" s="1121">
        <f t="shared" si="96"/>
        <v>-63529.402877313718</v>
      </c>
      <c r="U426" s="690">
        <v>44266</v>
      </c>
      <c r="V426" s="667" t="s">
        <v>1725</v>
      </c>
      <c r="W426" s="936">
        <v>44216.554416666666</v>
      </c>
      <c r="X426" s="1089">
        <f t="shared" si="98"/>
        <v>5.9996408271221831E-2</v>
      </c>
      <c r="Y426" s="690" t="s">
        <v>1763</v>
      </c>
      <c r="Z426" s="1111" t="str">
        <f>VLOOKUP(AA426,'place of settlement'!A:C,2,FALSE)</f>
        <v>JJSDJPJTXXX</v>
      </c>
      <c r="AA426" s="1111" t="str">
        <f t="shared" si="99"/>
        <v>JP</v>
      </c>
      <c r="AB426" s="1111" t="str">
        <f t="shared" si="100"/>
        <v>Tavira SecuritiesJP</v>
      </c>
      <c r="AC426" s="1111" t="str">
        <f>VLOOKUP(AB426,sample!$1:$1048576,2,FALSE)</f>
        <v>GSILGB2XXXX</v>
      </c>
      <c r="AD426" s="1111" t="str">
        <f>VLOOKUP($AB426,sample!$1:$1048576,3,FALSE)</f>
        <v>JJSDJPJTXXX</v>
      </c>
      <c r="AE426" s="1104">
        <f>VLOOKUP($AB426,sample!$1:$1048576,4,FALSE)</f>
        <v>6530490016</v>
      </c>
      <c r="AF426" s="1111" t="str">
        <f>VLOOKUP($AB426,sample!$1:$1048576,5,FALSE)</f>
        <v>N</v>
      </c>
      <c r="AL426" s="1104" t="str">
        <f>VLOOKUP($AB426,sample!$1:$1048576,11,FALSE)</f>
        <v xml:space="preserve">                  </v>
      </c>
      <c r="AM426" s="1104" t="str">
        <f>VLOOKUP($AB426,sample!$1:$1048576,12,FALSE)</f>
        <v xml:space="preserve">                          </v>
      </c>
      <c r="AN426" s="1104" t="str">
        <f>VLOOKUP($AB426,sample!$1:$1048576,13,FALSE)</f>
        <v>GOLDJPJXXXX</v>
      </c>
      <c r="AP426" s="1111"/>
    </row>
    <row r="427" spans="1:42" s="690" customFormat="1">
      <c r="A427" s="1123">
        <f t="shared" si="104"/>
        <v>2019200442</v>
      </c>
      <c r="B427" s="933">
        <v>44264</v>
      </c>
      <c r="C427" s="933" t="s">
        <v>137</v>
      </c>
      <c r="D427" s="1127" t="str">
        <f>IFERROR(VLOOKUP(G427,PosAggregate!$B$13:$B$93,1,FALSE),"")</f>
        <v/>
      </c>
      <c r="E427" s="1022" t="s">
        <v>1677</v>
      </c>
      <c r="F427" s="1132" t="str">
        <f t="shared" si="97"/>
        <v/>
      </c>
      <c r="G427" s="667" t="s">
        <v>1667</v>
      </c>
      <c r="I427" s="949" t="s">
        <v>1668</v>
      </c>
      <c r="J427" s="949" t="s">
        <v>1100</v>
      </c>
      <c r="K427" s="1055">
        <v>2.6724559999999999</v>
      </c>
      <c r="L427" s="1055"/>
      <c r="M427" s="1055">
        <v>570000</v>
      </c>
      <c r="N427" s="1103">
        <f t="shared" si="101"/>
        <v>-1523299.92</v>
      </c>
      <c r="O427" s="934">
        <v>-913.98</v>
      </c>
      <c r="P427" s="934">
        <v>-1640.59</v>
      </c>
      <c r="Q427" s="934"/>
      <c r="R427" s="1100">
        <f t="shared" si="91"/>
        <v>-1525854.49</v>
      </c>
      <c r="S427" s="995">
        <v>9.2005968876572268</v>
      </c>
      <c r="T427" s="1121">
        <f t="shared" si="96"/>
        <v>-165842.98917029638</v>
      </c>
      <c r="U427" s="690">
        <v>44266</v>
      </c>
      <c r="V427" s="667" t="s">
        <v>1725</v>
      </c>
      <c r="W427" s="936">
        <v>44216.554416666666</v>
      </c>
      <c r="X427" s="1089">
        <f t="shared" si="98"/>
        <v>6.0000003151053805E-2</v>
      </c>
      <c r="Y427" s="690" t="s">
        <v>1763</v>
      </c>
      <c r="Z427" s="1111" t="str">
        <f>VLOOKUP(AA427,'place of settlement'!A:C,2,FALSE)</f>
        <v>XHKCHKH1XXX</v>
      </c>
      <c r="AA427" s="690" t="s">
        <v>1839</v>
      </c>
      <c r="AB427" s="1111" t="str">
        <f t="shared" si="100"/>
        <v>Tavira SecuritiesHK</v>
      </c>
      <c r="AC427" s="1111" t="str">
        <f>VLOOKUP(AB427,sample!$1:$1048576,2,FALSE)</f>
        <v>GSILGB2XXXX</v>
      </c>
      <c r="AD427" s="1111" t="str">
        <f>VLOOKUP($AB427,sample!$1:$1048576,3,FALSE)</f>
        <v>XHKCHKH1XXX</v>
      </c>
      <c r="AE427" s="1104" t="str">
        <f>VLOOKUP($AB427,sample!$1:$1048576,4,FALSE)</f>
        <v xml:space="preserve">        </v>
      </c>
      <c r="AF427" s="1111" t="str">
        <f>VLOOKUP($AB427,sample!$1:$1048576,5,FALSE)</f>
        <v>N</v>
      </c>
      <c r="AL427" s="1104" t="str">
        <f>VLOOKUP($AB427,sample!$1:$1048576,11,FALSE)</f>
        <v>CCASS</v>
      </c>
      <c r="AM427" s="1104" t="str">
        <f>VLOOKUP($AB427,sample!$1:$1048576,12,FALSE)</f>
        <v>B01451</v>
      </c>
      <c r="AN427" s="1104" t="str">
        <f>VLOOKUP($AB427,sample!$1:$1048576,13,FALSE)</f>
        <v>GSASHKH1XX</v>
      </c>
      <c r="AP427" s="1111"/>
    </row>
    <row r="428" spans="1:42" s="690" customFormat="1">
      <c r="A428" s="1123">
        <f t="shared" si="104"/>
        <v>2019200443</v>
      </c>
      <c r="B428" s="933">
        <v>44265</v>
      </c>
      <c r="C428" s="933" t="s">
        <v>137</v>
      </c>
      <c r="D428" s="1127" t="str">
        <f>IFERROR(VLOOKUP(G428,PosAggregate!$B$13:$B$93,1,FALSE),"")</f>
        <v/>
      </c>
      <c r="E428" s="1022" t="s">
        <v>1723</v>
      </c>
      <c r="F428" s="1132" t="str">
        <f t="shared" si="97"/>
        <v/>
      </c>
      <c r="G428" s="667" t="s">
        <v>1714</v>
      </c>
      <c r="I428" s="949" t="s">
        <v>1724</v>
      </c>
      <c r="J428" s="949" t="s">
        <v>1104</v>
      </c>
      <c r="K428" s="1055">
        <v>2.1118410000000001</v>
      </c>
      <c r="L428" s="1055"/>
      <c r="M428" s="1055">
        <v>80000</v>
      </c>
      <c r="N428" s="1103">
        <f t="shared" si="101"/>
        <v>-168947.28</v>
      </c>
      <c r="O428" s="934">
        <v>-101.37</v>
      </c>
      <c r="P428" s="934"/>
      <c r="Q428" s="934"/>
      <c r="R428" s="1100">
        <f t="shared" si="91"/>
        <v>-169048.65</v>
      </c>
      <c r="S428" s="995">
        <v>1.5429873405672969</v>
      </c>
      <c r="T428" s="1121">
        <f t="shared" si="96"/>
        <v>-109559.3240174267</v>
      </c>
      <c r="U428" s="690">
        <v>44267</v>
      </c>
      <c r="V428" s="667" t="s">
        <v>1725</v>
      </c>
      <c r="W428" s="936">
        <v>44216.554416666666</v>
      </c>
      <c r="X428" s="1089">
        <f t="shared" si="98"/>
        <v>6.0000965981813981E-2</v>
      </c>
      <c r="Y428" s="690" t="s">
        <v>1763</v>
      </c>
      <c r="Z428" s="1111" t="str">
        <f>VLOOKUP(AA428,'place of settlement'!A:C,2,FALSE)</f>
        <v>CAETAU21XXX</v>
      </c>
      <c r="AA428" s="1111" t="str">
        <f t="shared" si="99"/>
        <v>AU</v>
      </c>
      <c r="AB428" s="1111" t="str">
        <f t="shared" si="100"/>
        <v>Tavira SecuritiesAU</v>
      </c>
      <c r="AC428" s="1111" t="str">
        <f>VLOOKUP(AB428,sample!$1:$1048576,2,FALSE)</f>
        <v>GSILGB2XXXX</v>
      </c>
      <c r="AD428" s="1111" t="str">
        <f>VLOOKUP($AB428,sample!$1:$1048576,3,FALSE)</f>
        <v>CAETAU21</v>
      </c>
      <c r="AE428" s="1104" t="str">
        <f>VLOOKUP($AB428,sample!$1:$1048576,4,FALSE)</f>
        <v>011-109048-061</v>
      </c>
      <c r="AF428" s="1111" t="str">
        <f>VLOOKUP($AB428,sample!$1:$1048576,5,FALSE)</f>
        <v>N</v>
      </c>
      <c r="AL428" s="1104" t="str">
        <f>VLOOKUP($AB428,sample!$1:$1048576,11,FALSE)</f>
        <v xml:space="preserve">        </v>
      </c>
      <c r="AM428" s="1104" t="str">
        <f>VLOOKUP($AB428,sample!$1:$1048576,12,FALSE)</f>
        <v xml:space="preserve">        </v>
      </c>
      <c r="AN428" s="1104" t="str">
        <f>VLOOKUP($AB428,sample!$1:$1048576,13,FALSE)</f>
        <v>HKBAAU2SSYD</v>
      </c>
      <c r="AP428" s="1111"/>
    </row>
    <row r="429" spans="1:42" s="690" customFormat="1">
      <c r="A429" s="1123">
        <f t="shared" si="104"/>
        <v>2019200444</v>
      </c>
      <c r="B429" s="933">
        <v>44266</v>
      </c>
      <c r="C429" s="933" t="s">
        <v>138</v>
      </c>
      <c r="D429" s="1127" t="str">
        <f>IFERROR(VLOOKUP(G429,PosAggregate!$B$13:$B$93,1,FALSE),"")</f>
        <v/>
      </c>
      <c r="E429" s="1022" t="s">
        <v>1710</v>
      </c>
      <c r="F429" s="1132" t="str">
        <f t="shared" si="97"/>
        <v/>
      </c>
      <c r="G429" s="667" t="s">
        <v>1704</v>
      </c>
      <c r="I429" s="949" t="s">
        <v>1703</v>
      </c>
      <c r="J429" s="949" t="s">
        <v>2</v>
      </c>
      <c r="K429" s="1055">
        <v>230.8</v>
      </c>
      <c r="L429" s="1055"/>
      <c r="M429" s="1055">
        <v>-790</v>
      </c>
      <c r="N429" s="1103">
        <f t="shared" si="101"/>
        <v>182332</v>
      </c>
      <c r="O429" s="934">
        <v>-109.4</v>
      </c>
      <c r="R429" s="1100">
        <f t="shared" si="91"/>
        <v>182222.6</v>
      </c>
      <c r="S429" s="995">
        <v>1</v>
      </c>
      <c r="T429" s="1121">
        <f t="shared" si="96"/>
        <v>182222.6</v>
      </c>
      <c r="U429" s="690">
        <v>44270</v>
      </c>
      <c r="V429" s="667" t="s">
        <v>2212</v>
      </c>
      <c r="W429" s="936">
        <v>44216.554416666666</v>
      </c>
      <c r="X429" s="1089">
        <f t="shared" ref="X429:X488" si="105">+O429/N429*100</f>
        <v>-6.0000438760064063E-2</v>
      </c>
      <c r="Y429" s="690" t="s">
        <v>1763</v>
      </c>
      <c r="Z429" s="1111" t="str">
        <f>VLOOKUP(AA429,'place of settlement'!A:C,2,FALSE)</f>
        <v>DAKVDEFFXXX</v>
      </c>
      <c r="AA429" s="1111" t="str">
        <f t="shared" ref="AA429:AA434" si="106">LEFT(E429,2)</f>
        <v>DE</v>
      </c>
      <c r="AB429" s="1111" t="str">
        <f t="shared" ref="AB429:AB430" si="107">CONCATENATE(V429,AA429)</f>
        <v>Equita DE</v>
      </c>
      <c r="AC429" s="1111" t="e">
        <f>VLOOKUP(AB429,sample!$1:$1048576,2,FALSE)</f>
        <v>#N/A</v>
      </c>
      <c r="AD429" s="1111" t="e">
        <f>VLOOKUP($AB429,sample!$1:$1048576,3,FALSE)</f>
        <v>#N/A</v>
      </c>
      <c r="AE429" s="1104" t="e">
        <f>VLOOKUP($AB429,sample!$1:$1048576,4,FALSE)</f>
        <v>#N/A</v>
      </c>
      <c r="AF429" s="1111" t="e">
        <f>VLOOKUP($AB429,sample!$1:$1048576,5,FALSE)</f>
        <v>#N/A</v>
      </c>
      <c r="AL429" s="1104" t="e">
        <f>VLOOKUP($AB429,sample!$1:$1048576,11,FALSE)</f>
        <v>#N/A</v>
      </c>
      <c r="AM429" s="1104" t="e">
        <f>VLOOKUP($AB429,sample!$1:$1048576,12,FALSE)</f>
        <v>#N/A</v>
      </c>
      <c r="AN429" s="1104" t="e">
        <f>VLOOKUP($AB429,sample!$1:$1048576,13,FALSE)</f>
        <v>#N/A</v>
      </c>
      <c r="AP429" s="1111"/>
    </row>
    <row r="430" spans="1:42" s="690" customFormat="1">
      <c r="A430" s="1123">
        <f t="shared" si="104"/>
        <v>2019200445</v>
      </c>
      <c r="B430" s="933">
        <v>44266</v>
      </c>
      <c r="C430" s="933" t="s">
        <v>137</v>
      </c>
      <c r="D430" s="1127" t="str">
        <f>IFERROR(VLOOKUP(G430,PosAggregate!$B$13:$B$93,1,FALSE),"")</f>
        <v/>
      </c>
      <c r="E430" s="1022" t="s">
        <v>1702</v>
      </c>
      <c r="F430" s="1132" t="str">
        <f t="shared" si="97"/>
        <v/>
      </c>
      <c r="G430" s="667" t="s">
        <v>1715</v>
      </c>
      <c r="I430" s="949" t="s">
        <v>1703</v>
      </c>
      <c r="J430" s="949" t="s">
        <v>2</v>
      </c>
      <c r="K430" s="1055">
        <v>192.04</v>
      </c>
      <c r="L430" s="1055"/>
      <c r="M430" s="1055">
        <v>960</v>
      </c>
      <c r="N430" s="1103">
        <f t="shared" si="101"/>
        <v>-184358.39999999999</v>
      </c>
      <c r="O430" s="934">
        <v>-110.62</v>
      </c>
      <c r="R430" s="1100">
        <f t="shared" si="91"/>
        <v>-184469.02</v>
      </c>
      <c r="S430" s="995">
        <v>1</v>
      </c>
      <c r="T430" s="1121">
        <f t="shared" si="96"/>
        <v>-184469.02</v>
      </c>
      <c r="U430" s="690">
        <v>44270</v>
      </c>
      <c r="V430" s="667" t="s">
        <v>1229</v>
      </c>
      <c r="W430" s="936">
        <v>44216.554416666666</v>
      </c>
      <c r="X430" s="1089">
        <f t="shared" si="105"/>
        <v>6.0002690411719781E-2</v>
      </c>
      <c r="Y430" s="690" t="s">
        <v>1763</v>
      </c>
      <c r="Z430" s="1111" t="str">
        <f>VLOOKUP(AA430,'place of settlement'!A:C,2,FALSE)</f>
        <v>DAKVDEFFXXX</v>
      </c>
      <c r="AA430" s="1111" t="str">
        <f t="shared" si="106"/>
        <v>DE</v>
      </c>
      <c r="AB430" s="1111" t="str">
        <f t="shared" si="107"/>
        <v>EquitaDE</v>
      </c>
      <c r="AC430" s="1111" t="str">
        <f>VLOOKUP(AB430,sample!$1:$1048576,2,FALSE)</f>
        <v>EMSIITM1XXX</v>
      </c>
      <c r="AD430" s="1111" t="str">
        <f>VLOOKUP($AB430,sample!$1:$1048576,3,FALSE)</f>
        <v>DAKVDEFFXXX</v>
      </c>
      <c r="AE430" s="1104" t="str">
        <f>VLOOKUP($AB430,sample!$1:$1048576,4,FALSE)</f>
        <v>DAKV8135000</v>
      </c>
      <c r="AF430" s="1111" t="str">
        <f>VLOOKUP($AB430,sample!$1:$1048576,5,FALSE)</f>
        <v>N</v>
      </c>
      <c r="AL430" s="1104" t="str">
        <f>VLOOKUP($AB430,sample!$1:$1048576,11,FALSE)</f>
        <v xml:space="preserve">        </v>
      </c>
      <c r="AM430" s="1104" t="str">
        <f>VLOOKUP($AB430,sample!$1:$1048576,12,FALSE)</f>
        <v xml:space="preserve">        </v>
      </c>
      <c r="AN430" s="1104" t="str">
        <f>VLOOKUP($AB430,sample!$1:$1048576,13,FALSE)</f>
        <v>BCITITMMD03</v>
      </c>
      <c r="AP430" s="1111"/>
    </row>
    <row r="431" spans="1:42" s="690" customFormat="1">
      <c r="A431" s="1123">
        <f t="shared" si="104"/>
        <v>2019200446</v>
      </c>
      <c r="B431" s="933">
        <v>44272</v>
      </c>
      <c r="C431" s="933" t="s">
        <v>137</v>
      </c>
      <c r="D431" s="1127" t="str">
        <f>IFERROR(VLOOKUP(G431,PosAggregate!$B$13:$B$93,1,FALSE),"")</f>
        <v/>
      </c>
      <c r="E431" s="1022" t="s">
        <v>1723</v>
      </c>
      <c r="F431" s="1132" t="str">
        <f t="shared" si="97"/>
        <v/>
      </c>
      <c r="G431" s="667" t="s">
        <v>1714</v>
      </c>
      <c r="I431" s="949" t="s">
        <v>1724</v>
      </c>
      <c r="J431" s="949" t="s">
        <v>1104</v>
      </c>
      <c r="K431" s="1055">
        <v>2.03376</v>
      </c>
      <c r="L431" s="1055"/>
      <c r="M431" s="1055">
        <v>70000</v>
      </c>
      <c r="N431" s="1103">
        <f t="shared" si="101"/>
        <v>-142363.20000000001</v>
      </c>
      <c r="O431" s="934">
        <v>-85.42</v>
      </c>
      <c r="R431" s="1100">
        <f t="shared" si="91"/>
        <v>-142448.62000000002</v>
      </c>
      <c r="S431" s="995">
        <v>1.5364733322226722</v>
      </c>
      <c r="T431" s="1121">
        <f t="shared" si="96"/>
        <v>-92711.417121658029</v>
      </c>
      <c r="U431" s="690">
        <v>44274</v>
      </c>
      <c r="V431" s="667" t="s">
        <v>1725</v>
      </c>
      <c r="W431" s="936">
        <v>44216.554416666666</v>
      </c>
      <c r="X431" s="1089">
        <f t="shared" si="105"/>
        <v>6.0001461051732471E-2</v>
      </c>
      <c r="Y431" s="690" t="s">
        <v>1763</v>
      </c>
      <c r="Z431" s="1111" t="str">
        <f>VLOOKUP(AA431,'place of settlement'!A:C,2,FALSE)</f>
        <v>CAETAU21XXX</v>
      </c>
      <c r="AA431" s="1111" t="str">
        <f t="shared" si="106"/>
        <v>AU</v>
      </c>
      <c r="AB431" s="1111" t="str">
        <f t="shared" ref="AB431" si="108">CONCATENATE(V431,AA431)</f>
        <v>Tavira SecuritiesAU</v>
      </c>
      <c r="AC431" s="1111" t="str">
        <f>VLOOKUP(AB431,sample!$1:$1048576,2,FALSE)</f>
        <v>GSILGB2XXXX</v>
      </c>
      <c r="AD431" s="1111" t="str">
        <f>VLOOKUP($AB431,sample!$1:$1048576,3,FALSE)</f>
        <v>CAETAU21</v>
      </c>
      <c r="AE431" s="1104" t="str">
        <f>VLOOKUP($AB431,sample!$1:$1048576,4,FALSE)</f>
        <v>011-109048-061</v>
      </c>
      <c r="AF431" s="1111" t="str">
        <f>VLOOKUP($AB431,sample!$1:$1048576,5,FALSE)</f>
        <v>N</v>
      </c>
      <c r="AL431" s="1104" t="str">
        <f>VLOOKUP($AB431,sample!$1:$1048576,11,FALSE)</f>
        <v xml:space="preserve">        </v>
      </c>
      <c r="AM431" s="1104" t="str">
        <f>VLOOKUP($AB431,sample!$1:$1048576,12,FALSE)</f>
        <v xml:space="preserve">        </v>
      </c>
      <c r="AN431" s="1104" t="str">
        <f>VLOOKUP($AB431,sample!$1:$1048576,13,FALSE)</f>
        <v>HKBAAU2SSYD</v>
      </c>
      <c r="AP431" s="1111"/>
    </row>
    <row r="432" spans="1:42">
      <c r="A432" s="1123">
        <f t="shared" si="104"/>
        <v>2019200447</v>
      </c>
      <c r="B432" s="998">
        <v>44277</v>
      </c>
      <c r="C432" s="998" t="s">
        <v>137</v>
      </c>
      <c r="D432" s="1127" t="str">
        <f>IFERROR(VLOOKUP(G432,PosAggregate!$B$13:$B$93,1,FALSE),"")</f>
        <v/>
      </c>
      <c r="E432" s="880" t="s">
        <v>1236</v>
      </c>
      <c r="F432" s="1132" t="str">
        <f t="shared" si="97"/>
        <v/>
      </c>
      <c r="G432" s="701" t="s">
        <v>1185</v>
      </c>
      <c r="I432" s="950" t="s">
        <v>1126</v>
      </c>
      <c r="J432" s="950" t="s">
        <v>125</v>
      </c>
      <c r="K432" s="1055">
        <v>2243.5</v>
      </c>
      <c r="L432" s="1055"/>
      <c r="M432" s="1055">
        <v>2600</v>
      </c>
      <c r="N432" s="1135">
        <f t="shared" si="101"/>
        <v>-5833100</v>
      </c>
      <c r="O432" s="934">
        <v>-3500</v>
      </c>
      <c r="R432" s="1100">
        <f t="shared" si="91"/>
        <v>-5836600</v>
      </c>
      <c r="S432" s="995">
        <v>129.58863019568611</v>
      </c>
      <c r="T432" s="1121">
        <f t="shared" si="96"/>
        <v>-45039.445136401293</v>
      </c>
      <c r="U432" s="827">
        <v>44279</v>
      </c>
      <c r="V432" s="701" t="s">
        <v>1725</v>
      </c>
      <c r="W432" s="1031">
        <v>44216.554416666666</v>
      </c>
      <c r="X432" s="1089">
        <f t="shared" si="105"/>
        <v>6.0002400096003834E-2</v>
      </c>
      <c r="Y432" s="690" t="s">
        <v>1763</v>
      </c>
      <c r="Z432" s="1111" t="str">
        <f>VLOOKUP(AA432,'place of settlement'!A:C,2,FALSE)</f>
        <v>JJSDJPJTXXX</v>
      </c>
      <c r="AA432" s="1111" t="str">
        <f t="shared" si="106"/>
        <v>JP</v>
      </c>
      <c r="AB432" s="1111" t="str">
        <f t="shared" ref="AB432" si="109">CONCATENATE(V432,AA432)</f>
        <v>Tavira SecuritiesJP</v>
      </c>
      <c r="AC432" s="1111" t="str">
        <f>VLOOKUP(AB432,sample!$1:$1048576,2,FALSE)</f>
        <v>GSILGB2XXXX</v>
      </c>
      <c r="AD432" s="1111" t="str">
        <f>VLOOKUP($AB432,sample!$1:$1048576,3,FALSE)</f>
        <v>JJSDJPJTXXX</v>
      </c>
      <c r="AE432" s="1104">
        <f>VLOOKUP($AB432,sample!$1:$1048576,4,FALSE)</f>
        <v>6530490016</v>
      </c>
      <c r="AF432" s="1111" t="str">
        <f>VLOOKUP($AB432,sample!$1:$1048576,5,FALSE)</f>
        <v>N</v>
      </c>
      <c r="AG432" s="690"/>
      <c r="AH432" s="690"/>
      <c r="AI432" s="690"/>
      <c r="AJ432" s="690"/>
      <c r="AK432" s="690"/>
      <c r="AL432" s="1104" t="str">
        <f>VLOOKUP($AB432,sample!$1:$1048576,11,FALSE)</f>
        <v xml:space="preserve">                  </v>
      </c>
      <c r="AM432" s="1104" t="str">
        <f>VLOOKUP($AB432,sample!$1:$1048576,12,FALSE)</f>
        <v xml:space="preserve">                          </v>
      </c>
      <c r="AN432" s="1104" t="str">
        <f>VLOOKUP($AB432,sample!$1:$1048576,13,FALSE)</f>
        <v>GOLDJPJXXXX</v>
      </c>
      <c r="AO432" s="690"/>
      <c r="AP432" s="1111"/>
    </row>
    <row r="433" spans="1:42" ht="14.25" customHeight="1">
      <c r="A433" s="1123">
        <f t="shared" si="104"/>
        <v>2019200448</v>
      </c>
      <c r="B433" s="998">
        <v>44278</v>
      </c>
      <c r="C433" s="998" t="s">
        <v>137</v>
      </c>
      <c r="D433" s="1127" t="str">
        <f>IFERROR(VLOOKUP(G433,PosAggregate!$B$13:$B$93,1,FALSE),"")</f>
        <v/>
      </c>
      <c r="E433" s="880" t="s">
        <v>1263</v>
      </c>
      <c r="F433" s="1132" t="str">
        <f t="shared" si="97"/>
        <v/>
      </c>
      <c r="G433" s="701" t="s">
        <v>1214</v>
      </c>
      <c r="I433" s="950" t="s">
        <v>12811</v>
      </c>
      <c r="J433" s="950" t="s">
        <v>2</v>
      </c>
      <c r="K433" s="1055">
        <v>28.1433</v>
      </c>
      <c r="L433" s="1055"/>
      <c r="M433" s="1055">
        <v>5100</v>
      </c>
      <c r="N433" s="1135">
        <f t="shared" si="101"/>
        <v>-143530.82999999999</v>
      </c>
      <c r="O433" s="934">
        <v>-86.12</v>
      </c>
      <c r="P433" s="934">
        <v>-430.59</v>
      </c>
      <c r="R433" s="1100">
        <f t="shared" si="91"/>
        <v>-144047.53999999998</v>
      </c>
      <c r="S433" s="995">
        <v>1</v>
      </c>
      <c r="T433" s="1121">
        <f t="shared" si="96"/>
        <v>-144047.53999999998</v>
      </c>
      <c r="U433" s="827">
        <v>44280</v>
      </c>
      <c r="V433" s="701" t="s">
        <v>2212</v>
      </c>
      <c r="W433" s="1031">
        <v>44216.554416666666</v>
      </c>
      <c r="X433" s="1089">
        <f t="shared" si="105"/>
        <v>6.0001046465069575E-2</v>
      </c>
      <c r="Y433" s="690" t="s">
        <v>1763</v>
      </c>
      <c r="Z433" s="1111" t="str">
        <f>VLOOKUP(AA433,'place of settlement'!A:C,2,FALSE)</f>
        <v>SICVFRPPXXX</v>
      </c>
      <c r="AA433" s="1111" t="str">
        <f t="shared" si="106"/>
        <v>FR</v>
      </c>
      <c r="AB433" s="1111" t="str">
        <f t="shared" ref="AB433:AB475" si="110">CONCATENATE(V433,AA433)</f>
        <v>Equita FR</v>
      </c>
      <c r="AC433" s="1111" t="e">
        <f>VLOOKUP(AB433,sample!$1:$1048576,2,FALSE)</f>
        <v>#N/A</v>
      </c>
      <c r="AD433" s="1111" t="e">
        <f>VLOOKUP($AB433,sample!$1:$1048576,3,FALSE)</f>
        <v>#N/A</v>
      </c>
      <c r="AE433" s="1104" t="e">
        <f>VLOOKUP($AB433,sample!$1:$1048576,4,FALSE)</f>
        <v>#N/A</v>
      </c>
      <c r="AF433" s="1111" t="e">
        <f>VLOOKUP($AB433,sample!$1:$1048576,5,FALSE)</f>
        <v>#N/A</v>
      </c>
      <c r="AG433" s="690"/>
      <c r="AH433" s="690"/>
      <c r="AI433" s="690"/>
      <c r="AJ433" s="690"/>
      <c r="AK433" s="690"/>
      <c r="AL433" s="1104" t="e">
        <f>VLOOKUP($AB433,sample!$1:$1048576,11,FALSE)</f>
        <v>#N/A</v>
      </c>
      <c r="AM433" s="1104" t="e">
        <f>VLOOKUP($AB433,sample!$1:$1048576,12,FALSE)</f>
        <v>#N/A</v>
      </c>
      <c r="AN433" s="1104" t="e">
        <f>VLOOKUP($AB433,sample!$1:$1048576,13,FALSE)</f>
        <v>#N/A</v>
      </c>
      <c r="AO433" s="690"/>
      <c r="AP433" s="1111"/>
    </row>
    <row r="434" spans="1:42" s="690" customFormat="1">
      <c r="A434" s="1123">
        <f>(A433+1)</f>
        <v>2019200449</v>
      </c>
      <c r="B434" s="933">
        <v>44279</v>
      </c>
      <c r="C434" s="933" t="s">
        <v>137</v>
      </c>
      <c r="D434" s="1127" t="str">
        <f>IFERROR(VLOOKUP(G434,PosAggregate!$B$13:$B$93,1,FALSE),"")</f>
        <v/>
      </c>
      <c r="E434" s="1022" t="s">
        <v>1263</v>
      </c>
      <c r="F434" s="1132" t="str">
        <f t="shared" si="97"/>
        <v/>
      </c>
      <c r="G434" s="667" t="s">
        <v>1214</v>
      </c>
      <c r="I434" s="949" t="s">
        <v>12811</v>
      </c>
      <c r="J434" s="949" t="s">
        <v>2</v>
      </c>
      <c r="K434" s="1055">
        <v>28.3385</v>
      </c>
      <c r="L434" s="1055"/>
      <c r="M434" s="1055">
        <v>5000</v>
      </c>
      <c r="N434" s="1135">
        <f t="shared" si="101"/>
        <v>-141692.5</v>
      </c>
      <c r="O434" s="934">
        <v>-85.02</v>
      </c>
      <c r="P434" s="934">
        <v>-425.08</v>
      </c>
      <c r="R434" s="1100">
        <f t="shared" si="91"/>
        <v>-142202.59999999998</v>
      </c>
      <c r="S434" s="995">
        <v>1</v>
      </c>
      <c r="T434" s="1121">
        <f t="shared" si="96"/>
        <v>-142202.59999999998</v>
      </c>
      <c r="U434" s="690">
        <v>44281</v>
      </c>
      <c r="V434" s="667" t="s">
        <v>2212</v>
      </c>
      <c r="W434" s="936">
        <v>44216.554416666666</v>
      </c>
      <c r="X434" s="1089">
        <f t="shared" si="105"/>
        <v>6.0003175891455089E-2</v>
      </c>
      <c r="Y434" s="690" t="s">
        <v>1763</v>
      </c>
      <c r="Z434" s="1111" t="str">
        <f>VLOOKUP(AA434,'place of settlement'!A:C,2,FALSE)</f>
        <v>SICVFRPPXXX</v>
      </c>
      <c r="AA434" s="1111" t="str">
        <f t="shared" si="106"/>
        <v>FR</v>
      </c>
      <c r="AB434" s="1111" t="str">
        <f t="shared" si="110"/>
        <v>Equita FR</v>
      </c>
      <c r="AC434" s="1111" t="e">
        <f>VLOOKUP(AB434,sample!$1:$1048576,2,FALSE)</f>
        <v>#N/A</v>
      </c>
      <c r="AD434" s="1111" t="e">
        <f>VLOOKUP($AB434,sample!$1:$1048576,3,FALSE)</f>
        <v>#N/A</v>
      </c>
      <c r="AE434" s="1104" t="e">
        <f>VLOOKUP($AB434,sample!$1:$1048576,4,FALSE)</f>
        <v>#N/A</v>
      </c>
      <c r="AF434" s="1111" t="e">
        <f>VLOOKUP($AB434,sample!$1:$1048576,5,FALSE)</f>
        <v>#N/A</v>
      </c>
      <c r="AL434" s="1104" t="e">
        <f>VLOOKUP($AB434,sample!$1:$1048576,11,FALSE)</f>
        <v>#N/A</v>
      </c>
      <c r="AM434" s="1104" t="e">
        <f>VLOOKUP($AB434,sample!$1:$1048576,12,FALSE)</f>
        <v>#N/A</v>
      </c>
      <c r="AN434" s="1104" t="e">
        <f>VLOOKUP($AB434,sample!$1:$1048576,13,FALSE)</f>
        <v>#N/A</v>
      </c>
      <c r="AP434" s="1111"/>
    </row>
    <row r="435" spans="1:42" s="690" customFormat="1">
      <c r="A435" s="1123">
        <f t="shared" ref="A435:A444" si="111">(A434+1)</f>
        <v>2019200450</v>
      </c>
      <c r="B435" s="933">
        <v>44280</v>
      </c>
      <c r="C435" s="933" t="s">
        <v>137</v>
      </c>
      <c r="D435" s="1127" t="str">
        <f>IFERROR(VLOOKUP(G435,PosAggregate!$B$13:$B$93,1,FALSE),"")</f>
        <v/>
      </c>
      <c r="E435" s="1022" t="s">
        <v>1677</v>
      </c>
      <c r="F435" s="1132" t="str">
        <f t="shared" si="97"/>
        <v/>
      </c>
      <c r="G435" s="667" t="s">
        <v>1667</v>
      </c>
      <c r="I435" s="949" t="s">
        <v>1668</v>
      </c>
      <c r="J435" s="949" t="s">
        <v>1100</v>
      </c>
      <c r="K435" s="1055">
        <v>2.5767730000000002</v>
      </c>
      <c r="L435" s="1055"/>
      <c r="M435" s="1055">
        <v>330000</v>
      </c>
      <c r="N435" s="1135">
        <f t="shared" si="101"/>
        <v>-850335.09000000008</v>
      </c>
      <c r="O435" s="934">
        <v>-510.2</v>
      </c>
      <c r="P435" s="934">
        <v>-915.82</v>
      </c>
      <c r="R435" s="1100">
        <f t="shared" ref="R435:R488" si="112">SUM(N435:Q435)</f>
        <v>-851761.11</v>
      </c>
      <c r="S435" s="995">
        <v>9.1456437514764808</v>
      </c>
      <c r="T435" s="1121">
        <f t="shared" si="96"/>
        <v>-93132.985839568806</v>
      </c>
      <c r="U435" s="690">
        <v>44284</v>
      </c>
      <c r="V435" s="667" t="s">
        <v>1725</v>
      </c>
      <c r="W435" s="936">
        <v>44216.554416666666</v>
      </c>
      <c r="X435" s="1089">
        <f t="shared" si="105"/>
        <v>5.9999876048864455E-2</v>
      </c>
      <c r="Y435" s="690" t="s">
        <v>1763</v>
      </c>
      <c r="Z435" s="1111" t="str">
        <f>VLOOKUP(AA435,'place of settlement'!A:C,2,FALSE)</f>
        <v>XHKCHKH1XXX</v>
      </c>
      <c r="AA435" s="690" t="s">
        <v>1839</v>
      </c>
      <c r="AB435" s="1111" t="str">
        <f t="shared" si="110"/>
        <v>Tavira SecuritiesHK</v>
      </c>
      <c r="AC435" s="1111" t="str">
        <f>VLOOKUP(AB435,sample!$1:$1048576,2,FALSE)</f>
        <v>GSILGB2XXXX</v>
      </c>
      <c r="AD435" s="1111" t="str">
        <f>VLOOKUP($AB435,sample!$1:$1048576,3,FALSE)</f>
        <v>XHKCHKH1XXX</v>
      </c>
      <c r="AE435" s="1104" t="str">
        <f>VLOOKUP($AB435,sample!$1:$1048576,4,FALSE)</f>
        <v xml:space="preserve">        </v>
      </c>
      <c r="AF435" s="1111" t="str">
        <f>VLOOKUP($AB435,sample!$1:$1048576,5,FALSE)</f>
        <v>N</v>
      </c>
      <c r="AL435" s="1104" t="str">
        <f>VLOOKUP($AB435,sample!$1:$1048576,11,FALSE)</f>
        <v>CCASS</v>
      </c>
      <c r="AM435" s="1104" t="str">
        <f>VLOOKUP($AB435,sample!$1:$1048576,12,FALSE)</f>
        <v>B01451</v>
      </c>
      <c r="AN435" s="1104" t="str">
        <f>VLOOKUP($AB435,sample!$1:$1048576,13,FALSE)</f>
        <v>GSASHKH1XX</v>
      </c>
      <c r="AP435" s="1111"/>
    </row>
    <row r="436" spans="1:42" s="690" customFormat="1">
      <c r="A436" s="1123">
        <f t="shared" si="111"/>
        <v>2019200451</v>
      </c>
      <c r="B436" s="933">
        <v>44280</v>
      </c>
      <c r="C436" s="933" t="s">
        <v>137</v>
      </c>
      <c r="D436" s="1127" t="str">
        <f>IFERROR(VLOOKUP(G436,PosAggregate!$B$13:$B$93,1,FALSE),"")</f>
        <v/>
      </c>
      <c r="E436" s="1022" t="s">
        <v>12868</v>
      </c>
      <c r="F436" s="1132" t="str">
        <f t="shared" si="97"/>
        <v/>
      </c>
      <c r="G436" s="667" t="s">
        <v>12700</v>
      </c>
      <c r="I436" s="949" t="s">
        <v>12803</v>
      </c>
      <c r="J436" s="949" t="s">
        <v>125</v>
      </c>
      <c r="K436" s="1055">
        <v>825.39340700000002</v>
      </c>
      <c r="L436" s="1055"/>
      <c r="M436" s="1055">
        <v>9100</v>
      </c>
      <c r="N436" s="1135">
        <f t="shared" si="101"/>
        <v>-7511080.0037000002</v>
      </c>
      <c r="O436" s="934">
        <v>-4507</v>
      </c>
      <c r="P436" s="934"/>
      <c r="R436" s="1100">
        <f t="shared" si="112"/>
        <v>-7515587.0037000002</v>
      </c>
      <c r="S436" s="995">
        <v>128.41956059532234</v>
      </c>
      <c r="T436" s="1121">
        <f t="shared" si="96"/>
        <v>-58523.693500114299</v>
      </c>
      <c r="U436" s="690">
        <v>44284</v>
      </c>
      <c r="V436" s="667" t="s">
        <v>1725</v>
      </c>
      <c r="W436" s="936">
        <v>44216.554416666666</v>
      </c>
      <c r="X436" s="1089">
        <f t="shared" si="105"/>
        <v>6.0004686380385065E-2</v>
      </c>
      <c r="Y436" s="690" t="s">
        <v>1763</v>
      </c>
      <c r="Z436" s="1111" t="str">
        <f>VLOOKUP(AA436,'place of settlement'!A:C,2,FALSE)</f>
        <v>JJSDJPJTXXX</v>
      </c>
      <c r="AA436" s="1111" t="str">
        <f t="shared" ref="AA436:AA465" si="113">LEFT(E436,2)</f>
        <v>JP</v>
      </c>
      <c r="AB436" s="1111" t="str">
        <f t="shared" si="110"/>
        <v>Tavira SecuritiesJP</v>
      </c>
      <c r="AC436" s="1111" t="str">
        <f>VLOOKUP(AB436,sample!$1:$1048576,2,FALSE)</f>
        <v>GSILGB2XXXX</v>
      </c>
      <c r="AD436" s="1111" t="str">
        <f>VLOOKUP($AB436,sample!$1:$1048576,3,FALSE)</f>
        <v>JJSDJPJTXXX</v>
      </c>
      <c r="AE436" s="1104">
        <f>VLOOKUP($AB436,sample!$1:$1048576,4,FALSE)</f>
        <v>6530490016</v>
      </c>
      <c r="AF436" s="1111" t="str">
        <f>VLOOKUP($AB436,sample!$1:$1048576,5,FALSE)</f>
        <v>N</v>
      </c>
      <c r="AL436" s="1104" t="str">
        <f>VLOOKUP($AB436,sample!$1:$1048576,11,FALSE)</f>
        <v xml:space="preserve">                  </v>
      </c>
      <c r="AM436" s="1104" t="str">
        <f>VLOOKUP($AB436,sample!$1:$1048576,12,FALSE)</f>
        <v xml:space="preserve">                          </v>
      </c>
      <c r="AN436" s="1104" t="str">
        <f>VLOOKUP($AB436,sample!$1:$1048576,13,FALSE)</f>
        <v>GOLDJPJXXXX</v>
      </c>
      <c r="AP436" s="1111"/>
    </row>
    <row r="437" spans="1:42" s="690" customFormat="1">
      <c r="A437" s="1123">
        <f t="shared" si="111"/>
        <v>2019200452</v>
      </c>
      <c r="B437" s="933">
        <v>44280</v>
      </c>
      <c r="C437" s="933" t="s">
        <v>137</v>
      </c>
      <c r="D437" s="1127" t="str">
        <f>IFERROR(VLOOKUP(G437,PosAggregate!$B$13:$B$93,1,FALSE),"")</f>
        <v/>
      </c>
      <c r="E437" s="1022" t="s">
        <v>1264</v>
      </c>
      <c r="F437" s="1132" t="str">
        <f t="shared" si="97"/>
        <v/>
      </c>
      <c r="G437" s="667" t="s">
        <v>1215</v>
      </c>
      <c r="I437" s="949" t="s">
        <v>1095</v>
      </c>
      <c r="J437" s="949" t="s">
        <v>2</v>
      </c>
      <c r="K437" s="1055">
        <v>111.36279999999999</v>
      </c>
      <c r="L437" s="1055"/>
      <c r="M437" s="1055">
        <v>1090</v>
      </c>
      <c r="N437" s="1135">
        <f t="shared" si="101"/>
        <v>-121385.45199999999</v>
      </c>
      <c r="O437" s="934">
        <v>-72.83</v>
      </c>
      <c r="R437" s="1100">
        <f t="shared" si="112"/>
        <v>-121458.28199999999</v>
      </c>
      <c r="S437" s="995">
        <v>1</v>
      </c>
      <c r="T437" s="1121">
        <f t="shared" si="96"/>
        <v>-121458.28199999999</v>
      </c>
      <c r="U437" s="690">
        <v>44284</v>
      </c>
      <c r="V437" s="667" t="s">
        <v>1229</v>
      </c>
      <c r="W437" s="936">
        <v>44216.554416666666</v>
      </c>
      <c r="X437" s="1089">
        <f t="shared" si="105"/>
        <v>5.9998952757534731E-2</v>
      </c>
      <c r="Y437" s="690" t="s">
        <v>1763</v>
      </c>
      <c r="Z437" s="1111" t="str">
        <f>VLOOKUP(AA437,'place of settlement'!A:C,2,FALSE)</f>
        <v>DAKVDEFFXXX</v>
      </c>
      <c r="AA437" s="1111" t="str">
        <f t="shared" si="113"/>
        <v>DE</v>
      </c>
      <c r="AB437" s="1111" t="str">
        <f t="shared" si="110"/>
        <v>EquitaDE</v>
      </c>
      <c r="AC437" s="1111" t="str">
        <f>VLOOKUP(AB437,sample!$1:$1048576,2,FALSE)</f>
        <v>EMSIITM1XXX</v>
      </c>
      <c r="AD437" s="1111" t="str">
        <f>VLOOKUP($AB437,sample!$1:$1048576,3,FALSE)</f>
        <v>DAKVDEFFXXX</v>
      </c>
      <c r="AE437" s="1104" t="str">
        <f>VLOOKUP($AB437,sample!$1:$1048576,4,FALSE)</f>
        <v>DAKV8135000</v>
      </c>
      <c r="AF437" s="1111" t="str">
        <f>VLOOKUP($AB437,sample!$1:$1048576,5,FALSE)</f>
        <v>N</v>
      </c>
      <c r="AL437" s="1104" t="str">
        <f>VLOOKUP($AB437,sample!$1:$1048576,11,FALSE)</f>
        <v xml:space="preserve">        </v>
      </c>
      <c r="AM437" s="1104" t="str">
        <f>VLOOKUP($AB437,sample!$1:$1048576,12,FALSE)</f>
        <v xml:space="preserve">        </v>
      </c>
      <c r="AN437" s="1104" t="str">
        <f>VLOOKUP($AB437,sample!$1:$1048576,13,FALSE)</f>
        <v>BCITITMMD03</v>
      </c>
      <c r="AP437" s="1111"/>
    </row>
    <row r="438" spans="1:42" s="690" customFormat="1">
      <c r="A438" s="1123">
        <f t="shared" si="111"/>
        <v>2019200453</v>
      </c>
      <c r="B438" s="933">
        <v>44293</v>
      </c>
      <c r="C438" s="933" t="s">
        <v>138</v>
      </c>
      <c r="D438" s="1127" t="str">
        <f>IFERROR(VLOOKUP(G438,PosAggregate!$B$13:$B$93,1,FALSE),"")</f>
        <v/>
      </c>
      <c r="E438" s="1022" t="s">
        <v>12861</v>
      </c>
      <c r="F438" s="1132" t="str">
        <f t="shared" si="97"/>
        <v/>
      </c>
      <c r="G438" s="667" t="s">
        <v>2202</v>
      </c>
      <c r="I438" s="1068" t="s">
        <v>12797</v>
      </c>
      <c r="J438" s="949" t="s">
        <v>125</v>
      </c>
      <c r="K438" s="1055">
        <v>4530</v>
      </c>
      <c r="L438" s="1055"/>
      <c r="M438" s="1055">
        <v>-22000</v>
      </c>
      <c r="N438" s="1135">
        <f t="shared" si="101"/>
        <v>99660000</v>
      </c>
      <c r="O438" s="934">
        <v>-59796</v>
      </c>
      <c r="P438" s="934"/>
      <c r="R438" s="1100">
        <f t="shared" si="112"/>
        <v>99600204</v>
      </c>
      <c r="S438" s="995">
        <v>130.31551697521707</v>
      </c>
      <c r="T438" s="1121">
        <f t="shared" si="96"/>
        <v>764300.41726298491</v>
      </c>
      <c r="U438" s="690">
        <v>44295</v>
      </c>
      <c r="V438" s="667" t="s">
        <v>1725</v>
      </c>
      <c r="W438" s="936">
        <v>44216.554416666666</v>
      </c>
      <c r="X438" s="1089">
        <f t="shared" si="105"/>
        <v>-0.06</v>
      </c>
      <c r="Y438" s="690" t="s">
        <v>1763</v>
      </c>
      <c r="Z438" s="1111" t="str">
        <f>VLOOKUP(AA438,'place of settlement'!A:C,2,FALSE)</f>
        <v>JJSDJPJTXXX</v>
      </c>
      <c r="AA438" s="1111" t="str">
        <f t="shared" si="113"/>
        <v>JP</v>
      </c>
      <c r="AB438" s="1111" t="str">
        <f t="shared" si="110"/>
        <v>Tavira SecuritiesJP</v>
      </c>
      <c r="AC438" s="1111" t="str">
        <f>VLOOKUP(AB438,sample!$1:$1048576,2,FALSE)</f>
        <v>GSILGB2XXXX</v>
      </c>
      <c r="AD438" s="1111" t="str">
        <f>VLOOKUP($AB438,sample!$1:$1048576,3,FALSE)</f>
        <v>JJSDJPJTXXX</v>
      </c>
      <c r="AE438" s="1104">
        <f>VLOOKUP($AB438,sample!$1:$1048576,4,FALSE)</f>
        <v>6530490016</v>
      </c>
      <c r="AF438" s="1111" t="str">
        <f>VLOOKUP($AB438,sample!$1:$1048576,5,FALSE)</f>
        <v>N</v>
      </c>
      <c r="AL438" s="1104" t="str">
        <f>VLOOKUP($AB438,sample!$1:$1048576,11,FALSE)</f>
        <v xml:space="preserve">                  </v>
      </c>
      <c r="AM438" s="1104" t="str">
        <f>VLOOKUP($AB438,sample!$1:$1048576,12,FALSE)</f>
        <v xml:space="preserve">                          </v>
      </c>
      <c r="AN438" s="1104" t="str">
        <f>VLOOKUP($AB438,sample!$1:$1048576,13,FALSE)</f>
        <v>GOLDJPJXXXX</v>
      </c>
      <c r="AP438" s="1111"/>
    </row>
    <row r="439" spans="1:42" s="690" customFormat="1">
      <c r="A439" s="1123">
        <f>(A438+1)</f>
        <v>2019200454</v>
      </c>
      <c r="B439" s="933">
        <v>44293</v>
      </c>
      <c r="C439" s="933" t="s">
        <v>137</v>
      </c>
      <c r="D439" s="1127" t="str">
        <f>IFERROR(VLOOKUP(G439,PosAggregate!$B$13:$B$93,1,FALSE),"")</f>
        <v/>
      </c>
      <c r="E439" s="1022" t="s">
        <v>12868</v>
      </c>
      <c r="F439" s="1132" t="str">
        <f t="shared" si="97"/>
        <v/>
      </c>
      <c r="G439" s="667" t="s">
        <v>12700</v>
      </c>
      <c r="I439" s="1068" t="s">
        <v>12803</v>
      </c>
      <c r="J439" s="949" t="s">
        <v>125</v>
      </c>
      <c r="K439" s="1055">
        <v>824.11785699999996</v>
      </c>
      <c r="L439" s="1055"/>
      <c r="M439" s="1055">
        <v>2800</v>
      </c>
      <c r="N439" s="1135">
        <f t="shared" si="101"/>
        <v>-2307529.9995999997</v>
      </c>
      <c r="O439" s="934">
        <v>-1385</v>
      </c>
      <c r="P439" s="934"/>
      <c r="R439" s="1100">
        <f t="shared" si="112"/>
        <v>-2308914.9995999997</v>
      </c>
      <c r="S439" s="995">
        <v>130.31551697521704</v>
      </c>
      <c r="T439" s="1121">
        <f t="shared" si="96"/>
        <v>-17717.882361155054</v>
      </c>
      <c r="U439" s="690">
        <v>44295</v>
      </c>
      <c r="V439" s="667" t="s">
        <v>1725</v>
      </c>
      <c r="W439" s="936">
        <v>44216.554416666666</v>
      </c>
      <c r="X439" s="1089">
        <f t="shared" si="105"/>
        <v>6.0020888146203245E-2</v>
      </c>
      <c r="Y439" s="690" t="s">
        <v>1763</v>
      </c>
      <c r="Z439" s="1111" t="str">
        <f>VLOOKUP(AA439,'place of settlement'!A:C,2,FALSE)</f>
        <v>JJSDJPJTXXX</v>
      </c>
      <c r="AA439" s="1111" t="str">
        <f t="shared" si="113"/>
        <v>JP</v>
      </c>
      <c r="AB439" s="1111" t="str">
        <f t="shared" si="110"/>
        <v>Tavira SecuritiesJP</v>
      </c>
      <c r="AC439" s="1111" t="str">
        <f>VLOOKUP(AB439,sample!$1:$1048576,2,FALSE)</f>
        <v>GSILGB2XXXX</v>
      </c>
      <c r="AD439" s="1111" t="str">
        <f>VLOOKUP($AB439,sample!$1:$1048576,3,FALSE)</f>
        <v>JJSDJPJTXXX</v>
      </c>
      <c r="AE439" s="1104">
        <f>VLOOKUP($AB439,sample!$1:$1048576,4,FALSE)</f>
        <v>6530490016</v>
      </c>
      <c r="AF439" s="1111" t="str">
        <f>VLOOKUP($AB439,sample!$1:$1048576,5,FALSE)</f>
        <v>N</v>
      </c>
      <c r="AL439" s="1104" t="str">
        <f>VLOOKUP($AB439,sample!$1:$1048576,11,FALSE)</f>
        <v xml:space="preserve">                  </v>
      </c>
      <c r="AM439" s="1104" t="str">
        <f>VLOOKUP($AB439,sample!$1:$1048576,12,FALSE)</f>
        <v xml:space="preserve">                          </v>
      </c>
      <c r="AN439" s="1104" t="str">
        <f>VLOOKUP($AB439,sample!$1:$1048576,13,FALSE)</f>
        <v>GOLDJPJXXXX</v>
      </c>
      <c r="AP439" s="1111"/>
    </row>
    <row r="440" spans="1:42" s="690" customFormat="1">
      <c r="A440" s="1123">
        <f t="shared" si="111"/>
        <v>2019200455</v>
      </c>
      <c r="B440" s="933">
        <v>44294</v>
      </c>
      <c r="C440" s="933" t="s">
        <v>137</v>
      </c>
      <c r="D440" s="1127" t="str">
        <f>IFERROR(VLOOKUP(G440,PosAggregate!$B$13:$B$93,1,FALSE),"")</f>
        <v/>
      </c>
      <c r="E440" s="1022" t="s">
        <v>1243</v>
      </c>
      <c r="F440" s="1132" t="str">
        <f t="shared" si="97"/>
        <v/>
      </c>
      <c r="G440" s="667" t="s">
        <v>1192</v>
      </c>
      <c r="I440" s="1068" t="s">
        <v>1144</v>
      </c>
      <c r="J440" s="949" t="s">
        <v>125</v>
      </c>
      <c r="K440" s="1055">
        <v>1876.63607</v>
      </c>
      <c r="L440" s="1055"/>
      <c r="M440" s="1055">
        <v>11600</v>
      </c>
      <c r="N440" s="1135">
        <f t="shared" si="101"/>
        <v>-21768978.412</v>
      </c>
      <c r="O440" s="934">
        <v>-13061</v>
      </c>
      <c r="P440" s="934"/>
      <c r="R440" s="1100">
        <f t="shared" si="112"/>
        <v>-21782039.412</v>
      </c>
      <c r="S440" s="995">
        <v>130.43943755799336</v>
      </c>
      <c r="T440" s="1121">
        <f t="shared" si="96"/>
        <v>-166989.67597369244</v>
      </c>
      <c r="U440" s="690">
        <v>44298</v>
      </c>
      <c r="V440" s="667" t="s">
        <v>1725</v>
      </c>
      <c r="W440" s="936">
        <v>44216.554416666666</v>
      </c>
      <c r="X440" s="1089">
        <f t="shared" si="105"/>
        <v>5.999822202405334E-2</v>
      </c>
      <c r="Y440" s="690" t="s">
        <v>1763</v>
      </c>
      <c r="Z440" s="1111" t="str">
        <f>VLOOKUP(AA440,'place of settlement'!A:C,2,FALSE)</f>
        <v>JJSDJPJTXXX</v>
      </c>
      <c r="AA440" s="1111" t="str">
        <f t="shared" si="113"/>
        <v>JP</v>
      </c>
      <c r="AB440" s="1111" t="str">
        <f t="shared" si="110"/>
        <v>Tavira SecuritiesJP</v>
      </c>
      <c r="AC440" s="1111" t="str">
        <f>VLOOKUP(AB440,sample!$1:$1048576,2,FALSE)</f>
        <v>GSILGB2XXXX</v>
      </c>
      <c r="AD440" s="1111" t="str">
        <f>VLOOKUP($AB440,sample!$1:$1048576,3,FALSE)</f>
        <v>JJSDJPJTXXX</v>
      </c>
      <c r="AE440" s="1104">
        <f>VLOOKUP($AB440,sample!$1:$1048576,4,FALSE)</f>
        <v>6530490016</v>
      </c>
      <c r="AF440" s="1111" t="str">
        <f>VLOOKUP($AB440,sample!$1:$1048576,5,FALSE)</f>
        <v>N</v>
      </c>
      <c r="AL440" s="1104" t="str">
        <f>VLOOKUP($AB440,sample!$1:$1048576,11,FALSE)</f>
        <v xml:space="preserve">                  </v>
      </c>
      <c r="AM440" s="1104" t="str">
        <f>VLOOKUP($AB440,sample!$1:$1048576,12,FALSE)</f>
        <v xml:space="preserve">                          </v>
      </c>
      <c r="AN440" s="1104" t="str">
        <f>VLOOKUP($AB440,sample!$1:$1048576,13,FALSE)</f>
        <v>GOLDJPJXXXX</v>
      </c>
      <c r="AP440" s="1111"/>
    </row>
    <row r="441" spans="1:42" s="690" customFormat="1">
      <c r="A441" s="1123">
        <f t="shared" si="111"/>
        <v>2019200456</v>
      </c>
      <c r="B441" s="933">
        <v>44294</v>
      </c>
      <c r="C441" s="933" t="s">
        <v>138</v>
      </c>
      <c r="D441" s="1127" t="str">
        <f>IFERROR(VLOOKUP(G441,PosAggregate!$B$13:$B$93,1,FALSE),"")</f>
        <v/>
      </c>
      <c r="E441" s="1022" t="s">
        <v>1680</v>
      </c>
      <c r="F441" s="1132" t="str">
        <f t="shared" si="97"/>
        <v/>
      </c>
      <c r="G441" s="667" t="s">
        <v>1660</v>
      </c>
      <c r="I441" s="949" t="s">
        <v>1663</v>
      </c>
      <c r="J441" s="949" t="s">
        <v>125</v>
      </c>
      <c r="K441" s="1055">
        <v>1232.67983</v>
      </c>
      <c r="L441" s="1055"/>
      <c r="M441" s="1055">
        <v>-17600</v>
      </c>
      <c r="N441" s="1135">
        <f t="shared" si="101"/>
        <v>21695165.008000001</v>
      </c>
      <c r="O441" s="934">
        <v>-13017</v>
      </c>
      <c r="P441" s="934"/>
      <c r="R441" s="1100">
        <f t="shared" si="112"/>
        <v>21682148.008000001</v>
      </c>
      <c r="S441" s="995">
        <v>130.43943755799293</v>
      </c>
      <c r="T441" s="1121">
        <f t="shared" si="96"/>
        <v>166223.86920642917</v>
      </c>
      <c r="U441" s="690">
        <v>44298</v>
      </c>
      <c r="V441" s="667" t="s">
        <v>1725</v>
      </c>
      <c r="W441" s="936">
        <v>44216.554416666666</v>
      </c>
      <c r="X441" s="1089">
        <f t="shared" si="105"/>
        <v>-5.9999543655003484E-2</v>
      </c>
      <c r="Y441" s="690" t="s">
        <v>1763</v>
      </c>
      <c r="Z441" s="1111" t="str">
        <f>VLOOKUP(AA441,'place of settlement'!A:C,2,FALSE)</f>
        <v>JJSDJPJTXXX</v>
      </c>
      <c r="AA441" s="1111" t="str">
        <f t="shared" si="113"/>
        <v>JP</v>
      </c>
      <c r="AB441" s="1111" t="str">
        <f t="shared" si="110"/>
        <v>Tavira SecuritiesJP</v>
      </c>
      <c r="AC441" s="1111" t="str">
        <f>VLOOKUP(AB441,sample!$1:$1048576,2,FALSE)</f>
        <v>GSILGB2XXXX</v>
      </c>
      <c r="AD441" s="1111" t="str">
        <f>VLOOKUP($AB441,sample!$1:$1048576,3,FALSE)</f>
        <v>JJSDJPJTXXX</v>
      </c>
      <c r="AE441" s="1104">
        <f>VLOOKUP($AB441,sample!$1:$1048576,4,FALSE)</f>
        <v>6530490016</v>
      </c>
      <c r="AF441" s="1111" t="str">
        <f>VLOOKUP($AB441,sample!$1:$1048576,5,FALSE)</f>
        <v>N</v>
      </c>
      <c r="AL441" s="1104" t="str">
        <f>VLOOKUP($AB441,sample!$1:$1048576,11,FALSE)</f>
        <v xml:space="preserve">                  </v>
      </c>
      <c r="AM441" s="1104" t="str">
        <f>VLOOKUP($AB441,sample!$1:$1048576,12,FALSE)</f>
        <v xml:space="preserve">                          </v>
      </c>
      <c r="AN441" s="1104" t="str">
        <f>VLOOKUP($AB441,sample!$1:$1048576,13,FALSE)</f>
        <v>GOLDJPJXXXX</v>
      </c>
      <c r="AP441" s="1111"/>
    </row>
    <row r="442" spans="1:42" s="690" customFormat="1">
      <c r="A442" s="1123">
        <f t="shared" si="111"/>
        <v>2019200457</v>
      </c>
      <c r="B442" s="933">
        <v>44299</v>
      </c>
      <c r="C442" s="933" t="s">
        <v>137</v>
      </c>
      <c r="D442" s="1127" t="str">
        <f>IFERROR(VLOOKUP(G442,PosAggregate!$B$13:$B$93,1,FALSE),"")</f>
        <v/>
      </c>
      <c r="E442" s="1022" t="s">
        <v>1232</v>
      </c>
      <c r="F442" s="1132" t="str">
        <f t="shared" si="97"/>
        <v/>
      </c>
      <c r="G442" s="667" t="s">
        <v>1180</v>
      </c>
      <c r="I442" s="1068" t="s">
        <v>1122</v>
      </c>
      <c r="J442" s="949" t="s">
        <v>125</v>
      </c>
      <c r="K442" s="1055">
        <v>1397.6220000000001</v>
      </c>
      <c r="L442" s="1055"/>
      <c r="M442" s="1055">
        <v>5000</v>
      </c>
      <c r="N442" s="1135">
        <f t="shared" si="101"/>
        <v>-6988110</v>
      </c>
      <c r="O442" s="934">
        <v>-4193</v>
      </c>
      <c r="P442" s="934"/>
      <c r="R442" s="1100">
        <f t="shared" si="112"/>
        <v>-6992303</v>
      </c>
      <c r="S442" s="995">
        <v>130.24889841610087</v>
      </c>
      <c r="T442" s="1121">
        <f t="shared" si="96"/>
        <v>-53684.162284904502</v>
      </c>
      <c r="U442" s="690">
        <v>44301</v>
      </c>
      <c r="V442" s="667" t="s">
        <v>1725</v>
      </c>
      <c r="W442" s="936">
        <v>44216.554416666666</v>
      </c>
      <c r="X442" s="1089">
        <f t="shared" si="105"/>
        <v>6.0001917542797698E-2</v>
      </c>
      <c r="Y442" s="690" t="s">
        <v>1763</v>
      </c>
      <c r="Z442" s="1111" t="str">
        <f>VLOOKUP(AA442,'place of settlement'!A:C,2,FALSE)</f>
        <v>JJSDJPJTXXX</v>
      </c>
      <c r="AA442" s="1111" t="str">
        <f t="shared" si="113"/>
        <v>JP</v>
      </c>
      <c r="AB442" s="1111" t="str">
        <f t="shared" si="110"/>
        <v>Tavira SecuritiesJP</v>
      </c>
      <c r="AC442" s="1111" t="str">
        <f>VLOOKUP(AB442,sample!$1:$1048576,2,FALSE)</f>
        <v>GSILGB2XXXX</v>
      </c>
      <c r="AD442" s="1111" t="str">
        <f>VLOOKUP($AB442,sample!$1:$1048576,3,FALSE)</f>
        <v>JJSDJPJTXXX</v>
      </c>
      <c r="AE442" s="1104">
        <f>VLOOKUP($AB442,sample!$1:$1048576,4,FALSE)</f>
        <v>6530490016</v>
      </c>
      <c r="AF442" s="1111" t="str">
        <f>VLOOKUP($AB442,sample!$1:$1048576,5,FALSE)</f>
        <v>N</v>
      </c>
      <c r="AL442" s="1104" t="str">
        <f>VLOOKUP($AB442,sample!$1:$1048576,11,FALSE)</f>
        <v xml:space="preserve">                  </v>
      </c>
      <c r="AM442" s="1104" t="str">
        <f>VLOOKUP($AB442,sample!$1:$1048576,12,FALSE)</f>
        <v xml:space="preserve">                          </v>
      </c>
      <c r="AN442" s="1104" t="str">
        <f>VLOOKUP($AB442,sample!$1:$1048576,13,FALSE)</f>
        <v>GOLDJPJXXXX</v>
      </c>
      <c r="AP442" s="1111"/>
    </row>
    <row r="443" spans="1:42" s="690" customFormat="1">
      <c r="A443" s="1123">
        <f>(A442+1)</f>
        <v>2019200458</v>
      </c>
      <c r="B443" s="933">
        <v>44299</v>
      </c>
      <c r="C443" s="933" t="s">
        <v>137</v>
      </c>
      <c r="D443" s="1127" t="str">
        <f>IFERROR(VLOOKUP(G443,PosAggregate!$B$13:$B$93,1,FALSE),"")</f>
        <v/>
      </c>
      <c r="E443" s="1022" t="s">
        <v>1263</v>
      </c>
      <c r="F443" s="1132" t="str">
        <f t="shared" si="97"/>
        <v/>
      </c>
      <c r="G443" s="667" t="s">
        <v>1214</v>
      </c>
      <c r="I443" s="1068" t="s">
        <v>12811</v>
      </c>
      <c r="J443" s="949" t="s">
        <v>2</v>
      </c>
      <c r="K443" s="1055">
        <v>27.2988</v>
      </c>
      <c r="L443" s="1055"/>
      <c r="M443" s="1055">
        <v>4200</v>
      </c>
      <c r="N443" s="1135">
        <f t="shared" si="101"/>
        <v>-114654.96</v>
      </c>
      <c r="O443" s="934">
        <v>-68.790000000000006</v>
      </c>
      <c r="P443" s="934">
        <v>-343.96</v>
      </c>
      <c r="R443" s="1100">
        <f t="shared" si="112"/>
        <v>-115067.71</v>
      </c>
      <c r="S443" s="995">
        <v>1</v>
      </c>
      <c r="T443" s="1121">
        <f t="shared" si="96"/>
        <v>-115067.71</v>
      </c>
      <c r="U443" s="690">
        <v>44301</v>
      </c>
      <c r="V443" s="667" t="s">
        <v>1229</v>
      </c>
      <c r="W443" s="936">
        <v>44216.554416666666</v>
      </c>
      <c r="X443" s="1089">
        <f t="shared" si="105"/>
        <v>5.9997404386168726E-2</v>
      </c>
      <c r="Y443" s="690" t="s">
        <v>1763</v>
      </c>
      <c r="Z443" s="1111" t="str">
        <f>VLOOKUP(AA443,'place of settlement'!A:C,2,FALSE)</f>
        <v>SICVFRPPXXX</v>
      </c>
      <c r="AA443" s="1111" t="str">
        <f t="shared" si="113"/>
        <v>FR</v>
      </c>
      <c r="AB443" s="1111" t="str">
        <f t="shared" si="110"/>
        <v>EquitaFR</v>
      </c>
      <c r="AC443" s="1111" t="str">
        <f>VLOOKUP(AB443,sample!$1:$1048576,2,FALSE)</f>
        <v>EMSIITM1XXX</v>
      </c>
      <c r="AD443" s="1111" t="str">
        <f>VLOOKUP($AB443,sample!$1:$1048576,3,FALSE)</f>
        <v>SICVFRPPXXX</v>
      </c>
      <c r="AE443" s="1104" t="str">
        <f>VLOOKUP($AB443,sample!$1:$1048576,4,FALSE)</f>
        <v>SICVBCITITMMD00000L10</v>
      </c>
      <c r="AF443" s="1111" t="str">
        <f>VLOOKUP($AB443,sample!$1:$1048576,5,FALSE)</f>
        <v>N</v>
      </c>
      <c r="AL443" s="1104" t="str">
        <f>VLOOKUP($AB443,sample!$1:$1048576,11,FALSE)</f>
        <v xml:space="preserve">        </v>
      </c>
      <c r="AM443" s="1104" t="str">
        <f>VLOOKUP($AB443,sample!$1:$1048576,12,FALSE)</f>
        <v xml:space="preserve">        </v>
      </c>
      <c r="AN443" s="1104" t="str">
        <f>VLOOKUP($AB443,sample!$1:$1048576,13,FALSE)</f>
        <v>BCITITMMD00</v>
      </c>
      <c r="AP443" s="1111"/>
    </row>
    <row r="444" spans="1:42" s="690" customFormat="1">
      <c r="A444" s="1123">
        <f t="shared" si="111"/>
        <v>2019200459</v>
      </c>
      <c r="B444" s="933">
        <v>44301</v>
      </c>
      <c r="C444" s="933" t="s">
        <v>138</v>
      </c>
      <c r="D444" s="1127" t="str">
        <f>IFERROR(VLOOKUP(G444,PosAggregate!$B$13:$B$93,1,FALSE),"")</f>
        <v/>
      </c>
      <c r="E444" s="1022" t="s">
        <v>12861</v>
      </c>
      <c r="F444" s="1132" t="str">
        <f t="shared" si="97"/>
        <v/>
      </c>
      <c r="G444" s="667" t="s">
        <v>2202</v>
      </c>
      <c r="I444" s="1068" t="s">
        <v>12797</v>
      </c>
      <c r="J444" s="949" t="s">
        <v>125</v>
      </c>
      <c r="K444" s="1055">
        <v>4914.7</v>
      </c>
      <c r="L444" s="1055"/>
      <c r="M444" s="1055">
        <v>-11000</v>
      </c>
      <c r="N444" s="1135">
        <f t="shared" si="101"/>
        <v>54061700</v>
      </c>
      <c r="O444" s="934">
        <v>-32437</v>
      </c>
      <c r="P444" s="934"/>
      <c r="R444" s="1100">
        <f t="shared" si="112"/>
        <v>54029263</v>
      </c>
      <c r="S444" s="995">
        <v>130.45301008552335</v>
      </c>
      <c r="T444" s="1121">
        <f t="shared" ref="T444:T507" si="114">+R444/S444</f>
        <v>414166.4723916995</v>
      </c>
      <c r="U444" s="690">
        <v>44305</v>
      </c>
      <c r="V444" s="667" t="s">
        <v>1725</v>
      </c>
      <c r="W444" s="936">
        <v>44216.554416666666</v>
      </c>
      <c r="X444" s="1089">
        <f t="shared" si="105"/>
        <v>-5.9999963005232915E-2</v>
      </c>
      <c r="Y444" s="690" t="s">
        <v>1763</v>
      </c>
      <c r="Z444" s="1111" t="str">
        <f>VLOOKUP(AA444,'place of settlement'!A:C,2,FALSE)</f>
        <v>JJSDJPJTXXX</v>
      </c>
      <c r="AA444" s="1111" t="str">
        <f t="shared" si="113"/>
        <v>JP</v>
      </c>
      <c r="AB444" s="1111" t="str">
        <f t="shared" si="110"/>
        <v>Tavira SecuritiesJP</v>
      </c>
      <c r="AC444" s="1111" t="str">
        <f>VLOOKUP(AB444,sample!$1:$1048576,2,FALSE)</f>
        <v>GSILGB2XXXX</v>
      </c>
      <c r="AD444" s="1111" t="str">
        <f>VLOOKUP($AB444,sample!$1:$1048576,3,FALSE)</f>
        <v>JJSDJPJTXXX</v>
      </c>
      <c r="AE444" s="1104">
        <f>VLOOKUP($AB444,sample!$1:$1048576,4,FALSE)</f>
        <v>6530490016</v>
      </c>
      <c r="AF444" s="1111" t="str">
        <f>VLOOKUP($AB444,sample!$1:$1048576,5,FALSE)</f>
        <v>N</v>
      </c>
      <c r="AL444" s="1104" t="str">
        <f>VLOOKUP($AB444,sample!$1:$1048576,11,FALSE)</f>
        <v xml:space="preserve">                  </v>
      </c>
      <c r="AM444" s="1104" t="str">
        <f>VLOOKUP($AB444,sample!$1:$1048576,12,FALSE)</f>
        <v xml:space="preserve">                          </v>
      </c>
      <c r="AN444" s="1104" t="str">
        <f>VLOOKUP($AB444,sample!$1:$1048576,13,FALSE)</f>
        <v>GOLDJPJXXXX</v>
      </c>
      <c r="AP444" s="1111"/>
    </row>
    <row r="445" spans="1:42" s="690" customFormat="1">
      <c r="A445" s="1046">
        <v>2019200462</v>
      </c>
      <c r="B445" s="933">
        <v>44307</v>
      </c>
      <c r="C445" s="933" t="s">
        <v>138</v>
      </c>
      <c r="D445" s="1127" t="str">
        <f>IFERROR(VLOOKUP(G445,PosAggregate!$B$13:$B$93,1,FALSE),"")</f>
        <v/>
      </c>
      <c r="E445" s="1022" t="s">
        <v>12880</v>
      </c>
      <c r="F445" s="1132" t="str">
        <f t="shared" si="97"/>
        <v/>
      </c>
      <c r="G445" s="667" t="s">
        <v>2218</v>
      </c>
      <c r="I445" s="949" t="s">
        <v>12887</v>
      </c>
      <c r="J445" s="949" t="s">
        <v>2</v>
      </c>
      <c r="K445" s="1055">
        <v>4.9228290000000001</v>
      </c>
      <c r="L445" s="1055"/>
      <c r="M445" s="1055">
        <v>-4187</v>
      </c>
      <c r="N445" s="1135">
        <f t="shared" si="101"/>
        <v>20611.885022999999</v>
      </c>
      <c r="O445" s="934">
        <v>-12.37</v>
      </c>
      <c r="P445" s="934"/>
      <c r="R445" s="1100">
        <f t="shared" si="112"/>
        <v>20599.515023</v>
      </c>
      <c r="S445" s="995">
        <v>1</v>
      </c>
      <c r="T445" s="1121">
        <f t="shared" si="114"/>
        <v>20599.515023</v>
      </c>
      <c r="U445" s="690">
        <v>44309</v>
      </c>
      <c r="V445" s="667" t="s">
        <v>1725</v>
      </c>
      <c r="W445" s="936">
        <v>44216.554416666666</v>
      </c>
      <c r="X445" s="1089">
        <f t="shared" si="105"/>
        <v>-6.0013919086957836E-2</v>
      </c>
      <c r="Y445" s="690" t="s">
        <v>1763</v>
      </c>
      <c r="Z445" s="1111" t="str">
        <f>VLOOKUP(AA445,'place of settlement'!A:C,2,FALSE)</f>
        <v>MOTIITMMXXX</v>
      </c>
      <c r="AA445" s="1111" t="str">
        <f t="shared" si="113"/>
        <v>IT</v>
      </c>
      <c r="AB445" s="1111" t="str">
        <f t="shared" si="110"/>
        <v>Tavira SecuritiesIT</v>
      </c>
      <c r="AC445" s="1111" t="str">
        <f>VLOOKUP(AB445,sample!$1:$1048576,2,FALSE)</f>
        <v>GSILGB2XXXX</v>
      </c>
      <c r="AD445" s="1111" t="str">
        <f>VLOOKUP($AB445,sample!$1:$1048576,3,FALSE)</f>
        <v>MOTIITMMXXX</v>
      </c>
      <c r="AE445" s="1104" t="str">
        <f>VLOOKUP($AB445,sample!$1:$1048576,4,FALSE)</f>
        <v>MOTICITIITMXXXX6013800</v>
      </c>
      <c r="AF445" s="1111" t="str">
        <f>VLOOKUP($AB445,sample!$1:$1048576,5,FALSE)</f>
        <v>N</v>
      </c>
      <c r="AL445" s="1104" t="str">
        <f>VLOOKUP($AB445,sample!$1:$1048576,11,FALSE)</f>
        <v xml:space="preserve">        </v>
      </c>
      <c r="AM445" s="1104" t="str">
        <f>VLOOKUP($AB445,sample!$1:$1048576,12,FALSE)</f>
        <v xml:space="preserve">        </v>
      </c>
      <c r="AN445" s="1104" t="str">
        <f>VLOOKUP($AB445,sample!$1:$1048576,13,FALSE)</f>
        <v>CITIITM1012</v>
      </c>
      <c r="AP445" s="1111"/>
    </row>
    <row r="446" spans="1:42" s="690" customFormat="1">
      <c r="A446" s="1046" t="s">
        <v>1777</v>
      </c>
      <c r="B446" s="933">
        <v>44306</v>
      </c>
      <c r="C446" s="933"/>
      <c r="D446" s="1021"/>
      <c r="E446" s="1022" t="s">
        <v>12789</v>
      </c>
      <c r="F446" s="1132" t="str">
        <f t="shared" si="97"/>
        <v/>
      </c>
      <c r="G446" s="667" t="s">
        <v>12788</v>
      </c>
      <c r="I446" s="949" t="e">
        <v>#N/A</v>
      </c>
      <c r="J446" s="949" t="s">
        <v>12790</v>
      </c>
      <c r="K446" s="1055"/>
      <c r="L446" s="1055"/>
      <c r="M446" s="1055">
        <v>-16000</v>
      </c>
      <c r="N446" s="1135">
        <f t="shared" si="101"/>
        <v>0</v>
      </c>
      <c r="O446" s="934"/>
      <c r="P446" s="934"/>
      <c r="R446" s="1100">
        <f t="shared" si="112"/>
        <v>0</v>
      </c>
      <c r="S446" s="995"/>
      <c r="T446" s="1051">
        <v>0</v>
      </c>
      <c r="V446" s="667"/>
      <c r="W446" s="936"/>
      <c r="X446" s="1089" t="e">
        <f t="shared" si="105"/>
        <v>#DIV/0!</v>
      </c>
      <c r="Y446" s="690" t="s">
        <v>1763</v>
      </c>
      <c r="Z446" s="1111" t="e">
        <f>VLOOKUP(AA446,'place of settlement'!A:C,2,FALSE)</f>
        <v>#N/A</v>
      </c>
      <c r="AA446" s="1111" t="str">
        <f t="shared" si="113"/>
        <v>NU</v>
      </c>
      <c r="AB446" s="1111" t="str">
        <f t="shared" si="110"/>
        <v>NU</v>
      </c>
      <c r="AC446" s="1111" t="e">
        <f>VLOOKUP(AB446,sample!$1:$1048576,2,FALSE)</f>
        <v>#N/A</v>
      </c>
      <c r="AD446" s="1111" t="e">
        <f>VLOOKUP($AB446,sample!$1:$1048576,3,FALSE)</f>
        <v>#N/A</v>
      </c>
      <c r="AE446" s="1104" t="e">
        <f>VLOOKUP($AB446,sample!$1:$1048576,4,FALSE)</f>
        <v>#N/A</v>
      </c>
      <c r="AF446" s="1111" t="e">
        <f>VLOOKUP($AB446,sample!$1:$1048576,5,FALSE)</f>
        <v>#N/A</v>
      </c>
      <c r="AL446" s="1104" t="e">
        <f>VLOOKUP($AB446,sample!$1:$1048576,11,FALSE)</f>
        <v>#N/A</v>
      </c>
      <c r="AM446" s="1104" t="e">
        <f>VLOOKUP($AB446,sample!$1:$1048576,12,FALSE)</f>
        <v>#N/A</v>
      </c>
      <c r="AN446" s="1104" t="e">
        <f>VLOOKUP($AB446,sample!$1:$1048576,13,FALSE)</f>
        <v>#N/A</v>
      </c>
      <c r="AP446" s="1111"/>
    </row>
    <row r="447" spans="1:42" s="690" customFormat="1">
      <c r="A447" s="1046" t="s">
        <v>1777</v>
      </c>
      <c r="B447" s="933">
        <v>44306</v>
      </c>
      <c r="C447" s="933"/>
      <c r="D447" s="1021"/>
      <c r="E447" s="1022" t="s">
        <v>12880</v>
      </c>
      <c r="F447" s="1132" t="str">
        <f t="shared" si="97"/>
        <v/>
      </c>
      <c r="G447" s="667" t="s">
        <v>2218</v>
      </c>
      <c r="I447" s="949" t="s">
        <v>12887</v>
      </c>
      <c r="J447" s="949" t="s">
        <v>2</v>
      </c>
      <c r="K447" s="1055"/>
      <c r="L447" s="1055"/>
      <c r="M447" s="1055">
        <v>16000</v>
      </c>
      <c r="N447" s="1135">
        <f t="shared" si="101"/>
        <v>0</v>
      </c>
      <c r="O447" s="934"/>
      <c r="P447" s="934"/>
      <c r="R447" s="1100">
        <f t="shared" si="112"/>
        <v>0</v>
      </c>
      <c r="S447" s="995"/>
      <c r="T447" s="1051">
        <v>0</v>
      </c>
      <c r="V447" s="667"/>
      <c r="W447" s="936"/>
      <c r="X447" s="1089" t="e">
        <f t="shared" si="105"/>
        <v>#DIV/0!</v>
      </c>
      <c r="Y447" s="690" t="s">
        <v>1763</v>
      </c>
      <c r="Z447" s="1111" t="str">
        <f>VLOOKUP(AA447,'place of settlement'!A:C,2,FALSE)</f>
        <v>MOTIITMMXXX</v>
      </c>
      <c r="AA447" s="1111" t="str">
        <f t="shared" si="113"/>
        <v>IT</v>
      </c>
      <c r="AB447" s="1111" t="str">
        <f t="shared" si="110"/>
        <v>IT</v>
      </c>
      <c r="AC447" s="1111" t="e">
        <f>VLOOKUP(AB447,sample!$1:$1048576,2,FALSE)</f>
        <v>#N/A</v>
      </c>
      <c r="AD447" s="1111" t="e">
        <f>VLOOKUP($AB447,sample!$1:$1048576,3,FALSE)</f>
        <v>#N/A</v>
      </c>
      <c r="AE447" s="1104" t="e">
        <f>VLOOKUP($AB447,sample!$1:$1048576,4,FALSE)</f>
        <v>#N/A</v>
      </c>
      <c r="AF447" s="1111" t="e">
        <f>VLOOKUP($AB447,sample!$1:$1048576,5,FALSE)</f>
        <v>#N/A</v>
      </c>
      <c r="AL447" s="1104" t="e">
        <f>VLOOKUP($AB447,sample!$1:$1048576,11,FALSE)</f>
        <v>#N/A</v>
      </c>
      <c r="AM447" s="1104" t="e">
        <f>VLOOKUP($AB447,sample!$1:$1048576,12,FALSE)</f>
        <v>#N/A</v>
      </c>
      <c r="AN447" s="1104" t="e">
        <f>VLOOKUP($AB447,sample!$1:$1048576,13,FALSE)</f>
        <v>#N/A</v>
      </c>
      <c r="AP447" s="1111"/>
    </row>
    <row r="448" spans="1:42" s="690" customFormat="1">
      <c r="A448" s="1046">
        <v>2019200460</v>
      </c>
      <c r="B448" s="933">
        <v>44307</v>
      </c>
      <c r="C448" s="933" t="s">
        <v>137</v>
      </c>
      <c r="D448" s="1127" t="str">
        <f>IFERROR(VLOOKUP(G448,PosAggregate!$B$13:$B$93,1,FALSE),"")</f>
        <v/>
      </c>
      <c r="E448" s="1022" t="s">
        <v>1232</v>
      </c>
      <c r="F448" s="1132" t="str">
        <f t="shared" si="97"/>
        <v/>
      </c>
      <c r="G448" s="667" t="s">
        <v>1180</v>
      </c>
      <c r="I448" s="1068" t="s">
        <v>1122</v>
      </c>
      <c r="J448" s="949" t="s">
        <v>125</v>
      </c>
      <c r="K448" s="1055">
        <v>1312.2236359999999</v>
      </c>
      <c r="L448" s="1055"/>
      <c r="M448" s="1055">
        <v>11000</v>
      </c>
      <c r="N448" s="1135">
        <f t="shared" si="101"/>
        <v>-14434459.995999999</v>
      </c>
      <c r="O448" s="934">
        <v>-8661</v>
      </c>
      <c r="P448" s="934"/>
      <c r="R448" s="1100">
        <f t="shared" si="112"/>
        <v>-14443120.995999999</v>
      </c>
      <c r="S448" s="995">
        <v>130.24889841610087</v>
      </c>
      <c r="T448" s="1121">
        <f t="shared" si="114"/>
        <v>-110888.62302588654</v>
      </c>
      <c r="U448" s="690">
        <v>44309</v>
      </c>
      <c r="V448" s="667" t="s">
        <v>1725</v>
      </c>
      <c r="W448" s="936">
        <v>44216.554416666666</v>
      </c>
      <c r="X448" s="1089">
        <f t="shared" si="105"/>
        <v>6.0002244645106846E-2</v>
      </c>
      <c r="Y448" s="690" t="s">
        <v>1763</v>
      </c>
      <c r="Z448" s="1111" t="str">
        <f>VLOOKUP(AA448,'place of settlement'!A:C,2,FALSE)</f>
        <v>JJSDJPJTXXX</v>
      </c>
      <c r="AA448" s="1111" t="str">
        <f t="shared" si="113"/>
        <v>JP</v>
      </c>
      <c r="AB448" s="1111" t="str">
        <f t="shared" si="110"/>
        <v>Tavira SecuritiesJP</v>
      </c>
      <c r="AC448" s="1111" t="str">
        <f>VLOOKUP(AB448,sample!$1:$1048576,2,FALSE)</f>
        <v>GSILGB2XXXX</v>
      </c>
      <c r="AD448" s="1111" t="str">
        <f>VLOOKUP($AB448,sample!$1:$1048576,3,FALSE)</f>
        <v>JJSDJPJTXXX</v>
      </c>
      <c r="AE448" s="1104">
        <f>VLOOKUP($AB448,sample!$1:$1048576,4,FALSE)</f>
        <v>6530490016</v>
      </c>
      <c r="AF448" s="1111" t="str">
        <f>VLOOKUP($AB448,sample!$1:$1048576,5,FALSE)</f>
        <v>N</v>
      </c>
      <c r="AL448" s="1104" t="str">
        <f>VLOOKUP($AB448,sample!$1:$1048576,11,FALSE)</f>
        <v xml:space="preserve">                  </v>
      </c>
      <c r="AM448" s="1104" t="str">
        <f>VLOOKUP($AB448,sample!$1:$1048576,12,FALSE)</f>
        <v xml:space="preserve">                          </v>
      </c>
      <c r="AN448" s="1104" t="str">
        <f>VLOOKUP($AB448,sample!$1:$1048576,13,FALSE)</f>
        <v>GOLDJPJXXXX</v>
      </c>
      <c r="AP448" s="1111"/>
    </row>
    <row r="449" spans="1:42" s="690" customFormat="1">
      <c r="A449" s="1123">
        <f t="shared" ref="A449" si="115">(A448+1)</f>
        <v>2019200461</v>
      </c>
      <c r="B449" s="933">
        <v>44307</v>
      </c>
      <c r="C449" s="933" t="s">
        <v>137</v>
      </c>
      <c r="D449" s="1127" t="str">
        <f>IFERROR(VLOOKUP(G449,PosAggregate!$B$13:$B$93,1,FALSE),"")</f>
        <v/>
      </c>
      <c r="E449" s="1022" t="s">
        <v>12861</v>
      </c>
      <c r="F449" s="1132" t="str">
        <f t="shared" si="97"/>
        <v/>
      </c>
      <c r="G449" s="667" t="s">
        <v>2202</v>
      </c>
      <c r="I449" s="1068" t="s">
        <v>12797</v>
      </c>
      <c r="J449" s="949" t="s">
        <v>125</v>
      </c>
      <c r="K449" s="1055">
        <v>4188.8545450000001</v>
      </c>
      <c r="L449" s="1055"/>
      <c r="M449" s="1055">
        <v>11000</v>
      </c>
      <c r="N449" s="1135">
        <f t="shared" si="101"/>
        <v>-46077399.995000005</v>
      </c>
      <c r="O449" s="934">
        <v>-27646</v>
      </c>
      <c r="P449" s="934"/>
      <c r="R449" s="1100">
        <f t="shared" si="112"/>
        <v>-46105045.995000005</v>
      </c>
      <c r="S449" s="995">
        <v>130.24889841610087</v>
      </c>
      <c r="T449" s="1121">
        <f t="shared" si="114"/>
        <v>-353976.47546860692</v>
      </c>
      <c r="U449" s="690">
        <v>44309</v>
      </c>
      <c r="V449" s="667" t="s">
        <v>1725</v>
      </c>
      <c r="W449" s="936">
        <v>44216.554416666666</v>
      </c>
      <c r="X449" s="1089">
        <f t="shared" si="105"/>
        <v>5.9999045091519806E-2</v>
      </c>
      <c r="Y449" s="690" t="s">
        <v>1763</v>
      </c>
      <c r="Z449" s="1111" t="str">
        <f>VLOOKUP(AA449,'place of settlement'!A:C,2,FALSE)</f>
        <v>JJSDJPJTXXX</v>
      </c>
      <c r="AA449" s="1111" t="str">
        <f t="shared" si="113"/>
        <v>JP</v>
      </c>
      <c r="AB449" s="1111" t="str">
        <f t="shared" si="110"/>
        <v>Tavira SecuritiesJP</v>
      </c>
      <c r="AC449" s="1111" t="str">
        <f>VLOOKUP(AB449,sample!$1:$1048576,2,FALSE)</f>
        <v>GSILGB2XXXX</v>
      </c>
      <c r="AD449" s="1111" t="str">
        <f>VLOOKUP($AB449,sample!$1:$1048576,3,FALSE)</f>
        <v>JJSDJPJTXXX</v>
      </c>
      <c r="AE449" s="1104">
        <f>VLOOKUP($AB449,sample!$1:$1048576,4,FALSE)</f>
        <v>6530490016</v>
      </c>
      <c r="AF449" s="1111" t="str">
        <f>VLOOKUP($AB449,sample!$1:$1048576,5,FALSE)</f>
        <v>N</v>
      </c>
      <c r="AL449" s="1104" t="str">
        <f>VLOOKUP($AB449,sample!$1:$1048576,11,FALSE)</f>
        <v xml:space="preserve">                  </v>
      </c>
      <c r="AM449" s="1104" t="str">
        <f>VLOOKUP($AB449,sample!$1:$1048576,12,FALSE)</f>
        <v xml:space="preserve">                          </v>
      </c>
      <c r="AN449" s="1104" t="str">
        <f>VLOOKUP($AB449,sample!$1:$1048576,13,FALSE)</f>
        <v>GOLDJPJXXXX</v>
      </c>
      <c r="AP449" s="1111"/>
    </row>
    <row r="450" spans="1:42">
      <c r="A450" s="1046">
        <v>2019200463</v>
      </c>
      <c r="B450" s="998">
        <v>44308</v>
      </c>
      <c r="C450" s="998" t="s">
        <v>137</v>
      </c>
      <c r="D450" s="1127" t="str">
        <f>IFERROR(VLOOKUP(G450,PosAggregate!$B$13:$B$93,1,FALSE),"")</f>
        <v/>
      </c>
      <c r="E450" s="1022" t="s">
        <v>1268</v>
      </c>
      <c r="F450" s="1132" t="str">
        <f t="shared" si="97"/>
        <v/>
      </c>
      <c r="G450" s="701" t="s">
        <v>1219</v>
      </c>
      <c r="I450" s="1069" t="s">
        <v>132</v>
      </c>
      <c r="J450" s="950" t="s">
        <v>2</v>
      </c>
      <c r="K450" s="1055">
        <v>33.870199999999997</v>
      </c>
      <c r="L450" s="1055"/>
      <c r="M450" s="1055">
        <v>4500</v>
      </c>
      <c r="N450" s="1135">
        <f t="shared" si="101"/>
        <v>-152415.9</v>
      </c>
      <c r="O450" s="934">
        <v>-91.45</v>
      </c>
      <c r="P450" s="934">
        <v>-457.25</v>
      </c>
      <c r="R450" s="1100">
        <f t="shared" si="112"/>
        <v>-152964.6</v>
      </c>
      <c r="S450" s="995">
        <v>1</v>
      </c>
      <c r="T450" s="1121">
        <f t="shared" si="114"/>
        <v>-152964.6</v>
      </c>
      <c r="U450" s="827">
        <v>44312</v>
      </c>
      <c r="V450" s="667" t="s">
        <v>1229</v>
      </c>
      <c r="W450" s="1031">
        <v>44216.554416666666</v>
      </c>
      <c r="X450" s="1089">
        <f t="shared" si="105"/>
        <v>6.0000301805782738E-2</v>
      </c>
      <c r="Y450" s="690" t="s">
        <v>1763</v>
      </c>
      <c r="Z450" s="1111" t="str">
        <f>VLOOKUP(AA450,'place of settlement'!A:C,2,FALSE)</f>
        <v>SICVFRPPXXX</v>
      </c>
      <c r="AA450" s="1111" t="str">
        <f t="shared" si="113"/>
        <v>FR</v>
      </c>
      <c r="AB450" s="1111" t="str">
        <f t="shared" si="110"/>
        <v>EquitaFR</v>
      </c>
      <c r="AC450" s="1111" t="str">
        <f>VLOOKUP(AB450,sample!$1:$1048576,2,FALSE)</f>
        <v>EMSIITM1XXX</v>
      </c>
      <c r="AD450" s="1111" t="str">
        <f>VLOOKUP($AB450,sample!$1:$1048576,3,FALSE)</f>
        <v>SICVFRPPXXX</v>
      </c>
      <c r="AE450" s="1104" t="str">
        <f>VLOOKUP($AB450,sample!$1:$1048576,4,FALSE)</f>
        <v>SICVBCITITMMD00000L10</v>
      </c>
      <c r="AF450" s="1111" t="str">
        <f>VLOOKUP($AB450,sample!$1:$1048576,5,FALSE)</f>
        <v>N</v>
      </c>
      <c r="AG450" s="690"/>
      <c r="AH450" s="690"/>
      <c r="AI450" s="690"/>
      <c r="AJ450" s="690"/>
      <c r="AK450" s="690"/>
      <c r="AL450" s="1104" t="str">
        <f>VLOOKUP($AB450,sample!$1:$1048576,11,FALSE)</f>
        <v xml:space="preserve">        </v>
      </c>
      <c r="AM450" s="1104" t="str">
        <f>VLOOKUP($AB450,sample!$1:$1048576,12,FALSE)</f>
        <v xml:space="preserve">        </v>
      </c>
      <c r="AN450" s="1104" t="str">
        <f>VLOOKUP($AB450,sample!$1:$1048576,13,FALSE)</f>
        <v>BCITITMMD00</v>
      </c>
      <c r="AO450" s="690"/>
      <c r="AP450" s="1111"/>
    </row>
    <row r="451" spans="1:42">
      <c r="A451" s="1046">
        <v>2019200464</v>
      </c>
      <c r="B451" s="998">
        <v>44309</v>
      </c>
      <c r="C451" s="998" t="s">
        <v>138</v>
      </c>
      <c r="D451" s="1127" t="str">
        <f>IFERROR(VLOOKUP(G451,PosAggregate!$B$13:$B$93,1,FALSE),"")</f>
        <v/>
      </c>
      <c r="E451" s="1022" t="s">
        <v>12880</v>
      </c>
      <c r="F451" s="1132" t="str">
        <f t="shared" si="97"/>
        <v/>
      </c>
      <c r="G451" s="701" t="s">
        <v>2218</v>
      </c>
      <c r="I451" s="950" t="s">
        <v>12887</v>
      </c>
      <c r="J451" s="950" t="s">
        <v>2</v>
      </c>
      <c r="K451" s="1055">
        <v>4.8864960000000002</v>
      </c>
      <c r="L451" s="1055"/>
      <c r="M451" s="1055">
        <v>-1240</v>
      </c>
      <c r="N451" s="1135">
        <f t="shared" si="101"/>
        <v>6059.25504</v>
      </c>
      <c r="O451" s="934">
        <v>-3.64</v>
      </c>
      <c r="P451" s="934"/>
      <c r="R451" s="1100">
        <f t="shared" si="112"/>
        <v>6055.6150399999997</v>
      </c>
      <c r="S451" s="995">
        <v>1</v>
      </c>
      <c r="T451" s="1121">
        <f t="shared" si="114"/>
        <v>6055.6150399999997</v>
      </c>
      <c r="U451" s="827">
        <v>44312</v>
      </c>
      <c r="V451" s="701" t="s">
        <v>1725</v>
      </c>
      <c r="W451" s="1031">
        <v>44216.554416666666</v>
      </c>
      <c r="X451" s="1089">
        <f t="shared" si="105"/>
        <v>-6.0073391464307797E-2</v>
      </c>
      <c r="Y451" s="690" t="s">
        <v>1763</v>
      </c>
      <c r="Z451" s="1111" t="str">
        <f>VLOOKUP(AA451,'place of settlement'!A:C,2,FALSE)</f>
        <v>MOTIITMMXXX</v>
      </c>
      <c r="AA451" s="1111" t="str">
        <f t="shared" si="113"/>
        <v>IT</v>
      </c>
      <c r="AB451" s="1111" t="str">
        <f t="shared" si="110"/>
        <v>Tavira SecuritiesIT</v>
      </c>
      <c r="AC451" s="1111" t="str">
        <f>VLOOKUP(AB451,sample!$1:$1048576,2,FALSE)</f>
        <v>GSILGB2XXXX</v>
      </c>
      <c r="AD451" s="1111" t="str">
        <f>VLOOKUP($AB451,sample!$1:$1048576,3,FALSE)</f>
        <v>MOTIITMMXXX</v>
      </c>
      <c r="AE451" s="1104" t="str">
        <f>VLOOKUP($AB451,sample!$1:$1048576,4,FALSE)</f>
        <v>MOTICITIITMXXXX6013800</v>
      </c>
      <c r="AF451" s="1111" t="str">
        <f>VLOOKUP($AB451,sample!$1:$1048576,5,FALSE)</f>
        <v>N</v>
      </c>
      <c r="AG451" s="690"/>
      <c r="AH451" s="690"/>
      <c r="AI451" s="690"/>
      <c r="AJ451" s="690"/>
      <c r="AK451" s="690"/>
      <c r="AL451" s="1104" t="str">
        <f>VLOOKUP($AB451,sample!$1:$1048576,11,FALSE)</f>
        <v xml:space="preserve">        </v>
      </c>
      <c r="AM451" s="1104" t="str">
        <f>VLOOKUP($AB451,sample!$1:$1048576,12,FALSE)</f>
        <v xml:space="preserve">        </v>
      </c>
      <c r="AN451" s="1104" t="str">
        <f>VLOOKUP($AB451,sample!$1:$1048576,13,FALSE)</f>
        <v>CITIITM1012</v>
      </c>
      <c r="AO451" s="690"/>
      <c r="AP451" s="1111"/>
    </row>
    <row r="452" spans="1:42">
      <c r="A452" s="1046">
        <v>2019200465</v>
      </c>
      <c r="B452" s="998">
        <v>44309</v>
      </c>
      <c r="C452" s="998" t="s">
        <v>138</v>
      </c>
      <c r="D452" s="1127" t="str">
        <f>IFERROR(VLOOKUP(G452,PosAggregate!$B$13:$B$93,1,FALSE),"")</f>
        <v/>
      </c>
      <c r="E452" s="1022" t="s">
        <v>12880</v>
      </c>
      <c r="F452" s="1132" t="str">
        <f t="shared" si="97"/>
        <v/>
      </c>
      <c r="G452" s="701" t="s">
        <v>2218</v>
      </c>
      <c r="I452" s="950" t="s">
        <v>12887</v>
      </c>
      <c r="J452" s="950" t="s">
        <v>2</v>
      </c>
      <c r="K452" s="1055">
        <v>4.8109859999999998</v>
      </c>
      <c r="L452" s="1055"/>
      <c r="M452" s="1055">
        <v>-4084</v>
      </c>
      <c r="N452" s="1135">
        <f t="shared" si="101"/>
        <v>19648.066823999998</v>
      </c>
      <c r="O452" s="934">
        <v>-11.79</v>
      </c>
      <c r="P452" s="934"/>
      <c r="R452" s="1100">
        <f t="shared" si="112"/>
        <v>19636.276823999997</v>
      </c>
      <c r="S452" s="995">
        <v>1</v>
      </c>
      <c r="T452" s="1121">
        <f t="shared" si="114"/>
        <v>19636.276823999997</v>
      </c>
      <c r="U452" s="827">
        <v>44313</v>
      </c>
      <c r="V452" s="701" t="s">
        <v>1725</v>
      </c>
      <c r="W452" s="1031">
        <v>44216.554416666666</v>
      </c>
      <c r="X452" s="1089">
        <f t="shared" si="105"/>
        <v>-6.0005903408260924E-2</v>
      </c>
      <c r="Y452" s="690" t="s">
        <v>1763</v>
      </c>
      <c r="Z452" s="1111" t="str">
        <f>VLOOKUP(AA452,'place of settlement'!A:C,2,FALSE)</f>
        <v>MOTIITMMXXX</v>
      </c>
      <c r="AA452" s="1111" t="str">
        <f t="shared" si="113"/>
        <v>IT</v>
      </c>
      <c r="AB452" s="1111" t="str">
        <f t="shared" si="110"/>
        <v>Tavira SecuritiesIT</v>
      </c>
      <c r="AC452" s="1111" t="str">
        <f>VLOOKUP(AB452,sample!$1:$1048576,2,FALSE)</f>
        <v>GSILGB2XXXX</v>
      </c>
      <c r="AD452" s="1111" t="str">
        <f>VLOOKUP($AB452,sample!$1:$1048576,3,FALSE)</f>
        <v>MOTIITMMXXX</v>
      </c>
      <c r="AE452" s="1104" t="str">
        <f>VLOOKUP($AB452,sample!$1:$1048576,4,FALSE)</f>
        <v>MOTICITIITMXXXX6013800</v>
      </c>
      <c r="AF452" s="1111" t="str">
        <f>VLOOKUP($AB452,sample!$1:$1048576,5,FALSE)</f>
        <v>N</v>
      </c>
      <c r="AG452" s="690"/>
      <c r="AH452" s="690"/>
      <c r="AI452" s="690"/>
      <c r="AJ452" s="690"/>
      <c r="AK452" s="690"/>
      <c r="AL452" s="1104" t="str">
        <f>VLOOKUP($AB452,sample!$1:$1048576,11,FALSE)</f>
        <v xml:space="preserve">        </v>
      </c>
      <c r="AM452" s="1104" t="str">
        <f>VLOOKUP($AB452,sample!$1:$1048576,12,FALSE)</f>
        <v xml:space="preserve">        </v>
      </c>
      <c r="AN452" s="1104" t="str">
        <f>VLOOKUP($AB452,sample!$1:$1048576,13,FALSE)</f>
        <v>CITIITM1012</v>
      </c>
      <c r="AO452" s="690"/>
      <c r="AP452" s="1111"/>
    </row>
    <row r="453" spans="1:42">
      <c r="A453" s="1046">
        <v>2019200466</v>
      </c>
      <c r="B453" s="998">
        <v>44312</v>
      </c>
      <c r="C453" s="998" t="s">
        <v>137</v>
      </c>
      <c r="D453" s="1127" t="str">
        <f>IFERROR(VLOOKUP(G453,PosAggregate!$B$13:$B$93,1,FALSE),"")</f>
        <v/>
      </c>
      <c r="E453" s="1022" t="s">
        <v>1232</v>
      </c>
      <c r="F453" s="1132" t="str">
        <f t="shared" si="97"/>
        <v/>
      </c>
      <c r="G453" s="701" t="s">
        <v>1180</v>
      </c>
      <c r="I453" s="1069" t="s">
        <v>1122</v>
      </c>
      <c r="J453" s="950" t="s">
        <v>125</v>
      </c>
      <c r="K453" s="1055">
        <v>1319.5</v>
      </c>
      <c r="L453" s="1055"/>
      <c r="M453" s="1055">
        <v>9000</v>
      </c>
      <c r="N453" s="1135">
        <f t="shared" si="101"/>
        <v>-11875500</v>
      </c>
      <c r="O453" s="934">
        <v>-7124</v>
      </c>
      <c r="R453" s="1100">
        <f t="shared" si="112"/>
        <v>-11882624</v>
      </c>
      <c r="S453" s="995">
        <v>130.56103374429861</v>
      </c>
      <c r="T453" s="1121">
        <f t="shared" si="114"/>
        <v>-91012.024485589631</v>
      </c>
      <c r="U453" s="827">
        <v>44314</v>
      </c>
      <c r="V453" s="701" t="s">
        <v>1725</v>
      </c>
      <c r="W453" s="1031">
        <v>44216.554416666666</v>
      </c>
      <c r="X453" s="1089">
        <f t="shared" si="105"/>
        <v>5.9989053092501368E-2</v>
      </c>
      <c r="Y453" s="690" t="s">
        <v>1763</v>
      </c>
      <c r="Z453" s="1111" t="str">
        <f>VLOOKUP(AA453,'place of settlement'!A:C,2,FALSE)</f>
        <v>JJSDJPJTXXX</v>
      </c>
      <c r="AA453" s="1111" t="str">
        <f t="shared" si="113"/>
        <v>JP</v>
      </c>
      <c r="AB453" s="1111" t="str">
        <f t="shared" si="110"/>
        <v>Tavira SecuritiesJP</v>
      </c>
      <c r="AC453" s="1111" t="str">
        <f>VLOOKUP(AB453,sample!$1:$1048576,2,FALSE)</f>
        <v>GSILGB2XXXX</v>
      </c>
      <c r="AD453" s="1111" t="str">
        <f>VLOOKUP($AB453,sample!$1:$1048576,3,FALSE)</f>
        <v>JJSDJPJTXXX</v>
      </c>
      <c r="AE453" s="1104">
        <f>VLOOKUP($AB453,sample!$1:$1048576,4,FALSE)</f>
        <v>6530490016</v>
      </c>
      <c r="AF453" s="1111" t="str">
        <f>VLOOKUP($AB453,sample!$1:$1048576,5,FALSE)</f>
        <v>N</v>
      </c>
      <c r="AG453" s="690"/>
      <c r="AH453" s="690"/>
      <c r="AI453" s="690"/>
      <c r="AJ453" s="690"/>
      <c r="AK453" s="690"/>
      <c r="AL453" s="1104" t="str">
        <f>VLOOKUP($AB453,sample!$1:$1048576,11,FALSE)</f>
        <v xml:space="preserve">                  </v>
      </c>
      <c r="AM453" s="1104" t="str">
        <f>VLOOKUP($AB453,sample!$1:$1048576,12,FALSE)</f>
        <v xml:space="preserve">                          </v>
      </c>
      <c r="AN453" s="1104" t="str">
        <f>VLOOKUP($AB453,sample!$1:$1048576,13,FALSE)</f>
        <v>GOLDJPJXXXX</v>
      </c>
      <c r="AO453" s="690"/>
      <c r="AP453" s="1111"/>
    </row>
    <row r="454" spans="1:42">
      <c r="A454" s="1046">
        <v>2019200467</v>
      </c>
      <c r="B454" s="998">
        <v>44312</v>
      </c>
      <c r="C454" s="998" t="s">
        <v>137</v>
      </c>
      <c r="D454" s="1127" t="str">
        <f>IFERROR(VLOOKUP(G454,PosAggregate!$B$13:$B$93,1,FALSE),"")</f>
        <v/>
      </c>
      <c r="E454" s="1022" t="s">
        <v>1243</v>
      </c>
      <c r="F454" s="1132" t="str">
        <f t="shared" si="97"/>
        <v/>
      </c>
      <c r="G454" s="701" t="s">
        <v>1192</v>
      </c>
      <c r="I454" s="1069" t="s">
        <v>1144</v>
      </c>
      <c r="J454" s="950" t="s">
        <v>125</v>
      </c>
      <c r="K454" s="1055">
        <v>1791.192</v>
      </c>
      <c r="L454" s="1055"/>
      <c r="M454" s="1055">
        <v>5000</v>
      </c>
      <c r="N454" s="1135">
        <f t="shared" si="101"/>
        <v>-8955960</v>
      </c>
      <c r="O454" s="934">
        <v>-5374</v>
      </c>
      <c r="R454" s="1100">
        <f t="shared" si="112"/>
        <v>-8961334</v>
      </c>
      <c r="S454" s="995">
        <v>130.56103374429793</v>
      </c>
      <c r="T454" s="1121">
        <f t="shared" si="114"/>
        <v>-68637.125051802635</v>
      </c>
      <c r="U454" s="827">
        <v>44314</v>
      </c>
      <c r="V454" s="701" t="s">
        <v>1725</v>
      </c>
      <c r="W454" s="1031">
        <v>44216.554416666666</v>
      </c>
      <c r="X454" s="1089">
        <f t="shared" si="105"/>
        <v>6.0004734277509054E-2</v>
      </c>
      <c r="Y454" s="690" t="s">
        <v>1763</v>
      </c>
      <c r="Z454" s="1111" t="str">
        <f>VLOOKUP(AA454,'place of settlement'!A:C,2,FALSE)</f>
        <v>JJSDJPJTXXX</v>
      </c>
      <c r="AA454" s="1111" t="str">
        <f t="shared" si="113"/>
        <v>JP</v>
      </c>
      <c r="AB454" s="1111" t="str">
        <f t="shared" si="110"/>
        <v>Tavira SecuritiesJP</v>
      </c>
      <c r="AC454" s="1111" t="str">
        <f>VLOOKUP(AB454,sample!$1:$1048576,2,FALSE)</f>
        <v>GSILGB2XXXX</v>
      </c>
      <c r="AD454" s="1111" t="str">
        <f>VLOOKUP($AB454,sample!$1:$1048576,3,FALSE)</f>
        <v>JJSDJPJTXXX</v>
      </c>
      <c r="AE454" s="1104">
        <f>VLOOKUP($AB454,sample!$1:$1048576,4,FALSE)</f>
        <v>6530490016</v>
      </c>
      <c r="AF454" s="1111" t="str">
        <f>VLOOKUP($AB454,sample!$1:$1048576,5,FALSE)</f>
        <v>N</v>
      </c>
      <c r="AG454" s="690"/>
      <c r="AH454" s="690"/>
      <c r="AI454" s="690"/>
      <c r="AJ454" s="690"/>
      <c r="AK454" s="690"/>
      <c r="AL454" s="1104" t="str">
        <f>VLOOKUP($AB454,sample!$1:$1048576,11,FALSE)</f>
        <v xml:space="preserve">                  </v>
      </c>
      <c r="AM454" s="1104" t="str">
        <f>VLOOKUP($AB454,sample!$1:$1048576,12,FALSE)</f>
        <v xml:space="preserve">                          </v>
      </c>
      <c r="AN454" s="1104" t="str">
        <f>VLOOKUP($AB454,sample!$1:$1048576,13,FALSE)</f>
        <v>GOLDJPJXXXX</v>
      </c>
      <c r="AO454" s="690"/>
      <c r="AP454" s="1111"/>
    </row>
    <row r="455" spans="1:42">
      <c r="A455" s="1046">
        <v>2019200468</v>
      </c>
      <c r="B455" s="998">
        <v>44313</v>
      </c>
      <c r="C455" s="998" t="s">
        <v>138</v>
      </c>
      <c r="D455" s="1127" t="str">
        <f>IFERROR(VLOOKUP(G455,PosAggregate!$B$13:$B$93,1,FALSE),"")</f>
        <v/>
      </c>
      <c r="E455" s="1022" t="s">
        <v>12880</v>
      </c>
      <c r="F455" s="1132" t="str">
        <f t="shared" si="97"/>
        <v/>
      </c>
      <c r="G455" s="701" t="s">
        <v>2218</v>
      </c>
      <c r="I455" s="950" t="s">
        <v>12887</v>
      </c>
      <c r="J455" s="950" t="s">
        <v>2</v>
      </c>
      <c r="K455" s="1055">
        <v>4.7933789999999998</v>
      </c>
      <c r="L455" s="1055"/>
      <c r="M455" s="1055">
        <v>-5062</v>
      </c>
      <c r="N455" s="1135">
        <f t="shared" si="101"/>
        <v>24264.084498</v>
      </c>
      <c r="O455" s="934">
        <v>-14.56</v>
      </c>
      <c r="R455" s="1100">
        <f t="shared" si="112"/>
        <v>24249.524497999999</v>
      </c>
      <c r="S455" s="995">
        <v>1</v>
      </c>
      <c r="T455" s="1121">
        <f t="shared" si="114"/>
        <v>24249.524497999999</v>
      </c>
      <c r="U455" s="827">
        <v>44315</v>
      </c>
      <c r="V455" s="701" t="s">
        <v>1725</v>
      </c>
      <c r="W455" s="1031">
        <v>44216.554416666666</v>
      </c>
      <c r="X455" s="1089">
        <f t="shared" si="105"/>
        <v>-6.0006385162399707E-2</v>
      </c>
      <c r="Y455" s="690" t="s">
        <v>1763</v>
      </c>
      <c r="Z455" s="1111" t="str">
        <f>VLOOKUP(AA455,'place of settlement'!A:C,2,FALSE)</f>
        <v>MOTIITMMXXX</v>
      </c>
      <c r="AA455" s="1111" t="str">
        <f t="shared" si="113"/>
        <v>IT</v>
      </c>
      <c r="AB455" s="1111" t="str">
        <f t="shared" si="110"/>
        <v>Tavira SecuritiesIT</v>
      </c>
      <c r="AC455" s="1111" t="str">
        <f>VLOOKUP(AB455,sample!$1:$1048576,2,FALSE)</f>
        <v>GSILGB2XXXX</v>
      </c>
      <c r="AD455" s="1111" t="str">
        <f>VLOOKUP($AB455,sample!$1:$1048576,3,FALSE)</f>
        <v>MOTIITMMXXX</v>
      </c>
      <c r="AE455" s="1104" t="str">
        <f>VLOOKUP($AB455,sample!$1:$1048576,4,FALSE)</f>
        <v>MOTICITIITMXXXX6013800</v>
      </c>
      <c r="AF455" s="1111" t="str">
        <f>VLOOKUP($AB455,sample!$1:$1048576,5,FALSE)</f>
        <v>N</v>
      </c>
      <c r="AG455" s="690"/>
      <c r="AH455" s="690"/>
      <c r="AI455" s="690"/>
      <c r="AJ455" s="690"/>
      <c r="AK455" s="690"/>
      <c r="AL455" s="1104" t="str">
        <f>VLOOKUP($AB455,sample!$1:$1048576,11,FALSE)</f>
        <v xml:space="preserve">        </v>
      </c>
      <c r="AM455" s="1104" t="str">
        <f>VLOOKUP($AB455,sample!$1:$1048576,12,FALSE)</f>
        <v xml:space="preserve">        </v>
      </c>
      <c r="AN455" s="1104" t="str">
        <f>VLOOKUP($AB455,sample!$1:$1048576,13,FALSE)</f>
        <v>CITIITM1012</v>
      </c>
      <c r="AO455" s="690"/>
      <c r="AP455" s="1111"/>
    </row>
    <row r="456" spans="1:42">
      <c r="A456" s="1046">
        <v>2019200469</v>
      </c>
      <c r="B456" s="998">
        <v>44314</v>
      </c>
      <c r="C456" s="998" t="s">
        <v>138</v>
      </c>
      <c r="D456" s="1127" t="str">
        <f>IFERROR(VLOOKUP(G456,PosAggregate!$B$13:$B$93,1,FALSE),"")</f>
        <v/>
      </c>
      <c r="E456" s="1022" t="s">
        <v>12880</v>
      </c>
      <c r="F456" s="1132" t="str">
        <f t="shared" si="97"/>
        <v/>
      </c>
      <c r="G456" s="701" t="s">
        <v>2218</v>
      </c>
      <c r="I456" s="950" t="s">
        <v>12887</v>
      </c>
      <c r="J456" s="950" t="s">
        <v>2</v>
      </c>
      <c r="K456" s="1055">
        <v>4.7937180000000001</v>
      </c>
      <c r="L456" s="1055"/>
      <c r="M456" s="1055">
        <v>-1427</v>
      </c>
      <c r="N456" s="1135">
        <f t="shared" si="101"/>
        <v>6840.6355860000003</v>
      </c>
      <c r="O456" s="934">
        <v>-4.0999999999999996</v>
      </c>
      <c r="R456" s="1100">
        <f t="shared" si="112"/>
        <v>6836.535586</v>
      </c>
      <c r="S456" s="995">
        <v>1</v>
      </c>
      <c r="T456" s="1121">
        <f t="shared" si="114"/>
        <v>6836.535586</v>
      </c>
      <c r="U456" s="827">
        <v>44316</v>
      </c>
      <c r="V456" s="701" t="s">
        <v>1725</v>
      </c>
      <c r="W456" s="1031">
        <v>44216.554416666666</v>
      </c>
      <c r="X456" s="1089">
        <f t="shared" si="105"/>
        <v>-5.9935951103593836E-2</v>
      </c>
      <c r="Y456" s="690" t="s">
        <v>1763</v>
      </c>
      <c r="Z456" s="1111" t="str">
        <f>VLOOKUP(AA456,'place of settlement'!A:C,2,FALSE)</f>
        <v>MOTIITMMXXX</v>
      </c>
      <c r="AA456" s="1111" t="str">
        <f t="shared" si="113"/>
        <v>IT</v>
      </c>
      <c r="AB456" s="1111" t="str">
        <f t="shared" si="110"/>
        <v>Tavira SecuritiesIT</v>
      </c>
      <c r="AC456" s="1111" t="str">
        <f>VLOOKUP(AB456,sample!$1:$1048576,2,FALSE)</f>
        <v>GSILGB2XXXX</v>
      </c>
      <c r="AD456" s="1111" t="str">
        <f>VLOOKUP($AB456,sample!$1:$1048576,3,FALSE)</f>
        <v>MOTIITMMXXX</v>
      </c>
      <c r="AE456" s="1104" t="str">
        <f>VLOOKUP($AB456,sample!$1:$1048576,4,FALSE)</f>
        <v>MOTICITIITMXXXX6013800</v>
      </c>
      <c r="AF456" s="1111" t="str">
        <f>VLOOKUP($AB456,sample!$1:$1048576,5,FALSE)</f>
        <v>N</v>
      </c>
      <c r="AG456" s="690"/>
      <c r="AH456" s="690"/>
      <c r="AI456" s="690"/>
      <c r="AJ456" s="690"/>
      <c r="AK456" s="690"/>
      <c r="AL456" s="1104" t="str">
        <f>VLOOKUP($AB456,sample!$1:$1048576,11,FALSE)</f>
        <v xml:space="preserve">        </v>
      </c>
      <c r="AM456" s="1104" t="str">
        <f>VLOOKUP($AB456,sample!$1:$1048576,12,FALSE)</f>
        <v xml:space="preserve">        </v>
      </c>
      <c r="AN456" s="1104" t="str">
        <f>VLOOKUP($AB456,sample!$1:$1048576,13,FALSE)</f>
        <v>CITIITM1012</v>
      </c>
      <c r="AO456" s="690"/>
      <c r="AP456" s="1111"/>
    </row>
    <row r="457" spans="1:42">
      <c r="A457" s="1046">
        <v>2019200470</v>
      </c>
      <c r="B457" s="998">
        <v>44316</v>
      </c>
      <c r="C457" s="998" t="s">
        <v>138</v>
      </c>
      <c r="D457" s="1127" t="str">
        <f>IFERROR(VLOOKUP(G457,PosAggregate!$B$13:$B$93,1,FALSE),"")</f>
        <v/>
      </c>
      <c r="E457" s="1022" t="s">
        <v>12871</v>
      </c>
      <c r="F457" s="1132" t="str">
        <f t="shared" si="97"/>
        <v/>
      </c>
      <c r="G457" s="701" t="s">
        <v>12703</v>
      </c>
      <c r="I457" s="950" t="s">
        <v>12812</v>
      </c>
      <c r="J457" s="950" t="s">
        <v>125</v>
      </c>
      <c r="K457" s="1055">
        <v>4243.6636360000002</v>
      </c>
      <c r="L457" s="1055"/>
      <c r="M457" s="1055">
        <v>-2200</v>
      </c>
      <c r="N457" s="1135">
        <f t="shared" si="101"/>
        <v>9336059.9992000014</v>
      </c>
      <c r="O457" s="934">
        <v>-5602</v>
      </c>
      <c r="R457" s="1100">
        <f t="shared" si="112"/>
        <v>9330457.9992000014</v>
      </c>
      <c r="S457" s="995">
        <v>131.97692736482404</v>
      </c>
      <c r="T457" s="1121">
        <f t="shared" si="114"/>
        <v>70697.645304378093</v>
      </c>
      <c r="U457" s="827">
        <v>44323</v>
      </c>
      <c r="V457" s="701" t="s">
        <v>1725</v>
      </c>
      <c r="W457" s="1031">
        <v>44216.554416666666</v>
      </c>
      <c r="X457" s="1089">
        <f t="shared" si="105"/>
        <v>-6.0003898866117303E-2</v>
      </c>
      <c r="Y457" s="690" t="s">
        <v>1763</v>
      </c>
      <c r="Z457" s="1111" t="str">
        <f>VLOOKUP(AA457,'place of settlement'!A:C,2,FALSE)</f>
        <v>JJSDJPJTXXX</v>
      </c>
      <c r="AA457" s="1111" t="str">
        <f t="shared" si="113"/>
        <v>JP</v>
      </c>
      <c r="AB457" s="1111" t="str">
        <f t="shared" si="110"/>
        <v>Tavira SecuritiesJP</v>
      </c>
      <c r="AC457" s="1111" t="str">
        <f>VLOOKUP(AB457,sample!$1:$1048576,2,FALSE)</f>
        <v>GSILGB2XXXX</v>
      </c>
      <c r="AD457" s="1111" t="str">
        <f>VLOOKUP($AB457,sample!$1:$1048576,3,FALSE)</f>
        <v>JJSDJPJTXXX</v>
      </c>
      <c r="AE457" s="1104">
        <f>VLOOKUP($AB457,sample!$1:$1048576,4,FALSE)</f>
        <v>6530490016</v>
      </c>
      <c r="AF457" s="1111" t="str">
        <f>VLOOKUP($AB457,sample!$1:$1048576,5,FALSE)</f>
        <v>N</v>
      </c>
      <c r="AG457" s="690"/>
      <c r="AH457" s="690"/>
      <c r="AI457" s="690"/>
      <c r="AJ457" s="690"/>
      <c r="AK457" s="690"/>
      <c r="AL457" s="1104" t="str">
        <f>VLOOKUP($AB457,sample!$1:$1048576,11,FALSE)</f>
        <v xml:space="preserve">                  </v>
      </c>
      <c r="AM457" s="1104" t="str">
        <f>VLOOKUP($AB457,sample!$1:$1048576,12,FALSE)</f>
        <v xml:space="preserve">                          </v>
      </c>
      <c r="AN457" s="1104" t="str">
        <f>VLOOKUP($AB457,sample!$1:$1048576,13,FALSE)</f>
        <v>GOLDJPJXXXX</v>
      </c>
      <c r="AO457" s="690"/>
      <c r="AP457" s="1111"/>
    </row>
    <row r="458" spans="1:42">
      <c r="A458" s="1046">
        <v>2019200471</v>
      </c>
      <c r="B458" s="998">
        <v>44322</v>
      </c>
      <c r="C458" s="998" t="s">
        <v>137</v>
      </c>
      <c r="D458" s="1127" t="str">
        <f>IFERROR(VLOOKUP(G458,PosAggregate!$B$13:$B$93,1,FALSE),"")</f>
        <v/>
      </c>
      <c r="E458" s="1022" t="s">
        <v>1232</v>
      </c>
      <c r="F458" s="1132" t="str">
        <f t="shared" si="97"/>
        <v/>
      </c>
      <c r="G458" s="701" t="s">
        <v>1180</v>
      </c>
      <c r="I458" s="950" t="s">
        <v>1122</v>
      </c>
      <c r="J458" s="950" t="s">
        <v>125</v>
      </c>
      <c r="K458" s="1055">
        <v>1308</v>
      </c>
      <c r="L458" s="1055"/>
      <c r="M458" s="1055">
        <v>25000</v>
      </c>
      <c r="N458" s="1135">
        <f t="shared" si="101"/>
        <v>-32700000</v>
      </c>
      <c r="O458" s="934">
        <v>-19620</v>
      </c>
      <c r="R458" s="1100">
        <f t="shared" si="112"/>
        <v>-32719620</v>
      </c>
      <c r="S458" s="995">
        <v>131.07000084034618</v>
      </c>
      <c r="T458" s="1121">
        <f t="shared" si="114"/>
        <v>-249634.69741527759</v>
      </c>
      <c r="U458" s="827">
        <v>44326</v>
      </c>
      <c r="V458" s="701" t="s">
        <v>1725</v>
      </c>
      <c r="W458" s="1031">
        <v>44216.554416666666</v>
      </c>
      <c r="X458" s="1089">
        <f t="shared" si="105"/>
        <v>0.06</v>
      </c>
      <c r="Y458" s="690" t="s">
        <v>1763</v>
      </c>
      <c r="Z458" s="1111" t="str">
        <f>VLOOKUP(AA458,'place of settlement'!A:C,2,FALSE)</f>
        <v>JJSDJPJTXXX</v>
      </c>
      <c r="AA458" s="1111" t="str">
        <f t="shared" si="113"/>
        <v>JP</v>
      </c>
      <c r="AB458" s="1111" t="str">
        <f t="shared" si="110"/>
        <v>Tavira SecuritiesJP</v>
      </c>
      <c r="AC458" s="1111" t="str">
        <f>VLOOKUP(AB458,sample!$1:$1048576,2,FALSE)</f>
        <v>GSILGB2XXXX</v>
      </c>
      <c r="AD458" s="1111" t="str">
        <f>VLOOKUP($AB458,sample!$1:$1048576,3,FALSE)</f>
        <v>JJSDJPJTXXX</v>
      </c>
      <c r="AE458" s="1104">
        <f>VLOOKUP($AB458,sample!$1:$1048576,4,FALSE)</f>
        <v>6530490016</v>
      </c>
      <c r="AF458" s="1111" t="str">
        <f>VLOOKUP($AB458,sample!$1:$1048576,5,FALSE)</f>
        <v>N</v>
      </c>
      <c r="AG458" s="690"/>
      <c r="AH458" s="690"/>
      <c r="AI458" s="690"/>
      <c r="AJ458" s="690"/>
      <c r="AK458" s="690"/>
      <c r="AL458" s="1104" t="str">
        <f>VLOOKUP($AB458,sample!$1:$1048576,11,FALSE)</f>
        <v xml:space="preserve">                  </v>
      </c>
      <c r="AM458" s="1104" t="str">
        <f>VLOOKUP($AB458,sample!$1:$1048576,12,FALSE)</f>
        <v xml:space="preserve">                          </v>
      </c>
      <c r="AN458" s="1104" t="str">
        <f>VLOOKUP($AB458,sample!$1:$1048576,13,FALSE)</f>
        <v>GOLDJPJXXXX</v>
      </c>
      <c r="AO458" s="690"/>
      <c r="AP458" s="1111"/>
    </row>
    <row r="459" spans="1:42">
      <c r="A459" s="1123">
        <f>(A458+1)</f>
        <v>2019200472</v>
      </c>
      <c r="B459" s="998">
        <v>44327</v>
      </c>
      <c r="C459" s="998" t="s">
        <v>138</v>
      </c>
      <c r="D459" s="1127" t="str">
        <f>IFERROR(VLOOKUP(G459,PosAggregate!$B$13:$B$93,1,FALSE),"")</f>
        <v/>
      </c>
      <c r="E459" s="1022" t="s">
        <v>1255</v>
      </c>
      <c r="F459" s="1132" t="str">
        <f t="shared" si="97"/>
        <v/>
      </c>
      <c r="G459" s="701" t="s">
        <v>1205</v>
      </c>
      <c r="I459" s="950" t="s">
        <v>1143</v>
      </c>
      <c r="J459" s="950" t="s">
        <v>123</v>
      </c>
      <c r="K459" s="1055">
        <v>191298</v>
      </c>
      <c r="L459" s="1055"/>
      <c r="M459" s="1055">
        <v>-500</v>
      </c>
      <c r="N459" s="1135">
        <f t="shared" si="101"/>
        <v>95649000</v>
      </c>
      <c r="O459" s="934">
        <v>-143474</v>
      </c>
      <c r="P459" s="934">
        <v>-219959</v>
      </c>
      <c r="R459" s="1100">
        <f t="shared" si="112"/>
        <v>95285567</v>
      </c>
      <c r="S459" s="995">
        <v>1354.4216284400886</v>
      </c>
      <c r="T459" s="1121">
        <f t="shared" si="114"/>
        <v>70351.480660968242</v>
      </c>
      <c r="U459" s="827">
        <v>44329</v>
      </c>
      <c r="V459" s="701" t="s">
        <v>1156</v>
      </c>
      <c r="W459" s="1031">
        <v>44327.373985763887</v>
      </c>
      <c r="X459" s="1089">
        <f t="shared" si="105"/>
        <v>-0.15000052274461834</v>
      </c>
      <c r="Y459" s="690" t="s">
        <v>1763</v>
      </c>
      <c r="Z459" s="1111" t="str">
        <f>VLOOKUP(AA459,'place of settlement'!A:C,2,FALSE)</f>
        <v>KSDCKRSEXXX</v>
      </c>
      <c r="AA459" s="1111" t="str">
        <f t="shared" si="113"/>
        <v>KR</v>
      </c>
      <c r="AB459" s="690" t="s">
        <v>1972</v>
      </c>
      <c r="AC459" s="1111" t="e">
        <f>VLOOKUP(AB459,sample!$1:$1048576,2,FALSE)</f>
        <v>#N/A</v>
      </c>
      <c r="AD459" s="1111" t="e">
        <f>VLOOKUP($AB459,sample!$1:$1048576,3,FALSE)</f>
        <v>#N/A</v>
      </c>
      <c r="AE459" s="1104" t="e">
        <f>VLOOKUP($AB459,sample!$1:$1048576,4,FALSE)</f>
        <v>#N/A</v>
      </c>
      <c r="AF459" s="1111" t="e">
        <f>VLOOKUP($AB459,sample!$1:$1048576,5,FALSE)</f>
        <v>#N/A</v>
      </c>
      <c r="AG459" s="690"/>
      <c r="AH459" s="690"/>
      <c r="AI459" s="690"/>
      <c r="AJ459" s="690"/>
      <c r="AK459" s="690"/>
      <c r="AL459" s="1104" t="e">
        <f>VLOOKUP($AB459,sample!$1:$1048576,11,FALSE)</f>
        <v>#N/A</v>
      </c>
      <c r="AM459" s="1104" t="e">
        <f>VLOOKUP($AB459,sample!$1:$1048576,12,FALSE)</f>
        <v>#N/A</v>
      </c>
      <c r="AN459" s="1104" t="e">
        <f>VLOOKUP($AB459,sample!$1:$1048576,13,FALSE)</f>
        <v>#N/A</v>
      </c>
      <c r="AO459" s="690"/>
      <c r="AP459" s="1111"/>
    </row>
    <row r="460" spans="1:42">
      <c r="A460" s="1123">
        <f t="shared" ref="A460:A469" si="116">(A459+1)</f>
        <v>2019200473</v>
      </c>
      <c r="B460" s="998">
        <v>44327</v>
      </c>
      <c r="C460" s="998" t="s">
        <v>138</v>
      </c>
      <c r="D460" s="1127" t="str">
        <f>IFERROR(VLOOKUP(G460,PosAggregate!$B$13:$B$93,1,FALSE),"")</f>
        <v/>
      </c>
      <c r="E460" s="1022" t="s">
        <v>1254</v>
      </c>
      <c r="F460" s="1132" t="str">
        <f t="shared" ref="F460:F480" si="117">IF(D460=G460,"YES","")</f>
        <v/>
      </c>
      <c r="G460" s="701" t="s">
        <v>1204</v>
      </c>
      <c r="I460" s="950" t="s">
        <v>1123</v>
      </c>
      <c r="J460" s="950" t="s">
        <v>123</v>
      </c>
      <c r="K460" s="1055">
        <v>438754.87800000003</v>
      </c>
      <c r="L460" s="1055"/>
      <c r="M460" s="1055">
        <v>-410</v>
      </c>
      <c r="N460" s="1135">
        <f t="shared" si="101"/>
        <v>179889499.98000002</v>
      </c>
      <c r="O460" s="934">
        <v>-269834</v>
      </c>
      <c r="P460" s="934">
        <v>-413621</v>
      </c>
      <c r="R460" s="1100">
        <f t="shared" si="112"/>
        <v>179206044.98000002</v>
      </c>
      <c r="S460" s="995">
        <v>1354.4216284400898</v>
      </c>
      <c r="T460" s="1121">
        <f t="shared" si="114"/>
        <v>132311.86007151601</v>
      </c>
      <c r="U460" s="827">
        <v>44329</v>
      </c>
      <c r="V460" s="701" t="s">
        <v>1156</v>
      </c>
      <c r="W460" s="1031">
        <v>44327.374343981479</v>
      </c>
      <c r="X460" s="1089">
        <f t="shared" si="105"/>
        <v>-0.14999986104247326</v>
      </c>
      <c r="Y460" s="690" t="s">
        <v>1763</v>
      </c>
      <c r="Z460" s="1111" t="str">
        <f>VLOOKUP(AA460,'place of settlement'!A:C,2,FALSE)</f>
        <v>KSDCKRSEXXX</v>
      </c>
      <c r="AA460" s="1111" t="str">
        <f t="shared" si="113"/>
        <v>KR</v>
      </c>
      <c r="AB460" s="690" t="s">
        <v>1972</v>
      </c>
      <c r="AC460" s="1111" t="e">
        <f>VLOOKUP(AB460,sample!$1:$1048576,2,FALSE)</f>
        <v>#N/A</v>
      </c>
      <c r="AD460" s="1111" t="e">
        <f>VLOOKUP($AB460,sample!$1:$1048576,3,FALSE)</f>
        <v>#N/A</v>
      </c>
      <c r="AE460" s="1104" t="e">
        <f>VLOOKUP($AB460,sample!$1:$1048576,4,FALSE)</f>
        <v>#N/A</v>
      </c>
      <c r="AF460" s="1111" t="e">
        <f>VLOOKUP($AB460,sample!$1:$1048576,5,FALSE)</f>
        <v>#N/A</v>
      </c>
      <c r="AG460" s="690"/>
      <c r="AH460" s="690"/>
      <c r="AI460" s="690"/>
      <c r="AJ460" s="690"/>
      <c r="AK460" s="690"/>
      <c r="AL460" s="1104" t="e">
        <f>VLOOKUP($AB460,sample!$1:$1048576,11,FALSE)</f>
        <v>#N/A</v>
      </c>
      <c r="AM460" s="1104" t="e">
        <f>VLOOKUP($AB460,sample!$1:$1048576,12,FALSE)</f>
        <v>#N/A</v>
      </c>
      <c r="AN460" s="1104" t="e">
        <f>VLOOKUP($AB460,sample!$1:$1048576,13,FALSE)</f>
        <v>#N/A</v>
      </c>
      <c r="AO460" s="690"/>
      <c r="AP460" s="1111"/>
    </row>
    <row r="461" spans="1:42">
      <c r="A461" s="1123">
        <f t="shared" si="116"/>
        <v>2019200474</v>
      </c>
      <c r="B461" s="998">
        <v>44327</v>
      </c>
      <c r="C461" s="998" t="s">
        <v>138</v>
      </c>
      <c r="D461" s="1127" t="str">
        <f>IFERROR(VLOOKUP(G461,PosAggregate!$B$13:$B$93,1,FALSE),"")</f>
        <v/>
      </c>
      <c r="E461" s="1022" t="s">
        <v>1252</v>
      </c>
      <c r="F461" s="1132" t="str">
        <f t="shared" si="117"/>
        <v/>
      </c>
      <c r="G461" s="701" t="s">
        <v>1202</v>
      </c>
      <c r="I461" s="950" t="s">
        <v>1121</v>
      </c>
      <c r="J461" s="950" t="s">
        <v>123</v>
      </c>
      <c r="K461" s="1055">
        <v>431132.5</v>
      </c>
      <c r="L461" s="1055"/>
      <c r="M461" s="1055">
        <v>-600</v>
      </c>
      <c r="N461" s="1135">
        <f t="shared" si="101"/>
        <v>258679500</v>
      </c>
      <c r="O461" s="934">
        <v>-388019</v>
      </c>
      <c r="P461" s="934">
        <v>-594897</v>
      </c>
      <c r="R461" s="1100">
        <f t="shared" si="112"/>
        <v>257696584</v>
      </c>
      <c r="S461" s="995">
        <v>1354.4216284400868</v>
      </c>
      <c r="T461" s="1121">
        <f t="shared" si="114"/>
        <v>190263.19322498864</v>
      </c>
      <c r="U461" s="827">
        <v>44329</v>
      </c>
      <c r="V461" s="701" t="s">
        <v>1156</v>
      </c>
      <c r="W461" s="1031">
        <v>44327.374733101853</v>
      </c>
      <c r="X461" s="1089">
        <f t="shared" si="105"/>
        <v>-0.14999990335531033</v>
      </c>
      <c r="Y461" s="690" t="s">
        <v>1763</v>
      </c>
      <c r="Z461" s="1111" t="str">
        <f>VLOOKUP(AA461,'place of settlement'!A:C,2,FALSE)</f>
        <v>KSDCKRSEXXX</v>
      </c>
      <c r="AA461" s="1111" t="str">
        <f t="shared" si="113"/>
        <v>KR</v>
      </c>
      <c r="AB461" s="690" t="s">
        <v>1972</v>
      </c>
      <c r="AC461" s="1111" t="e">
        <f>VLOOKUP(AB461,sample!$1:$1048576,2,FALSE)</f>
        <v>#N/A</v>
      </c>
      <c r="AD461" s="1111" t="e">
        <f>VLOOKUP($AB461,sample!$1:$1048576,3,FALSE)</f>
        <v>#N/A</v>
      </c>
      <c r="AE461" s="1104" t="e">
        <f>VLOOKUP($AB461,sample!$1:$1048576,4,FALSE)</f>
        <v>#N/A</v>
      </c>
      <c r="AF461" s="1111" t="e">
        <f>VLOOKUP($AB461,sample!$1:$1048576,5,FALSE)</f>
        <v>#N/A</v>
      </c>
      <c r="AG461" s="690"/>
      <c r="AH461" s="690"/>
      <c r="AI461" s="690"/>
      <c r="AJ461" s="690"/>
      <c r="AK461" s="690"/>
      <c r="AL461" s="1104" t="e">
        <f>VLOOKUP($AB461,sample!$1:$1048576,11,FALSE)</f>
        <v>#N/A</v>
      </c>
      <c r="AM461" s="1104" t="e">
        <f>VLOOKUP($AB461,sample!$1:$1048576,12,FALSE)</f>
        <v>#N/A</v>
      </c>
      <c r="AN461" s="1104" t="e">
        <f>VLOOKUP($AB461,sample!$1:$1048576,13,FALSE)</f>
        <v>#N/A</v>
      </c>
      <c r="AO461" s="690"/>
      <c r="AP461" s="1111"/>
    </row>
    <row r="462" spans="1:42">
      <c r="A462" s="1123">
        <f t="shared" si="116"/>
        <v>2019200475</v>
      </c>
      <c r="B462" s="998">
        <v>44327</v>
      </c>
      <c r="C462" s="998" t="s">
        <v>137</v>
      </c>
      <c r="D462" s="1127" t="str">
        <f>IFERROR(VLOOKUP(G462,PosAggregate!$B$13:$B$93,1,FALSE),"")</f>
        <v/>
      </c>
      <c r="E462" s="1022" t="s">
        <v>1232</v>
      </c>
      <c r="F462" s="1132" t="str">
        <f t="shared" si="117"/>
        <v/>
      </c>
      <c r="G462" s="701" t="s">
        <v>1180</v>
      </c>
      <c r="I462" s="950" t="s">
        <v>1122</v>
      </c>
      <c r="J462" s="950" t="s">
        <v>125</v>
      </c>
      <c r="K462" s="1055">
        <v>1242.160455</v>
      </c>
      <c r="L462" s="1055"/>
      <c r="M462" s="1055">
        <v>22000</v>
      </c>
      <c r="N462" s="1135">
        <f t="shared" si="101"/>
        <v>-27327530.009999998</v>
      </c>
      <c r="O462" s="934">
        <v>-16397</v>
      </c>
      <c r="P462" s="934"/>
      <c r="R462" s="1100">
        <f t="shared" si="112"/>
        <v>-27343927.009999998</v>
      </c>
      <c r="S462" s="995">
        <v>131.93930646354627</v>
      </c>
      <c r="T462" s="1121">
        <f t="shared" si="114"/>
        <v>-207246.25392475363</v>
      </c>
      <c r="U462" s="827">
        <v>44329</v>
      </c>
      <c r="V462" s="701" t="s">
        <v>1725</v>
      </c>
      <c r="W462" s="1031">
        <v>44216.554416666666</v>
      </c>
      <c r="X462" s="1089">
        <f t="shared" si="105"/>
        <v>6.0001763767160168E-2</v>
      </c>
      <c r="Y462" s="690" t="s">
        <v>1763</v>
      </c>
      <c r="Z462" s="1111" t="str">
        <f>VLOOKUP(AA462,'place of settlement'!A:C,2,FALSE)</f>
        <v>JJSDJPJTXXX</v>
      </c>
      <c r="AA462" s="1111" t="str">
        <f t="shared" si="113"/>
        <v>JP</v>
      </c>
      <c r="AB462" s="1111" t="str">
        <f t="shared" si="110"/>
        <v>Tavira SecuritiesJP</v>
      </c>
      <c r="AC462" s="1111" t="str">
        <f>VLOOKUP(AB462,sample!$1:$1048576,2,FALSE)</f>
        <v>GSILGB2XXXX</v>
      </c>
      <c r="AD462" s="1111" t="str">
        <f>VLOOKUP($AB462,sample!$1:$1048576,3,FALSE)</f>
        <v>JJSDJPJTXXX</v>
      </c>
      <c r="AE462" s="1104">
        <f>VLOOKUP($AB462,sample!$1:$1048576,4,FALSE)</f>
        <v>6530490016</v>
      </c>
      <c r="AF462" s="1111" t="str">
        <f>VLOOKUP($AB462,sample!$1:$1048576,5,FALSE)</f>
        <v>N</v>
      </c>
      <c r="AG462" s="690"/>
      <c r="AH462" s="690"/>
      <c r="AI462" s="690"/>
      <c r="AJ462" s="690"/>
      <c r="AK462" s="690"/>
      <c r="AL462" s="1104" t="str">
        <f>VLOOKUP($AB462,sample!$1:$1048576,11,FALSE)</f>
        <v xml:space="preserve">                  </v>
      </c>
      <c r="AM462" s="1104" t="str">
        <f>VLOOKUP($AB462,sample!$1:$1048576,12,FALSE)</f>
        <v xml:space="preserve">                          </v>
      </c>
      <c r="AN462" s="1104" t="str">
        <f>VLOOKUP($AB462,sample!$1:$1048576,13,FALSE)</f>
        <v>GOLDJPJXXXX</v>
      </c>
      <c r="AO462" s="690"/>
      <c r="AP462" s="1111"/>
    </row>
    <row r="463" spans="1:42" s="1037" customFormat="1">
      <c r="A463" s="1131">
        <f t="shared" si="116"/>
        <v>2019200476</v>
      </c>
      <c r="B463" s="1034">
        <v>44333</v>
      </c>
      <c r="C463" s="1034" t="s">
        <v>137</v>
      </c>
      <c r="D463" s="1128" t="str">
        <f>IFERROR(VLOOKUP(G463,PosAggregate!$B$13:$B$93,1,FALSE),"")</f>
        <v/>
      </c>
      <c r="E463" s="1035" t="s">
        <v>1697</v>
      </c>
      <c r="F463" s="1132" t="str">
        <f t="shared" si="117"/>
        <v/>
      </c>
      <c r="G463" s="1036" t="s">
        <v>1689</v>
      </c>
      <c r="I463" s="1038" t="s">
        <v>1690</v>
      </c>
      <c r="J463" s="1038" t="s">
        <v>125</v>
      </c>
      <c r="K463" s="1070">
        <v>2937.417778</v>
      </c>
      <c r="L463" s="1070"/>
      <c r="M463" s="1070">
        <v>4500</v>
      </c>
      <c r="N463" s="1113">
        <f t="shared" si="101"/>
        <v>-13218380.001</v>
      </c>
      <c r="O463" s="934">
        <v>-7931</v>
      </c>
      <c r="R463" s="1114">
        <f t="shared" si="112"/>
        <v>-13226311.001</v>
      </c>
      <c r="S463" s="1039">
        <v>132.73928033797884</v>
      </c>
      <c r="T463" s="1121">
        <f t="shared" si="114"/>
        <v>-99641.273987047069</v>
      </c>
      <c r="U463" s="827">
        <v>44335</v>
      </c>
      <c r="V463" s="1036" t="s">
        <v>1725</v>
      </c>
      <c r="W463" s="1044">
        <v>44216.554416666666</v>
      </c>
      <c r="X463" s="1115">
        <f t="shared" si="105"/>
        <v>5.9999788169200784E-2</v>
      </c>
      <c r="Y463" s="1037" t="s">
        <v>1763</v>
      </c>
      <c r="Z463" s="1112" t="str">
        <f>VLOOKUP(AA463,'place of settlement'!A:C,2,FALSE)</f>
        <v>JJSDJPJTXXX</v>
      </c>
      <c r="AA463" s="1112" t="str">
        <f t="shared" si="113"/>
        <v>JP</v>
      </c>
      <c r="AB463" s="1112" t="str">
        <f t="shared" si="110"/>
        <v>Tavira SecuritiesJP</v>
      </c>
      <c r="AC463" s="1112" t="str">
        <f>VLOOKUP(AB463,sample!$1:$1048576,2,FALSE)</f>
        <v>GSILGB2XXXX</v>
      </c>
      <c r="AD463" s="1112" t="str">
        <f>VLOOKUP($AB463,sample!$1:$1048576,3,FALSE)</f>
        <v>JJSDJPJTXXX</v>
      </c>
      <c r="AE463" s="1105">
        <f>VLOOKUP($AB463,sample!$1:$1048576,4,FALSE)</f>
        <v>6530490016</v>
      </c>
      <c r="AF463" s="1112" t="str">
        <f>VLOOKUP($AB463,sample!$1:$1048576,5,FALSE)</f>
        <v>N</v>
      </c>
      <c r="AL463" s="1104" t="str">
        <f>VLOOKUP($AB463,sample!$1:$1048576,11,FALSE)</f>
        <v xml:space="preserve">                  </v>
      </c>
      <c r="AM463" s="1104" t="str">
        <f>VLOOKUP($AB463,sample!$1:$1048576,12,FALSE)</f>
        <v xml:space="preserve">                          </v>
      </c>
      <c r="AN463" s="1104" t="str">
        <f>VLOOKUP($AB463,sample!$1:$1048576,13,FALSE)</f>
        <v>GOLDJPJXXXX</v>
      </c>
      <c r="AP463" s="1111"/>
    </row>
    <row r="464" spans="1:42" s="1037" customFormat="1">
      <c r="A464" s="1131">
        <f t="shared" si="116"/>
        <v>2019200477</v>
      </c>
      <c r="B464" s="1034">
        <v>44333</v>
      </c>
      <c r="C464" s="1034" t="s">
        <v>137</v>
      </c>
      <c r="D464" s="1128" t="str">
        <f>IFERROR(VLOOKUP(G464,PosAggregate!$B$13:$B$93,1,FALSE),"")</f>
        <v/>
      </c>
      <c r="E464" s="1035" t="s">
        <v>12869</v>
      </c>
      <c r="F464" s="1132" t="str">
        <f t="shared" si="117"/>
        <v/>
      </c>
      <c r="G464" s="1036" t="s">
        <v>12701</v>
      </c>
      <c r="I464" s="1038" t="s">
        <v>12804</v>
      </c>
      <c r="J464" s="1038" t="s">
        <v>125</v>
      </c>
      <c r="K464" s="1070">
        <v>2194.1759999999999</v>
      </c>
      <c r="L464" s="1070"/>
      <c r="M464" s="1070">
        <v>5000</v>
      </c>
      <c r="N464" s="1113">
        <f t="shared" si="101"/>
        <v>-10970880</v>
      </c>
      <c r="O464" s="934">
        <v>-6583</v>
      </c>
      <c r="R464" s="1114">
        <f t="shared" si="112"/>
        <v>-10977463</v>
      </c>
      <c r="S464" s="1039">
        <v>132.7392803379787</v>
      </c>
      <c r="T464" s="1121">
        <f t="shared" si="114"/>
        <v>-82699.431336747904</v>
      </c>
      <c r="U464" s="827">
        <v>44335</v>
      </c>
      <c r="V464" s="1036" t="s">
        <v>1725</v>
      </c>
      <c r="W464" s="1044">
        <v>44216.554416666666</v>
      </c>
      <c r="X464" s="1115">
        <f t="shared" si="105"/>
        <v>6.0004302298448255E-2</v>
      </c>
      <c r="Y464" s="1037" t="s">
        <v>1763</v>
      </c>
      <c r="Z464" s="1112" t="str">
        <f>VLOOKUP(AA464,'place of settlement'!A:C,2,FALSE)</f>
        <v>JJSDJPJTXXX</v>
      </c>
      <c r="AA464" s="1112" t="str">
        <f t="shared" si="113"/>
        <v>JP</v>
      </c>
      <c r="AB464" s="1112" t="str">
        <f t="shared" si="110"/>
        <v>Tavira SecuritiesJP</v>
      </c>
      <c r="AC464" s="1112" t="str">
        <f>VLOOKUP(AB464,sample!$1:$1048576,2,FALSE)</f>
        <v>GSILGB2XXXX</v>
      </c>
      <c r="AD464" s="1112" t="str">
        <f>VLOOKUP($AB464,sample!$1:$1048576,3,FALSE)</f>
        <v>JJSDJPJTXXX</v>
      </c>
      <c r="AE464" s="1105">
        <f>VLOOKUP($AB464,sample!$1:$1048576,4,FALSE)</f>
        <v>6530490016</v>
      </c>
      <c r="AF464" s="1112" t="str">
        <f>VLOOKUP($AB464,sample!$1:$1048576,5,FALSE)</f>
        <v>N</v>
      </c>
      <c r="AL464" s="1104" t="str">
        <f>VLOOKUP($AB464,sample!$1:$1048576,11,FALSE)</f>
        <v xml:space="preserve">                  </v>
      </c>
      <c r="AM464" s="1104" t="str">
        <f>VLOOKUP($AB464,sample!$1:$1048576,12,FALSE)</f>
        <v xml:space="preserve">                          </v>
      </c>
      <c r="AN464" s="1104" t="str">
        <f>VLOOKUP($AB464,sample!$1:$1048576,13,FALSE)</f>
        <v>GOLDJPJXXXX</v>
      </c>
      <c r="AP464" s="1111"/>
    </row>
    <row r="465" spans="1:42" s="1037" customFormat="1">
      <c r="A465" s="1131">
        <f t="shared" si="116"/>
        <v>2019200478</v>
      </c>
      <c r="B465" s="1034">
        <v>44333</v>
      </c>
      <c r="C465" s="1034" t="s">
        <v>137</v>
      </c>
      <c r="D465" s="1128" t="str">
        <f>IFERROR(VLOOKUP(G465,PosAggregate!$B$13:$B$93,1,FALSE),"")</f>
        <v/>
      </c>
      <c r="E465" s="1035" t="s">
        <v>12873</v>
      </c>
      <c r="F465" s="1132" t="str">
        <f t="shared" si="117"/>
        <v/>
      </c>
      <c r="G465" s="1036" t="s">
        <v>12718</v>
      </c>
      <c r="I465" s="1038" t="s">
        <v>12807</v>
      </c>
      <c r="J465" s="1038" t="s">
        <v>125</v>
      </c>
      <c r="K465" s="1070">
        <v>2599.2220000000002</v>
      </c>
      <c r="L465" s="1070"/>
      <c r="M465" s="1070">
        <v>5000</v>
      </c>
      <c r="N465" s="1113">
        <f t="shared" si="101"/>
        <v>-12996110.000000002</v>
      </c>
      <c r="O465" s="934">
        <v>-7798</v>
      </c>
      <c r="R465" s="1114">
        <f t="shared" si="112"/>
        <v>-13003908.000000002</v>
      </c>
      <c r="S465" s="1039">
        <v>132.73928033797898</v>
      </c>
      <c r="T465" s="1121">
        <f t="shared" si="114"/>
        <v>-97965.786516919674</v>
      </c>
      <c r="U465" s="827">
        <v>44335</v>
      </c>
      <c r="V465" s="1036" t="s">
        <v>1725</v>
      </c>
      <c r="W465" s="1044">
        <v>44216.554416666666</v>
      </c>
      <c r="X465" s="1115">
        <f t="shared" si="105"/>
        <v>6.0002569999792241E-2</v>
      </c>
      <c r="Y465" s="1037" t="s">
        <v>1763</v>
      </c>
      <c r="Z465" s="1112" t="str">
        <f>VLOOKUP(AA465,'place of settlement'!A:C,2,FALSE)</f>
        <v>JJSDJPJTXXX</v>
      </c>
      <c r="AA465" s="1112" t="str">
        <f t="shared" si="113"/>
        <v>JP</v>
      </c>
      <c r="AB465" s="1112" t="str">
        <f t="shared" si="110"/>
        <v>Tavira SecuritiesJP</v>
      </c>
      <c r="AC465" s="1112" t="str">
        <f>VLOOKUP(AB465,sample!$1:$1048576,2,FALSE)</f>
        <v>GSILGB2XXXX</v>
      </c>
      <c r="AD465" s="1112" t="str">
        <f>VLOOKUP($AB465,sample!$1:$1048576,3,FALSE)</f>
        <v>JJSDJPJTXXX</v>
      </c>
      <c r="AE465" s="1105">
        <f>VLOOKUP($AB465,sample!$1:$1048576,4,FALSE)</f>
        <v>6530490016</v>
      </c>
      <c r="AF465" s="1112" t="str">
        <f>VLOOKUP($AB465,sample!$1:$1048576,5,FALSE)</f>
        <v>N</v>
      </c>
      <c r="AL465" s="1104" t="str">
        <f>VLOOKUP($AB465,sample!$1:$1048576,11,FALSE)</f>
        <v xml:space="preserve">                  </v>
      </c>
      <c r="AM465" s="1104" t="str">
        <f>VLOOKUP($AB465,sample!$1:$1048576,12,FALSE)</f>
        <v xml:space="preserve">                          </v>
      </c>
      <c r="AN465" s="1104" t="str">
        <f>VLOOKUP($AB465,sample!$1:$1048576,13,FALSE)</f>
        <v>GOLDJPJXXXX</v>
      </c>
      <c r="AP465" s="1111"/>
    </row>
    <row r="466" spans="1:42">
      <c r="A466" s="1131">
        <f t="shared" si="116"/>
        <v>2019200479</v>
      </c>
      <c r="B466" s="998">
        <v>44335</v>
      </c>
      <c r="C466" s="998" t="s">
        <v>137</v>
      </c>
      <c r="D466" s="1127" t="str">
        <f>IFERROR(VLOOKUP(G466,PosAggregate!$B$13:$B$93,1,FALSE),"")</f>
        <v/>
      </c>
      <c r="E466" s="1022" t="s">
        <v>1232</v>
      </c>
      <c r="F466" s="1132" t="str">
        <f t="shared" si="117"/>
        <v/>
      </c>
      <c r="G466" s="701" t="s">
        <v>1180</v>
      </c>
      <c r="I466" s="950" t="s">
        <v>1122</v>
      </c>
      <c r="J466" s="950" t="s">
        <v>125</v>
      </c>
      <c r="K466" s="1055">
        <v>1198.1313640000001</v>
      </c>
      <c r="L466" s="1055"/>
      <c r="M466" s="1055">
        <v>11000</v>
      </c>
      <c r="N466" s="1135">
        <f t="shared" si="101"/>
        <v>-13179445.004000001</v>
      </c>
      <c r="O466" s="934">
        <v>-7908</v>
      </c>
      <c r="R466" s="1100">
        <f t="shared" si="112"/>
        <v>-13187353.004000001</v>
      </c>
      <c r="S466" s="1039">
        <v>132.73928033797898</v>
      </c>
      <c r="T466" s="1121">
        <f t="shared" si="114"/>
        <v>-99347.781383344394</v>
      </c>
      <c r="U466" s="827">
        <v>44337</v>
      </c>
      <c r="V466" s="701" t="s">
        <v>1725</v>
      </c>
      <c r="W466" s="1031">
        <v>44216.554416666666</v>
      </c>
      <c r="X466" s="1089">
        <f t="shared" si="105"/>
        <v>6.0002526643571856E-2</v>
      </c>
      <c r="Y466" s="690" t="s">
        <v>1763</v>
      </c>
      <c r="Z466" s="1111" t="str">
        <f>VLOOKUP(AA466,'place of settlement'!A:C,2,FALSE)</f>
        <v>JJSDJPJTXXX</v>
      </c>
      <c r="AA466" s="1111" t="str">
        <f t="shared" ref="AA466:AA475" si="118">LEFT(E466,2)</f>
        <v>JP</v>
      </c>
      <c r="AB466" s="1111" t="str">
        <f t="shared" si="110"/>
        <v>Tavira SecuritiesJP</v>
      </c>
      <c r="AC466" s="1111" t="str">
        <f>VLOOKUP(AB466,sample!$1:$1048576,2,FALSE)</f>
        <v>GSILGB2XXXX</v>
      </c>
      <c r="AD466" s="1111" t="str">
        <f>VLOOKUP($AB466,sample!$1:$1048576,3,FALSE)</f>
        <v>JJSDJPJTXXX</v>
      </c>
      <c r="AE466" s="1104">
        <f>VLOOKUP($AB466,sample!$1:$1048576,4,FALSE)</f>
        <v>6530490016</v>
      </c>
      <c r="AF466" s="1111" t="str">
        <f>VLOOKUP($AB466,sample!$1:$1048576,5,FALSE)</f>
        <v>N</v>
      </c>
      <c r="AL466" s="1104" t="str">
        <f>VLOOKUP($AB466,sample!$1:$1048576,11,FALSE)</f>
        <v xml:space="preserve">                  </v>
      </c>
      <c r="AM466" s="1104" t="str">
        <f>VLOOKUP($AB466,sample!$1:$1048576,12,FALSE)</f>
        <v xml:space="preserve">                          </v>
      </c>
      <c r="AN466" s="1104" t="str">
        <f>VLOOKUP($AB466,sample!$1:$1048576,13,FALSE)</f>
        <v>GOLDJPJXXXX</v>
      </c>
      <c r="AP466" s="1111"/>
    </row>
    <row r="467" spans="1:42">
      <c r="A467" s="1131">
        <f t="shared" si="116"/>
        <v>2019200480</v>
      </c>
      <c r="B467" s="998">
        <v>44342</v>
      </c>
      <c r="C467" s="998" t="s">
        <v>137</v>
      </c>
      <c r="D467" s="1127" t="str">
        <f>IFERROR(VLOOKUP(G467,PosAggregate!$B$13:$B$93,1,FALSE),"")</f>
        <v/>
      </c>
      <c r="E467" s="1022" t="s">
        <v>12858</v>
      </c>
      <c r="F467" s="1132" t="str">
        <f t="shared" si="117"/>
        <v/>
      </c>
      <c r="G467" s="701" t="s">
        <v>2204</v>
      </c>
      <c r="I467" s="950" t="s">
        <v>12794</v>
      </c>
      <c r="J467" s="950" t="s">
        <v>123</v>
      </c>
      <c r="K467" s="1055">
        <v>42803.475700000003</v>
      </c>
      <c r="L467" s="1055"/>
      <c r="M467" s="1055">
        <v>5970</v>
      </c>
      <c r="N467" s="1135">
        <f t="shared" si="101"/>
        <v>-255536749.92900002</v>
      </c>
      <c r="O467" s="934">
        <v>-383305</v>
      </c>
      <c r="R467" s="1100">
        <f t="shared" si="112"/>
        <v>-255920054.92900002</v>
      </c>
      <c r="S467" s="995">
        <v>1374.8851567380834</v>
      </c>
      <c r="T467" s="1121">
        <f t="shared" si="114"/>
        <v>-186139.22310149207</v>
      </c>
      <c r="U467" s="827">
        <v>44344</v>
      </c>
      <c r="V467" s="701" t="s">
        <v>1230</v>
      </c>
      <c r="W467" s="1031">
        <v>44216.554416666666</v>
      </c>
      <c r="X467" s="1089">
        <f t="shared" si="105"/>
        <v>0.14999995112503384</v>
      </c>
      <c r="Y467" s="690" t="s">
        <v>1763</v>
      </c>
      <c r="Z467" s="1111" t="str">
        <f>VLOOKUP(AA467,'place of settlement'!A:C,2,FALSE)</f>
        <v>KSDCKRSEXXX</v>
      </c>
      <c r="AA467" s="1111" t="str">
        <f t="shared" si="118"/>
        <v>KR</v>
      </c>
      <c r="AB467" s="1111" t="str">
        <f t="shared" si="110"/>
        <v>SamsungKR</v>
      </c>
      <c r="AC467" s="1111" t="e">
        <f>VLOOKUP(AB467,sample!$1:$1048576,2,FALSE)</f>
        <v>#N/A</v>
      </c>
      <c r="AD467" s="1111" t="e">
        <f>VLOOKUP($AB467,sample!$1:$1048576,3,FALSE)</f>
        <v>#N/A</v>
      </c>
      <c r="AE467" s="1104" t="e">
        <f>VLOOKUP($AB467,sample!$1:$1048576,4,FALSE)</f>
        <v>#N/A</v>
      </c>
      <c r="AF467" s="1111" t="e">
        <f>VLOOKUP($AB467,sample!$1:$1048576,5,FALSE)</f>
        <v>#N/A</v>
      </c>
      <c r="AL467" s="1104" t="e">
        <f>VLOOKUP($AB467,sample!$1:$1048576,11,FALSE)</f>
        <v>#N/A</v>
      </c>
      <c r="AM467" s="1104" t="e">
        <f>VLOOKUP($AB467,sample!$1:$1048576,12,FALSE)</f>
        <v>#N/A</v>
      </c>
      <c r="AN467" s="1104" t="e">
        <f>VLOOKUP($AB467,sample!$1:$1048576,13,FALSE)</f>
        <v>#N/A</v>
      </c>
      <c r="AP467" s="1111"/>
    </row>
    <row r="468" spans="1:42">
      <c r="A468" s="1131">
        <f t="shared" si="116"/>
        <v>2019200481</v>
      </c>
      <c r="B468" s="998">
        <v>44343</v>
      </c>
      <c r="C468" s="998" t="s">
        <v>137</v>
      </c>
      <c r="D468" s="1127" t="str">
        <f>IFERROR(VLOOKUP(G468,PosAggregate!$B$13:$B$93,1,FALSE),"")</f>
        <v/>
      </c>
      <c r="E468" s="1022" t="s">
        <v>12858</v>
      </c>
      <c r="F468" s="1132" t="str">
        <f t="shared" si="117"/>
        <v/>
      </c>
      <c r="G468" s="701" t="s">
        <v>2204</v>
      </c>
      <c r="I468" s="950" t="s">
        <v>12794</v>
      </c>
      <c r="J468" s="950" t="s">
        <v>123</v>
      </c>
      <c r="K468" s="1055">
        <v>42857.657899999998</v>
      </c>
      <c r="L468" s="1055"/>
      <c r="M468" s="1055">
        <v>1900</v>
      </c>
      <c r="N468" s="1135">
        <f t="shared" si="101"/>
        <v>-81429550.00999999</v>
      </c>
      <c r="O468" s="934">
        <v>-122144</v>
      </c>
      <c r="R468" s="1100">
        <f t="shared" si="112"/>
        <v>-81551694.00999999</v>
      </c>
      <c r="S468" s="995">
        <v>1361.1551307994257</v>
      </c>
      <c r="T468" s="1121">
        <f t="shared" si="114"/>
        <v>-59913.592627831866</v>
      </c>
      <c r="U468" s="827">
        <v>44347</v>
      </c>
      <c r="V468" s="701" t="s">
        <v>1230</v>
      </c>
      <c r="W468" s="1031">
        <v>44216.554416666666</v>
      </c>
      <c r="X468" s="1089">
        <f t="shared" si="105"/>
        <v>0.14999960086356864</v>
      </c>
      <c r="Y468" s="690" t="s">
        <v>1763</v>
      </c>
      <c r="Z468" s="1111" t="str">
        <f>VLOOKUP(AA468,'place of settlement'!A:C,2,FALSE)</f>
        <v>KSDCKRSEXXX</v>
      </c>
      <c r="AA468" s="1111" t="str">
        <f t="shared" si="118"/>
        <v>KR</v>
      </c>
      <c r="AB468" s="1111" t="str">
        <f t="shared" si="110"/>
        <v>SamsungKR</v>
      </c>
      <c r="AC468" s="1111" t="e">
        <f>VLOOKUP(AB468,sample!$1:$1048576,2,FALSE)</f>
        <v>#N/A</v>
      </c>
      <c r="AD468" s="1111" t="e">
        <f>VLOOKUP($AB468,sample!$1:$1048576,3,FALSE)</f>
        <v>#N/A</v>
      </c>
      <c r="AE468" s="1104" t="e">
        <f>VLOOKUP($AB468,sample!$1:$1048576,4,FALSE)</f>
        <v>#N/A</v>
      </c>
      <c r="AF468" s="1111" t="e">
        <f>VLOOKUP($AB468,sample!$1:$1048576,5,FALSE)</f>
        <v>#N/A</v>
      </c>
      <c r="AL468" s="1104" t="e">
        <f>VLOOKUP($AB468,sample!$1:$1048576,11,FALSE)</f>
        <v>#N/A</v>
      </c>
      <c r="AM468" s="1104" t="e">
        <f>VLOOKUP($AB468,sample!$1:$1048576,12,FALSE)</f>
        <v>#N/A</v>
      </c>
      <c r="AN468" s="1104" t="e">
        <f>VLOOKUP($AB468,sample!$1:$1048576,13,FALSE)</f>
        <v>#N/A</v>
      </c>
      <c r="AP468" s="1111"/>
    </row>
    <row r="469" spans="1:42">
      <c r="A469" s="1131">
        <f t="shared" si="116"/>
        <v>2019200482</v>
      </c>
      <c r="B469" s="998">
        <v>44347</v>
      </c>
      <c r="C469" s="998" t="s">
        <v>137</v>
      </c>
      <c r="D469" s="1127" t="str">
        <f>IFERROR(VLOOKUP(G469,PosAggregate!$B$13:$B$93,1,FALSE),"")</f>
        <v/>
      </c>
      <c r="E469" s="1022" t="s">
        <v>1236</v>
      </c>
      <c r="F469" s="1132" t="str">
        <f t="shared" si="117"/>
        <v/>
      </c>
      <c r="G469" s="701" t="s">
        <v>1656</v>
      </c>
      <c r="I469" s="950" t="s">
        <v>1126</v>
      </c>
      <c r="J469" s="950" t="s">
        <v>125</v>
      </c>
      <c r="K469" s="1055">
        <v>2316.8222000000001</v>
      </c>
      <c r="L469" s="1055"/>
      <c r="M469" s="1055">
        <v>4500</v>
      </c>
      <c r="N469" s="1135">
        <f t="shared" ref="N469:N532" si="119">-K469*M469</f>
        <v>-10425699.9</v>
      </c>
      <c r="O469" s="934">
        <v>-6255</v>
      </c>
      <c r="R469" s="1100">
        <f t="shared" si="112"/>
        <v>-10431954.9</v>
      </c>
      <c r="S469" s="995">
        <v>133.84771029119571</v>
      </c>
      <c r="T469" s="1121">
        <f t="shared" si="114"/>
        <v>-77938.986608769788</v>
      </c>
      <c r="U469" s="827">
        <v>44349</v>
      </c>
      <c r="V469" s="701" t="s">
        <v>1725</v>
      </c>
      <c r="W469" s="1031">
        <v>44216.554416666666</v>
      </c>
      <c r="X469" s="1089">
        <f t="shared" si="105"/>
        <v>5.9995972068983112E-2</v>
      </c>
      <c r="Y469" s="690" t="s">
        <v>1763</v>
      </c>
      <c r="Z469" s="1111" t="str">
        <f>VLOOKUP(AA469,'place of settlement'!A:C,2,FALSE)</f>
        <v>JJSDJPJTXXX</v>
      </c>
      <c r="AA469" s="1111" t="str">
        <f t="shared" si="118"/>
        <v>JP</v>
      </c>
      <c r="AB469" s="1111" t="str">
        <f t="shared" si="110"/>
        <v>Tavira SecuritiesJP</v>
      </c>
      <c r="AC469" s="1111" t="str">
        <f>VLOOKUP(AB469,sample!$1:$1048576,2,FALSE)</f>
        <v>GSILGB2XXXX</v>
      </c>
      <c r="AD469" s="1111" t="str">
        <f>VLOOKUP($AB469,sample!$1:$1048576,3,FALSE)</f>
        <v>JJSDJPJTXXX</v>
      </c>
      <c r="AE469" s="1104">
        <f>VLOOKUP($AB469,sample!$1:$1048576,4,FALSE)</f>
        <v>6530490016</v>
      </c>
      <c r="AF469" s="1111" t="str">
        <f>VLOOKUP($AB469,sample!$1:$1048576,5,FALSE)</f>
        <v>N</v>
      </c>
      <c r="AL469" s="1104" t="str">
        <f>VLOOKUP($AB469,sample!$1:$1048576,11,FALSE)</f>
        <v xml:space="preserve">                  </v>
      </c>
      <c r="AM469" s="1104" t="str">
        <f>VLOOKUP($AB469,sample!$1:$1048576,12,FALSE)</f>
        <v xml:space="preserve">                          </v>
      </c>
      <c r="AN469" s="1104" t="str">
        <f>VLOOKUP($AB469,sample!$1:$1048576,13,FALSE)</f>
        <v>GOLDJPJXXXX</v>
      </c>
      <c r="AP469" s="1111"/>
    </row>
    <row r="470" spans="1:42">
      <c r="A470" s="827" t="s">
        <v>2166</v>
      </c>
      <c r="B470" s="998">
        <v>44347</v>
      </c>
      <c r="C470" s="998" t="s">
        <v>12817</v>
      </c>
      <c r="D470" s="1127" t="str">
        <f>IFERROR(VLOOKUP(G470,PosAggregate!$B$13:$B$93,1,FALSE),"")</f>
        <v/>
      </c>
      <c r="E470" s="1022" t="s">
        <v>12874</v>
      </c>
      <c r="F470" s="1132" t="str">
        <f t="shared" si="117"/>
        <v/>
      </c>
      <c r="G470" s="701" t="s">
        <v>12815</v>
      </c>
      <c r="I470" s="950" t="s">
        <v>12816</v>
      </c>
      <c r="J470" s="950" t="s">
        <v>123</v>
      </c>
      <c r="K470" s="1055"/>
      <c r="L470" s="1055"/>
      <c r="M470" s="1055">
        <v>373</v>
      </c>
      <c r="N470" s="1135">
        <f t="shared" si="119"/>
        <v>0</v>
      </c>
      <c r="O470" s="934"/>
      <c r="R470" s="1100">
        <f t="shared" si="112"/>
        <v>0</v>
      </c>
      <c r="S470" s="995"/>
      <c r="T470" s="1121" t="e">
        <f t="shared" si="114"/>
        <v>#DIV/0!</v>
      </c>
      <c r="X470" s="1089" t="e">
        <f t="shared" si="105"/>
        <v>#DIV/0!</v>
      </c>
      <c r="Y470" s="690" t="s">
        <v>1763</v>
      </c>
      <c r="Z470" s="1111" t="str">
        <f>VLOOKUP(AA470,'place of settlement'!A:C,2,FALSE)</f>
        <v>KSDCKRSEXXX</v>
      </c>
      <c r="AA470" s="1111" t="str">
        <f t="shared" si="118"/>
        <v>KR</v>
      </c>
      <c r="AB470" s="1111" t="str">
        <f t="shared" si="110"/>
        <v>KR</v>
      </c>
      <c r="AC470" s="1111" t="e">
        <f>VLOOKUP(AB470,sample!$1:$1048576,2,FALSE)</f>
        <v>#N/A</v>
      </c>
      <c r="AD470" s="1111" t="e">
        <f>VLOOKUP($AB470,sample!$1:$1048576,3,FALSE)</f>
        <v>#N/A</v>
      </c>
      <c r="AE470" s="1104" t="e">
        <f>VLOOKUP($AB470,sample!$1:$1048576,4,FALSE)</f>
        <v>#N/A</v>
      </c>
      <c r="AF470" s="1111" t="e">
        <f>VLOOKUP($AB470,sample!$1:$1048576,5,FALSE)</f>
        <v>#N/A</v>
      </c>
      <c r="AL470" s="1104" t="e">
        <f>VLOOKUP($AB470,sample!$1:$1048576,11,FALSE)</f>
        <v>#N/A</v>
      </c>
      <c r="AM470" s="1104" t="e">
        <f>VLOOKUP($AB470,sample!$1:$1048576,12,FALSE)</f>
        <v>#N/A</v>
      </c>
      <c r="AN470" s="1104" t="e">
        <f>VLOOKUP($AB470,sample!$1:$1048576,13,FALSE)</f>
        <v>#N/A</v>
      </c>
      <c r="AP470" s="1111"/>
    </row>
    <row r="471" spans="1:42">
      <c r="A471" s="827" t="s">
        <v>2166</v>
      </c>
      <c r="B471" s="998">
        <v>44347</v>
      </c>
      <c r="C471" s="998" t="s">
        <v>12817</v>
      </c>
      <c r="D471" s="1127" t="str">
        <f>IFERROR(VLOOKUP(G471,PosAggregate!$B$13:$B$93,1,FALSE),"")</f>
        <v/>
      </c>
      <c r="E471" s="1022" t="s">
        <v>1257</v>
      </c>
      <c r="F471" s="1132" t="str">
        <f t="shared" si="117"/>
        <v/>
      </c>
      <c r="G471" s="701" t="s">
        <v>1207</v>
      </c>
      <c r="I471" s="950" t="s">
        <v>1135</v>
      </c>
      <c r="J471" s="950" t="s">
        <v>123</v>
      </c>
      <c r="K471" s="1055"/>
      <c r="L471" s="1055"/>
      <c r="M471" s="1055">
        <v>-374</v>
      </c>
      <c r="N471" s="1135">
        <f t="shared" si="119"/>
        <v>0</v>
      </c>
      <c r="O471" s="934"/>
      <c r="R471" s="1100">
        <f t="shared" si="112"/>
        <v>0</v>
      </c>
      <c r="S471" s="995"/>
      <c r="T471" s="1121" t="e">
        <f t="shared" si="114"/>
        <v>#DIV/0!</v>
      </c>
      <c r="X471" s="1089" t="e">
        <f t="shared" si="105"/>
        <v>#DIV/0!</v>
      </c>
      <c r="Y471" s="690" t="s">
        <v>1763</v>
      </c>
      <c r="Z471" s="1111" t="str">
        <f>VLOOKUP(AA471,'place of settlement'!A:C,2,FALSE)</f>
        <v>KSDCKRSEXXX</v>
      </c>
      <c r="AA471" s="1111" t="str">
        <f t="shared" si="118"/>
        <v>KR</v>
      </c>
      <c r="AB471" s="1111" t="str">
        <f t="shared" si="110"/>
        <v>KR</v>
      </c>
      <c r="AC471" s="1111" t="e">
        <f>VLOOKUP(AB471,sample!$1:$1048576,2,FALSE)</f>
        <v>#N/A</v>
      </c>
      <c r="AD471" s="1111" t="e">
        <f>VLOOKUP($AB471,sample!$1:$1048576,3,FALSE)</f>
        <v>#N/A</v>
      </c>
      <c r="AE471" s="1104" t="e">
        <f>VLOOKUP($AB471,sample!$1:$1048576,4,FALSE)</f>
        <v>#N/A</v>
      </c>
      <c r="AF471" s="1111" t="e">
        <f>VLOOKUP($AB471,sample!$1:$1048576,5,FALSE)</f>
        <v>#N/A</v>
      </c>
      <c r="AL471" s="1104" t="e">
        <f>VLOOKUP($AB471,sample!$1:$1048576,11,FALSE)</f>
        <v>#N/A</v>
      </c>
      <c r="AM471" s="1104" t="e">
        <f>VLOOKUP($AB471,sample!$1:$1048576,12,FALSE)</f>
        <v>#N/A</v>
      </c>
      <c r="AN471" s="1104" t="e">
        <f>VLOOKUP($AB471,sample!$1:$1048576,13,FALSE)</f>
        <v>#N/A</v>
      </c>
      <c r="AP471" s="1111"/>
    </row>
    <row r="472" spans="1:42">
      <c r="A472" s="920">
        <v>2019200483</v>
      </c>
      <c r="B472" s="998">
        <v>44351</v>
      </c>
      <c r="C472" s="998" t="s">
        <v>138</v>
      </c>
      <c r="D472" s="1127" t="str">
        <f>IFERROR(VLOOKUP(G472,PosAggregate!$B$13:$B$93,1,FALSE),"")</f>
        <v/>
      </c>
      <c r="E472" s="1022" t="s">
        <v>12856</v>
      </c>
      <c r="F472" s="1132" t="str">
        <f t="shared" si="117"/>
        <v/>
      </c>
      <c r="G472" s="701" t="s">
        <v>2168</v>
      </c>
      <c r="I472" s="950" t="s">
        <v>1142</v>
      </c>
      <c r="J472" s="950" t="s">
        <v>123</v>
      </c>
      <c r="K472" s="1055">
        <v>340049.76190500002</v>
      </c>
      <c r="L472" s="1055"/>
      <c r="M472" s="1055">
        <v>-420</v>
      </c>
      <c r="N472" s="1135">
        <f t="shared" si="119"/>
        <v>142820900.00010002</v>
      </c>
      <c r="O472" s="934">
        <v>-214231</v>
      </c>
      <c r="P472" s="934">
        <v>-328436</v>
      </c>
      <c r="R472" s="1100">
        <f t="shared" si="112"/>
        <v>142278233.00010002</v>
      </c>
      <c r="S472" s="995">
        <v>1353.5965858803829</v>
      </c>
      <c r="T472" s="1121">
        <f t="shared" si="114"/>
        <v>105111.25285349465</v>
      </c>
      <c r="U472" s="827">
        <v>44355</v>
      </c>
      <c r="V472" s="701" t="s">
        <v>1156</v>
      </c>
      <c r="W472" s="1031">
        <v>44351.389093518519</v>
      </c>
      <c r="X472" s="1089">
        <f t="shared" si="105"/>
        <v>-0.14999975493772266</v>
      </c>
      <c r="Y472" s="690" t="s">
        <v>1763</v>
      </c>
      <c r="Z472" s="1111" t="str">
        <f>VLOOKUP(AA472,'place of settlement'!A:C,2,FALSE)</f>
        <v>KSDCKRSEXXX</v>
      </c>
      <c r="AA472" s="1111" t="str">
        <f t="shared" si="118"/>
        <v>KR</v>
      </c>
      <c r="AB472" s="1111" t="str">
        <f t="shared" si="110"/>
        <v>Samsung SecuritiesKR</v>
      </c>
      <c r="AC472" s="1111" t="str">
        <f>VLOOKUP(AB472,sample!$1:$1048576,2,FALSE)</f>
        <v>SAMCKRS1XXX</v>
      </c>
      <c r="AD472" s="1111" t="str">
        <f>VLOOKUP($AB472,sample!$1:$1048576,3,FALSE)</f>
        <v>KSDCKRSEXXX</v>
      </c>
      <c r="AE472" s="1104" t="str">
        <f>VLOOKUP($AB472,sample!$1:$1048576,4,FALSE)</f>
        <v>30-00</v>
      </c>
      <c r="AF472" s="1111" t="str">
        <f>VLOOKUP($AB472,sample!$1:$1048576,5,FALSE)</f>
        <v>N</v>
      </c>
      <c r="AL472" s="1104" t="str">
        <f>VLOOKUP($AB472,sample!$1:$1048576,11,FALSE)</f>
        <v xml:space="preserve">        </v>
      </c>
      <c r="AM472" s="1104" t="str">
        <f>VLOOKUP($AB472,sample!$1:$1048576,12,FALSE)</f>
        <v xml:space="preserve">        </v>
      </c>
      <c r="AN472" s="1104" t="str">
        <f>VLOOKUP($AB472,sample!$1:$1048576,13,FALSE)</f>
        <v>SAMCKRS1XXX</v>
      </c>
      <c r="AP472" s="1111"/>
    </row>
    <row r="473" spans="1:42">
      <c r="A473" s="920">
        <v>2019200484</v>
      </c>
      <c r="B473" s="998">
        <v>44351</v>
      </c>
      <c r="C473" s="998" t="s">
        <v>138</v>
      </c>
      <c r="D473" s="1127" t="str">
        <f>IFERROR(VLOOKUP(G473,PosAggregate!$B$13:$B$93,1,FALSE),"")</f>
        <v/>
      </c>
      <c r="E473" s="1022" t="s">
        <v>12874</v>
      </c>
      <c r="F473" s="1132" t="str">
        <f t="shared" si="117"/>
        <v/>
      </c>
      <c r="G473" s="701" t="s">
        <v>12815</v>
      </c>
      <c r="I473" s="950" t="s">
        <v>12816</v>
      </c>
      <c r="J473" s="950" t="s">
        <v>123</v>
      </c>
      <c r="K473" s="1055">
        <v>152423.86060000001</v>
      </c>
      <c r="L473" s="1055"/>
      <c r="M473" s="1055">
        <v>-373</v>
      </c>
      <c r="N473" s="1135">
        <f t="shared" si="119"/>
        <v>56854100.003800005</v>
      </c>
      <c r="O473" s="934">
        <v>-85281</v>
      </c>
      <c r="P473" s="934">
        <v>-130729</v>
      </c>
      <c r="R473" s="1100">
        <f t="shared" si="112"/>
        <v>56638090.003800005</v>
      </c>
      <c r="S473" s="995">
        <v>1353.5965858803888</v>
      </c>
      <c r="T473" s="1121">
        <f t="shared" si="114"/>
        <v>41842.66611973034</v>
      </c>
      <c r="U473" s="827">
        <v>44355</v>
      </c>
      <c r="V473" s="701" t="s">
        <v>1156</v>
      </c>
      <c r="W473" s="1031">
        <v>44351.389583217591</v>
      </c>
      <c r="X473" s="1089">
        <f t="shared" si="105"/>
        <v>-0.14999973615675916</v>
      </c>
      <c r="Y473" s="690" t="s">
        <v>1763</v>
      </c>
      <c r="Z473" s="1111" t="str">
        <f>VLOOKUP(AA473,'place of settlement'!A:C,2,FALSE)</f>
        <v>KSDCKRSEXXX</v>
      </c>
      <c r="AA473" s="1111" t="str">
        <f t="shared" si="118"/>
        <v>KR</v>
      </c>
      <c r="AB473" s="1111" t="str">
        <f t="shared" si="110"/>
        <v>Samsung SecuritiesKR</v>
      </c>
      <c r="AC473" s="1111" t="str">
        <f>VLOOKUP(AB473,sample!$1:$1048576,2,FALSE)</f>
        <v>SAMCKRS1XXX</v>
      </c>
      <c r="AD473" s="1111" t="str">
        <f>VLOOKUP($AB473,sample!$1:$1048576,3,FALSE)</f>
        <v>KSDCKRSEXXX</v>
      </c>
      <c r="AE473" s="1104" t="str">
        <f>VLOOKUP($AB473,sample!$1:$1048576,4,FALSE)</f>
        <v>30-00</v>
      </c>
      <c r="AF473" s="1111" t="str">
        <f>VLOOKUP($AB473,sample!$1:$1048576,5,FALSE)</f>
        <v>N</v>
      </c>
      <c r="AL473" s="1104" t="str">
        <f>VLOOKUP($AB473,sample!$1:$1048576,11,FALSE)</f>
        <v xml:space="preserve">        </v>
      </c>
      <c r="AM473" s="1104" t="str">
        <f>VLOOKUP($AB473,sample!$1:$1048576,12,FALSE)</f>
        <v xml:space="preserve">        </v>
      </c>
      <c r="AN473" s="1104" t="str">
        <f>VLOOKUP($AB473,sample!$1:$1048576,13,FALSE)</f>
        <v>SAMCKRS1XXX</v>
      </c>
      <c r="AP473" s="1111"/>
    </row>
    <row r="474" spans="1:42">
      <c r="A474" s="920">
        <v>2019200485</v>
      </c>
      <c r="B474" s="998">
        <v>43834</v>
      </c>
      <c r="C474" s="998" t="s">
        <v>137</v>
      </c>
      <c r="D474" s="1127" t="str">
        <f>IFERROR(VLOOKUP(G474,PosAggregate!$B$13:$B$93,1,FALSE),"")</f>
        <v/>
      </c>
      <c r="E474" s="1022" t="s">
        <v>1258</v>
      </c>
      <c r="F474" s="1132" t="str">
        <f t="shared" si="117"/>
        <v/>
      </c>
      <c r="G474" s="701" t="s">
        <v>12918</v>
      </c>
      <c r="I474" s="950" t="s">
        <v>12884</v>
      </c>
      <c r="J474" s="950" t="s">
        <v>123</v>
      </c>
      <c r="K474" s="1055">
        <v>37650</v>
      </c>
      <c r="L474" s="1055"/>
      <c r="M474" s="1055">
        <v>5076</v>
      </c>
      <c r="N474" s="1135">
        <f t="shared" si="119"/>
        <v>-191111400</v>
      </c>
      <c r="O474" s="934"/>
      <c r="P474" s="934"/>
      <c r="R474" s="1100">
        <f t="shared" si="112"/>
        <v>-191111400</v>
      </c>
      <c r="S474" s="995">
        <v>1369.23</v>
      </c>
      <c r="T474" s="1051">
        <v>182702.68691162186</v>
      </c>
      <c r="U474" s="827">
        <v>44355</v>
      </c>
      <c r="V474" s="701" t="s">
        <v>1156</v>
      </c>
      <c r="W474" s="1031">
        <v>44507.92603761574</v>
      </c>
      <c r="X474" s="1089">
        <f t="shared" si="105"/>
        <v>0</v>
      </c>
      <c r="Y474" s="690" t="s">
        <v>1763</v>
      </c>
      <c r="Z474" s="1111" t="str">
        <f>VLOOKUP(AA474,'place of settlement'!A:C,2,FALSE)</f>
        <v>KSDCKRSEXXX</v>
      </c>
      <c r="AA474" s="1111" t="str">
        <f t="shared" si="118"/>
        <v>KR</v>
      </c>
      <c r="AB474" s="1111" t="str">
        <f t="shared" si="110"/>
        <v>Samsung SecuritiesKR</v>
      </c>
      <c r="AC474" s="1111" t="str">
        <f>VLOOKUP(AB474,sample!$1:$1048576,2,FALSE)</f>
        <v>SAMCKRS1XXX</v>
      </c>
      <c r="AD474" s="1111" t="str">
        <f>VLOOKUP($AB474,sample!$1:$1048576,3,FALSE)</f>
        <v>KSDCKRSEXXX</v>
      </c>
      <c r="AE474" s="1104" t="str">
        <f>VLOOKUP($AB474,sample!$1:$1048576,4,FALSE)</f>
        <v>30-00</v>
      </c>
      <c r="AF474" s="1111" t="str">
        <f>VLOOKUP($AB474,sample!$1:$1048576,5,FALSE)</f>
        <v>N</v>
      </c>
      <c r="AL474" s="1104" t="str">
        <f>VLOOKUP($AB474,sample!$1:$1048576,11,FALSE)</f>
        <v xml:space="preserve">        </v>
      </c>
      <c r="AM474" s="1104" t="str">
        <f>VLOOKUP($AB474,sample!$1:$1048576,12,FALSE)</f>
        <v xml:space="preserve">        </v>
      </c>
      <c r="AN474" s="1104" t="str">
        <f>VLOOKUP($AB474,sample!$1:$1048576,13,FALSE)</f>
        <v>SAMCKRS1XXX</v>
      </c>
      <c r="AP474" s="1111"/>
    </row>
    <row r="475" spans="1:42">
      <c r="A475" s="920">
        <v>2019200486</v>
      </c>
      <c r="B475" s="998">
        <v>44364</v>
      </c>
      <c r="C475" s="998" t="s">
        <v>137</v>
      </c>
      <c r="D475" s="1127" t="str">
        <f>IFERROR(VLOOKUP(G475,PosAggregate!$B$13:$B$93,1,FALSE),"")</f>
        <v/>
      </c>
      <c r="E475" s="1022" t="s">
        <v>1243</v>
      </c>
      <c r="F475" s="1132" t="str">
        <f t="shared" si="117"/>
        <v/>
      </c>
      <c r="G475" s="701" t="s">
        <v>1192</v>
      </c>
      <c r="I475" s="950" t="s">
        <v>1144</v>
      </c>
      <c r="J475" s="950" t="s">
        <v>125</v>
      </c>
      <c r="K475" s="1055">
        <v>1721.38</v>
      </c>
      <c r="L475" s="1055"/>
      <c r="M475" s="1055">
        <v>5000</v>
      </c>
      <c r="N475" s="1135">
        <f t="shared" si="119"/>
        <v>-8606900</v>
      </c>
      <c r="O475" s="934">
        <v>-5164</v>
      </c>
      <c r="P475" s="934"/>
      <c r="R475" s="1100">
        <f t="shared" si="112"/>
        <v>-8612064</v>
      </c>
      <c r="S475" s="995">
        <v>132.76161919040521</v>
      </c>
      <c r="T475" s="1121">
        <f t="shared" si="114"/>
        <v>-64868.627337609338</v>
      </c>
      <c r="U475" s="827">
        <v>44368</v>
      </c>
      <c r="V475" s="701" t="s">
        <v>1725</v>
      </c>
      <c r="W475" s="1031">
        <v>44216.554416666666</v>
      </c>
      <c r="X475" s="1089">
        <f t="shared" si="105"/>
        <v>5.9998373398087577E-2</v>
      </c>
      <c r="Y475" s="690" t="s">
        <v>1763</v>
      </c>
      <c r="Z475" s="1111" t="str">
        <f>VLOOKUP(AA475,'place of settlement'!A:C,2,FALSE)</f>
        <v>JJSDJPJTXXX</v>
      </c>
      <c r="AA475" s="1111" t="str">
        <f t="shared" si="118"/>
        <v>JP</v>
      </c>
      <c r="AB475" s="1111" t="str">
        <f t="shared" si="110"/>
        <v>Tavira SecuritiesJP</v>
      </c>
      <c r="AC475" s="1111" t="str">
        <f>VLOOKUP(AB475,sample!$1:$1048576,2,FALSE)</f>
        <v>GSILGB2XXXX</v>
      </c>
      <c r="AD475" s="1111" t="str">
        <f>VLOOKUP($AB475,sample!$1:$1048576,3,FALSE)</f>
        <v>JJSDJPJTXXX</v>
      </c>
      <c r="AE475" s="1104">
        <f>VLOOKUP($AB475,sample!$1:$1048576,4,FALSE)</f>
        <v>6530490016</v>
      </c>
      <c r="AF475" s="1111" t="str">
        <f>VLOOKUP($AB475,sample!$1:$1048576,5,FALSE)</f>
        <v>N</v>
      </c>
      <c r="AL475" s="1104" t="str">
        <f>VLOOKUP($AB475,sample!$1:$1048576,11,FALSE)</f>
        <v xml:space="preserve">                  </v>
      </c>
      <c r="AM475" s="1104" t="str">
        <f>VLOOKUP($AB475,sample!$1:$1048576,12,FALSE)</f>
        <v xml:space="preserve">                          </v>
      </c>
      <c r="AN475" s="1104" t="str">
        <f>VLOOKUP($AB475,sample!$1:$1048576,13,FALSE)</f>
        <v>GOLDJPJXXXX</v>
      </c>
      <c r="AP475" s="1111"/>
    </row>
    <row r="476" spans="1:42">
      <c r="A476" s="920">
        <v>2019200487</v>
      </c>
      <c r="B476" s="998">
        <v>44365</v>
      </c>
      <c r="C476" s="998" t="s">
        <v>137</v>
      </c>
      <c r="D476" s="1127" t="str">
        <f>IFERROR(VLOOKUP(G476,PosAggregate!$B$13:$B$93,1,FALSE),"")</f>
        <v/>
      </c>
      <c r="E476" s="1022" t="s">
        <v>1268</v>
      </c>
      <c r="F476" s="1132" t="str">
        <f t="shared" si="117"/>
        <v/>
      </c>
      <c r="G476" s="701" t="s">
        <v>1219</v>
      </c>
      <c r="I476" s="950" t="s">
        <v>132</v>
      </c>
      <c r="J476" s="950" t="s">
        <v>2</v>
      </c>
      <c r="K476" s="1055">
        <v>35.155099999999997</v>
      </c>
      <c r="L476" s="1055"/>
      <c r="M476" s="1055">
        <v>3900</v>
      </c>
      <c r="N476" s="1135">
        <f t="shared" si="119"/>
        <v>-137104.88999999998</v>
      </c>
      <c r="O476" s="934">
        <v>-82.26</v>
      </c>
      <c r="P476" s="934">
        <v>-411.31</v>
      </c>
      <c r="R476" s="1100">
        <f t="shared" si="112"/>
        <v>-137598.46</v>
      </c>
      <c r="S476" s="995">
        <v>1</v>
      </c>
      <c r="T476" s="1121">
        <f t="shared" si="114"/>
        <v>-137598.46</v>
      </c>
      <c r="U476" s="827">
        <v>44369</v>
      </c>
      <c r="V476" s="701" t="s">
        <v>1229</v>
      </c>
      <c r="W476" s="1031">
        <v>44216.554416666666</v>
      </c>
      <c r="X476" s="1089">
        <f t="shared" si="105"/>
        <v>5.9997860032563397E-2</v>
      </c>
      <c r="Y476" s="690" t="s">
        <v>1763</v>
      </c>
      <c r="Z476" s="1111" t="str">
        <f>VLOOKUP(AA476,'place of settlement'!A:C,2,FALSE)</f>
        <v>SICVFRPPXXX</v>
      </c>
      <c r="AA476" s="1111" t="str">
        <f t="shared" ref="AA476:AA538" si="120">LEFT(E476,2)</f>
        <v>FR</v>
      </c>
      <c r="AB476" s="1111" t="str">
        <f t="shared" ref="AB476:AB538" si="121">CONCATENATE(V476,AA476)</f>
        <v>EquitaFR</v>
      </c>
      <c r="AC476" s="1111" t="str">
        <f>VLOOKUP(AB476,sample!$1:$1048576,2,FALSE)</f>
        <v>EMSIITM1XXX</v>
      </c>
      <c r="AD476" s="1111" t="str">
        <f>VLOOKUP($AB476,sample!$1:$1048576,3,FALSE)</f>
        <v>SICVFRPPXXX</v>
      </c>
      <c r="AE476" s="1104" t="str">
        <f>VLOOKUP($AB476,sample!$1:$1048576,4,FALSE)</f>
        <v>SICVBCITITMMD00000L10</v>
      </c>
      <c r="AF476" s="1111" t="str">
        <f>VLOOKUP($AB476,sample!$1:$1048576,5,FALSE)</f>
        <v>N</v>
      </c>
      <c r="AL476" s="1104" t="str">
        <f>VLOOKUP($AB476,sample!$1:$1048576,11,FALSE)</f>
        <v xml:space="preserve">        </v>
      </c>
      <c r="AM476" s="1104" t="str">
        <f>VLOOKUP($AB476,sample!$1:$1048576,12,FALSE)</f>
        <v xml:space="preserve">        </v>
      </c>
      <c r="AN476" s="1104" t="str">
        <f>VLOOKUP($AB476,sample!$1:$1048576,13,FALSE)</f>
        <v>BCITITMMD00</v>
      </c>
      <c r="AP476" s="1111"/>
    </row>
    <row r="477" spans="1:42">
      <c r="A477" s="920">
        <v>2019200488</v>
      </c>
      <c r="B477" s="998">
        <v>44365</v>
      </c>
      <c r="C477" s="998" t="s">
        <v>137</v>
      </c>
      <c r="D477" s="1127" t="str">
        <f>IFERROR(VLOOKUP(G477,PosAggregate!$B$13:$B$93,1,FALSE),"")</f>
        <v/>
      </c>
      <c r="E477" s="1022" t="s">
        <v>1263</v>
      </c>
      <c r="F477" s="1132" t="str">
        <f t="shared" si="117"/>
        <v/>
      </c>
      <c r="G477" s="701" t="s">
        <v>1214</v>
      </c>
      <c r="I477" s="950" t="s">
        <v>12811</v>
      </c>
      <c r="J477" s="950" t="s">
        <v>2</v>
      </c>
      <c r="K477" s="1055">
        <v>26.3658</v>
      </c>
      <c r="L477" s="1055"/>
      <c r="M477" s="1055">
        <v>6800</v>
      </c>
      <c r="N477" s="1135">
        <f t="shared" si="119"/>
        <v>-179287.44</v>
      </c>
      <c r="O477" s="934">
        <v>-107.57</v>
      </c>
      <c r="P477" s="934">
        <v>-537.86</v>
      </c>
      <c r="R477" s="1100">
        <f t="shared" si="112"/>
        <v>-179932.87</v>
      </c>
      <c r="S477" s="995">
        <v>1</v>
      </c>
      <c r="T477" s="1121">
        <f t="shared" si="114"/>
        <v>-179932.87</v>
      </c>
      <c r="U477" s="827">
        <v>44369</v>
      </c>
      <c r="V477" s="701" t="s">
        <v>1229</v>
      </c>
      <c r="W477" s="1031">
        <v>44216.554416666666</v>
      </c>
      <c r="X477" s="1089">
        <f t="shared" si="105"/>
        <v>5.9998625670599118E-2</v>
      </c>
      <c r="Y477" s="690" t="s">
        <v>1763</v>
      </c>
      <c r="Z477" s="1111" t="str">
        <f>VLOOKUP(AA477,'place of settlement'!A:C,2,FALSE)</f>
        <v>SICVFRPPXXX</v>
      </c>
      <c r="AA477" s="1111" t="str">
        <f t="shared" si="120"/>
        <v>FR</v>
      </c>
      <c r="AB477" s="1111" t="str">
        <f t="shared" si="121"/>
        <v>EquitaFR</v>
      </c>
      <c r="AC477" s="1111" t="str">
        <f>VLOOKUP(AB477,sample!$1:$1048576,2,FALSE)</f>
        <v>EMSIITM1XXX</v>
      </c>
      <c r="AD477" s="1111" t="str">
        <f>VLOOKUP($AB477,sample!$1:$1048576,3,FALSE)</f>
        <v>SICVFRPPXXX</v>
      </c>
      <c r="AE477" s="1104" t="str">
        <f>VLOOKUP($AB477,sample!$1:$1048576,4,FALSE)</f>
        <v>SICVBCITITMMD00000L10</v>
      </c>
      <c r="AF477" s="1111" t="str">
        <f>VLOOKUP($AB477,sample!$1:$1048576,5,FALSE)</f>
        <v>N</v>
      </c>
      <c r="AL477" s="1104" t="str">
        <f>VLOOKUP($AB477,sample!$1:$1048576,11,FALSE)</f>
        <v xml:space="preserve">        </v>
      </c>
      <c r="AM477" s="1104" t="str">
        <f>VLOOKUP($AB477,sample!$1:$1048576,12,FALSE)</f>
        <v xml:space="preserve">        </v>
      </c>
      <c r="AN477" s="1104" t="str">
        <f>VLOOKUP($AB477,sample!$1:$1048576,13,FALSE)</f>
        <v>BCITITMMD00</v>
      </c>
      <c r="AP477" s="1111"/>
    </row>
    <row r="478" spans="1:42">
      <c r="A478" s="1071">
        <v>2019200489</v>
      </c>
      <c r="B478" s="998">
        <v>44372</v>
      </c>
      <c r="C478" s="998" t="s">
        <v>137</v>
      </c>
      <c r="D478" s="1127" t="str">
        <f>IFERROR(VLOOKUP(G478,PosAggregate!$B$13:$B$93,1,FALSE),"")</f>
        <v/>
      </c>
      <c r="E478" s="1022" t="s">
        <v>1243</v>
      </c>
      <c r="F478" s="1132" t="str">
        <f t="shared" si="117"/>
        <v/>
      </c>
      <c r="G478" s="701" t="s">
        <v>1192</v>
      </c>
      <c r="I478" s="950" t="s">
        <v>1144</v>
      </c>
      <c r="J478" s="950" t="s">
        <v>125</v>
      </c>
      <c r="K478" s="1055">
        <v>1724.521667</v>
      </c>
      <c r="L478" s="1055"/>
      <c r="M478" s="1055">
        <v>6000</v>
      </c>
      <c r="N478" s="1135">
        <f t="shared" si="119"/>
        <v>-10347130.002</v>
      </c>
      <c r="O478" s="934">
        <v>-6208</v>
      </c>
      <c r="P478" s="934"/>
      <c r="R478" s="1100">
        <f t="shared" si="112"/>
        <v>-10353338.002</v>
      </c>
      <c r="S478" s="995">
        <v>132.25644818782632</v>
      </c>
      <c r="T478" s="1121">
        <f t="shared" si="114"/>
        <v>-78282.29280206078</v>
      </c>
      <c r="U478" s="827">
        <v>44376</v>
      </c>
      <c r="V478" s="701" t="s">
        <v>1725</v>
      </c>
      <c r="W478" s="1031">
        <v>44216.554416666666</v>
      </c>
      <c r="X478" s="1089">
        <f t="shared" si="105"/>
        <v>5.9997313253047496E-2</v>
      </c>
      <c r="Y478" s="690" t="s">
        <v>1763</v>
      </c>
      <c r="Z478" s="1111" t="str">
        <f>VLOOKUP(AA478,'place of settlement'!A:C,2,FALSE)</f>
        <v>JJSDJPJTXXX</v>
      </c>
      <c r="AA478" s="1111" t="str">
        <f t="shared" si="120"/>
        <v>JP</v>
      </c>
      <c r="AB478" s="1111" t="str">
        <f t="shared" si="121"/>
        <v>Tavira SecuritiesJP</v>
      </c>
      <c r="AC478" s="1111" t="str">
        <f>VLOOKUP(AB478,sample!$1:$1048576,2,FALSE)</f>
        <v>GSILGB2XXXX</v>
      </c>
      <c r="AD478" s="1111" t="str">
        <f>VLOOKUP($AB478,sample!$1:$1048576,3,FALSE)</f>
        <v>JJSDJPJTXXX</v>
      </c>
      <c r="AE478" s="1104">
        <f>VLOOKUP($AB478,sample!$1:$1048576,4,FALSE)</f>
        <v>6530490016</v>
      </c>
      <c r="AF478" s="1111" t="str">
        <f>VLOOKUP($AB478,sample!$1:$1048576,5,FALSE)</f>
        <v>N</v>
      </c>
      <c r="AL478" s="1104" t="str">
        <f>VLOOKUP($AB478,sample!$1:$1048576,11,FALSE)</f>
        <v xml:space="preserve">                  </v>
      </c>
      <c r="AM478" s="1104" t="str">
        <f>VLOOKUP($AB478,sample!$1:$1048576,12,FALSE)</f>
        <v xml:space="preserve">                          </v>
      </c>
      <c r="AN478" s="1104" t="str">
        <f>VLOOKUP($AB478,sample!$1:$1048576,13,FALSE)</f>
        <v>GOLDJPJXXXX</v>
      </c>
      <c r="AP478" s="1111"/>
    </row>
    <row r="479" spans="1:42">
      <c r="A479" s="1071">
        <v>2019200490</v>
      </c>
      <c r="B479" s="998">
        <v>44372</v>
      </c>
      <c r="C479" s="998" t="s">
        <v>138</v>
      </c>
      <c r="D479" s="1127" t="str">
        <f>IFERROR(VLOOKUP(G479,PosAggregate!$B$13:$B$93,1,FALSE),"")</f>
        <v/>
      </c>
      <c r="E479" s="1022" t="s">
        <v>1232</v>
      </c>
      <c r="F479" s="1132" t="str">
        <f t="shared" si="117"/>
        <v/>
      </c>
      <c r="G479" s="701" t="s">
        <v>1180</v>
      </c>
      <c r="I479" s="950" t="s">
        <v>1122</v>
      </c>
      <c r="J479" s="950" t="s">
        <v>125</v>
      </c>
      <c r="K479" s="1055">
        <v>1303.4107140000001</v>
      </c>
      <c r="L479" s="1055"/>
      <c r="M479" s="1055">
        <v>-4200</v>
      </c>
      <c r="N479" s="1135">
        <f t="shared" si="119"/>
        <v>5474324.9988000002</v>
      </c>
      <c r="O479" s="934">
        <v>-3285</v>
      </c>
      <c r="R479" s="1100">
        <f t="shared" si="112"/>
        <v>5471039.9988000002</v>
      </c>
      <c r="S479" s="995">
        <v>132.25644818782661</v>
      </c>
      <c r="T479" s="1121">
        <f t="shared" si="114"/>
        <v>41366.905536660073</v>
      </c>
      <c r="U479" s="827">
        <v>44376</v>
      </c>
      <c r="V479" s="701" t="s">
        <v>1725</v>
      </c>
      <c r="W479" s="1031">
        <v>44372.436921643515</v>
      </c>
      <c r="X479" s="1089">
        <f t="shared" si="105"/>
        <v>-6.0007398185531344E-2</v>
      </c>
      <c r="Y479" s="690" t="s">
        <v>1763</v>
      </c>
      <c r="Z479" s="1111" t="str">
        <f>VLOOKUP(AA479,'place of settlement'!A:C,2,FALSE)</f>
        <v>JJSDJPJTXXX</v>
      </c>
      <c r="AA479" s="1111" t="str">
        <f t="shared" si="120"/>
        <v>JP</v>
      </c>
      <c r="AB479" s="1111" t="str">
        <f t="shared" si="121"/>
        <v>Tavira SecuritiesJP</v>
      </c>
      <c r="AC479" s="1111" t="str">
        <f>VLOOKUP(AB479,sample!$1:$1048576,2,FALSE)</f>
        <v>GSILGB2XXXX</v>
      </c>
      <c r="AD479" s="1111" t="str">
        <f>VLOOKUP($AB479,sample!$1:$1048576,3,FALSE)</f>
        <v>JJSDJPJTXXX</v>
      </c>
      <c r="AE479" s="1104">
        <f>VLOOKUP($AB479,sample!$1:$1048576,4,FALSE)</f>
        <v>6530490016</v>
      </c>
      <c r="AF479" s="1111" t="str">
        <f>VLOOKUP($AB479,sample!$1:$1048576,5,FALSE)</f>
        <v>N</v>
      </c>
      <c r="AL479" s="1104" t="str">
        <f>VLOOKUP($AB479,sample!$1:$1048576,11,FALSE)</f>
        <v xml:space="preserve">                  </v>
      </c>
      <c r="AM479" s="1104" t="str">
        <f>VLOOKUP($AB479,sample!$1:$1048576,12,FALSE)</f>
        <v xml:space="preserve">                          </v>
      </c>
      <c r="AN479" s="1104" t="str">
        <f>VLOOKUP($AB479,sample!$1:$1048576,13,FALSE)</f>
        <v>GOLDJPJXXXX</v>
      </c>
      <c r="AP479" s="1111"/>
    </row>
    <row r="480" spans="1:42">
      <c r="A480" s="920">
        <v>2019200491</v>
      </c>
      <c r="B480" s="998">
        <v>44382</v>
      </c>
      <c r="C480" s="998" t="s">
        <v>138</v>
      </c>
      <c r="D480" s="1127" t="str">
        <f>IFERROR(VLOOKUP(G480,PosAggregate!$B$13:$B$93,1,FALSE),"")</f>
        <v/>
      </c>
      <c r="E480" s="1022" t="s">
        <v>1232</v>
      </c>
      <c r="F480" s="1132" t="str">
        <f t="shared" si="117"/>
        <v/>
      </c>
      <c r="G480" s="701" t="s">
        <v>1180</v>
      </c>
      <c r="I480" s="950" t="s">
        <v>1122</v>
      </c>
      <c r="J480" s="950" t="s">
        <v>125</v>
      </c>
      <c r="K480" s="1072">
        <v>1321.9576</v>
      </c>
      <c r="L480" s="1072"/>
      <c r="M480" s="1072">
        <v>-3300</v>
      </c>
      <c r="N480" s="1135">
        <f t="shared" si="119"/>
        <v>4362460.08</v>
      </c>
      <c r="O480" s="1002">
        <v>-2617.4760000000001</v>
      </c>
      <c r="R480" s="1100">
        <f t="shared" si="112"/>
        <v>4359842.6040000003</v>
      </c>
      <c r="S480" s="1073">
        <v>131.73723736193332</v>
      </c>
      <c r="T480" s="1121">
        <f t="shared" si="114"/>
        <v>33094.990386217229</v>
      </c>
      <c r="U480" s="827">
        <v>44384</v>
      </c>
      <c r="V480" s="701" t="s">
        <v>1725</v>
      </c>
      <c r="W480" s="1031">
        <v>44382.351098611114</v>
      </c>
      <c r="X480" s="1138">
        <f t="shared" si="105"/>
        <v>-5.9999998899703408E-2</v>
      </c>
      <c r="Y480" s="827" t="s">
        <v>1763</v>
      </c>
      <c r="Z480" s="1111" t="str">
        <f>VLOOKUP(AA480,'place of settlement'!A:C,2,FALSE)</f>
        <v>JJSDJPJTXXX</v>
      </c>
      <c r="AA480" s="1111" t="str">
        <f t="shared" si="120"/>
        <v>JP</v>
      </c>
      <c r="AB480" s="1111" t="str">
        <f t="shared" si="121"/>
        <v>Tavira SecuritiesJP</v>
      </c>
      <c r="AC480" s="1111" t="str">
        <f>VLOOKUP(AB480,sample!$1:$1048576,2,FALSE)</f>
        <v>GSILGB2XXXX</v>
      </c>
      <c r="AD480" s="1111" t="str">
        <f>VLOOKUP($AB480,sample!$1:$1048576,3,FALSE)</f>
        <v>JJSDJPJTXXX</v>
      </c>
      <c r="AE480" s="1104">
        <f>VLOOKUP($AB480,sample!$1:$1048576,4,FALSE)</f>
        <v>6530490016</v>
      </c>
      <c r="AF480" s="1111" t="str">
        <f>VLOOKUP($AB480,sample!$1:$1048576,5,FALSE)</f>
        <v>N</v>
      </c>
      <c r="AL480" s="1104" t="str">
        <f>VLOOKUP($AB480,sample!$1:$1048576,11,FALSE)</f>
        <v xml:space="preserve">                  </v>
      </c>
      <c r="AM480" s="1104" t="str">
        <f>VLOOKUP($AB480,sample!$1:$1048576,12,FALSE)</f>
        <v xml:space="preserve">                          </v>
      </c>
      <c r="AN480" s="1104" t="str">
        <f>VLOOKUP($AB480,sample!$1:$1048576,13,FALSE)</f>
        <v>GOLDJPJXXXX</v>
      </c>
      <c r="AP480" s="1111"/>
    </row>
    <row r="481" spans="1:16383">
      <c r="A481" s="920">
        <v>2019200492</v>
      </c>
      <c r="B481" s="998">
        <v>44389</v>
      </c>
      <c r="C481" s="998" t="s">
        <v>137</v>
      </c>
      <c r="D481" s="1127" t="str">
        <f>IFERROR(VLOOKUP(G481,PosAggregate!$B$13:$B$93,1,FALSE),"")</f>
        <v>FR FP</v>
      </c>
      <c r="E481" s="1139" t="e">
        <f ca="1">_xll.BDP(G481  &amp; " Equity", "ID_ISIN", "Fill", "")</f>
        <v>#NAME?</v>
      </c>
      <c r="F481" s="1132" t="str">
        <f t="shared" ref="F481:F515" si="122">IF(D481=G481,"YES","NO")</f>
        <v>YES</v>
      </c>
      <c r="G481" s="701" t="s">
        <v>12899</v>
      </c>
      <c r="I481" s="1133" t="e">
        <f ca="1">_xll.BDP(G481&amp; " Equity","security_name")</f>
        <v>#NAME?</v>
      </c>
      <c r="J481" s="1074" t="s">
        <v>2</v>
      </c>
      <c r="K481" s="1055">
        <v>24.5</v>
      </c>
      <c r="L481" s="1055"/>
      <c r="M481" s="1055">
        <v>4200</v>
      </c>
      <c r="N481" s="1135">
        <f t="shared" si="119"/>
        <v>-102900</v>
      </c>
      <c r="O481" s="1002">
        <v>-61.68</v>
      </c>
      <c r="P481" s="1002">
        <v>-308.41000000000003</v>
      </c>
      <c r="R481" s="1100">
        <f t="shared" si="112"/>
        <v>-103270.09</v>
      </c>
      <c r="S481" s="995">
        <v>1</v>
      </c>
      <c r="T481" s="1121">
        <f t="shared" si="114"/>
        <v>-103270.09</v>
      </c>
      <c r="U481" s="827">
        <v>44391</v>
      </c>
      <c r="V481" s="701" t="s">
        <v>1153</v>
      </c>
      <c r="W481" s="1031">
        <v>44391.385765393519</v>
      </c>
      <c r="X481" s="1089">
        <f t="shared" si="105"/>
        <v>5.9941690962099121E-2</v>
      </c>
      <c r="Y481" s="690" t="s">
        <v>1763</v>
      </c>
      <c r="Z481" s="1111" t="e">
        <f ca="1">VLOOKUP(AA481,'place of settlement'!A:C,2,FALSE)</f>
        <v>#NAME?</v>
      </c>
      <c r="AA481" s="1111" t="e">
        <f t="shared" ca="1" si="120"/>
        <v>#NAME?</v>
      </c>
      <c r="AB481" s="1111" t="e">
        <f t="shared" ca="1" si="121"/>
        <v>#NAME?</v>
      </c>
      <c r="AC481" s="1111" t="e">
        <f ca="1">VLOOKUP(AB481,sample!$1:$1048576,2,FALSE)</f>
        <v>#NAME?</v>
      </c>
      <c r="AD481" s="1111" t="e">
        <f ca="1">VLOOKUP($AB481,sample!$1:$1048576,3,FALSE)</f>
        <v>#NAME?</v>
      </c>
      <c r="AE481" s="1104" t="e">
        <f ca="1">VLOOKUP($AB481,sample!$1:$1048576,4,FALSE)</f>
        <v>#NAME?</v>
      </c>
      <c r="AF481" s="1111" t="e">
        <f ca="1">VLOOKUP($AB481,sample!$1:$1048576,5,FALSE)</f>
        <v>#NAME?</v>
      </c>
      <c r="AL481" s="1104" t="e">
        <f ca="1">VLOOKUP($AB481,sample!$1:$1048576,11,FALSE)</f>
        <v>#NAME?</v>
      </c>
      <c r="AM481" s="1104" t="e">
        <f ca="1">VLOOKUP($AB481,sample!$1:$1048576,12,FALSE)</f>
        <v>#NAME?</v>
      </c>
      <c r="AN481" s="1104" t="e">
        <f ca="1">VLOOKUP($AB481,sample!$1:$1048576,13,FALSE)</f>
        <v>#NAME?</v>
      </c>
      <c r="AP481" s="1111"/>
    </row>
    <row r="482" spans="1:16383">
      <c r="A482" s="1075">
        <v>2019200492</v>
      </c>
      <c r="B482" s="1076">
        <v>44391</v>
      </c>
      <c r="C482" s="1076" t="s">
        <v>137</v>
      </c>
      <c r="D482" s="1077" t="s">
        <v>12899</v>
      </c>
      <c r="E482" s="1139" t="e">
        <f ca="1">_xll.BDP(G482  &amp; " Equity", "ID_ISIN", "Fill", "")</f>
        <v>#NAME?</v>
      </c>
      <c r="F482" s="1078" t="s">
        <v>1277</v>
      </c>
      <c r="G482" s="1079" t="s">
        <v>12899</v>
      </c>
      <c r="H482" s="1080"/>
      <c r="I482" s="1074" t="s">
        <v>12949</v>
      </c>
      <c r="J482" s="1074" t="s">
        <v>2</v>
      </c>
      <c r="K482" s="1081">
        <v>24.5</v>
      </c>
      <c r="L482" s="1081">
        <v>4200</v>
      </c>
      <c r="M482" s="1073">
        <v>4200</v>
      </c>
      <c r="N482" s="1082">
        <v>-102900</v>
      </c>
      <c r="O482" s="1083">
        <v>-61.68</v>
      </c>
      <c r="P482" s="1083">
        <v>-308.41000000000003</v>
      </c>
      <c r="Q482" s="1080"/>
      <c r="R482" s="1084">
        <v>-103270.09</v>
      </c>
      <c r="S482" s="1085">
        <v>1</v>
      </c>
      <c r="T482" s="1121">
        <f t="shared" si="114"/>
        <v>-103270.09</v>
      </c>
      <c r="U482" s="1080">
        <v>44393</v>
      </c>
      <c r="V482" s="1079" t="s">
        <v>1153</v>
      </c>
      <c r="W482" s="1086">
        <v>44391.385765393519</v>
      </c>
      <c r="X482" s="1087">
        <v>5.9941690962099121E-2</v>
      </c>
      <c r="Y482" s="1080" t="s">
        <v>1763</v>
      </c>
      <c r="Z482" s="1111" t="e">
        <f ca="1">VLOOKUP(AA482,'place of settlement'!A:C,2,FALSE)</f>
        <v>#NAME?</v>
      </c>
      <c r="AA482" s="1111" t="e">
        <f t="shared" ca="1" si="120"/>
        <v>#NAME?</v>
      </c>
      <c r="AB482" s="1111" t="e">
        <f t="shared" ca="1" si="121"/>
        <v>#NAME?</v>
      </c>
      <c r="AC482" s="1111" t="e">
        <f ca="1">VLOOKUP(AB482,sample!$1:$1048576,2,FALSE)</f>
        <v>#NAME?</v>
      </c>
      <c r="AD482" s="1111" t="e">
        <f ca="1">VLOOKUP($AB482,sample!$1:$1048576,3,FALSE)</f>
        <v>#NAME?</v>
      </c>
      <c r="AE482" s="1104" t="e">
        <f ca="1">VLOOKUP($AB482,sample!$1:$1048576,4,FALSE)</f>
        <v>#NAME?</v>
      </c>
      <c r="AF482" s="1111" t="e">
        <f ca="1">VLOOKUP($AB482,sample!$1:$1048576,5,FALSE)</f>
        <v>#NAME?</v>
      </c>
      <c r="AG482" s="1080"/>
      <c r="AH482" s="1080"/>
      <c r="AI482" s="1080"/>
      <c r="AJ482" s="1080"/>
      <c r="AK482" s="1080"/>
      <c r="AL482" s="1104" t="e">
        <f ca="1">VLOOKUP($AB482,sample!$1:$1048576,11,FALSE)</f>
        <v>#NAME?</v>
      </c>
      <c r="AM482" s="1104" t="e">
        <f ca="1">VLOOKUP($AB482,sample!$1:$1048576,12,FALSE)</f>
        <v>#NAME?</v>
      </c>
      <c r="AN482" s="1104" t="e">
        <f ca="1">VLOOKUP($AB482,sample!$1:$1048576,13,FALSE)</f>
        <v>#NAME?</v>
      </c>
      <c r="AO482" s="1080"/>
      <c r="AP482" s="1111"/>
      <c r="AQ482" s="1080"/>
      <c r="AR482" s="1080"/>
      <c r="AS482" s="1080"/>
      <c r="AT482" s="1080"/>
      <c r="AU482" s="1080"/>
      <c r="AV482" s="1080"/>
      <c r="AW482" s="1080"/>
      <c r="AX482" s="1080"/>
      <c r="AY482" s="1080"/>
      <c r="AZ482" s="1080"/>
      <c r="BA482" s="1080"/>
      <c r="BB482" s="1080"/>
      <c r="BC482" s="1080"/>
      <c r="BD482" s="1080"/>
      <c r="BE482" s="1080"/>
      <c r="BF482" s="1080"/>
      <c r="BG482" s="1080"/>
      <c r="BH482" s="1080"/>
      <c r="BI482" s="1080"/>
      <c r="BJ482" s="1080"/>
      <c r="BK482" s="1080"/>
      <c r="BL482" s="1080"/>
      <c r="BM482" s="1080"/>
      <c r="BN482" s="1080"/>
      <c r="BO482" s="1080"/>
      <c r="BP482" s="1080"/>
      <c r="BQ482" s="1080"/>
      <c r="BR482" s="1080"/>
      <c r="BS482" s="1080"/>
      <c r="BT482" s="1080"/>
      <c r="BU482" s="1080"/>
      <c r="BV482" s="1080"/>
      <c r="BW482" s="1080"/>
      <c r="BX482" s="1080"/>
      <c r="BY482" s="1080"/>
      <c r="BZ482" s="1080"/>
      <c r="CA482" s="1080"/>
      <c r="CB482" s="1080"/>
      <c r="CC482" s="1080"/>
      <c r="CD482" s="1080"/>
      <c r="CE482" s="1080"/>
      <c r="CF482" s="1080"/>
      <c r="CG482" s="1080"/>
      <c r="CH482" s="1080"/>
      <c r="CI482" s="1080"/>
      <c r="CJ482" s="1080"/>
      <c r="CK482" s="1080"/>
      <c r="CL482" s="1080"/>
      <c r="CM482" s="1080"/>
      <c r="CN482" s="1080"/>
      <c r="CO482" s="1080"/>
      <c r="CP482" s="1080"/>
      <c r="CQ482" s="1080"/>
      <c r="CR482" s="1080"/>
      <c r="CS482" s="1080"/>
      <c r="CT482" s="1080"/>
      <c r="CU482" s="1080"/>
      <c r="CV482" s="1080"/>
      <c r="CW482" s="1080"/>
      <c r="CX482" s="1080"/>
      <c r="CY482" s="1080"/>
      <c r="CZ482" s="1080"/>
      <c r="DA482" s="1080"/>
      <c r="DB482" s="1080"/>
      <c r="DC482" s="1080"/>
      <c r="DD482" s="1080"/>
      <c r="DE482" s="1080"/>
      <c r="DF482" s="1080"/>
      <c r="DG482" s="1080"/>
      <c r="DH482" s="1080"/>
      <c r="DI482" s="1080"/>
      <c r="DJ482" s="1080"/>
      <c r="DK482" s="1080"/>
      <c r="DL482" s="1080"/>
      <c r="DM482" s="1080"/>
      <c r="DN482" s="1080"/>
      <c r="DO482" s="1080"/>
      <c r="DP482" s="1080"/>
      <c r="DQ482" s="1080"/>
      <c r="DR482" s="1080"/>
      <c r="DS482" s="1080"/>
      <c r="DT482" s="1080"/>
      <c r="DU482" s="1080"/>
      <c r="DV482" s="1080"/>
      <c r="DW482" s="1080"/>
      <c r="DX482" s="1080"/>
      <c r="DY482" s="1080"/>
      <c r="DZ482" s="1080"/>
      <c r="EA482" s="1080"/>
      <c r="EB482" s="1080"/>
      <c r="EC482" s="1080"/>
      <c r="ED482" s="1080"/>
      <c r="EE482" s="1080"/>
      <c r="EF482" s="1080"/>
      <c r="EG482" s="1080"/>
      <c r="EH482" s="1080"/>
      <c r="EI482" s="1080"/>
      <c r="EJ482" s="1080"/>
      <c r="EK482" s="1080"/>
      <c r="EL482" s="1080"/>
      <c r="EM482" s="1080"/>
      <c r="EN482" s="1080"/>
      <c r="EO482" s="1080"/>
      <c r="EP482" s="1080"/>
      <c r="EQ482" s="1080"/>
      <c r="ER482" s="1080"/>
      <c r="ES482" s="1080"/>
      <c r="ET482" s="1080"/>
      <c r="EU482" s="1080"/>
      <c r="EV482" s="1080"/>
      <c r="EW482" s="1080"/>
      <c r="EX482" s="1080"/>
      <c r="EY482" s="1080"/>
      <c r="EZ482" s="1080"/>
      <c r="FA482" s="1080"/>
      <c r="FB482" s="1080"/>
      <c r="FC482" s="1080"/>
      <c r="FD482" s="1080"/>
      <c r="FE482" s="1080"/>
      <c r="FF482" s="1080"/>
      <c r="FG482" s="1080"/>
      <c r="FH482" s="1080"/>
      <c r="FI482" s="1080"/>
      <c r="FJ482" s="1080"/>
      <c r="FK482" s="1080"/>
      <c r="FL482" s="1080"/>
      <c r="FM482" s="1080"/>
      <c r="FN482" s="1080"/>
      <c r="FO482" s="1080"/>
      <c r="FP482" s="1080"/>
      <c r="FQ482" s="1080"/>
      <c r="FR482" s="1080"/>
      <c r="FS482" s="1080"/>
      <c r="FT482" s="1080"/>
      <c r="FU482" s="1080"/>
      <c r="FV482" s="1080"/>
      <c r="FW482" s="1080"/>
      <c r="FX482" s="1080"/>
      <c r="FY482" s="1080"/>
      <c r="FZ482" s="1080"/>
      <c r="GA482" s="1080"/>
      <c r="GB482" s="1080"/>
      <c r="GC482" s="1080"/>
      <c r="GD482" s="1080"/>
      <c r="GE482" s="1080"/>
      <c r="GF482" s="1080"/>
      <c r="GG482" s="1080"/>
      <c r="GH482" s="1080"/>
      <c r="GI482" s="1080"/>
      <c r="GJ482" s="1080"/>
      <c r="GK482" s="1080"/>
      <c r="GL482" s="1080"/>
      <c r="GM482" s="1080"/>
      <c r="GN482" s="1080"/>
      <c r="GO482" s="1080"/>
      <c r="GP482" s="1080"/>
      <c r="GQ482" s="1080"/>
      <c r="GR482" s="1080"/>
      <c r="GS482" s="1080"/>
      <c r="GT482" s="1080"/>
      <c r="GU482" s="1080"/>
      <c r="GV482" s="1080"/>
      <c r="GW482" s="1080"/>
      <c r="GX482" s="1080"/>
      <c r="GY482" s="1080"/>
      <c r="GZ482" s="1080"/>
      <c r="HA482" s="1080"/>
      <c r="HB482" s="1080"/>
      <c r="HC482" s="1080"/>
      <c r="HD482" s="1080"/>
      <c r="HE482" s="1080"/>
      <c r="HF482" s="1080"/>
      <c r="HG482" s="1080"/>
      <c r="HH482" s="1080"/>
      <c r="HI482" s="1080"/>
      <c r="HJ482" s="1080"/>
      <c r="HK482" s="1080"/>
      <c r="HL482" s="1080"/>
      <c r="HM482" s="1080"/>
      <c r="HN482" s="1080"/>
      <c r="HO482" s="1080"/>
      <c r="HP482" s="1080"/>
      <c r="HQ482" s="1080"/>
      <c r="HR482" s="1080"/>
      <c r="HS482" s="1080"/>
      <c r="HT482" s="1080"/>
      <c r="HU482" s="1080"/>
      <c r="HV482" s="1080"/>
      <c r="HW482" s="1080"/>
      <c r="HX482" s="1080"/>
      <c r="HY482" s="1080"/>
      <c r="HZ482" s="1080"/>
      <c r="IA482" s="1080"/>
      <c r="IB482" s="1080"/>
      <c r="IC482" s="1080"/>
      <c r="ID482" s="1080"/>
      <c r="IE482" s="1080"/>
      <c r="IF482" s="1080"/>
      <c r="IG482" s="1080"/>
      <c r="IH482" s="1080"/>
      <c r="II482" s="1080"/>
      <c r="IJ482" s="1080"/>
      <c r="IK482" s="1080"/>
      <c r="IL482" s="1080"/>
      <c r="IM482" s="1080"/>
      <c r="IN482" s="1080"/>
      <c r="IO482" s="1080"/>
      <c r="IP482" s="1080"/>
      <c r="IQ482" s="1080"/>
      <c r="IR482" s="1080"/>
      <c r="IS482" s="1080"/>
      <c r="IT482" s="1080"/>
      <c r="IU482" s="1080"/>
      <c r="IV482" s="1080"/>
      <c r="IW482" s="1080"/>
      <c r="IX482" s="1080"/>
      <c r="IY482" s="1080"/>
      <c r="IZ482" s="1080"/>
      <c r="JA482" s="1080"/>
      <c r="JB482" s="1080"/>
      <c r="JC482" s="1080"/>
      <c r="JD482" s="1080"/>
      <c r="JE482" s="1080"/>
      <c r="JF482" s="1080"/>
      <c r="JG482" s="1080"/>
      <c r="JH482" s="1080"/>
      <c r="JI482" s="1080"/>
      <c r="JJ482" s="1080"/>
      <c r="JK482" s="1080"/>
      <c r="JL482" s="1080"/>
      <c r="JM482" s="1080"/>
      <c r="JN482" s="1080"/>
      <c r="JO482" s="1080"/>
      <c r="JP482" s="1080"/>
      <c r="JQ482" s="1080"/>
      <c r="JR482" s="1080"/>
      <c r="JS482" s="1080"/>
      <c r="JT482" s="1080"/>
      <c r="JU482" s="1080"/>
      <c r="JV482" s="1080"/>
      <c r="JW482" s="1080"/>
      <c r="JX482" s="1080"/>
      <c r="JY482" s="1080"/>
      <c r="JZ482" s="1080"/>
      <c r="KA482" s="1080"/>
      <c r="KB482" s="1080"/>
      <c r="KC482" s="1080"/>
      <c r="KD482" s="1080"/>
      <c r="KE482" s="1080"/>
      <c r="KF482" s="1080"/>
      <c r="KG482" s="1080"/>
      <c r="KH482" s="1080"/>
      <c r="KI482" s="1080"/>
      <c r="KJ482" s="1080"/>
      <c r="KK482" s="1080"/>
      <c r="KL482" s="1080"/>
      <c r="KM482" s="1080"/>
      <c r="KN482" s="1080"/>
      <c r="KO482" s="1080"/>
      <c r="KP482" s="1080"/>
      <c r="KQ482" s="1080"/>
      <c r="KR482" s="1080"/>
      <c r="KS482" s="1080"/>
      <c r="KT482" s="1080"/>
      <c r="KU482" s="1080"/>
      <c r="KV482" s="1080"/>
      <c r="KW482" s="1080"/>
      <c r="KX482" s="1080"/>
      <c r="KY482" s="1080"/>
      <c r="KZ482" s="1080"/>
      <c r="LA482" s="1080"/>
      <c r="LB482" s="1080"/>
      <c r="LC482" s="1080"/>
      <c r="LD482" s="1080"/>
      <c r="LE482" s="1080"/>
      <c r="LF482" s="1080"/>
      <c r="LG482" s="1080"/>
      <c r="LH482" s="1080"/>
      <c r="LI482" s="1080"/>
      <c r="LJ482" s="1080"/>
      <c r="LK482" s="1080"/>
      <c r="LL482" s="1080"/>
      <c r="LM482" s="1080"/>
      <c r="LN482" s="1080"/>
      <c r="LO482" s="1080"/>
      <c r="LP482" s="1080"/>
      <c r="LQ482" s="1080"/>
      <c r="LR482" s="1080"/>
      <c r="LS482" s="1080"/>
      <c r="LT482" s="1080"/>
      <c r="LU482" s="1080"/>
      <c r="LV482" s="1080"/>
      <c r="LW482" s="1080"/>
      <c r="LX482" s="1080"/>
      <c r="LY482" s="1080"/>
      <c r="LZ482" s="1080"/>
      <c r="MA482" s="1080"/>
      <c r="MB482" s="1080"/>
      <c r="MC482" s="1080"/>
      <c r="MD482" s="1080"/>
      <c r="ME482" s="1080"/>
      <c r="MF482" s="1080"/>
      <c r="MG482" s="1080"/>
      <c r="MH482" s="1080"/>
      <c r="MI482" s="1080"/>
      <c r="MJ482" s="1080"/>
      <c r="MK482" s="1080"/>
      <c r="ML482" s="1080"/>
      <c r="MM482" s="1080"/>
      <c r="MN482" s="1080"/>
      <c r="MO482" s="1080"/>
      <c r="MP482" s="1080"/>
      <c r="MQ482" s="1080"/>
      <c r="MR482" s="1080"/>
      <c r="MS482" s="1080"/>
      <c r="MT482" s="1080"/>
      <c r="MU482" s="1080"/>
      <c r="MV482" s="1080"/>
      <c r="MW482" s="1080"/>
      <c r="MX482" s="1080"/>
      <c r="MY482" s="1080"/>
      <c r="MZ482" s="1080"/>
      <c r="NA482" s="1080"/>
      <c r="NB482" s="1080"/>
      <c r="NC482" s="1080"/>
      <c r="ND482" s="1080"/>
      <c r="NE482" s="1080"/>
      <c r="NF482" s="1080"/>
      <c r="NG482" s="1080"/>
      <c r="NH482" s="1080"/>
      <c r="NI482" s="1080"/>
      <c r="NJ482" s="1080"/>
      <c r="NK482" s="1080"/>
      <c r="NL482" s="1080"/>
      <c r="NM482" s="1080"/>
      <c r="NN482" s="1080"/>
      <c r="NO482" s="1080"/>
      <c r="NP482" s="1080"/>
      <c r="NQ482" s="1080"/>
      <c r="NR482" s="1080"/>
      <c r="NS482" s="1080"/>
      <c r="NT482" s="1080"/>
      <c r="NU482" s="1080"/>
      <c r="NV482" s="1080"/>
      <c r="NW482" s="1080"/>
      <c r="NX482" s="1080"/>
      <c r="NY482" s="1080"/>
      <c r="NZ482" s="1080"/>
      <c r="OA482" s="1080"/>
      <c r="OB482" s="1080"/>
      <c r="OC482" s="1080"/>
      <c r="OD482" s="1080"/>
      <c r="OE482" s="1080"/>
      <c r="OF482" s="1080"/>
      <c r="OG482" s="1080"/>
      <c r="OH482" s="1080"/>
      <c r="OI482" s="1080"/>
      <c r="OJ482" s="1080"/>
      <c r="OK482" s="1080"/>
      <c r="OL482" s="1080"/>
      <c r="OM482" s="1080"/>
      <c r="ON482" s="1080"/>
      <c r="OO482" s="1080"/>
      <c r="OP482" s="1080"/>
      <c r="OQ482" s="1080"/>
      <c r="OR482" s="1080"/>
      <c r="OS482" s="1080"/>
      <c r="OT482" s="1080"/>
      <c r="OU482" s="1080"/>
      <c r="OV482" s="1080"/>
      <c r="OW482" s="1080"/>
      <c r="OX482" s="1080"/>
      <c r="OY482" s="1080"/>
      <c r="OZ482" s="1080"/>
      <c r="PA482" s="1080"/>
      <c r="PB482" s="1080"/>
      <c r="PC482" s="1080"/>
      <c r="PD482" s="1080"/>
      <c r="PE482" s="1080"/>
      <c r="PF482" s="1080"/>
      <c r="PG482" s="1080"/>
      <c r="PH482" s="1080"/>
      <c r="PI482" s="1080"/>
      <c r="PJ482" s="1080"/>
      <c r="PK482" s="1080"/>
      <c r="PL482" s="1080"/>
      <c r="PM482" s="1080"/>
      <c r="PN482" s="1080"/>
      <c r="PO482" s="1080"/>
      <c r="PP482" s="1080"/>
      <c r="PQ482" s="1080"/>
      <c r="PR482" s="1080"/>
      <c r="PS482" s="1080"/>
      <c r="PT482" s="1080"/>
      <c r="PU482" s="1080"/>
      <c r="PV482" s="1080"/>
      <c r="PW482" s="1080"/>
      <c r="PX482" s="1080"/>
      <c r="PY482" s="1080"/>
      <c r="PZ482" s="1080"/>
      <c r="QA482" s="1080"/>
      <c r="QB482" s="1080"/>
      <c r="QC482" s="1080"/>
      <c r="QD482" s="1080"/>
      <c r="QE482" s="1080"/>
      <c r="QF482" s="1080"/>
      <c r="QG482" s="1080"/>
      <c r="QH482" s="1080"/>
      <c r="QI482" s="1080"/>
      <c r="QJ482" s="1080"/>
      <c r="QK482" s="1080"/>
      <c r="QL482" s="1080"/>
      <c r="QM482" s="1080"/>
      <c r="QN482" s="1080"/>
      <c r="QO482" s="1080"/>
      <c r="QP482" s="1080"/>
      <c r="QQ482" s="1080"/>
      <c r="QR482" s="1080"/>
      <c r="QS482" s="1080"/>
      <c r="QT482" s="1080"/>
      <c r="QU482" s="1080"/>
      <c r="QV482" s="1080"/>
      <c r="QW482" s="1080"/>
      <c r="QX482" s="1080"/>
      <c r="QY482" s="1080"/>
      <c r="QZ482" s="1080"/>
      <c r="RA482" s="1080"/>
      <c r="RB482" s="1080"/>
      <c r="RC482" s="1080"/>
      <c r="RD482" s="1080"/>
      <c r="RE482" s="1080"/>
      <c r="RF482" s="1080"/>
      <c r="RG482" s="1080"/>
      <c r="RH482" s="1080"/>
      <c r="RI482" s="1080"/>
      <c r="RJ482" s="1080"/>
      <c r="RK482" s="1080"/>
      <c r="RL482" s="1080"/>
      <c r="RM482" s="1080"/>
      <c r="RN482" s="1080"/>
      <c r="RO482" s="1080"/>
      <c r="RP482" s="1080"/>
      <c r="RQ482" s="1080"/>
      <c r="RR482" s="1080"/>
      <c r="RS482" s="1080"/>
      <c r="RT482" s="1080"/>
      <c r="RU482" s="1080"/>
      <c r="RV482" s="1080"/>
      <c r="RW482" s="1080"/>
      <c r="RX482" s="1080"/>
      <c r="RY482" s="1080"/>
      <c r="RZ482" s="1080"/>
      <c r="SA482" s="1080"/>
      <c r="SB482" s="1080"/>
      <c r="SC482" s="1080"/>
      <c r="SD482" s="1080"/>
      <c r="SE482" s="1080"/>
      <c r="SF482" s="1080"/>
      <c r="SG482" s="1080"/>
      <c r="SH482" s="1080"/>
      <c r="SI482" s="1080"/>
      <c r="SJ482" s="1080"/>
      <c r="SK482" s="1080"/>
      <c r="SL482" s="1080"/>
      <c r="SM482" s="1080"/>
      <c r="SN482" s="1080"/>
      <c r="SO482" s="1080"/>
      <c r="SP482" s="1080"/>
      <c r="SQ482" s="1080"/>
      <c r="SR482" s="1080"/>
      <c r="SS482" s="1080"/>
      <c r="ST482" s="1080"/>
      <c r="SU482" s="1080"/>
      <c r="SV482" s="1080"/>
      <c r="SW482" s="1080"/>
      <c r="SX482" s="1080"/>
      <c r="SY482" s="1080"/>
      <c r="SZ482" s="1080"/>
      <c r="TA482" s="1080"/>
      <c r="TB482" s="1080"/>
      <c r="TC482" s="1080"/>
      <c r="TD482" s="1080"/>
      <c r="TE482" s="1080"/>
      <c r="TF482" s="1080"/>
      <c r="TG482" s="1080"/>
      <c r="TH482" s="1080"/>
      <c r="TI482" s="1080"/>
      <c r="TJ482" s="1080"/>
      <c r="TK482" s="1080"/>
      <c r="TL482" s="1080"/>
      <c r="TM482" s="1080"/>
      <c r="TN482" s="1080"/>
      <c r="TO482" s="1080"/>
      <c r="TP482" s="1080"/>
      <c r="TQ482" s="1080"/>
      <c r="TR482" s="1080"/>
      <c r="TS482" s="1080"/>
      <c r="TT482" s="1080"/>
      <c r="TU482" s="1080"/>
      <c r="TV482" s="1080"/>
      <c r="TW482" s="1080"/>
      <c r="TX482" s="1080"/>
      <c r="TY482" s="1080"/>
      <c r="TZ482" s="1080"/>
      <c r="UA482" s="1080"/>
      <c r="UB482" s="1080"/>
      <c r="UC482" s="1080"/>
      <c r="UD482" s="1080"/>
      <c r="UE482" s="1080"/>
      <c r="UF482" s="1080"/>
      <c r="UG482" s="1080"/>
      <c r="UH482" s="1080"/>
      <c r="UI482" s="1080"/>
      <c r="UJ482" s="1080"/>
      <c r="UK482" s="1080"/>
      <c r="UL482" s="1080"/>
      <c r="UM482" s="1080"/>
      <c r="UN482" s="1080"/>
      <c r="UO482" s="1080"/>
      <c r="UP482" s="1080"/>
      <c r="UQ482" s="1080"/>
      <c r="UR482" s="1080"/>
      <c r="US482" s="1080"/>
      <c r="UT482" s="1080"/>
      <c r="UU482" s="1080"/>
      <c r="UV482" s="1080"/>
      <c r="UW482" s="1080"/>
      <c r="UX482" s="1080"/>
      <c r="UY482" s="1080"/>
      <c r="UZ482" s="1080"/>
      <c r="VA482" s="1080"/>
      <c r="VB482" s="1080"/>
      <c r="VC482" s="1080"/>
      <c r="VD482" s="1080"/>
      <c r="VE482" s="1080"/>
      <c r="VF482" s="1080"/>
      <c r="VG482" s="1080"/>
      <c r="VH482" s="1080"/>
      <c r="VI482" s="1080"/>
      <c r="VJ482" s="1080"/>
      <c r="VK482" s="1080"/>
      <c r="VL482" s="1080"/>
      <c r="VM482" s="1080"/>
      <c r="VN482" s="1080"/>
      <c r="VO482" s="1080"/>
      <c r="VP482" s="1080"/>
      <c r="VQ482" s="1080"/>
      <c r="VR482" s="1080"/>
      <c r="VS482" s="1080"/>
      <c r="VT482" s="1080"/>
      <c r="VU482" s="1080"/>
      <c r="VV482" s="1080"/>
      <c r="VW482" s="1080"/>
      <c r="VX482" s="1080"/>
      <c r="VY482" s="1080"/>
      <c r="VZ482" s="1080"/>
      <c r="WA482" s="1080"/>
      <c r="WB482" s="1080"/>
      <c r="WC482" s="1080"/>
      <c r="WD482" s="1080"/>
      <c r="WE482" s="1080"/>
      <c r="WF482" s="1080"/>
      <c r="WG482" s="1080"/>
      <c r="WH482" s="1080"/>
      <c r="WI482" s="1080"/>
      <c r="WJ482" s="1080"/>
      <c r="WK482" s="1080"/>
      <c r="WL482" s="1080"/>
      <c r="WM482" s="1080"/>
      <c r="WN482" s="1080"/>
      <c r="WO482" s="1080"/>
      <c r="WP482" s="1080"/>
      <c r="WQ482" s="1080"/>
      <c r="WR482" s="1080"/>
      <c r="WS482" s="1080"/>
      <c r="WT482" s="1080"/>
      <c r="WU482" s="1080"/>
      <c r="WV482" s="1080"/>
      <c r="WW482" s="1080"/>
      <c r="WX482" s="1080"/>
      <c r="WY482" s="1080"/>
      <c r="WZ482" s="1080"/>
      <c r="XA482" s="1080"/>
      <c r="XB482" s="1080"/>
      <c r="XC482" s="1080"/>
      <c r="XD482" s="1080"/>
      <c r="XE482" s="1080"/>
      <c r="XF482" s="1080"/>
      <c r="XG482" s="1080"/>
      <c r="XH482" s="1080"/>
      <c r="XI482" s="1080"/>
      <c r="XJ482" s="1080"/>
      <c r="XK482" s="1080"/>
      <c r="XL482" s="1080"/>
      <c r="XM482" s="1080"/>
      <c r="XN482" s="1080"/>
      <c r="XO482" s="1080"/>
      <c r="XP482" s="1080"/>
      <c r="XQ482" s="1080"/>
      <c r="XR482" s="1080"/>
      <c r="XS482" s="1080"/>
      <c r="XT482" s="1080"/>
      <c r="XU482" s="1080"/>
      <c r="XV482" s="1080"/>
      <c r="XW482" s="1080"/>
      <c r="XX482" s="1080"/>
      <c r="XY482" s="1080"/>
      <c r="XZ482" s="1080"/>
      <c r="YA482" s="1080"/>
      <c r="YB482" s="1080"/>
      <c r="YC482" s="1080"/>
      <c r="YD482" s="1080"/>
      <c r="YE482" s="1080"/>
      <c r="YF482" s="1080"/>
      <c r="YG482" s="1080"/>
      <c r="YH482" s="1080"/>
      <c r="YI482" s="1080"/>
      <c r="YJ482" s="1080"/>
      <c r="YK482" s="1080"/>
      <c r="YL482" s="1080"/>
      <c r="YM482" s="1080"/>
      <c r="YN482" s="1080"/>
      <c r="YO482" s="1080"/>
      <c r="YP482" s="1080"/>
      <c r="YQ482" s="1080"/>
      <c r="YR482" s="1080"/>
      <c r="YS482" s="1080"/>
      <c r="YT482" s="1080"/>
      <c r="YU482" s="1080"/>
      <c r="YV482" s="1080"/>
      <c r="YW482" s="1080"/>
      <c r="YX482" s="1080"/>
      <c r="YY482" s="1080"/>
      <c r="YZ482" s="1080"/>
      <c r="ZA482" s="1080"/>
      <c r="ZB482" s="1080"/>
      <c r="ZC482" s="1080"/>
      <c r="ZD482" s="1080"/>
      <c r="ZE482" s="1080"/>
      <c r="ZF482" s="1080"/>
      <c r="ZG482" s="1080"/>
      <c r="ZH482" s="1080"/>
      <c r="ZI482" s="1080"/>
      <c r="ZJ482" s="1080"/>
      <c r="ZK482" s="1080"/>
      <c r="ZL482" s="1080"/>
      <c r="ZM482" s="1080"/>
      <c r="ZN482" s="1080"/>
      <c r="ZO482" s="1080"/>
      <c r="ZP482" s="1080"/>
      <c r="ZQ482" s="1080"/>
      <c r="ZR482" s="1080"/>
      <c r="ZS482" s="1080"/>
      <c r="ZT482" s="1080"/>
      <c r="ZU482" s="1080"/>
      <c r="ZV482" s="1080"/>
      <c r="ZW482" s="1080"/>
      <c r="ZX482" s="1080"/>
      <c r="ZY482" s="1080"/>
      <c r="ZZ482" s="1080"/>
      <c r="AAA482" s="1080"/>
      <c r="AAB482" s="1080"/>
      <c r="AAC482" s="1080"/>
      <c r="AAD482" s="1080"/>
      <c r="AAE482" s="1080"/>
      <c r="AAF482" s="1080"/>
      <c r="AAG482" s="1080"/>
      <c r="AAH482" s="1080"/>
      <c r="AAI482" s="1080"/>
      <c r="AAJ482" s="1080"/>
      <c r="AAK482" s="1080"/>
      <c r="AAL482" s="1080"/>
      <c r="AAM482" s="1080"/>
      <c r="AAN482" s="1080"/>
      <c r="AAO482" s="1080"/>
      <c r="AAP482" s="1080"/>
      <c r="AAQ482" s="1080"/>
      <c r="AAR482" s="1080"/>
      <c r="AAS482" s="1080"/>
      <c r="AAT482" s="1080"/>
      <c r="AAU482" s="1080"/>
      <c r="AAV482" s="1080"/>
      <c r="AAW482" s="1080"/>
      <c r="AAX482" s="1080"/>
      <c r="AAY482" s="1080"/>
      <c r="AAZ482" s="1080"/>
      <c r="ABA482" s="1080"/>
      <c r="ABB482" s="1080"/>
      <c r="ABC482" s="1080"/>
      <c r="ABD482" s="1080"/>
      <c r="ABE482" s="1080"/>
      <c r="ABF482" s="1080"/>
      <c r="ABG482" s="1080"/>
      <c r="ABH482" s="1080"/>
      <c r="ABI482" s="1080"/>
      <c r="ABJ482" s="1080"/>
      <c r="ABK482" s="1080"/>
      <c r="ABL482" s="1080"/>
      <c r="ABM482" s="1080"/>
      <c r="ABN482" s="1080"/>
      <c r="ABO482" s="1080"/>
      <c r="ABP482" s="1080"/>
      <c r="ABQ482" s="1080"/>
      <c r="ABR482" s="1080"/>
      <c r="ABS482" s="1080"/>
      <c r="ABT482" s="1080"/>
      <c r="ABU482" s="1080"/>
      <c r="ABV482" s="1080"/>
      <c r="ABW482" s="1080"/>
      <c r="ABX482" s="1080"/>
      <c r="ABY482" s="1080"/>
      <c r="ABZ482" s="1080"/>
      <c r="ACA482" s="1080"/>
      <c r="ACB482" s="1080"/>
      <c r="ACC482" s="1080"/>
      <c r="ACD482" s="1080"/>
      <c r="ACE482" s="1080"/>
      <c r="ACF482" s="1080"/>
      <c r="ACG482" s="1080"/>
      <c r="ACH482" s="1080"/>
      <c r="ACI482" s="1080"/>
      <c r="ACJ482" s="1080"/>
      <c r="ACK482" s="1080"/>
      <c r="ACL482" s="1080"/>
      <c r="ACM482" s="1080"/>
      <c r="ACN482" s="1080"/>
      <c r="ACO482" s="1080"/>
      <c r="ACP482" s="1080"/>
      <c r="ACQ482" s="1080"/>
      <c r="ACR482" s="1080"/>
      <c r="ACS482" s="1080"/>
      <c r="ACT482" s="1080"/>
      <c r="ACU482" s="1080"/>
      <c r="ACV482" s="1080"/>
      <c r="ACW482" s="1080"/>
      <c r="ACX482" s="1080"/>
      <c r="ACY482" s="1080"/>
      <c r="ACZ482" s="1080"/>
      <c r="ADA482" s="1080"/>
      <c r="ADB482" s="1080"/>
      <c r="ADC482" s="1080"/>
      <c r="ADD482" s="1080"/>
      <c r="ADE482" s="1080"/>
      <c r="ADF482" s="1080"/>
      <c r="ADG482" s="1080"/>
      <c r="ADH482" s="1080"/>
      <c r="ADI482" s="1080"/>
      <c r="ADJ482" s="1080"/>
      <c r="ADK482" s="1080"/>
      <c r="ADL482" s="1080"/>
      <c r="ADM482" s="1080"/>
      <c r="ADN482" s="1080"/>
      <c r="ADO482" s="1080"/>
      <c r="ADP482" s="1080"/>
      <c r="ADQ482" s="1080"/>
      <c r="ADR482" s="1080"/>
      <c r="ADS482" s="1080"/>
      <c r="ADT482" s="1080"/>
      <c r="ADU482" s="1080"/>
      <c r="ADV482" s="1080"/>
      <c r="ADW482" s="1080"/>
      <c r="ADX482" s="1080"/>
      <c r="ADY482" s="1080"/>
      <c r="ADZ482" s="1080"/>
      <c r="AEA482" s="1080"/>
      <c r="AEB482" s="1080"/>
      <c r="AEC482" s="1080"/>
      <c r="AED482" s="1080"/>
      <c r="AEE482" s="1080"/>
      <c r="AEF482" s="1080"/>
      <c r="AEG482" s="1080"/>
      <c r="AEH482" s="1080"/>
      <c r="AEI482" s="1080"/>
      <c r="AEJ482" s="1080"/>
      <c r="AEK482" s="1080"/>
      <c r="AEL482" s="1080"/>
      <c r="AEM482" s="1080"/>
      <c r="AEN482" s="1080"/>
      <c r="AEO482" s="1080"/>
      <c r="AEP482" s="1080"/>
      <c r="AEQ482" s="1080"/>
      <c r="AER482" s="1080"/>
      <c r="AES482" s="1080"/>
      <c r="AET482" s="1080"/>
      <c r="AEU482" s="1080"/>
      <c r="AEV482" s="1080"/>
      <c r="AEW482" s="1080"/>
      <c r="AEX482" s="1080"/>
      <c r="AEY482" s="1080"/>
      <c r="AEZ482" s="1080"/>
      <c r="AFA482" s="1080"/>
      <c r="AFB482" s="1080"/>
      <c r="AFC482" s="1080"/>
      <c r="AFD482" s="1080"/>
      <c r="AFE482" s="1080"/>
      <c r="AFF482" s="1080"/>
      <c r="AFG482" s="1080"/>
      <c r="AFH482" s="1080"/>
      <c r="AFI482" s="1080"/>
      <c r="AFJ482" s="1080"/>
      <c r="AFK482" s="1080"/>
      <c r="AFL482" s="1080"/>
      <c r="AFM482" s="1080"/>
      <c r="AFN482" s="1080"/>
      <c r="AFO482" s="1080"/>
      <c r="AFP482" s="1080"/>
      <c r="AFQ482" s="1080"/>
      <c r="AFR482" s="1080"/>
      <c r="AFS482" s="1080"/>
      <c r="AFT482" s="1080"/>
      <c r="AFU482" s="1080"/>
      <c r="AFV482" s="1080"/>
      <c r="AFW482" s="1080"/>
      <c r="AFX482" s="1080"/>
      <c r="AFY482" s="1080"/>
      <c r="AFZ482" s="1080"/>
      <c r="AGA482" s="1080"/>
      <c r="AGB482" s="1080"/>
      <c r="AGC482" s="1080"/>
      <c r="AGD482" s="1080"/>
      <c r="AGE482" s="1080"/>
      <c r="AGF482" s="1080"/>
      <c r="AGG482" s="1080"/>
      <c r="AGH482" s="1080"/>
      <c r="AGI482" s="1080"/>
      <c r="AGJ482" s="1080"/>
      <c r="AGK482" s="1080"/>
      <c r="AGL482" s="1080"/>
      <c r="AGM482" s="1080"/>
      <c r="AGN482" s="1080"/>
      <c r="AGO482" s="1080"/>
      <c r="AGP482" s="1080"/>
      <c r="AGQ482" s="1080"/>
      <c r="AGR482" s="1080"/>
      <c r="AGS482" s="1080"/>
      <c r="AGT482" s="1080"/>
      <c r="AGU482" s="1080"/>
      <c r="AGV482" s="1080"/>
      <c r="AGW482" s="1080"/>
      <c r="AGX482" s="1080"/>
      <c r="AGY482" s="1080"/>
      <c r="AGZ482" s="1080"/>
      <c r="AHA482" s="1080"/>
      <c r="AHB482" s="1080"/>
      <c r="AHC482" s="1080"/>
      <c r="AHD482" s="1080"/>
      <c r="AHE482" s="1080"/>
      <c r="AHF482" s="1080"/>
      <c r="AHG482" s="1080"/>
      <c r="AHH482" s="1080"/>
      <c r="AHI482" s="1080"/>
      <c r="AHJ482" s="1080"/>
      <c r="AHK482" s="1080"/>
      <c r="AHL482" s="1080"/>
      <c r="AHM482" s="1080"/>
      <c r="AHN482" s="1080"/>
      <c r="AHO482" s="1080"/>
      <c r="AHP482" s="1080"/>
      <c r="AHQ482" s="1080"/>
      <c r="AHR482" s="1080"/>
      <c r="AHS482" s="1080"/>
      <c r="AHT482" s="1080"/>
      <c r="AHU482" s="1080"/>
      <c r="AHV482" s="1080"/>
      <c r="AHW482" s="1080"/>
      <c r="AHX482" s="1080"/>
      <c r="AHY482" s="1080"/>
      <c r="AHZ482" s="1080"/>
      <c r="AIA482" s="1080"/>
      <c r="AIB482" s="1080"/>
      <c r="AIC482" s="1080"/>
      <c r="AID482" s="1080"/>
      <c r="AIE482" s="1080"/>
      <c r="AIF482" s="1080"/>
      <c r="AIG482" s="1080"/>
      <c r="AIH482" s="1080"/>
      <c r="AII482" s="1080"/>
      <c r="AIJ482" s="1080"/>
      <c r="AIK482" s="1080"/>
      <c r="AIL482" s="1080"/>
      <c r="AIM482" s="1080"/>
      <c r="AIN482" s="1080"/>
      <c r="AIO482" s="1080"/>
      <c r="AIP482" s="1080"/>
      <c r="AIQ482" s="1080"/>
      <c r="AIR482" s="1080"/>
      <c r="AIS482" s="1080"/>
      <c r="AIT482" s="1080"/>
      <c r="AIU482" s="1080"/>
      <c r="AIV482" s="1080"/>
      <c r="AIW482" s="1080"/>
      <c r="AIX482" s="1080"/>
      <c r="AIY482" s="1080"/>
      <c r="AIZ482" s="1080"/>
      <c r="AJA482" s="1080"/>
      <c r="AJB482" s="1080"/>
      <c r="AJC482" s="1080"/>
      <c r="AJD482" s="1080"/>
      <c r="AJE482" s="1080"/>
      <c r="AJF482" s="1080"/>
      <c r="AJG482" s="1080"/>
      <c r="AJH482" s="1080"/>
      <c r="AJI482" s="1080"/>
      <c r="AJJ482" s="1080"/>
      <c r="AJK482" s="1080"/>
      <c r="AJL482" s="1080"/>
      <c r="AJM482" s="1080"/>
      <c r="AJN482" s="1080"/>
      <c r="AJO482" s="1080"/>
      <c r="AJP482" s="1080"/>
      <c r="AJQ482" s="1080"/>
      <c r="AJR482" s="1080"/>
      <c r="AJS482" s="1080"/>
      <c r="AJT482" s="1080"/>
      <c r="AJU482" s="1080"/>
      <c r="AJV482" s="1080"/>
      <c r="AJW482" s="1080"/>
      <c r="AJX482" s="1080"/>
      <c r="AJY482" s="1080"/>
      <c r="AJZ482" s="1080"/>
      <c r="AKA482" s="1080"/>
      <c r="AKB482" s="1080"/>
      <c r="AKC482" s="1080"/>
      <c r="AKD482" s="1080"/>
      <c r="AKE482" s="1080"/>
      <c r="AKF482" s="1080"/>
      <c r="AKG482" s="1080"/>
      <c r="AKH482" s="1080"/>
      <c r="AKI482" s="1080"/>
      <c r="AKJ482" s="1080"/>
      <c r="AKK482" s="1080"/>
      <c r="AKL482" s="1080"/>
      <c r="AKM482" s="1080"/>
      <c r="AKN482" s="1080"/>
      <c r="AKO482" s="1080"/>
      <c r="AKP482" s="1080"/>
      <c r="AKQ482" s="1080"/>
      <c r="AKR482" s="1080"/>
      <c r="AKS482" s="1080"/>
      <c r="AKT482" s="1080"/>
      <c r="AKU482" s="1080"/>
      <c r="AKV482" s="1080"/>
      <c r="AKW482" s="1080"/>
      <c r="AKX482" s="1080"/>
      <c r="AKY482" s="1080"/>
      <c r="AKZ482" s="1080"/>
      <c r="ALA482" s="1080"/>
      <c r="ALB482" s="1080"/>
      <c r="ALC482" s="1080"/>
      <c r="ALD482" s="1080"/>
      <c r="ALE482" s="1080"/>
      <c r="ALF482" s="1080"/>
      <c r="ALG482" s="1080"/>
      <c r="ALH482" s="1080"/>
      <c r="ALI482" s="1080"/>
      <c r="ALJ482" s="1080"/>
      <c r="ALK482" s="1080"/>
      <c r="ALL482" s="1080"/>
      <c r="ALM482" s="1080"/>
      <c r="ALN482" s="1080"/>
      <c r="ALO482" s="1080"/>
      <c r="ALP482" s="1080"/>
      <c r="ALQ482" s="1080"/>
      <c r="ALR482" s="1080"/>
      <c r="ALS482" s="1080"/>
      <c r="ALT482" s="1080"/>
      <c r="ALU482" s="1080"/>
      <c r="ALV482" s="1080"/>
      <c r="ALW482" s="1080"/>
      <c r="ALX482" s="1080"/>
      <c r="ALY482" s="1080"/>
      <c r="ALZ482" s="1080"/>
      <c r="AMA482" s="1080"/>
      <c r="AMB482" s="1080"/>
      <c r="AMC482" s="1080"/>
      <c r="AMD482" s="1080"/>
      <c r="AME482" s="1080"/>
      <c r="AMF482" s="1080"/>
      <c r="AMG482" s="1080"/>
      <c r="AMH482" s="1080"/>
      <c r="AMI482" s="1080"/>
      <c r="AMJ482" s="1080"/>
      <c r="AMK482" s="1080"/>
      <c r="AML482" s="1080"/>
      <c r="AMM482" s="1080"/>
      <c r="AMN482" s="1080"/>
      <c r="AMO482" s="1080"/>
      <c r="AMP482" s="1080"/>
      <c r="AMQ482" s="1080"/>
      <c r="AMR482" s="1080"/>
      <c r="AMS482" s="1080"/>
      <c r="AMT482" s="1080"/>
      <c r="AMU482" s="1080"/>
      <c r="AMV482" s="1080"/>
      <c r="AMW482" s="1080"/>
      <c r="AMX482" s="1080"/>
      <c r="AMY482" s="1080"/>
      <c r="AMZ482" s="1080"/>
      <c r="ANA482" s="1080"/>
      <c r="ANB482" s="1080"/>
      <c r="ANC482" s="1080"/>
      <c r="AND482" s="1080"/>
      <c r="ANE482" s="1080"/>
      <c r="ANF482" s="1080"/>
      <c r="ANG482" s="1080"/>
      <c r="ANH482" s="1080"/>
      <c r="ANI482" s="1080"/>
      <c r="ANJ482" s="1080"/>
      <c r="ANK482" s="1080"/>
      <c r="ANL482" s="1080"/>
      <c r="ANM482" s="1080"/>
      <c r="ANN482" s="1080"/>
      <c r="ANO482" s="1080"/>
      <c r="ANP482" s="1080"/>
      <c r="ANQ482" s="1080"/>
      <c r="ANR482" s="1080"/>
      <c r="ANS482" s="1080"/>
      <c r="ANT482" s="1080"/>
      <c r="ANU482" s="1080"/>
      <c r="ANV482" s="1080"/>
      <c r="ANW482" s="1080"/>
      <c r="ANX482" s="1080"/>
      <c r="ANY482" s="1080"/>
      <c r="ANZ482" s="1080"/>
      <c r="AOA482" s="1080"/>
      <c r="AOB482" s="1080"/>
      <c r="AOC482" s="1080"/>
      <c r="AOD482" s="1080"/>
      <c r="AOE482" s="1080"/>
      <c r="AOF482" s="1080"/>
      <c r="AOG482" s="1080"/>
      <c r="AOH482" s="1080"/>
      <c r="AOI482" s="1080"/>
      <c r="AOJ482" s="1080"/>
      <c r="AOK482" s="1080"/>
      <c r="AOL482" s="1080"/>
      <c r="AOM482" s="1080"/>
      <c r="AON482" s="1080"/>
      <c r="AOO482" s="1080"/>
      <c r="AOP482" s="1080"/>
      <c r="AOQ482" s="1080"/>
      <c r="AOR482" s="1080"/>
      <c r="AOS482" s="1080"/>
      <c r="AOT482" s="1080"/>
      <c r="AOU482" s="1080"/>
      <c r="AOV482" s="1080"/>
      <c r="AOW482" s="1080"/>
      <c r="AOX482" s="1080"/>
      <c r="AOY482" s="1080"/>
      <c r="AOZ482" s="1080"/>
      <c r="APA482" s="1080"/>
      <c r="APB482" s="1080"/>
      <c r="APC482" s="1080"/>
      <c r="APD482" s="1080"/>
      <c r="APE482" s="1080"/>
      <c r="APF482" s="1080"/>
      <c r="APG482" s="1080"/>
      <c r="APH482" s="1080"/>
      <c r="API482" s="1080"/>
      <c r="APJ482" s="1080"/>
      <c r="APK482" s="1080"/>
      <c r="APL482" s="1080"/>
      <c r="APM482" s="1080"/>
      <c r="APN482" s="1080"/>
      <c r="APO482" s="1080"/>
      <c r="APP482" s="1080"/>
      <c r="APQ482" s="1080"/>
      <c r="APR482" s="1080"/>
      <c r="APS482" s="1080"/>
      <c r="APT482" s="1080"/>
      <c r="APU482" s="1080"/>
      <c r="APV482" s="1080"/>
      <c r="APW482" s="1080"/>
      <c r="APX482" s="1080"/>
      <c r="APY482" s="1080"/>
      <c r="APZ482" s="1080"/>
      <c r="AQA482" s="1080"/>
      <c r="AQB482" s="1080"/>
      <c r="AQC482" s="1080"/>
      <c r="AQD482" s="1080"/>
      <c r="AQE482" s="1080"/>
      <c r="AQF482" s="1080"/>
      <c r="AQG482" s="1080"/>
      <c r="AQH482" s="1080"/>
      <c r="AQI482" s="1080"/>
      <c r="AQJ482" s="1080"/>
      <c r="AQK482" s="1080"/>
      <c r="AQL482" s="1080"/>
      <c r="AQM482" s="1080"/>
      <c r="AQN482" s="1080"/>
      <c r="AQO482" s="1080"/>
      <c r="AQP482" s="1080"/>
      <c r="AQQ482" s="1080"/>
      <c r="AQR482" s="1080"/>
      <c r="AQS482" s="1080"/>
      <c r="AQT482" s="1080"/>
      <c r="AQU482" s="1080"/>
      <c r="AQV482" s="1080"/>
      <c r="AQW482" s="1080"/>
      <c r="AQX482" s="1080"/>
      <c r="AQY482" s="1080"/>
      <c r="AQZ482" s="1080"/>
      <c r="ARA482" s="1080"/>
      <c r="ARB482" s="1080"/>
      <c r="ARC482" s="1080"/>
      <c r="ARD482" s="1080"/>
      <c r="ARE482" s="1080"/>
      <c r="ARF482" s="1080"/>
      <c r="ARG482" s="1080"/>
      <c r="ARH482" s="1080"/>
      <c r="ARI482" s="1080"/>
      <c r="ARJ482" s="1080"/>
      <c r="ARK482" s="1080"/>
      <c r="ARL482" s="1080"/>
      <c r="ARM482" s="1080"/>
      <c r="ARN482" s="1080"/>
      <c r="ARO482" s="1080"/>
      <c r="ARP482" s="1080"/>
      <c r="ARQ482" s="1080"/>
      <c r="ARR482" s="1080"/>
      <c r="ARS482" s="1080"/>
      <c r="ART482" s="1080"/>
      <c r="ARU482" s="1080"/>
      <c r="ARV482" s="1080"/>
      <c r="ARW482" s="1080"/>
      <c r="ARX482" s="1080"/>
      <c r="ARY482" s="1080"/>
      <c r="ARZ482" s="1080"/>
      <c r="ASA482" s="1080"/>
      <c r="ASB482" s="1080"/>
      <c r="ASC482" s="1080"/>
      <c r="ASD482" s="1080"/>
      <c r="ASE482" s="1080"/>
      <c r="ASF482" s="1080"/>
      <c r="ASG482" s="1080"/>
      <c r="ASH482" s="1080"/>
      <c r="ASI482" s="1080"/>
      <c r="ASJ482" s="1080"/>
      <c r="ASK482" s="1080"/>
      <c r="ASL482" s="1080"/>
      <c r="ASM482" s="1080"/>
      <c r="ASN482" s="1080"/>
      <c r="ASO482" s="1080"/>
      <c r="ASP482" s="1080"/>
      <c r="ASQ482" s="1080"/>
      <c r="ASR482" s="1080"/>
      <c r="ASS482" s="1080"/>
      <c r="AST482" s="1080"/>
      <c r="ASU482" s="1080"/>
      <c r="ASV482" s="1080"/>
      <c r="ASW482" s="1080"/>
      <c r="ASX482" s="1080"/>
      <c r="ASY482" s="1080"/>
      <c r="ASZ482" s="1080"/>
      <c r="ATA482" s="1080"/>
      <c r="ATB482" s="1080"/>
      <c r="ATC482" s="1080"/>
      <c r="ATD482" s="1080"/>
      <c r="ATE482" s="1080"/>
      <c r="ATF482" s="1080"/>
      <c r="ATG482" s="1080"/>
      <c r="ATH482" s="1080"/>
      <c r="ATI482" s="1080"/>
      <c r="ATJ482" s="1080"/>
      <c r="ATK482" s="1080"/>
      <c r="ATL482" s="1080"/>
      <c r="ATM482" s="1080"/>
      <c r="ATN482" s="1080"/>
      <c r="ATO482" s="1080"/>
      <c r="ATP482" s="1080"/>
      <c r="ATQ482" s="1080"/>
      <c r="ATR482" s="1080"/>
      <c r="ATS482" s="1080"/>
      <c r="ATT482" s="1080"/>
      <c r="ATU482" s="1080"/>
      <c r="ATV482" s="1080"/>
      <c r="ATW482" s="1080"/>
      <c r="ATX482" s="1080"/>
      <c r="ATY482" s="1080"/>
      <c r="ATZ482" s="1080"/>
      <c r="AUA482" s="1080"/>
      <c r="AUB482" s="1080"/>
      <c r="AUC482" s="1080"/>
      <c r="AUD482" s="1080"/>
      <c r="AUE482" s="1080"/>
      <c r="AUF482" s="1080"/>
      <c r="AUG482" s="1080"/>
      <c r="AUH482" s="1080"/>
      <c r="AUI482" s="1080"/>
      <c r="AUJ482" s="1080"/>
      <c r="AUK482" s="1080"/>
      <c r="AUL482" s="1080"/>
      <c r="AUM482" s="1080"/>
      <c r="AUN482" s="1080"/>
      <c r="AUO482" s="1080"/>
      <c r="AUP482" s="1080"/>
      <c r="AUQ482" s="1080"/>
      <c r="AUR482" s="1080"/>
      <c r="AUS482" s="1080"/>
      <c r="AUT482" s="1080"/>
      <c r="AUU482" s="1080"/>
      <c r="AUV482" s="1080"/>
      <c r="AUW482" s="1080"/>
      <c r="AUX482" s="1080"/>
      <c r="AUY482" s="1080"/>
      <c r="AUZ482" s="1080"/>
      <c r="AVA482" s="1080"/>
      <c r="AVB482" s="1080"/>
      <c r="AVC482" s="1080"/>
      <c r="AVD482" s="1080"/>
      <c r="AVE482" s="1080"/>
      <c r="AVF482" s="1080"/>
      <c r="AVG482" s="1080"/>
      <c r="AVH482" s="1080"/>
      <c r="AVI482" s="1080"/>
      <c r="AVJ482" s="1080"/>
      <c r="AVK482" s="1080"/>
      <c r="AVL482" s="1080"/>
      <c r="AVM482" s="1080"/>
      <c r="AVN482" s="1080"/>
      <c r="AVO482" s="1080"/>
      <c r="AVP482" s="1080"/>
      <c r="AVQ482" s="1080"/>
      <c r="AVR482" s="1080"/>
      <c r="AVS482" s="1080"/>
      <c r="AVT482" s="1080"/>
      <c r="AVU482" s="1080"/>
      <c r="AVV482" s="1080"/>
      <c r="AVW482" s="1080"/>
      <c r="AVX482" s="1080"/>
      <c r="AVY482" s="1080"/>
      <c r="AVZ482" s="1080"/>
      <c r="AWA482" s="1080"/>
      <c r="AWB482" s="1080"/>
      <c r="AWC482" s="1080"/>
      <c r="AWD482" s="1080"/>
      <c r="AWE482" s="1080"/>
      <c r="AWF482" s="1080"/>
      <c r="AWG482" s="1080"/>
      <c r="AWH482" s="1080"/>
      <c r="AWI482" s="1080"/>
      <c r="AWJ482" s="1080"/>
      <c r="AWK482" s="1080"/>
      <c r="AWL482" s="1080"/>
      <c r="AWM482" s="1080"/>
      <c r="AWN482" s="1080"/>
      <c r="AWO482" s="1080"/>
      <c r="AWP482" s="1080"/>
      <c r="AWQ482" s="1080"/>
      <c r="AWR482" s="1080"/>
      <c r="AWS482" s="1080"/>
      <c r="AWT482" s="1080"/>
      <c r="AWU482" s="1080"/>
      <c r="AWV482" s="1080"/>
      <c r="AWW482" s="1080"/>
      <c r="AWX482" s="1080"/>
      <c r="AWY482" s="1080"/>
      <c r="AWZ482" s="1080"/>
      <c r="AXA482" s="1080"/>
      <c r="AXB482" s="1080"/>
      <c r="AXC482" s="1080"/>
      <c r="AXD482" s="1080"/>
      <c r="AXE482" s="1080"/>
      <c r="AXF482" s="1080"/>
      <c r="AXG482" s="1080"/>
      <c r="AXH482" s="1080"/>
      <c r="AXI482" s="1080"/>
      <c r="AXJ482" s="1080"/>
      <c r="AXK482" s="1080"/>
      <c r="AXL482" s="1080"/>
      <c r="AXM482" s="1080"/>
      <c r="AXN482" s="1080"/>
      <c r="AXO482" s="1080"/>
      <c r="AXP482" s="1080"/>
      <c r="AXQ482" s="1080"/>
      <c r="AXR482" s="1080"/>
      <c r="AXS482" s="1080"/>
      <c r="AXT482" s="1080"/>
      <c r="AXU482" s="1080"/>
      <c r="AXV482" s="1080"/>
      <c r="AXW482" s="1080"/>
      <c r="AXX482" s="1080"/>
      <c r="AXY482" s="1080"/>
      <c r="AXZ482" s="1080"/>
      <c r="AYA482" s="1080"/>
      <c r="AYB482" s="1080"/>
      <c r="AYC482" s="1080"/>
      <c r="AYD482" s="1080"/>
      <c r="AYE482" s="1080"/>
      <c r="AYF482" s="1080"/>
      <c r="AYG482" s="1080"/>
      <c r="AYH482" s="1080"/>
      <c r="AYI482" s="1080"/>
      <c r="AYJ482" s="1080"/>
      <c r="AYK482" s="1080"/>
      <c r="AYL482" s="1080"/>
      <c r="AYM482" s="1080"/>
      <c r="AYN482" s="1080"/>
      <c r="AYO482" s="1080"/>
      <c r="AYP482" s="1080"/>
      <c r="AYQ482" s="1080"/>
      <c r="AYR482" s="1080"/>
      <c r="AYS482" s="1080"/>
      <c r="AYT482" s="1080"/>
      <c r="AYU482" s="1080"/>
      <c r="AYV482" s="1080"/>
      <c r="AYW482" s="1080"/>
      <c r="AYX482" s="1080"/>
      <c r="AYY482" s="1080"/>
      <c r="AYZ482" s="1080"/>
      <c r="AZA482" s="1080"/>
      <c r="AZB482" s="1080"/>
      <c r="AZC482" s="1080"/>
      <c r="AZD482" s="1080"/>
      <c r="AZE482" s="1080"/>
      <c r="AZF482" s="1080"/>
      <c r="AZG482" s="1080"/>
      <c r="AZH482" s="1080"/>
      <c r="AZI482" s="1080"/>
      <c r="AZJ482" s="1080"/>
      <c r="AZK482" s="1080"/>
      <c r="AZL482" s="1080"/>
      <c r="AZM482" s="1080"/>
      <c r="AZN482" s="1080"/>
      <c r="AZO482" s="1080"/>
      <c r="AZP482" s="1080"/>
      <c r="AZQ482" s="1080"/>
      <c r="AZR482" s="1080"/>
      <c r="AZS482" s="1080"/>
      <c r="AZT482" s="1080"/>
      <c r="AZU482" s="1080"/>
      <c r="AZV482" s="1080"/>
      <c r="AZW482" s="1080"/>
      <c r="AZX482" s="1080"/>
      <c r="AZY482" s="1080"/>
      <c r="AZZ482" s="1080"/>
      <c r="BAA482" s="1080"/>
      <c r="BAB482" s="1080"/>
      <c r="BAC482" s="1080"/>
      <c r="BAD482" s="1080"/>
      <c r="BAE482" s="1080"/>
      <c r="BAF482" s="1080"/>
      <c r="BAG482" s="1080"/>
      <c r="BAH482" s="1080"/>
      <c r="BAI482" s="1080"/>
      <c r="BAJ482" s="1080"/>
      <c r="BAK482" s="1080"/>
      <c r="BAL482" s="1080"/>
      <c r="BAM482" s="1080"/>
      <c r="BAN482" s="1080"/>
      <c r="BAO482" s="1080"/>
      <c r="BAP482" s="1080"/>
      <c r="BAQ482" s="1080"/>
      <c r="BAR482" s="1080"/>
      <c r="BAS482" s="1080"/>
      <c r="BAT482" s="1080"/>
      <c r="BAU482" s="1080"/>
      <c r="BAV482" s="1080"/>
      <c r="BAW482" s="1080"/>
      <c r="BAX482" s="1080"/>
      <c r="BAY482" s="1080"/>
      <c r="BAZ482" s="1080"/>
      <c r="BBA482" s="1080"/>
      <c r="BBB482" s="1080"/>
      <c r="BBC482" s="1080"/>
      <c r="BBD482" s="1080"/>
      <c r="BBE482" s="1080"/>
      <c r="BBF482" s="1080"/>
      <c r="BBG482" s="1080"/>
      <c r="BBH482" s="1080"/>
      <c r="BBI482" s="1080"/>
      <c r="BBJ482" s="1080"/>
      <c r="BBK482" s="1080"/>
      <c r="BBL482" s="1080"/>
      <c r="BBM482" s="1080"/>
      <c r="BBN482" s="1080"/>
      <c r="BBO482" s="1080"/>
      <c r="BBP482" s="1080"/>
      <c r="BBQ482" s="1080"/>
      <c r="BBR482" s="1080"/>
      <c r="BBS482" s="1080"/>
      <c r="BBT482" s="1080"/>
      <c r="BBU482" s="1080"/>
      <c r="BBV482" s="1080"/>
      <c r="BBW482" s="1080"/>
      <c r="BBX482" s="1080"/>
      <c r="BBY482" s="1080"/>
      <c r="BBZ482" s="1080"/>
      <c r="BCA482" s="1080"/>
      <c r="BCB482" s="1080"/>
      <c r="BCC482" s="1080"/>
      <c r="BCD482" s="1080"/>
      <c r="BCE482" s="1080"/>
      <c r="BCF482" s="1080"/>
      <c r="BCG482" s="1080"/>
      <c r="BCH482" s="1080"/>
      <c r="BCI482" s="1080"/>
      <c r="BCJ482" s="1080"/>
      <c r="BCK482" s="1080"/>
      <c r="BCL482" s="1080"/>
      <c r="BCM482" s="1080"/>
      <c r="BCN482" s="1080"/>
      <c r="BCO482" s="1080"/>
      <c r="BCP482" s="1080"/>
      <c r="BCQ482" s="1080"/>
      <c r="BCR482" s="1080"/>
      <c r="BCS482" s="1080"/>
      <c r="BCT482" s="1080"/>
      <c r="BCU482" s="1080"/>
      <c r="BCV482" s="1080"/>
      <c r="BCW482" s="1080"/>
      <c r="BCX482" s="1080"/>
      <c r="BCY482" s="1080"/>
      <c r="BCZ482" s="1080"/>
      <c r="BDA482" s="1080"/>
      <c r="BDB482" s="1080"/>
      <c r="BDC482" s="1080"/>
      <c r="BDD482" s="1080"/>
      <c r="BDE482" s="1080"/>
      <c r="BDF482" s="1080"/>
      <c r="BDG482" s="1080"/>
      <c r="BDH482" s="1080"/>
      <c r="BDI482" s="1080"/>
      <c r="BDJ482" s="1080"/>
      <c r="BDK482" s="1080"/>
      <c r="BDL482" s="1080"/>
      <c r="BDM482" s="1080"/>
      <c r="BDN482" s="1080"/>
      <c r="BDO482" s="1080"/>
      <c r="BDP482" s="1080"/>
      <c r="BDQ482" s="1080"/>
      <c r="BDR482" s="1080"/>
      <c r="BDS482" s="1080"/>
      <c r="BDT482" s="1080"/>
      <c r="BDU482" s="1080"/>
      <c r="BDV482" s="1080"/>
      <c r="BDW482" s="1080"/>
      <c r="BDX482" s="1080"/>
      <c r="BDY482" s="1080"/>
      <c r="BDZ482" s="1080"/>
      <c r="BEA482" s="1080"/>
      <c r="BEB482" s="1080"/>
      <c r="BEC482" s="1080"/>
      <c r="BED482" s="1080"/>
      <c r="BEE482" s="1080"/>
      <c r="BEF482" s="1080"/>
      <c r="BEG482" s="1080"/>
      <c r="BEH482" s="1080"/>
      <c r="BEI482" s="1080"/>
      <c r="BEJ482" s="1080"/>
      <c r="BEK482" s="1080"/>
      <c r="BEL482" s="1080"/>
      <c r="BEM482" s="1080"/>
      <c r="BEN482" s="1080"/>
      <c r="BEO482" s="1080"/>
      <c r="BEP482" s="1080"/>
      <c r="BEQ482" s="1080"/>
      <c r="BER482" s="1080"/>
      <c r="BES482" s="1080"/>
      <c r="BET482" s="1080"/>
      <c r="BEU482" s="1080"/>
      <c r="BEV482" s="1080"/>
      <c r="BEW482" s="1080"/>
      <c r="BEX482" s="1080"/>
      <c r="BEY482" s="1080"/>
      <c r="BEZ482" s="1080"/>
      <c r="BFA482" s="1080"/>
      <c r="BFB482" s="1080"/>
      <c r="BFC482" s="1080"/>
      <c r="BFD482" s="1080"/>
      <c r="BFE482" s="1080"/>
      <c r="BFF482" s="1080"/>
      <c r="BFG482" s="1080"/>
      <c r="BFH482" s="1080"/>
      <c r="BFI482" s="1080"/>
      <c r="BFJ482" s="1080"/>
      <c r="BFK482" s="1080"/>
      <c r="BFL482" s="1080"/>
      <c r="BFM482" s="1080"/>
      <c r="BFN482" s="1080"/>
      <c r="BFO482" s="1080"/>
      <c r="BFP482" s="1080"/>
      <c r="BFQ482" s="1080"/>
      <c r="BFR482" s="1080"/>
      <c r="BFS482" s="1080"/>
      <c r="BFT482" s="1080"/>
      <c r="BFU482" s="1080"/>
      <c r="BFV482" s="1080"/>
      <c r="BFW482" s="1080"/>
      <c r="BFX482" s="1080"/>
      <c r="BFY482" s="1080"/>
      <c r="BFZ482" s="1080"/>
      <c r="BGA482" s="1080"/>
      <c r="BGB482" s="1080"/>
      <c r="BGC482" s="1080"/>
      <c r="BGD482" s="1080"/>
      <c r="BGE482" s="1080"/>
      <c r="BGF482" s="1080"/>
      <c r="BGG482" s="1080"/>
      <c r="BGH482" s="1080"/>
      <c r="BGI482" s="1080"/>
      <c r="BGJ482" s="1080"/>
      <c r="BGK482" s="1080"/>
      <c r="BGL482" s="1080"/>
      <c r="BGM482" s="1080"/>
      <c r="BGN482" s="1080"/>
      <c r="BGO482" s="1080"/>
      <c r="BGP482" s="1080"/>
      <c r="BGQ482" s="1080"/>
      <c r="BGR482" s="1080"/>
      <c r="BGS482" s="1080"/>
      <c r="BGT482" s="1080"/>
      <c r="BGU482" s="1080"/>
      <c r="BGV482" s="1080"/>
      <c r="BGW482" s="1080"/>
      <c r="BGX482" s="1080"/>
      <c r="BGY482" s="1080"/>
      <c r="BGZ482" s="1080"/>
      <c r="BHA482" s="1080"/>
      <c r="BHB482" s="1080"/>
      <c r="BHC482" s="1080"/>
      <c r="BHD482" s="1080"/>
      <c r="BHE482" s="1080"/>
      <c r="BHF482" s="1080"/>
      <c r="BHG482" s="1080"/>
      <c r="BHH482" s="1080"/>
      <c r="BHI482" s="1080"/>
      <c r="BHJ482" s="1080"/>
      <c r="BHK482" s="1080"/>
      <c r="BHL482" s="1080"/>
      <c r="BHM482" s="1080"/>
      <c r="BHN482" s="1080"/>
      <c r="BHO482" s="1080"/>
      <c r="BHP482" s="1080"/>
      <c r="BHQ482" s="1080"/>
      <c r="BHR482" s="1080"/>
      <c r="BHS482" s="1080"/>
      <c r="BHT482" s="1080"/>
      <c r="BHU482" s="1080"/>
      <c r="BHV482" s="1080"/>
      <c r="BHW482" s="1080"/>
      <c r="BHX482" s="1080"/>
      <c r="BHY482" s="1080"/>
      <c r="BHZ482" s="1080"/>
      <c r="BIA482" s="1080"/>
      <c r="BIB482" s="1080"/>
      <c r="BIC482" s="1080"/>
      <c r="BID482" s="1080"/>
      <c r="BIE482" s="1080"/>
      <c r="BIF482" s="1080"/>
      <c r="BIG482" s="1080"/>
      <c r="BIH482" s="1080"/>
      <c r="BII482" s="1080"/>
      <c r="BIJ482" s="1080"/>
      <c r="BIK482" s="1080"/>
      <c r="BIL482" s="1080"/>
      <c r="BIM482" s="1080"/>
      <c r="BIN482" s="1080"/>
      <c r="BIO482" s="1080"/>
      <c r="BIP482" s="1080"/>
      <c r="BIQ482" s="1080"/>
      <c r="BIR482" s="1080"/>
      <c r="BIS482" s="1080"/>
      <c r="BIT482" s="1080"/>
      <c r="BIU482" s="1080"/>
      <c r="BIV482" s="1080"/>
      <c r="BIW482" s="1080"/>
      <c r="BIX482" s="1080"/>
      <c r="BIY482" s="1080"/>
      <c r="BIZ482" s="1080"/>
      <c r="BJA482" s="1080"/>
      <c r="BJB482" s="1080"/>
      <c r="BJC482" s="1080"/>
      <c r="BJD482" s="1080"/>
      <c r="BJE482" s="1080"/>
      <c r="BJF482" s="1080"/>
      <c r="BJG482" s="1080"/>
      <c r="BJH482" s="1080"/>
      <c r="BJI482" s="1080"/>
      <c r="BJJ482" s="1080"/>
      <c r="BJK482" s="1080"/>
      <c r="BJL482" s="1080"/>
      <c r="BJM482" s="1080"/>
      <c r="BJN482" s="1080"/>
      <c r="BJO482" s="1080"/>
      <c r="BJP482" s="1080"/>
      <c r="BJQ482" s="1080"/>
      <c r="BJR482" s="1080"/>
      <c r="BJS482" s="1080"/>
      <c r="BJT482" s="1080"/>
      <c r="BJU482" s="1080"/>
      <c r="BJV482" s="1080"/>
      <c r="BJW482" s="1080"/>
      <c r="BJX482" s="1080"/>
      <c r="BJY482" s="1080"/>
      <c r="BJZ482" s="1080"/>
      <c r="BKA482" s="1080"/>
      <c r="BKB482" s="1080"/>
      <c r="BKC482" s="1080"/>
      <c r="BKD482" s="1080"/>
      <c r="BKE482" s="1080"/>
      <c r="BKF482" s="1080"/>
      <c r="BKG482" s="1080"/>
      <c r="BKH482" s="1080"/>
      <c r="BKI482" s="1080"/>
      <c r="BKJ482" s="1080"/>
      <c r="BKK482" s="1080"/>
      <c r="BKL482" s="1080"/>
      <c r="BKM482" s="1080"/>
      <c r="BKN482" s="1080"/>
      <c r="BKO482" s="1080"/>
      <c r="BKP482" s="1080"/>
      <c r="BKQ482" s="1080"/>
      <c r="BKR482" s="1080"/>
      <c r="BKS482" s="1080"/>
      <c r="BKT482" s="1080"/>
      <c r="BKU482" s="1080"/>
      <c r="BKV482" s="1080"/>
      <c r="BKW482" s="1080"/>
      <c r="BKX482" s="1080"/>
      <c r="BKY482" s="1080"/>
      <c r="BKZ482" s="1080"/>
      <c r="BLA482" s="1080"/>
      <c r="BLB482" s="1080"/>
      <c r="BLC482" s="1080"/>
      <c r="BLD482" s="1080"/>
      <c r="BLE482" s="1080"/>
      <c r="BLF482" s="1080"/>
      <c r="BLG482" s="1080"/>
      <c r="BLH482" s="1080"/>
      <c r="BLI482" s="1080"/>
      <c r="BLJ482" s="1080"/>
      <c r="BLK482" s="1080"/>
      <c r="BLL482" s="1080"/>
      <c r="BLM482" s="1080"/>
      <c r="BLN482" s="1080"/>
      <c r="BLO482" s="1080"/>
      <c r="BLP482" s="1080"/>
      <c r="BLQ482" s="1080"/>
      <c r="BLR482" s="1080"/>
      <c r="BLS482" s="1080"/>
      <c r="BLT482" s="1080"/>
      <c r="BLU482" s="1080"/>
      <c r="BLV482" s="1080"/>
      <c r="BLW482" s="1080"/>
      <c r="BLX482" s="1080"/>
      <c r="BLY482" s="1080"/>
      <c r="BLZ482" s="1080"/>
      <c r="BMA482" s="1080"/>
      <c r="BMB482" s="1080"/>
      <c r="BMC482" s="1080"/>
      <c r="BMD482" s="1080"/>
      <c r="BME482" s="1080"/>
      <c r="BMF482" s="1080"/>
      <c r="BMG482" s="1080"/>
      <c r="BMH482" s="1080"/>
      <c r="BMI482" s="1080"/>
      <c r="BMJ482" s="1080"/>
      <c r="BMK482" s="1080"/>
      <c r="BML482" s="1080"/>
      <c r="BMM482" s="1080"/>
      <c r="BMN482" s="1080"/>
      <c r="BMO482" s="1080"/>
      <c r="BMP482" s="1080"/>
      <c r="BMQ482" s="1080"/>
      <c r="BMR482" s="1080"/>
      <c r="BMS482" s="1080"/>
      <c r="BMT482" s="1080"/>
      <c r="BMU482" s="1080"/>
      <c r="BMV482" s="1080"/>
      <c r="BMW482" s="1080"/>
      <c r="BMX482" s="1080"/>
      <c r="BMY482" s="1080"/>
      <c r="BMZ482" s="1080"/>
      <c r="BNA482" s="1080"/>
      <c r="BNB482" s="1080"/>
      <c r="BNC482" s="1080"/>
      <c r="BND482" s="1080"/>
      <c r="BNE482" s="1080"/>
      <c r="BNF482" s="1080"/>
      <c r="BNG482" s="1080"/>
      <c r="BNH482" s="1080"/>
      <c r="BNI482" s="1080"/>
      <c r="BNJ482" s="1080"/>
      <c r="BNK482" s="1080"/>
      <c r="BNL482" s="1080"/>
      <c r="BNM482" s="1080"/>
      <c r="BNN482" s="1080"/>
      <c r="BNO482" s="1080"/>
      <c r="BNP482" s="1080"/>
      <c r="BNQ482" s="1080"/>
      <c r="BNR482" s="1080"/>
      <c r="BNS482" s="1080"/>
      <c r="BNT482" s="1080"/>
      <c r="BNU482" s="1080"/>
      <c r="BNV482" s="1080"/>
      <c r="BNW482" s="1080"/>
      <c r="BNX482" s="1080"/>
      <c r="BNY482" s="1080"/>
      <c r="BNZ482" s="1080"/>
      <c r="BOA482" s="1080"/>
      <c r="BOB482" s="1080"/>
      <c r="BOC482" s="1080"/>
      <c r="BOD482" s="1080"/>
      <c r="BOE482" s="1080"/>
      <c r="BOF482" s="1080"/>
      <c r="BOG482" s="1080"/>
      <c r="BOH482" s="1080"/>
      <c r="BOI482" s="1080"/>
      <c r="BOJ482" s="1080"/>
      <c r="BOK482" s="1080"/>
      <c r="BOL482" s="1080"/>
      <c r="BOM482" s="1080"/>
      <c r="BON482" s="1080"/>
      <c r="BOO482" s="1080"/>
      <c r="BOP482" s="1080"/>
      <c r="BOQ482" s="1080"/>
      <c r="BOR482" s="1080"/>
      <c r="BOS482" s="1080"/>
      <c r="BOT482" s="1080"/>
      <c r="BOU482" s="1080"/>
      <c r="BOV482" s="1080"/>
      <c r="BOW482" s="1080"/>
      <c r="BOX482" s="1080"/>
      <c r="BOY482" s="1080"/>
      <c r="BOZ482" s="1080"/>
      <c r="BPA482" s="1080"/>
      <c r="BPB482" s="1080"/>
      <c r="BPC482" s="1080"/>
      <c r="BPD482" s="1080"/>
      <c r="BPE482" s="1080"/>
      <c r="BPF482" s="1080"/>
      <c r="BPG482" s="1080"/>
      <c r="BPH482" s="1080"/>
      <c r="BPI482" s="1080"/>
      <c r="BPJ482" s="1080"/>
      <c r="BPK482" s="1080"/>
      <c r="BPL482" s="1080"/>
      <c r="BPM482" s="1080"/>
      <c r="BPN482" s="1080"/>
      <c r="BPO482" s="1080"/>
      <c r="BPP482" s="1080"/>
      <c r="BPQ482" s="1080"/>
      <c r="BPR482" s="1080"/>
      <c r="BPS482" s="1080"/>
      <c r="BPT482" s="1080"/>
      <c r="BPU482" s="1080"/>
      <c r="BPV482" s="1080"/>
      <c r="BPW482" s="1080"/>
      <c r="BPX482" s="1080"/>
      <c r="BPY482" s="1080"/>
      <c r="BPZ482" s="1080"/>
      <c r="BQA482" s="1080"/>
      <c r="BQB482" s="1080"/>
      <c r="BQC482" s="1080"/>
      <c r="BQD482" s="1080"/>
      <c r="BQE482" s="1080"/>
      <c r="BQF482" s="1080"/>
      <c r="BQG482" s="1080"/>
      <c r="BQH482" s="1080"/>
      <c r="BQI482" s="1080"/>
      <c r="BQJ482" s="1080"/>
      <c r="BQK482" s="1080"/>
      <c r="BQL482" s="1080"/>
      <c r="BQM482" s="1080"/>
      <c r="BQN482" s="1080"/>
      <c r="BQO482" s="1080"/>
      <c r="BQP482" s="1080"/>
      <c r="BQQ482" s="1080"/>
      <c r="BQR482" s="1080"/>
      <c r="BQS482" s="1080"/>
      <c r="BQT482" s="1080"/>
      <c r="BQU482" s="1080"/>
      <c r="BQV482" s="1080"/>
      <c r="BQW482" s="1080"/>
      <c r="BQX482" s="1080"/>
      <c r="BQY482" s="1080"/>
      <c r="BQZ482" s="1080"/>
      <c r="BRA482" s="1080"/>
      <c r="BRB482" s="1080"/>
      <c r="BRC482" s="1080"/>
      <c r="BRD482" s="1080"/>
      <c r="BRE482" s="1080"/>
      <c r="BRF482" s="1080"/>
      <c r="BRG482" s="1080"/>
      <c r="BRH482" s="1080"/>
      <c r="BRI482" s="1080"/>
      <c r="BRJ482" s="1080"/>
      <c r="BRK482" s="1080"/>
      <c r="BRL482" s="1080"/>
      <c r="BRM482" s="1080"/>
      <c r="BRN482" s="1080"/>
      <c r="BRO482" s="1080"/>
      <c r="BRP482" s="1080"/>
      <c r="BRQ482" s="1080"/>
      <c r="BRR482" s="1080"/>
      <c r="BRS482" s="1080"/>
      <c r="BRT482" s="1080"/>
      <c r="BRU482" s="1080"/>
      <c r="BRV482" s="1080"/>
      <c r="BRW482" s="1080"/>
      <c r="BRX482" s="1080"/>
      <c r="BRY482" s="1080"/>
      <c r="BRZ482" s="1080"/>
      <c r="BSA482" s="1080"/>
      <c r="BSB482" s="1080"/>
      <c r="BSC482" s="1080"/>
      <c r="BSD482" s="1080"/>
      <c r="BSE482" s="1080"/>
      <c r="BSF482" s="1080"/>
      <c r="BSG482" s="1080"/>
      <c r="BSH482" s="1080"/>
      <c r="BSI482" s="1080"/>
      <c r="BSJ482" s="1080"/>
      <c r="BSK482" s="1080"/>
      <c r="BSL482" s="1080"/>
      <c r="BSM482" s="1080"/>
      <c r="BSN482" s="1080"/>
      <c r="BSO482" s="1080"/>
      <c r="BSP482" s="1080"/>
      <c r="BSQ482" s="1080"/>
      <c r="BSR482" s="1080"/>
      <c r="BSS482" s="1080"/>
      <c r="BST482" s="1080"/>
      <c r="BSU482" s="1080"/>
      <c r="BSV482" s="1080"/>
      <c r="BSW482" s="1080"/>
      <c r="BSX482" s="1080"/>
      <c r="BSY482" s="1080"/>
      <c r="BSZ482" s="1080"/>
      <c r="BTA482" s="1080"/>
      <c r="BTB482" s="1080"/>
      <c r="BTC482" s="1080"/>
      <c r="BTD482" s="1080"/>
      <c r="BTE482" s="1080"/>
      <c r="BTF482" s="1080"/>
      <c r="BTG482" s="1080"/>
      <c r="BTH482" s="1080"/>
      <c r="BTI482" s="1080"/>
      <c r="BTJ482" s="1080"/>
      <c r="BTK482" s="1080"/>
      <c r="BTL482" s="1080"/>
      <c r="BTM482" s="1080"/>
      <c r="BTN482" s="1080"/>
      <c r="BTO482" s="1080"/>
      <c r="BTP482" s="1080"/>
      <c r="BTQ482" s="1080"/>
      <c r="BTR482" s="1080"/>
      <c r="BTS482" s="1080"/>
      <c r="BTT482" s="1080"/>
      <c r="BTU482" s="1080"/>
      <c r="BTV482" s="1080"/>
      <c r="BTW482" s="1080"/>
      <c r="BTX482" s="1080"/>
      <c r="BTY482" s="1080"/>
      <c r="BTZ482" s="1080"/>
      <c r="BUA482" s="1080"/>
      <c r="BUB482" s="1080"/>
      <c r="BUC482" s="1080"/>
      <c r="BUD482" s="1080"/>
      <c r="BUE482" s="1080"/>
      <c r="BUF482" s="1080"/>
      <c r="BUG482" s="1080"/>
      <c r="BUH482" s="1080"/>
      <c r="BUI482" s="1080"/>
      <c r="BUJ482" s="1080"/>
      <c r="BUK482" s="1080"/>
      <c r="BUL482" s="1080"/>
      <c r="BUM482" s="1080"/>
      <c r="BUN482" s="1080"/>
      <c r="BUO482" s="1080"/>
      <c r="BUP482" s="1080"/>
      <c r="BUQ482" s="1080"/>
      <c r="BUR482" s="1080"/>
      <c r="BUS482" s="1080"/>
      <c r="BUT482" s="1080"/>
      <c r="BUU482" s="1080"/>
      <c r="BUV482" s="1080"/>
      <c r="BUW482" s="1080"/>
      <c r="BUX482" s="1080"/>
      <c r="BUY482" s="1080"/>
      <c r="BUZ482" s="1080"/>
      <c r="BVA482" s="1080"/>
      <c r="BVB482" s="1080"/>
      <c r="BVC482" s="1080"/>
      <c r="BVD482" s="1080"/>
      <c r="BVE482" s="1080"/>
      <c r="BVF482" s="1080"/>
      <c r="BVG482" s="1080"/>
      <c r="BVH482" s="1080"/>
      <c r="BVI482" s="1080"/>
      <c r="BVJ482" s="1080"/>
      <c r="BVK482" s="1080"/>
      <c r="BVL482" s="1080"/>
      <c r="BVM482" s="1080"/>
      <c r="BVN482" s="1080"/>
      <c r="BVO482" s="1080"/>
      <c r="BVP482" s="1080"/>
      <c r="BVQ482" s="1080"/>
      <c r="BVR482" s="1080"/>
      <c r="BVS482" s="1080"/>
      <c r="BVT482" s="1080"/>
      <c r="BVU482" s="1080"/>
      <c r="BVV482" s="1080"/>
      <c r="BVW482" s="1080"/>
      <c r="BVX482" s="1080"/>
      <c r="BVY482" s="1080"/>
      <c r="BVZ482" s="1080"/>
      <c r="BWA482" s="1080"/>
      <c r="BWB482" s="1080"/>
      <c r="BWC482" s="1080"/>
      <c r="BWD482" s="1080"/>
      <c r="BWE482" s="1080"/>
      <c r="BWF482" s="1080"/>
      <c r="BWG482" s="1080"/>
      <c r="BWH482" s="1080"/>
      <c r="BWI482" s="1080"/>
      <c r="BWJ482" s="1080"/>
      <c r="BWK482" s="1080"/>
      <c r="BWL482" s="1080"/>
      <c r="BWM482" s="1080"/>
      <c r="BWN482" s="1080"/>
      <c r="BWO482" s="1080"/>
      <c r="BWP482" s="1080"/>
      <c r="BWQ482" s="1080"/>
      <c r="BWR482" s="1080"/>
      <c r="BWS482" s="1080"/>
      <c r="BWT482" s="1080"/>
      <c r="BWU482" s="1080"/>
      <c r="BWV482" s="1080"/>
      <c r="BWW482" s="1080"/>
      <c r="BWX482" s="1080"/>
      <c r="BWY482" s="1080"/>
      <c r="BWZ482" s="1080"/>
      <c r="BXA482" s="1080"/>
      <c r="BXB482" s="1080"/>
      <c r="BXC482" s="1080"/>
      <c r="BXD482" s="1080"/>
      <c r="BXE482" s="1080"/>
      <c r="BXF482" s="1080"/>
      <c r="BXG482" s="1080"/>
      <c r="BXH482" s="1080"/>
      <c r="BXI482" s="1080"/>
      <c r="BXJ482" s="1080"/>
      <c r="BXK482" s="1080"/>
      <c r="BXL482" s="1080"/>
      <c r="BXM482" s="1080"/>
      <c r="BXN482" s="1080"/>
      <c r="BXO482" s="1080"/>
      <c r="BXP482" s="1080"/>
      <c r="BXQ482" s="1080"/>
      <c r="BXR482" s="1080"/>
      <c r="BXS482" s="1080"/>
      <c r="BXT482" s="1080"/>
      <c r="BXU482" s="1080"/>
      <c r="BXV482" s="1080"/>
      <c r="BXW482" s="1080"/>
      <c r="BXX482" s="1080"/>
      <c r="BXY482" s="1080"/>
      <c r="BXZ482" s="1080"/>
      <c r="BYA482" s="1080"/>
      <c r="BYB482" s="1080"/>
      <c r="BYC482" s="1080"/>
      <c r="BYD482" s="1080"/>
      <c r="BYE482" s="1080"/>
      <c r="BYF482" s="1080"/>
      <c r="BYG482" s="1080"/>
      <c r="BYH482" s="1080"/>
      <c r="BYI482" s="1080"/>
      <c r="BYJ482" s="1080"/>
      <c r="BYK482" s="1080"/>
      <c r="BYL482" s="1080"/>
      <c r="BYM482" s="1080"/>
      <c r="BYN482" s="1080"/>
      <c r="BYO482" s="1080"/>
      <c r="BYP482" s="1080"/>
      <c r="BYQ482" s="1080"/>
      <c r="BYR482" s="1080"/>
      <c r="BYS482" s="1080"/>
      <c r="BYT482" s="1080"/>
      <c r="BYU482" s="1080"/>
      <c r="BYV482" s="1080"/>
      <c r="BYW482" s="1080"/>
      <c r="BYX482" s="1080"/>
      <c r="BYY482" s="1080"/>
      <c r="BYZ482" s="1080"/>
      <c r="BZA482" s="1080"/>
      <c r="BZB482" s="1080"/>
      <c r="BZC482" s="1080"/>
      <c r="BZD482" s="1080"/>
      <c r="BZE482" s="1080"/>
      <c r="BZF482" s="1080"/>
      <c r="BZG482" s="1080"/>
      <c r="BZH482" s="1080"/>
      <c r="BZI482" s="1080"/>
      <c r="BZJ482" s="1080"/>
      <c r="BZK482" s="1080"/>
      <c r="BZL482" s="1080"/>
      <c r="BZM482" s="1080"/>
      <c r="BZN482" s="1080"/>
      <c r="BZO482" s="1080"/>
      <c r="BZP482" s="1080"/>
      <c r="BZQ482" s="1080"/>
      <c r="BZR482" s="1080"/>
      <c r="BZS482" s="1080"/>
      <c r="BZT482" s="1080"/>
      <c r="BZU482" s="1080"/>
      <c r="BZV482" s="1080"/>
      <c r="BZW482" s="1080"/>
      <c r="BZX482" s="1080"/>
      <c r="BZY482" s="1080"/>
      <c r="BZZ482" s="1080"/>
      <c r="CAA482" s="1080"/>
      <c r="CAB482" s="1080"/>
      <c r="CAC482" s="1080"/>
      <c r="CAD482" s="1080"/>
      <c r="CAE482" s="1080"/>
      <c r="CAF482" s="1080"/>
      <c r="CAG482" s="1080"/>
      <c r="CAH482" s="1080"/>
      <c r="CAI482" s="1080"/>
      <c r="CAJ482" s="1080"/>
      <c r="CAK482" s="1080"/>
      <c r="CAL482" s="1080"/>
      <c r="CAM482" s="1080"/>
      <c r="CAN482" s="1080"/>
      <c r="CAO482" s="1080"/>
      <c r="CAP482" s="1080"/>
      <c r="CAQ482" s="1080"/>
      <c r="CAR482" s="1080"/>
      <c r="CAS482" s="1080"/>
      <c r="CAT482" s="1080"/>
      <c r="CAU482" s="1080"/>
      <c r="CAV482" s="1080"/>
      <c r="CAW482" s="1080"/>
      <c r="CAX482" s="1080"/>
      <c r="CAY482" s="1080"/>
      <c r="CAZ482" s="1080"/>
      <c r="CBA482" s="1080"/>
      <c r="CBB482" s="1080"/>
      <c r="CBC482" s="1080"/>
      <c r="CBD482" s="1080"/>
      <c r="CBE482" s="1080"/>
      <c r="CBF482" s="1080"/>
      <c r="CBG482" s="1080"/>
      <c r="CBH482" s="1080"/>
      <c r="CBI482" s="1080"/>
      <c r="CBJ482" s="1080"/>
      <c r="CBK482" s="1080"/>
      <c r="CBL482" s="1080"/>
      <c r="CBM482" s="1080"/>
      <c r="CBN482" s="1080"/>
      <c r="CBO482" s="1080"/>
      <c r="CBP482" s="1080"/>
      <c r="CBQ482" s="1080"/>
      <c r="CBR482" s="1080"/>
      <c r="CBS482" s="1080"/>
      <c r="CBT482" s="1080"/>
      <c r="CBU482" s="1080"/>
      <c r="CBV482" s="1080"/>
      <c r="CBW482" s="1080"/>
      <c r="CBX482" s="1080"/>
      <c r="CBY482" s="1080"/>
      <c r="CBZ482" s="1080"/>
      <c r="CCA482" s="1080"/>
      <c r="CCB482" s="1080"/>
      <c r="CCC482" s="1080"/>
      <c r="CCD482" s="1080"/>
      <c r="CCE482" s="1080"/>
      <c r="CCF482" s="1080"/>
      <c r="CCG482" s="1080"/>
      <c r="CCH482" s="1080"/>
      <c r="CCI482" s="1080"/>
      <c r="CCJ482" s="1080"/>
      <c r="CCK482" s="1080"/>
      <c r="CCL482" s="1080"/>
      <c r="CCM482" s="1080"/>
      <c r="CCN482" s="1080"/>
      <c r="CCO482" s="1080"/>
      <c r="CCP482" s="1080"/>
      <c r="CCQ482" s="1080"/>
      <c r="CCR482" s="1080"/>
      <c r="CCS482" s="1080"/>
      <c r="CCT482" s="1080"/>
      <c r="CCU482" s="1080"/>
      <c r="CCV482" s="1080"/>
      <c r="CCW482" s="1080"/>
      <c r="CCX482" s="1080"/>
      <c r="CCY482" s="1080"/>
      <c r="CCZ482" s="1080"/>
      <c r="CDA482" s="1080"/>
      <c r="CDB482" s="1080"/>
      <c r="CDC482" s="1080"/>
      <c r="CDD482" s="1080"/>
      <c r="CDE482" s="1080"/>
      <c r="CDF482" s="1080"/>
      <c r="CDG482" s="1080"/>
      <c r="CDH482" s="1080"/>
      <c r="CDI482" s="1080"/>
      <c r="CDJ482" s="1080"/>
      <c r="CDK482" s="1080"/>
      <c r="CDL482" s="1080"/>
      <c r="CDM482" s="1080"/>
      <c r="CDN482" s="1080"/>
      <c r="CDO482" s="1080"/>
      <c r="CDP482" s="1080"/>
      <c r="CDQ482" s="1080"/>
      <c r="CDR482" s="1080"/>
      <c r="CDS482" s="1080"/>
      <c r="CDT482" s="1080"/>
      <c r="CDU482" s="1080"/>
      <c r="CDV482" s="1080"/>
      <c r="CDW482" s="1080"/>
      <c r="CDX482" s="1080"/>
      <c r="CDY482" s="1080"/>
      <c r="CDZ482" s="1080"/>
      <c r="CEA482" s="1080"/>
      <c r="CEB482" s="1080"/>
      <c r="CEC482" s="1080"/>
      <c r="CED482" s="1080"/>
      <c r="CEE482" s="1080"/>
      <c r="CEF482" s="1080"/>
      <c r="CEG482" s="1080"/>
      <c r="CEH482" s="1080"/>
      <c r="CEI482" s="1080"/>
      <c r="CEJ482" s="1080"/>
      <c r="CEK482" s="1080"/>
      <c r="CEL482" s="1080"/>
      <c r="CEM482" s="1080"/>
      <c r="CEN482" s="1080"/>
      <c r="CEO482" s="1080"/>
      <c r="CEP482" s="1080"/>
      <c r="CEQ482" s="1080"/>
      <c r="CER482" s="1080"/>
      <c r="CES482" s="1080"/>
      <c r="CET482" s="1080"/>
      <c r="CEU482" s="1080"/>
      <c r="CEV482" s="1080"/>
      <c r="CEW482" s="1080"/>
      <c r="CEX482" s="1080"/>
      <c r="CEY482" s="1080"/>
      <c r="CEZ482" s="1080"/>
      <c r="CFA482" s="1080"/>
      <c r="CFB482" s="1080"/>
      <c r="CFC482" s="1080"/>
      <c r="CFD482" s="1080"/>
      <c r="CFE482" s="1080"/>
      <c r="CFF482" s="1080"/>
      <c r="CFG482" s="1080"/>
      <c r="CFH482" s="1080"/>
      <c r="CFI482" s="1080"/>
      <c r="CFJ482" s="1080"/>
      <c r="CFK482" s="1080"/>
      <c r="CFL482" s="1080"/>
      <c r="CFM482" s="1080"/>
      <c r="CFN482" s="1080"/>
      <c r="CFO482" s="1080"/>
      <c r="CFP482" s="1080"/>
      <c r="CFQ482" s="1080"/>
      <c r="CFR482" s="1080"/>
      <c r="CFS482" s="1080"/>
      <c r="CFT482" s="1080"/>
      <c r="CFU482" s="1080"/>
      <c r="CFV482" s="1080"/>
      <c r="CFW482" s="1080"/>
      <c r="CFX482" s="1080"/>
      <c r="CFY482" s="1080"/>
      <c r="CFZ482" s="1080"/>
      <c r="CGA482" s="1080"/>
      <c r="CGB482" s="1080"/>
      <c r="CGC482" s="1080"/>
      <c r="CGD482" s="1080"/>
      <c r="CGE482" s="1080"/>
      <c r="CGF482" s="1080"/>
      <c r="CGG482" s="1080"/>
      <c r="CGH482" s="1080"/>
      <c r="CGI482" s="1080"/>
      <c r="CGJ482" s="1080"/>
      <c r="CGK482" s="1080"/>
      <c r="CGL482" s="1080"/>
      <c r="CGM482" s="1080"/>
      <c r="CGN482" s="1080"/>
      <c r="CGO482" s="1080"/>
      <c r="CGP482" s="1080"/>
      <c r="CGQ482" s="1080"/>
      <c r="CGR482" s="1080"/>
      <c r="CGS482" s="1080"/>
      <c r="CGT482" s="1080"/>
      <c r="CGU482" s="1080"/>
      <c r="CGV482" s="1080"/>
      <c r="CGW482" s="1080"/>
      <c r="CGX482" s="1080"/>
      <c r="CGY482" s="1080"/>
      <c r="CGZ482" s="1080"/>
      <c r="CHA482" s="1080"/>
      <c r="CHB482" s="1080"/>
      <c r="CHC482" s="1080"/>
      <c r="CHD482" s="1080"/>
      <c r="CHE482" s="1080"/>
      <c r="CHF482" s="1080"/>
      <c r="CHG482" s="1080"/>
      <c r="CHH482" s="1080"/>
      <c r="CHI482" s="1080"/>
      <c r="CHJ482" s="1080"/>
      <c r="CHK482" s="1080"/>
      <c r="CHL482" s="1080"/>
      <c r="CHM482" s="1080"/>
      <c r="CHN482" s="1080"/>
      <c r="CHO482" s="1080"/>
      <c r="CHP482" s="1080"/>
      <c r="CHQ482" s="1080"/>
      <c r="CHR482" s="1080"/>
      <c r="CHS482" s="1080"/>
      <c r="CHT482" s="1080"/>
      <c r="CHU482" s="1080"/>
      <c r="CHV482" s="1080"/>
      <c r="CHW482" s="1080"/>
      <c r="CHX482" s="1080"/>
      <c r="CHY482" s="1080"/>
      <c r="CHZ482" s="1080"/>
      <c r="CIA482" s="1080"/>
      <c r="CIB482" s="1080"/>
      <c r="CIC482" s="1080"/>
      <c r="CID482" s="1080"/>
      <c r="CIE482" s="1080"/>
      <c r="CIF482" s="1080"/>
      <c r="CIG482" s="1080"/>
      <c r="CIH482" s="1080"/>
      <c r="CII482" s="1080"/>
      <c r="CIJ482" s="1080"/>
      <c r="CIK482" s="1080"/>
      <c r="CIL482" s="1080"/>
      <c r="CIM482" s="1080"/>
      <c r="CIN482" s="1080"/>
      <c r="CIO482" s="1080"/>
      <c r="CIP482" s="1080"/>
      <c r="CIQ482" s="1080"/>
      <c r="CIR482" s="1080"/>
      <c r="CIS482" s="1080"/>
      <c r="CIT482" s="1080"/>
      <c r="CIU482" s="1080"/>
      <c r="CIV482" s="1080"/>
      <c r="CIW482" s="1080"/>
      <c r="CIX482" s="1080"/>
      <c r="CIY482" s="1080"/>
      <c r="CIZ482" s="1080"/>
      <c r="CJA482" s="1080"/>
      <c r="CJB482" s="1080"/>
      <c r="CJC482" s="1080"/>
      <c r="CJD482" s="1080"/>
      <c r="CJE482" s="1080"/>
      <c r="CJF482" s="1080"/>
      <c r="CJG482" s="1080"/>
      <c r="CJH482" s="1080"/>
      <c r="CJI482" s="1080"/>
      <c r="CJJ482" s="1080"/>
      <c r="CJK482" s="1080"/>
      <c r="CJL482" s="1080"/>
      <c r="CJM482" s="1080"/>
      <c r="CJN482" s="1080"/>
      <c r="CJO482" s="1080"/>
      <c r="CJP482" s="1080"/>
      <c r="CJQ482" s="1080"/>
      <c r="CJR482" s="1080"/>
      <c r="CJS482" s="1080"/>
      <c r="CJT482" s="1080"/>
      <c r="CJU482" s="1080"/>
      <c r="CJV482" s="1080"/>
      <c r="CJW482" s="1080"/>
      <c r="CJX482" s="1080"/>
      <c r="CJY482" s="1080"/>
      <c r="CJZ482" s="1080"/>
      <c r="CKA482" s="1080"/>
      <c r="CKB482" s="1080"/>
      <c r="CKC482" s="1080"/>
      <c r="CKD482" s="1080"/>
      <c r="CKE482" s="1080"/>
      <c r="CKF482" s="1080"/>
      <c r="CKG482" s="1080"/>
      <c r="CKH482" s="1080"/>
      <c r="CKI482" s="1080"/>
      <c r="CKJ482" s="1080"/>
      <c r="CKK482" s="1080"/>
      <c r="CKL482" s="1080"/>
      <c r="CKM482" s="1080"/>
      <c r="CKN482" s="1080"/>
      <c r="CKO482" s="1080"/>
      <c r="CKP482" s="1080"/>
      <c r="CKQ482" s="1080"/>
      <c r="CKR482" s="1080"/>
      <c r="CKS482" s="1080"/>
      <c r="CKT482" s="1080"/>
      <c r="CKU482" s="1080"/>
      <c r="CKV482" s="1080"/>
      <c r="CKW482" s="1080"/>
      <c r="CKX482" s="1080"/>
      <c r="CKY482" s="1080"/>
      <c r="CKZ482" s="1080"/>
      <c r="CLA482" s="1080"/>
      <c r="CLB482" s="1080"/>
      <c r="CLC482" s="1080"/>
      <c r="CLD482" s="1080"/>
      <c r="CLE482" s="1080"/>
      <c r="CLF482" s="1080"/>
      <c r="CLG482" s="1080"/>
      <c r="CLH482" s="1080"/>
      <c r="CLI482" s="1080"/>
      <c r="CLJ482" s="1080"/>
      <c r="CLK482" s="1080"/>
      <c r="CLL482" s="1080"/>
      <c r="CLM482" s="1080"/>
      <c r="CLN482" s="1080"/>
      <c r="CLO482" s="1080"/>
      <c r="CLP482" s="1080"/>
      <c r="CLQ482" s="1080"/>
      <c r="CLR482" s="1080"/>
      <c r="CLS482" s="1080"/>
      <c r="CLT482" s="1080"/>
      <c r="CLU482" s="1080"/>
      <c r="CLV482" s="1080"/>
      <c r="CLW482" s="1080"/>
      <c r="CLX482" s="1080"/>
      <c r="CLY482" s="1080"/>
      <c r="CLZ482" s="1080"/>
      <c r="CMA482" s="1080"/>
      <c r="CMB482" s="1080"/>
      <c r="CMC482" s="1080"/>
      <c r="CMD482" s="1080"/>
      <c r="CME482" s="1080"/>
      <c r="CMF482" s="1080"/>
      <c r="CMG482" s="1080"/>
      <c r="CMH482" s="1080"/>
      <c r="CMI482" s="1080"/>
      <c r="CMJ482" s="1080"/>
      <c r="CMK482" s="1080"/>
      <c r="CML482" s="1080"/>
      <c r="CMM482" s="1080"/>
      <c r="CMN482" s="1080"/>
      <c r="CMO482" s="1080"/>
      <c r="CMP482" s="1080"/>
      <c r="CMQ482" s="1080"/>
      <c r="CMR482" s="1080"/>
      <c r="CMS482" s="1080"/>
      <c r="CMT482" s="1080"/>
      <c r="CMU482" s="1080"/>
      <c r="CMV482" s="1080"/>
      <c r="CMW482" s="1080"/>
      <c r="CMX482" s="1080"/>
      <c r="CMY482" s="1080"/>
      <c r="CMZ482" s="1080"/>
      <c r="CNA482" s="1080"/>
      <c r="CNB482" s="1080"/>
      <c r="CNC482" s="1080"/>
      <c r="CND482" s="1080"/>
      <c r="CNE482" s="1080"/>
      <c r="CNF482" s="1080"/>
      <c r="CNG482" s="1080"/>
      <c r="CNH482" s="1080"/>
      <c r="CNI482" s="1080"/>
      <c r="CNJ482" s="1080"/>
      <c r="CNK482" s="1080"/>
      <c r="CNL482" s="1080"/>
      <c r="CNM482" s="1080"/>
      <c r="CNN482" s="1080"/>
      <c r="CNO482" s="1080"/>
      <c r="CNP482" s="1080"/>
      <c r="CNQ482" s="1080"/>
      <c r="CNR482" s="1080"/>
      <c r="CNS482" s="1080"/>
      <c r="CNT482" s="1080"/>
      <c r="CNU482" s="1080"/>
      <c r="CNV482" s="1080"/>
      <c r="CNW482" s="1080"/>
      <c r="CNX482" s="1080"/>
      <c r="CNY482" s="1080"/>
      <c r="CNZ482" s="1080"/>
      <c r="COA482" s="1080"/>
      <c r="COB482" s="1080"/>
      <c r="COC482" s="1080"/>
      <c r="COD482" s="1080"/>
      <c r="COE482" s="1080"/>
      <c r="COF482" s="1080"/>
      <c r="COG482" s="1080"/>
      <c r="COH482" s="1080"/>
      <c r="COI482" s="1080"/>
      <c r="COJ482" s="1080"/>
      <c r="COK482" s="1080"/>
      <c r="COL482" s="1080"/>
      <c r="COM482" s="1080"/>
      <c r="CON482" s="1080"/>
      <c r="COO482" s="1080"/>
      <c r="COP482" s="1080"/>
      <c r="COQ482" s="1080"/>
      <c r="COR482" s="1080"/>
      <c r="COS482" s="1080"/>
      <c r="COT482" s="1080"/>
      <c r="COU482" s="1080"/>
      <c r="COV482" s="1080"/>
      <c r="COW482" s="1080"/>
      <c r="COX482" s="1080"/>
      <c r="COY482" s="1080"/>
      <c r="COZ482" s="1080"/>
      <c r="CPA482" s="1080"/>
      <c r="CPB482" s="1080"/>
      <c r="CPC482" s="1080"/>
      <c r="CPD482" s="1080"/>
      <c r="CPE482" s="1080"/>
      <c r="CPF482" s="1080"/>
      <c r="CPG482" s="1080"/>
      <c r="CPH482" s="1080"/>
      <c r="CPI482" s="1080"/>
      <c r="CPJ482" s="1080"/>
      <c r="CPK482" s="1080"/>
      <c r="CPL482" s="1080"/>
      <c r="CPM482" s="1080"/>
      <c r="CPN482" s="1080"/>
      <c r="CPO482" s="1080"/>
      <c r="CPP482" s="1080"/>
      <c r="CPQ482" s="1080"/>
      <c r="CPR482" s="1080"/>
      <c r="CPS482" s="1080"/>
      <c r="CPT482" s="1080"/>
      <c r="CPU482" s="1080"/>
      <c r="CPV482" s="1080"/>
      <c r="CPW482" s="1080"/>
      <c r="CPX482" s="1080"/>
      <c r="CPY482" s="1080"/>
      <c r="CPZ482" s="1080"/>
      <c r="CQA482" s="1080"/>
      <c r="CQB482" s="1080"/>
      <c r="CQC482" s="1080"/>
      <c r="CQD482" s="1080"/>
      <c r="CQE482" s="1080"/>
      <c r="CQF482" s="1080"/>
      <c r="CQG482" s="1080"/>
      <c r="CQH482" s="1080"/>
      <c r="CQI482" s="1080"/>
      <c r="CQJ482" s="1080"/>
      <c r="CQK482" s="1080"/>
      <c r="CQL482" s="1080"/>
      <c r="CQM482" s="1080"/>
      <c r="CQN482" s="1080"/>
      <c r="CQO482" s="1080"/>
      <c r="CQP482" s="1080"/>
      <c r="CQQ482" s="1080"/>
      <c r="CQR482" s="1080"/>
      <c r="CQS482" s="1080"/>
      <c r="CQT482" s="1080"/>
      <c r="CQU482" s="1080"/>
      <c r="CQV482" s="1080"/>
      <c r="CQW482" s="1080"/>
      <c r="CQX482" s="1080"/>
      <c r="CQY482" s="1080"/>
      <c r="CQZ482" s="1080"/>
      <c r="CRA482" s="1080"/>
      <c r="CRB482" s="1080"/>
      <c r="CRC482" s="1080"/>
      <c r="CRD482" s="1080"/>
      <c r="CRE482" s="1080"/>
      <c r="CRF482" s="1080"/>
      <c r="CRG482" s="1080"/>
      <c r="CRH482" s="1080"/>
      <c r="CRI482" s="1080"/>
      <c r="CRJ482" s="1080"/>
      <c r="CRK482" s="1080"/>
      <c r="CRL482" s="1080"/>
      <c r="CRM482" s="1080"/>
      <c r="CRN482" s="1080"/>
      <c r="CRO482" s="1080"/>
      <c r="CRP482" s="1080"/>
      <c r="CRQ482" s="1080"/>
      <c r="CRR482" s="1080"/>
      <c r="CRS482" s="1080"/>
      <c r="CRT482" s="1080"/>
      <c r="CRU482" s="1080"/>
      <c r="CRV482" s="1080"/>
      <c r="CRW482" s="1080"/>
      <c r="CRX482" s="1080"/>
      <c r="CRY482" s="1080"/>
      <c r="CRZ482" s="1080"/>
      <c r="CSA482" s="1080"/>
      <c r="CSB482" s="1080"/>
      <c r="CSC482" s="1080"/>
      <c r="CSD482" s="1080"/>
      <c r="CSE482" s="1080"/>
      <c r="CSF482" s="1080"/>
      <c r="CSG482" s="1080"/>
      <c r="CSH482" s="1080"/>
      <c r="CSI482" s="1080"/>
      <c r="CSJ482" s="1080"/>
      <c r="CSK482" s="1080"/>
      <c r="CSL482" s="1080"/>
      <c r="CSM482" s="1080"/>
      <c r="CSN482" s="1080"/>
      <c r="CSO482" s="1080"/>
      <c r="CSP482" s="1080"/>
      <c r="CSQ482" s="1080"/>
      <c r="CSR482" s="1080"/>
      <c r="CSS482" s="1080"/>
      <c r="CST482" s="1080"/>
      <c r="CSU482" s="1080"/>
      <c r="CSV482" s="1080"/>
      <c r="CSW482" s="1080"/>
      <c r="CSX482" s="1080"/>
      <c r="CSY482" s="1080"/>
      <c r="CSZ482" s="1080"/>
      <c r="CTA482" s="1080"/>
      <c r="CTB482" s="1080"/>
      <c r="CTC482" s="1080"/>
      <c r="CTD482" s="1080"/>
      <c r="CTE482" s="1080"/>
      <c r="CTF482" s="1080"/>
      <c r="CTG482" s="1080"/>
      <c r="CTH482" s="1080"/>
      <c r="CTI482" s="1080"/>
      <c r="CTJ482" s="1080"/>
      <c r="CTK482" s="1080"/>
      <c r="CTL482" s="1080"/>
      <c r="CTM482" s="1080"/>
      <c r="CTN482" s="1080"/>
      <c r="CTO482" s="1080"/>
      <c r="CTP482" s="1080"/>
      <c r="CTQ482" s="1080"/>
      <c r="CTR482" s="1080"/>
      <c r="CTS482" s="1080"/>
      <c r="CTT482" s="1080"/>
      <c r="CTU482" s="1080"/>
      <c r="CTV482" s="1080"/>
      <c r="CTW482" s="1080"/>
      <c r="CTX482" s="1080"/>
      <c r="CTY482" s="1080"/>
      <c r="CTZ482" s="1080"/>
      <c r="CUA482" s="1080"/>
      <c r="CUB482" s="1080"/>
      <c r="CUC482" s="1080"/>
      <c r="CUD482" s="1080"/>
      <c r="CUE482" s="1080"/>
      <c r="CUF482" s="1080"/>
      <c r="CUG482" s="1080"/>
      <c r="CUH482" s="1080"/>
      <c r="CUI482" s="1080"/>
      <c r="CUJ482" s="1080"/>
      <c r="CUK482" s="1080"/>
      <c r="CUL482" s="1080"/>
      <c r="CUM482" s="1080"/>
      <c r="CUN482" s="1080"/>
      <c r="CUO482" s="1080"/>
      <c r="CUP482" s="1080"/>
      <c r="CUQ482" s="1080"/>
      <c r="CUR482" s="1080"/>
      <c r="CUS482" s="1080"/>
      <c r="CUT482" s="1080"/>
      <c r="CUU482" s="1080"/>
      <c r="CUV482" s="1080"/>
      <c r="CUW482" s="1080"/>
      <c r="CUX482" s="1080"/>
      <c r="CUY482" s="1080"/>
      <c r="CUZ482" s="1080"/>
      <c r="CVA482" s="1080"/>
      <c r="CVB482" s="1080"/>
      <c r="CVC482" s="1080"/>
      <c r="CVD482" s="1080"/>
      <c r="CVE482" s="1080"/>
      <c r="CVF482" s="1080"/>
      <c r="CVG482" s="1080"/>
      <c r="CVH482" s="1080"/>
      <c r="CVI482" s="1080"/>
      <c r="CVJ482" s="1080"/>
      <c r="CVK482" s="1080"/>
      <c r="CVL482" s="1080"/>
      <c r="CVM482" s="1080"/>
      <c r="CVN482" s="1080"/>
      <c r="CVO482" s="1080"/>
      <c r="CVP482" s="1080"/>
      <c r="CVQ482" s="1080"/>
      <c r="CVR482" s="1080"/>
      <c r="CVS482" s="1080"/>
      <c r="CVT482" s="1080"/>
      <c r="CVU482" s="1080"/>
      <c r="CVV482" s="1080"/>
      <c r="CVW482" s="1080"/>
      <c r="CVX482" s="1080"/>
      <c r="CVY482" s="1080"/>
      <c r="CVZ482" s="1080"/>
      <c r="CWA482" s="1080"/>
      <c r="CWB482" s="1080"/>
      <c r="CWC482" s="1080"/>
      <c r="CWD482" s="1080"/>
      <c r="CWE482" s="1080"/>
      <c r="CWF482" s="1080"/>
      <c r="CWG482" s="1080"/>
      <c r="CWH482" s="1080"/>
      <c r="CWI482" s="1080"/>
      <c r="CWJ482" s="1080"/>
      <c r="CWK482" s="1080"/>
      <c r="CWL482" s="1080"/>
      <c r="CWM482" s="1080"/>
      <c r="CWN482" s="1080"/>
      <c r="CWO482" s="1080"/>
      <c r="CWP482" s="1080"/>
      <c r="CWQ482" s="1080"/>
      <c r="CWR482" s="1080"/>
      <c r="CWS482" s="1080"/>
      <c r="CWT482" s="1080"/>
      <c r="CWU482" s="1080"/>
      <c r="CWV482" s="1080"/>
      <c r="CWW482" s="1080"/>
      <c r="CWX482" s="1080"/>
      <c r="CWY482" s="1080"/>
      <c r="CWZ482" s="1080"/>
      <c r="CXA482" s="1080"/>
      <c r="CXB482" s="1080"/>
      <c r="CXC482" s="1080"/>
      <c r="CXD482" s="1080"/>
      <c r="CXE482" s="1080"/>
      <c r="CXF482" s="1080"/>
      <c r="CXG482" s="1080"/>
      <c r="CXH482" s="1080"/>
      <c r="CXI482" s="1080"/>
      <c r="CXJ482" s="1080"/>
      <c r="CXK482" s="1080"/>
      <c r="CXL482" s="1080"/>
      <c r="CXM482" s="1080"/>
      <c r="CXN482" s="1080"/>
      <c r="CXO482" s="1080"/>
      <c r="CXP482" s="1080"/>
      <c r="CXQ482" s="1080"/>
      <c r="CXR482" s="1080"/>
      <c r="CXS482" s="1080"/>
      <c r="CXT482" s="1080"/>
      <c r="CXU482" s="1080"/>
      <c r="CXV482" s="1080"/>
      <c r="CXW482" s="1080"/>
      <c r="CXX482" s="1080"/>
      <c r="CXY482" s="1080"/>
      <c r="CXZ482" s="1080"/>
      <c r="CYA482" s="1080"/>
      <c r="CYB482" s="1080"/>
      <c r="CYC482" s="1080"/>
      <c r="CYD482" s="1080"/>
      <c r="CYE482" s="1080"/>
      <c r="CYF482" s="1080"/>
      <c r="CYG482" s="1080"/>
      <c r="CYH482" s="1080"/>
      <c r="CYI482" s="1080"/>
      <c r="CYJ482" s="1080"/>
      <c r="CYK482" s="1080"/>
      <c r="CYL482" s="1080"/>
      <c r="CYM482" s="1080"/>
      <c r="CYN482" s="1080"/>
      <c r="CYO482" s="1080"/>
      <c r="CYP482" s="1080"/>
      <c r="CYQ482" s="1080"/>
      <c r="CYR482" s="1080"/>
      <c r="CYS482" s="1080"/>
      <c r="CYT482" s="1080"/>
      <c r="CYU482" s="1080"/>
      <c r="CYV482" s="1080"/>
      <c r="CYW482" s="1080"/>
      <c r="CYX482" s="1080"/>
      <c r="CYY482" s="1080"/>
      <c r="CYZ482" s="1080"/>
      <c r="CZA482" s="1080"/>
      <c r="CZB482" s="1080"/>
      <c r="CZC482" s="1080"/>
      <c r="CZD482" s="1080"/>
      <c r="CZE482" s="1080"/>
      <c r="CZF482" s="1080"/>
      <c r="CZG482" s="1080"/>
      <c r="CZH482" s="1080"/>
      <c r="CZI482" s="1080"/>
      <c r="CZJ482" s="1080"/>
      <c r="CZK482" s="1080"/>
      <c r="CZL482" s="1080"/>
      <c r="CZM482" s="1080"/>
      <c r="CZN482" s="1080"/>
      <c r="CZO482" s="1080"/>
      <c r="CZP482" s="1080"/>
      <c r="CZQ482" s="1080"/>
      <c r="CZR482" s="1080"/>
      <c r="CZS482" s="1080"/>
      <c r="CZT482" s="1080"/>
      <c r="CZU482" s="1080"/>
      <c r="CZV482" s="1080"/>
      <c r="CZW482" s="1080"/>
      <c r="CZX482" s="1080"/>
      <c r="CZY482" s="1080"/>
      <c r="CZZ482" s="1080"/>
      <c r="DAA482" s="1080"/>
      <c r="DAB482" s="1080"/>
      <c r="DAC482" s="1080"/>
      <c r="DAD482" s="1080"/>
      <c r="DAE482" s="1080"/>
      <c r="DAF482" s="1080"/>
      <c r="DAG482" s="1080"/>
      <c r="DAH482" s="1080"/>
      <c r="DAI482" s="1080"/>
      <c r="DAJ482" s="1080"/>
      <c r="DAK482" s="1080"/>
      <c r="DAL482" s="1080"/>
      <c r="DAM482" s="1080"/>
      <c r="DAN482" s="1080"/>
      <c r="DAO482" s="1080"/>
      <c r="DAP482" s="1080"/>
      <c r="DAQ482" s="1080"/>
      <c r="DAR482" s="1080"/>
      <c r="DAS482" s="1080"/>
      <c r="DAT482" s="1080"/>
      <c r="DAU482" s="1080"/>
      <c r="DAV482" s="1080"/>
      <c r="DAW482" s="1080"/>
      <c r="DAX482" s="1080"/>
      <c r="DAY482" s="1080"/>
      <c r="DAZ482" s="1080"/>
      <c r="DBA482" s="1080"/>
      <c r="DBB482" s="1080"/>
      <c r="DBC482" s="1080"/>
      <c r="DBD482" s="1080"/>
      <c r="DBE482" s="1080"/>
      <c r="DBF482" s="1080"/>
      <c r="DBG482" s="1080"/>
      <c r="DBH482" s="1080"/>
      <c r="DBI482" s="1080"/>
      <c r="DBJ482" s="1080"/>
      <c r="DBK482" s="1080"/>
      <c r="DBL482" s="1080"/>
      <c r="DBM482" s="1080"/>
      <c r="DBN482" s="1080"/>
      <c r="DBO482" s="1080"/>
      <c r="DBP482" s="1080"/>
      <c r="DBQ482" s="1080"/>
      <c r="DBR482" s="1080"/>
      <c r="DBS482" s="1080"/>
      <c r="DBT482" s="1080"/>
      <c r="DBU482" s="1080"/>
      <c r="DBV482" s="1080"/>
      <c r="DBW482" s="1080"/>
      <c r="DBX482" s="1080"/>
      <c r="DBY482" s="1080"/>
      <c r="DBZ482" s="1080"/>
      <c r="DCA482" s="1080"/>
      <c r="DCB482" s="1080"/>
      <c r="DCC482" s="1080"/>
      <c r="DCD482" s="1080"/>
      <c r="DCE482" s="1080"/>
      <c r="DCF482" s="1080"/>
      <c r="DCG482" s="1080"/>
      <c r="DCH482" s="1080"/>
      <c r="DCI482" s="1080"/>
      <c r="DCJ482" s="1080"/>
      <c r="DCK482" s="1080"/>
      <c r="DCL482" s="1080"/>
      <c r="DCM482" s="1080"/>
      <c r="DCN482" s="1080"/>
      <c r="DCO482" s="1080"/>
      <c r="DCP482" s="1080"/>
      <c r="DCQ482" s="1080"/>
      <c r="DCR482" s="1080"/>
      <c r="DCS482" s="1080"/>
      <c r="DCT482" s="1080"/>
      <c r="DCU482" s="1080"/>
      <c r="DCV482" s="1080"/>
      <c r="DCW482" s="1080"/>
      <c r="DCX482" s="1080"/>
      <c r="DCY482" s="1080"/>
      <c r="DCZ482" s="1080"/>
      <c r="DDA482" s="1080"/>
      <c r="DDB482" s="1080"/>
      <c r="DDC482" s="1080"/>
      <c r="DDD482" s="1080"/>
      <c r="DDE482" s="1080"/>
      <c r="DDF482" s="1080"/>
      <c r="DDG482" s="1080"/>
      <c r="DDH482" s="1080"/>
      <c r="DDI482" s="1080"/>
      <c r="DDJ482" s="1080"/>
      <c r="DDK482" s="1080"/>
      <c r="DDL482" s="1080"/>
      <c r="DDM482" s="1080"/>
      <c r="DDN482" s="1080"/>
      <c r="DDO482" s="1080"/>
      <c r="DDP482" s="1080"/>
      <c r="DDQ482" s="1080"/>
      <c r="DDR482" s="1080"/>
      <c r="DDS482" s="1080"/>
      <c r="DDT482" s="1080"/>
      <c r="DDU482" s="1080"/>
      <c r="DDV482" s="1080"/>
      <c r="DDW482" s="1080"/>
      <c r="DDX482" s="1080"/>
      <c r="DDY482" s="1080"/>
      <c r="DDZ482" s="1080"/>
      <c r="DEA482" s="1080"/>
      <c r="DEB482" s="1080"/>
      <c r="DEC482" s="1080"/>
      <c r="DED482" s="1080"/>
      <c r="DEE482" s="1080"/>
      <c r="DEF482" s="1080"/>
      <c r="DEG482" s="1080"/>
      <c r="DEH482" s="1080"/>
      <c r="DEI482" s="1080"/>
      <c r="DEJ482" s="1080"/>
      <c r="DEK482" s="1080"/>
      <c r="DEL482" s="1080"/>
      <c r="DEM482" s="1080"/>
      <c r="DEN482" s="1080"/>
      <c r="DEO482" s="1080"/>
      <c r="DEP482" s="1080"/>
      <c r="DEQ482" s="1080"/>
      <c r="DER482" s="1080"/>
      <c r="DES482" s="1080"/>
      <c r="DET482" s="1080"/>
      <c r="DEU482" s="1080"/>
      <c r="DEV482" s="1080"/>
      <c r="DEW482" s="1080"/>
      <c r="DEX482" s="1080"/>
      <c r="DEY482" s="1080"/>
      <c r="DEZ482" s="1080"/>
      <c r="DFA482" s="1080"/>
      <c r="DFB482" s="1080"/>
      <c r="DFC482" s="1080"/>
      <c r="DFD482" s="1080"/>
      <c r="DFE482" s="1080"/>
      <c r="DFF482" s="1080"/>
      <c r="DFG482" s="1080"/>
      <c r="DFH482" s="1080"/>
      <c r="DFI482" s="1080"/>
      <c r="DFJ482" s="1080"/>
      <c r="DFK482" s="1080"/>
      <c r="DFL482" s="1080"/>
      <c r="DFM482" s="1080"/>
      <c r="DFN482" s="1080"/>
      <c r="DFO482" s="1080"/>
      <c r="DFP482" s="1080"/>
      <c r="DFQ482" s="1080"/>
      <c r="DFR482" s="1080"/>
      <c r="DFS482" s="1080"/>
      <c r="DFT482" s="1080"/>
      <c r="DFU482" s="1080"/>
      <c r="DFV482" s="1080"/>
      <c r="DFW482" s="1080"/>
      <c r="DFX482" s="1080"/>
      <c r="DFY482" s="1080"/>
      <c r="DFZ482" s="1080"/>
      <c r="DGA482" s="1080"/>
      <c r="DGB482" s="1080"/>
      <c r="DGC482" s="1080"/>
      <c r="DGD482" s="1080"/>
      <c r="DGE482" s="1080"/>
      <c r="DGF482" s="1080"/>
      <c r="DGG482" s="1080"/>
      <c r="DGH482" s="1080"/>
      <c r="DGI482" s="1080"/>
      <c r="DGJ482" s="1080"/>
      <c r="DGK482" s="1080"/>
      <c r="DGL482" s="1080"/>
      <c r="DGM482" s="1080"/>
      <c r="DGN482" s="1080"/>
      <c r="DGO482" s="1080"/>
      <c r="DGP482" s="1080"/>
      <c r="DGQ482" s="1080"/>
      <c r="DGR482" s="1080"/>
      <c r="DGS482" s="1080"/>
      <c r="DGT482" s="1080"/>
      <c r="DGU482" s="1080"/>
      <c r="DGV482" s="1080"/>
      <c r="DGW482" s="1080"/>
      <c r="DGX482" s="1080"/>
      <c r="DGY482" s="1080"/>
      <c r="DGZ482" s="1080"/>
      <c r="DHA482" s="1080"/>
      <c r="DHB482" s="1080"/>
      <c r="DHC482" s="1080"/>
      <c r="DHD482" s="1080"/>
      <c r="DHE482" s="1080"/>
      <c r="DHF482" s="1080"/>
      <c r="DHG482" s="1080"/>
      <c r="DHH482" s="1080"/>
      <c r="DHI482" s="1080"/>
      <c r="DHJ482" s="1080"/>
      <c r="DHK482" s="1080"/>
      <c r="DHL482" s="1080"/>
      <c r="DHM482" s="1080"/>
      <c r="DHN482" s="1080"/>
      <c r="DHO482" s="1080"/>
      <c r="DHP482" s="1080"/>
      <c r="DHQ482" s="1080"/>
      <c r="DHR482" s="1080"/>
      <c r="DHS482" s="1080"/>
      <c r="DHT482" s="1080"/>
      <c r="DHU482" s="1080"/>
      <c r="DHV482" s="1080"/>
      <c r="DHW482" s="1080"/>
      <c r="DHX482" s="1080"/>
      <c r="DHY482" s="1080"/>
      <c r="DHZ482" s="1080"/>
      <c r="DIA482" s="1080"/>
      <c r="DIB482" s="1080"/>
      <c r="DIC482" s="1080"/>
      <c r="DID482" s="1080"/>
      <c r="DIE482" s="1080"/>
      <c r="DIF482" s="1080"/>
      <c r="DIG482" s="1080"/>
      <c r="DIH482" s="1080"/>
      <c r="DII482" s="1080"/>
      <c r="DIJ482" s="1080"/>
      <c r="DIK482" s="1080"/>
      <c r="DIL482" s="1080"/>
      <c r="DIM482" s="1080"/>
      <c r="DIN482" s="1080"/>
      <c r="DIO482" s="1080"/>
      <c r="DIP482" s="1080"/>
      <c r="DIQ482" s="1080"/>
      <c r="DIR482" s="1080"/>
      <c r="DIS482" s="1080"/>
      <c r="DIT482" s="1080"/>
      <c r="DIU482" s="1080"/>
      <c r="DIV482" s="1080"/>
      <c r="DIW482" s="1080"/>
      <c r="DIX482" s="1080"/>
      <c r="DIY482" s="1080"/>
      <c r="DIZ482" s="1080"/>
      <c r="DJA482" s="1080"/>
      <c r="DJB482" s="1080"/>
      <c r="DJC482" s="1080"/>
      <c r="DJD482" s="1080"/>
      <c r="DJE482" s="1080"/>
      <c r="DJF482" s="1080"/>
      <c r="DJG482" s="1080"/>
      <c r="DJH482" s="1080"/>
      <c r="DJI482" s="1080"/>
      <c r="DJJ482" s="1080"/>
      <c r="DJK482" s="1080"/>
      <c r="DJL482" s="1080"/>
      <c r="DJM482" s="1080"/>
      <c r="DJN482" s="1080"/>
      <c r="DJO482" s="1080"/>
      <c r="DJP482" s="1080"/>
      <c r="DJQ482" s="1080"/>
      <c r="DJR482" s="1080"/>
      <c r="DJS482" s="1080"/>
      <c r="DJT482" s="1080"/>
      <c r="DJU482" s="1080"/>
      <c r="DJV482" s="1080"/>
      <c r="DJW482" s="1080"/>
      <c r="DJX482" s="1080"/>
      <c r="DJY482" s="1080"/>
      <c r="DJZ482" s="1080"/>
      <c r="DKA482" s="1080"/>
      <c r="DKB482" s="1080"/>
      <c r="DKC482" s="1080"/>
      <c r="DKD482" s="1080"/>
      <c r="DKE482" s="1080"/>
      <c r="DKF482" s="1080"/>
      <c r="DKG482" s="1080"/>
      <c r="DKH482" s="1080"/>
      <c r="DKI482" s="1080"/>
      <c r="DKJ482" s="1080"/>
      <c r="DKK482" s="1080"/>
      <c r="DKL482" s="1080"/>
      <c r="DKM482" s="1080"/>
      <c r="DKN482" s="1080"/>
      <c r="DKO482" s="1080"/>
      <c r="DKP482" s="1080"/>
      <c r="DKQ482" s="1080"/>
      <c r="DKR482" s="1080"/>
      <c r="DKS482" s="1080"/>
      <c r="DKT482" s="1080"/>
      <c r="DKU482" s="1080"/>
      <c r="DKV482" s="1080"/>
      <c r="DKW482" s="1080"/>
      <c r="DKX482" s="1080"/>
      <c r="DKY482" s="1080"/>
      <c r="DKZ482" s="1080"/>
      <c r="DLA482" s="1080"/>
      <c r="DLB482" s="1080"/>
      <c r="DLC482" s="1080"/>
      <c r="DLD482" s="1080"/>
      <c r="DLE482" s="1080"/>
      <c r="DLF482" s="1080"/>
      <c r="DLG482" s="1080"/>
      <c r="DLH482" s="1080"/>
      <c r="DLI482" s="1080"/>
      <c r="DLJ482" s="1080"/>
      <c r="DLK482" s="1080"/>
      <c r="DLL482" s="1080"/>
      <c r="DLM482" s="1080"/>
      <c r="DLN482" s="1080"/>
      <c r="DLO482" s="1080"/>
      <c r="DLP482" s="1080"/>
      <c r="DLQ482" s="1080"/>
      <c r="DLR482" s="1080"/>
      <c r="DLS482" s="1080"/>
      <c r="DLT482" s="1080"/>
      <c r="DLU482" s="1080"/>
      <c r="DLV482" s="1080"/>
      <c r="DLW482" s="1080"/>
      <c r="DLX482" s="1080"/>
      <c r="DLY482" s="1080"/>
      <c r="DLZ482" s="1080"/>
      <c r="DMA482" s="1080"/>
      <c r="DMB482" s="1080"/>
      <c r="DMC482" s="1080"/>
      <c r="DMD482" s="1080"/>
      <c r="DME482" s="1080"/>
      <c r="DMF482" s="1080"/>
      <c r="DMG482" s="1080"/>
      <c r="DMH482" s="1080"/>
      <c r="DMI482" s="1080"/>
      <c r="DMJ482" s="1080"/>
      <c r="DMK482" s="1080"/>
      <c r="DML482" s="1080"/>
      <c r="DMM482" s="1080"/>
      <c r="DMN482" s="1080"/>
      <c r="DMO482" s="1080"/>
      <c r="DMP482" s="1080"/>
      <c r="DMQ482" s="1080"/>
      <c r="DMR482" s="1080"/>
      <c r="DMS482" s="1080"/>
      <c r="DMT482" s="1080"/>
      <c r="DMU482" s="1080"/>
      <c r="DMV482" s="1080"/>
      <c r="DMW482" s="1080"/>
      <c r="DMX482" s="1080"/>
      <c r="DMY482" s="1080"/>
      <c r="DMZ482" s="1080"/>
      <c r="DNA482" s="1080"/>
      <c r="DNB482" s="1080"/>
      <c r="DNC482" s="1080"/>
      <c r="DND482" s="1080"/>
      <c r="DNE482" s="1080"/>
      <c r="DNF482" s="1080"/>
      <c r="DNG482" s="1080"/>
      <c r="DNH482" s="1080"/>
      <c r="DNI482" s="1080"/>
      <c r="DNJ482" s="1080"/>
      <c r="DNK482" s="1080"/>
      <c r="DNL482" s="1080"/>
      <c r="DNM482" s="1080"/>
      <c r="DNN482" s="1080"/>
      <c r="DNO482" s="1080"/>
      <c r="DNP482" s="1080"/>
      <c r="DNQ482" s="1080"/>
      <c r="DNR482" s="1080"/>
      <c r="DNS482" s="1080"/>
      <c r="DNT482" s="1080"/>
      <c r="DNU482" s="1080"/>
      <c r="DNV482" s="1080"/>
      <c r="DNW482" s="1080"/>
      <c r="DNX482" s="1080"/>
      <c r="DNY482" s="1080"/>
      <c r="DNZ482" s="1080"/>
      <c r="DOA482" s="1080"/>
      <c r="DOB482" s="1080"/>
      <c r="DOC482" s="1080"/>
      <c r="DOD482" s="1080"/>
      <c r="DOE482" s="1080"/>
      <c r="DOF482" s="1080"/>
      <c r="DOG482" s="1080"/>
      <c r="DOH482" s="1080"/>
      <c r="DOI482" s="1080"/>
      <c r="DOJ482" s="1080"/>
      <c r="DOK482" s="1080"/>
      <c r="DOL482" s="1080"/>
      <c r="DOM482" s="1080"/>
      <c r="DON482" s="1080"/>
      <c r="DOO482" s="1080"/>
      <c r="DOP482" s="1080"/>
      <c r="DOQ482" s="1080"/>
      <c r="DOR482" s="1080"/>
      <c r="DOS482" s="1080"/>
      <c r="DOT482" s="1080"/>
      <c r="DOU482" s="1080"/>
      <c r="DOV482" s="1080"/>
      <c r="DOW482" s="1080"/>
      <c r="DOX482" s="1080"/>
      <c r="DOY482" s="1080"/>
      <c r="DOZ482" s="1080"/>
      <c r="DPA482" s="1080"/>
      <c r="DPB482" s="1080"/>
      <c r="DPC482" s="1080"/>
      <c r="DPD482" s="1080"/>
      <c r="DPE482" s="1080"/>
      <c r="DPF482" s="1080"/>
      <c r="DPG482" s="1080"/>
      <c r="DPH482" s="1080"/>
      <c r="DPI482" s="1080"/>
      <c r="DPJ482" s="1080"/>
      <c r="DPK482" s="1080"/>
      <c r="DPL482" s="1080"/>
      <c r="DPM482" s="1080"/>
      <c r="DPN482" s="1080"/>
      <c r="DPO482" s="1080"/>
      <c r="DPP482" s="1080"/>
      <c r="DPQ482" s="1080"/>
      <c r="DPR482" s="1080"/>
      <c r="DPS482" s="1080"/>
      <c r="DPT482" s="1080"/>
      <c r="DPU482" s="1080"/>
      <c r="DPV482" s="1080"/>
      <c r="DPW482" s="1080"/>
      <c r="DPX482" s="1080"/>
      <c r="DPY482" s="1080"/>
      <c r="DPZ482" s="1080"/>
      <c r="DQA482" s="1080"/>
      <c r="DQB482" s="1080"/>
      <c r="DQC482" s="1080"/>
      <c r="DQD482" s="1080"/>
      <c r="DQE482" s="1080"/>
      <c r="DQF482" s="1080"/>
      <c r="DQG482" s="1080"/>
      <c r="DQH482" s="1080"/>
      <c r="DQI482" s="1080"/>
      <c r="DQJ482" s="1080"/>
      <c r="DQK482" s="1080"/>
      <c r="DQL482" s="1080"/>
      <c r="DQM482" s="1080"/>
      <c r="DQN482" s="1080"/>
      <c r="DQO482" s="1080"/>
      <c r="DQP482" s="1080"/>
      <c r="DQQ482" s="1080"/>
      <c r="DQR482" s="1080"/>
      <c r="DQS482" s="1080"/>
      <c r="DQT482" s="1080"/>
      <c r="DQU482" s="1080"/>
      <c r="DQV482" s="1080"/>
      <c r="DQW482" s="1080"/>
      <c r="DQX482" s="1080"/>
      <c r="DQY482" s="1080"/>
      <c r="DQZ482" s="1080"/>
      <c r="DRA482" s="1080"/>
      <c r="DRB482" s="1080"/>
      <c r="DRC482" s="1080"/>
      <c r="DRD482" s="1080"/>
      <c r="DRE482" s="1080"/>
      <c r="DRF482" s="1080"/>
      <c r="DRG482" s="1080"/>
      <c r="DRH482" s="1080"/>
      <c r="DRI482" s="1080"/>
      <c r="DRJ482" s="1080"/>
      <c r="DRK482" s="1080"/>
      <c r="DRL482" s="1080"/>
      <c r="DRM482" s="1080"/>
      <c r="DRN482" s="1080"/>
      <c r="DRO482" s="1080"/>
      <c r="DRP482" s="1080"/>
      <c r="DRQ482" s="1080"/>
      <c r="DRR482" s="1080"/>
      <c r="DRS482" s="1080"/>
      <c r="DRT482" s="1080"/>
      <c r="DRU482" s="1080"/>
      <c r="DRV482" s="1080"/>
      <c r="DRW482" s="1080"/>
      <c r="DRX482" s="1080"/>
      <c r="DRY482" s="1080"/>
      <c r="DRZ482" s="1080"/>
      <c r="DSA482" s="1080"/>
      <c r="DSB482" s="1080"/>
      <c r="DSC482" s="1080"/>
      <c r="DSD482" s="1080"/>
      <c r="DSE482" s="1080"/>
      <c r="DSF482" s="1080"/>
      <c r="DSG482" s="1080"/>
      <c r="DSH482" s="1080"/>
      <c r="DSI482" s="1080"/>
      <c r="DSJ482" s="1080"/>
      <c r="DSK482" s="1080"/>
      <c r="DSL482" s="1080"/>
      <c r="DSM482" s="1080"/>
      <c r="DSN482" s="1080"/>
      <c r="DSO482" s="1080"/>
      <c r="DSP482" s="1080"/>
      <c r="DSQ482" s="1080"/>
      <c r="DSR482" s="1080"/>
      <c r="DSS482" s="1080"/>
      <c r="DST482" s="1080"/>
      <c r="DSU482" s="1080"/>
      <c r="DSV482" s="1080"/>
      <c r="DSW482" s="1080"/>
      <c r="DSX482" s="1080"/>
      <c r="DSY482" s="1080"/>
      <c r="DSZ482" s="1080"/>
      <c r="DTA482" s="1080"/>
      <c r="DTB482" s="1080"/>
      <c r="DTC482" s="1080"/>
      <c r="DTD482" s="1080"/>
      <c r="DTE482" s="1080"/>
      <c r="DTF482" s="1080"/>
      <c r="DTG482" s="1080"/>
      <c r="DTH482" s="1080"/>
      <c r="DTI482" s="1080"/>
      <c r="DTJ482" s="1080"/>
      <c r="DTK482" s="1080"/>
      <c r="DTL482" s="1080"/>
      <c r="DTM482" s="1080"/>
      <c r="DTN482" s="1080"/>
      <c r="DTO482" s="1080"/>
      <c r="DTP482" s="1080"/>
      <c r="DTQ482" s="1080"/>
      <c r="DTR482" s="1080"/>
      <c r="DTS482" s="1080"/>
      <c r="DTT482" s="1080"/>
      <c r="DTU482" s="1080"/>
      <c r="DTV482" s="1080"/>
      <c r="DTW482" s="1080"/>
      <c r="DTX482" s="1080"/>
      <c r="DTY482" s="1080"/>
      <c r="DTZ482" s="1080"/>
      <c r="DUA482" s="1080"/>
      <c r="DUB482" s="1080"/>
      <c r="DUC482" s="1080"/>
      <c r="DUD482" s="1080"/>
      <c r="DUE482" s="1080"/>
      <c r="DUF482" s="1080"/>
      <c r="DUG482" s="1080"/>
      <c r="DUH482" s="1080"/>
      <c r="DUI482" s="1080"/>
      <c r="DUJ482" s="1080"/>
      <c r="DUK482" s="1080"/>
      <c r="DUL482" s="1080"/>
      <c r="DUM482" s="1080"/>
      <c r="DUN482" s="1080"/>
      <c r="DUO482" s="1080"/>
      <c r="DUP482" s="1080"/>
      <c r="DUQ482" s="1080"/>
      <c r="DUR482" s="1080"/>
      <c r="DUS482" s="1080"/>
      <c r="DUT482" s="1080"/>
      <c r="DUU482" s="1080"/>
      <c r="DUV482" s="1080"/>
      <c r="DUW482" s="1080"/>
      <c r="DUX482" s="1080"/>
      <c r="DUY482" s="1080"/>
      <c r="DUZ482" s="1080"/>
      <c r="DVA482" s="1080"/>
      <c r="DVB482" s="1080"/>
      <c r="DVC482" s="1080"/>
      <c r="DVD482" s="1080"/>
      <c r="DVE482" s="1080"/>
      <c r="DVF482" s="1080"/>
      <c r="DVG482" s="1080"/>
      <c r="DVH482" s="1080"/>
      <c r="DVI482" s="1080"/>
      <c r="DVJ482" s="1080"/>
      <c r="DVK482" s="1080"/>
      <c r="DVL482" s="1080"/>
      <c r="DVM482" s="1080"/>
      <c r="DVN482" s="1080"/>
      <c r="DVO482" s="1080"/>
      <c r="DVP482" s="1080"/>
      <c r="DVQ482" s="1080"/>
      <c r="DVR482" s="1080"/>
      <c r="DVS482" s="1080"/>
      <c r="DVT482" s="1080"/>
      <c r="DVU482" s="1080"/>
      <c r="DVV482" s="1080"/>
      <c r="DVW482" s="1080"/>
      <c r="DVX482" s="1080"/>
      <c r="DVY482" s="1080"/>
      <c r="DVZ482" s="1080"/>
      <c r="DWA482" s="1080"/>
      <c r="DWB482" s="1080"/>
      <c r="DWC482" s="1080"/>
      <c r="DWD482" s="1080"/>
      <c r="DWE482" s="1080"/>
      <c r="DWF482" s="1080"/>
      <c r="DWG482" s="1080"/>
      <c r="DWH482" s="1080"/>
      <c r="DWI482" s="1080"/>
      <c r="DWJ482" s="1080"/>
      <c r="DWK482" s="1080"/>
      <c r="DWL482" s="1080"/>
      <c r="DWM482" s="1080"/>
      <c r="DWN482" s="1080"/>
      <c r="DWO482" s="1080"/>
      <c r="DWP482" s="1080"/>
      <c r="DWQ482" s="1080"/>
      <c r="DWR482" s="1080"/>
      <c r="DWS482" s="1080"/>
      <c r="DWT482" s="1080"/>
      <c r="DWU482" s="1080"/>
      <c r="DWV482" s="1080"/>
      <c r="DWW482" s="1080"/>
      <c r="DWX482" s="1080"/>
      <c r="DWY482" s="1080"/>
      <c r="DWZ482" s="1080"/>
      <c r="DXA482" s="1080"/>
      <c r="DXB482" s="1080"/>
      <c r="DXC482" s="1080"/>
      <c r="DXD482" s="1080"/>
      <c r="DXE482" s="1080"/>
      <c r="DXF482" s="1080"/>
      <c r="DXG482" s="1080"/>
      <c r="DXH482" s="1080"/>
      <c r="DXI482" s="1080"/>
      <c r="DXJ482" s="1080"/>
      <c r="DXK482" s="1080"/>
      <c r="DXL482" s="1080"/>
      <c r="DXM482" s="1080"/>
      <c r="DXN482" s="1080"/>
      <c r="DXO482" s="1080"/>
      <c r="DXP482" s="1080"/>
      <c r="DXQ482" s="1080"/>
      <c r="DXR482" s="1080"/>
      <c r="DXS482" s="1080"/>
      <c r="DXT482" s="1080"/>
      <c r="DXU482" s="1080"/>
      <c r="DXV482" s="1080"/>
      <c r="DXW482" s="1080"/>
      <c r="DXX482" s="1080"/>
      <c r="DXY482" s="1080"/>
      <c r="DXZ482" s="1080"/>
      <c r="DYA482" s="1080"/>
      <c r="DYB482" s="1080"/>
      <c r="DYC482" s="1080"/>
      <c r="DYD482" s="1080"/>
      <c r="DYE482" s="1080"/>
      <c r="DYF482" s="1080"/>
      <c r="DYG482" s="1080"/>
      <c r="DYH482" s="1080"/>
      <c r="DYI482" s="1080"/>
      <c r="DYJ482" s="1080"/>
      <c r="DYK482" s="1080"/>
      <c r="DYL482" s="1080"/>
      <c r="DYM482" s="1080"/>
      <c r="DYN482" s="1080"/>
      <c r="DYO482" s="1080"/>
      <c r="DYP482" s="1080"/>
      <c r="DYQ482" s="1080"/>
      <c r="DYR482" s="1080"/>
      <c r="DYS482" s="1080"/>
      <c r="DYT482" s="1080"/>
      <c r="DYU482" s="1080"/>
      <c r="DYV482" s="1080"/>
      <c r="DYW482" s="1080"/>
      <c r="DYX482" s="1080"/>
      <c r="DYY482" s="1080"/>
      <c r="DYZ482" s="1080"/>
      <c r="DZA482" s="1080"/>
      <c r="DZB482" s="1080"/>
      <c r="DZC482" s="1080"/>
      <c r="DZD482" s="1080"/>
      <c r="DZE482" s="1080"/>
      <c r="DZF482" s="1080"/>
      <c r="DZG482" s="1080"/>
      <c r="DZH482" s="1080"/>
      <c r="DZI482" s="1080"/>
      <c r="DZJ482" s="1080"/>
      <c r="DZK482" s="1080"/>
      <c r="DZL482" s="1080"/>
      <c r="DZM482" s="1080"/>
      <c r="DZN482" s="1080"/>
      <c r="DZO482" s="1080"/>
      <c r="DZP482" s="1080"/>
      <c r="DZQ482" s="1080"/>
      <c r="DZR482" s="1080"/>
      <c r="DZS482" s="1080"/>
      <c r="DZT482" s="1080"/>
      <c r="DZU482" s="1080"/>
      <c r="DZV482" s="1080"/>
      <c r="DZW482" s="1080"/>
      <c r="DZX482" s="1080"/>
      <c r="DZY482" s="1080"/>
      <c r="DZZ482" s="1080"/>
      <c r="EAA482" s="1080"/>
      <c r="EAB482" s="1080"/>
      <c r="EAC482" s="1080"/>
      <c r="EAD482" s="1080"/>
      <c r="EAE482" s="1080"/>
      <c r="EAF482" s="1080"/>
      <c r="EAG482" s="1080"/>
      <c r="EAH482" s="1080"/>
      <c r="EAI482" s="1080"/>
      <c r="EAJ482" s="1080"/>
      <c r="EAK482" s="1080"/>
      <c r="EAL482" s="1080"/>
      <c r="EAM482" s="1080"/>
      <c r="EAN482" s="1080"/>
      <c r="EAO482" s="1080"/>
      <c r="EAP482" s="1080"/>
      <c r="EAQ482" s="1080"/>
      <c r="EAR482" s="1080"/>
      <c r="EAS482" s="1080"/>
      <c r="EAT482" s="1080"/>
      <c r="EAU482" s="1080"/>
      <c r="EAV482" s="1080"/>
      <c r="EAW482" s="1080"/>
      <c r="EAX482" s="1080"/>
      <c r="EAY482" s="1080"/>
      <c r="EAZ482" s="1080"/>
      <c r="EBA482" s="1080"/>
      <c r="EBB482" s="1080"/>
      <c r="EBC482" s="1080"/>
      <c r="EBD482" s="1080"/>
      <c r="EBE482" s="1080"/>
      <c r="EBF482" s="1080"/>
      <c r="EBG482" s="1080"/>
      <c r="EBH482" s="1080"/>
      <c r="EBI482" s="1080"/>
      <c r="EBJ482" s="1080"/>
      <c r="EBK482" s="1080"/>
      <c r="EBL482" s="1080"/>
      <c r="EBM482" s="1080"/>
      <c r="EBN482" s="1080"/>
      <c r="EBO482" s="1080"/>
      <c r="EBP482" s="1080"/>
      <c r="EBQ482" s="1080"/>
      <c r="EBR482" s="1080"/>
      <c r="EBS482" s="1080"/>
      <c r="EBT482" s="1080"/>
      <c r="EBU482" s="1080"/>
      <c r="EBV482" s="1080"/>
      <c r="EBW482" s="1080"/>
      <c r="EBX482" s="1080"/>
      <c r="EBY482" s="1080"/>
      <c r="EBZ482" s="1080"/>
      <c r="ECA482" s="1080"/>
      <c r="ECB482" s="1080"/>
      <c r="ECC482" s="1080"/>
      <c r="ECD482" s="1080"/>
      <c r="ECE482" s="1080"/>
      <c r="ECF482" s="1080"/>
      <c r="ECG482" s="1080"/>
      <c r="ECH482" s="1080"/>
      <c r="ECI482" s="1080"/>
      <c r="ECJ482" s="1080"/>
      <c r="ECK482" s="1080"/>
      <c r="ECL482" s="1080"/>
      <c r="ECM482" s="1080"/>
      <c r="ECN482" s="1080"/>
      <c r="ECO482" s="1080"/>
      <c r="ECP482" s="1080"/>
      <c r="ECQ482" s="1080"/>
      <c r="ECR482" s="1080"/>
      <c r="ECS482" s="1080"/>
      <c r="ECT482" s="1080"/>
      <c r="ECU482" s="1080"/>
      <c r="ECV482" s="1080"/>
      <c r="ECW482" s="1080"/>
      <c r="ECX482" s="1080"/>
      <c r="ECY482" s="1080"/>
      <c r="ECZ482" s="1080"/>
      <c r="EDA482" s="1080"/>
      <c r="EDB482" s="1080"/>
      <c r="EDC482" s="1080"/>
      <c r="EDD482" s="1080"/>
      <c r="EDE482" s="1080"/>
      <c r="EDF482" s="1080"/>
      <c r="EDG482" s="1080"/>
      <c r="EDH482" s="1080"/>
      <c r="EDI482" s="1080"/>
      <c r="EDJ482" s="1080"/>
      <c r="EDK482" s="1080"/>
      <c r="EDL482" s="1080"/>
      <c r="EDM482" s="1080"/>
      <c r="EDN482" s="1080"/>
      <c r="EDO482" s="1080"/>
      <c r="EDP482" s="1080"/>
      <c r="EDQ482" s="1080"/>
      <c r="EDR482" s="1080"/>
      <c r="EDS482" s="1080"/>
      <c r="EDT482" s="1080"/>
      <c r="EDU482" s="1080"/>
      <c r="EDV482" s="1080"/>
      <c r="EDW482" s="1080"/>
      <c r="EDX482" s="1080"/>
      <c r="EDY482" s="1080"/>
      <c r="EDZ482" s="1080"/>
      <c r="EEA482" s="1080"/>
      <c r="EEB482" s="1080"/>
      <c r="EEC482" s="1080"/>
      <c r="EED482" s="1080"/>
      <c r="EEE482" s="1080"/>
      <c r="EEF482" s="1080"/>
      <c r="EEG482" s="1080"/>
      <c r="EEH482" s="1080"/>
      <c r="EEI482" s="1080"/>
      <c r="EEJ482" s="1080"/>
      <c r="EEK482" s="1080"/>
      <c r="EEL482" s="1080"/>
      <c r="EEM482" s="1080"/>
      <c r="EEN482" s="1080"/>
      <c r="EEO482" s="1080"/>
      <c r="EEP482" s="1080"/>
      <c r="EEQ482" s="1080"/>
      <c r="EER482" s="1080"/>
      <c r="EES482" s="1080"/>
      <c r="EET482" s="1080"/>
      <c r="EEU482" s="1080"/>
      <c r="EEV482" s="1080"/>
      <c r="EEW482" s="1080"/>
      <c r="EEX482" s="1080"/>
      <c r="EEY482" s="1080"/>
      <c r="EEZ482" s="1080"/>
      <c r="EFA482" s="1080"/>
      <c r="EFB482" s="1080"/>
      <c r="EFC482" s="1080"/>
      <c r="EFD482" s="1080"/>
      <c r="EFE482" s="1080"/>
      <c r="EFF482" s="1080"/>
      <c r="EFG482" s="1080"/>
      <c r="EFH482" s="1080"/>
      <c r="EFI482" s="1080"/>
      <c r="EFJ482" s="1080"/>
      <c r="EFK482" s="1080"/>
      <c r="EFL482" s="1080"/>
      <c r="EFM482" s="1080"/>
      <c r="EFN482" s="1080"/>
      <c r="EFO482" s="1080"/>
      <c r="EFP482" s="1080"/>
      <c r="EFQ482" s="1080"/>
      <c r="EFR482" s="1080"/>
      <c r="EFS482" s="1080"/>
      <c r="EFT482" s="1080"/>
      <c r="EFU482" s="1080"/>
      <c r="EFV482" s="1080"/>
      <c r="EFW482" s="1080"/>
      <c r="EFX482" s="1080"/>
      <c r="EFY482" s="1080"/>
      <c r="EFZ482" s="1080"/>
      <c r="EGA482" s="1080"/>
      <c r="EGB482" s="1080"/>
      <c r="EGC482" s="1080"/>
      <c r="EGD482" s="1080"/>
      <c r="EGE482" s="1080"/>
      <c r="EGF482" s="1080"/>
      <c r="EGG482" s="1080"/>
      <c r="EGH482" s="1080"/>
      <c r="EGI482" s="1080"/>
      <c r="EGJ482" s="1080"/>
      <c r="EGK482" s="1080"/>
      <c r="EGL482" s="1080"/>
      <c r="EGM482" s="1080"/>
      <c r="EGN482" s="1080"/>
      <c r="EGO482" s="1080"/>
      <c r="EGP482" s="1080"/>
      <c r="EGQ482" s="1080"/>
      <c r="EGR482" s="1080"/>
      <c r="EGS482" s="1080"/>
      <c r="EGT482" s="1080"/>
      <c r="EGU482" s="1080"/>
      <c r="EGV482" s="1080"/>
      <c r="EGW482" s="1080"/>
      <c r="EGX482" s="1080"/>
      <c r="EGY482" s="1080"/>
      <c r="EGZ482" s="1080"/>
      <c r="EHA482" s="1080"/>
      <c r="EHB482" s="1080"/>
      <c r="EHC482" s="1080"/>
      <c r="EHD482" s="1080"/>
      <c r="EHE482" s="1080"/>
      <c r="EHF482" s="1080"/>
      <c r="EHG482" s="1080"/>
      <c r="EHH482" s="1080"/>
      <c r="EHI482" s="1080"/>
      <c r="EHJ482" s="1080"/>
      <c r="EHK482" s="1080"/>
      <c r="EHL482" s="1080"/>
      <c r="EHM482" s="1080"/>
      <c r="EHN482" s="1080"/>
      <c r="EHO482" s="1080"/>
      <c r="EHP482" s="1080"/>
      <c r="EHQ482" s="1080"/>
      <c r="EHR482" s="1080"/>
      <c r="EHS482" s="1080"/>
      <c r="EHT482" s="1080"/>
      <c r="EHU482" s="1080"/>
      <c r="EHV482" s="1080"/>
      <c r="EHW482" s="1080"/>
      <c r="EHX482" s="1080"/>
      <c r="EHY482" s="1080"/>
      <c r="EHZ482" s="1080"/>
      <c r="EIA482" s="1080"/>
      <c r="EIB482" s="1080"/>
      <c r="EIC482" s="1080"/>
      <c r="EID482" s="1080"/>
      <c r="EIE482" s="1080"/>
      <c r="EIF482" s="1080"/>
      <c r="EIG482" s="1080"/>
      <c r="EIH482" s="1080"/>
      <c r="EII482" s="1080"/>
      <c r="EIJ482" s="1080"/>
      <c r="EIK482" s="1080"/>
      <c r="EIL482" s="1080"/>
      <c r="EIM482" s="1080"/>
      <c r="EIN482" s="1080"/>
      <c r="EIO482" s="1080"/>
      <c r="EIP482" s="1080"/>
      <c r="EIQ482" s="1080"/>
      <c r="EIR482" s="1080"/>
      <c r="EIS482" s="1080"/>
      <c r="EIT482" s="1080"/>
      <c r="EIU482" s="1080"/>
      <c r="EIV482" s="1080"/>
      <c r="EIW482" s="1080"/>
      <c r="EIX482" s="1080"/>
      <c r="EIY482" s="1080"/>
      <c r="EIZ482" s="1080"/>
      <c r="EJA482" s="1080"/>
      <c r="EJB482" s="1080"/>
      <c r="EJC482" s="1080"/>
      <c r="EJD482" s="1080"/>
      <c r="EJE482" s="1080"/>
      <c r="EJF482" s="1080"/>
      <c r="EJG482" s="1080"/>
      <c r="EJH482" s="1080"/>
      <c r="EJI482" s="1080"/>
      <c r="EJJ482" s="1080"/>
      <c r="EJK482" s="1080"/>
      <c r="EJL482" s="1080"/>
      <c r="EJM482" s="1080"/>
      <c r="EJN482" s="1080"/>
      <c r="EJO482" s="1080"/>
      <c r="EJP482" s="1080"/>
      <c r="EJQ482" s="1080"/>
      <c r="EJR482" s="1080"/>
      <c r="EJS482" s="1080"/>
      <c r="EJT482" s="1080"/>
      <c r="EJU482" s="1080"/>
      <c r="EJV482" s="1080"/>
      <c r="EJW482" s="1080"/>
      <c r="EJX482" s="1080"/>
      <c r="EJY482" s="1080"/>
      <c r="EJZ482" s="1080"/>
      <c r="EKA482" s="1080"/>
      <c r="EKB482" s="1080"/>
      <c r="EKC482" s="1080"/>
      <c r="EKD482" s="1080"/>
      <c r="EKE482" s="1080"/>
      <c r="EKF482" s="1080"/>
      <c r="EKG482" s="1080"/>
      <c r="EKH482" s="1080"/>
      <c r="EKI482" s="1080"/>
      <c r="EKJ482" s="1080"/>
      <c r="EKK482" s="1080"/>
      <c r="EKL482" s="1080"/>
      <c r="EKM482" s="1080"/>
      <c r="EKN482" s="1080"/>
      <c r="EKO482" s="1080"/>
      <c r="EKP482" s="1080"/>
      <c r="EKQ482" s="1080"/>
      <c r="EKR482" s="1080"/>
      <c r="EKS482" s="1080"/>
      <c r="EKT482" s="1080"/>
      <c r="EKU482" s="1080"/>
      <c r="EKV482" s="1080"/>
      <c r="EKW482" s="1080"/>
      <c r="EKX482" s="1080"/>
      <c r="EKY482" s="1080"/>
      <c r="EKZ482" s="1080"/>
      <c r="ELA482" s="1080"/>
      <c r="ELB482" s="1080"/>
      <c r="ELC482" s="1080"/>
      <c r="ELD482" s="1080"/>
      <c r="ELE482" s="1080"/>
      <c r="ELF482" s="1080"/>
      <c r="ELG482" s="1080"/>
      <c r="ELH482" s="1080"/>
      <c r="ELI482" s="1080"/>
      <c r="ELJ482" s="1080"/>
      <c r="ELK482" s="1080"/>
      <c r="ELL482" s="1080"/>
      <c r="ELM482" s="1080"/>
      <c r="ELN482" s="1080"/>
      <c r="ELO482" s="1080"/>
      <c r="ELP482" s="1080"/>
      <c r="ELQ482" s="1080"/>
      <c r="ELR482" s="1080"/>
      <c r="ELS482" s="1080"/>
      <c r="ELT482" s="1080"/>
      <c r="ELU482" s="1080"/>
      <c r="ELV482" s="1080"/>
      <c r="ELW482" s="1080"/>
      <c r="ELX482" s="1080"/>
      <c r="ELY482" s="1080"/>
      <c r="ELZ482" s="1080"/>
      <c r="EMA482" s="1080"/>
      <c r="EMB482" s="1080"/>
      <c r="EMC482" s="1080"/>
      <c r="EMD482" s="1080"/>
      <c r="EME482" s="1080"/>
      <c r="EMF482" s="1080"/>
      <c r="EMG482" s="1080"/>
      <c r="EMH482" s="1080"/>
      <c r="EMI482" s="1080"/>
      <c r="EMJ482" s="1080"/>
      <c r="EMK482" s="1080"/>
      <c r="EML482" s="1080"/>
      <c r="EMM482" s="1080"/>
      <c r="EMN482" s="1080"/>
      <c r="EMO482" s="1080"/>
      <c r="EMP482" s="1080"/>
      <c r="EMQ482" s="1080"/>
      <c r="EMR482" s="1080"/>
      <c r="EMS482" s="1080"/>
      <c r="EMT482" s="1080"/>
      <c r="EMU482" s="1080"/>
      <c r="EMV482" s="1080"/>
      <c r="EMW482" s="1080"/>
      <c r="EMX482" s="1080"/>
      <c r="EMY482" s="1080"/>
      <c r="EMZ482" s="1080"/>
      <c r="ENA482" s="1080"/>
      <c r="ENB482" s="1080"/>
      <c r="ENC482" s="1080"/>
      <c r="END482" s="1080"/>
      <c r="ENE482" s="1080"/>
      <c r="ENF482" s="1080"/>
      <c r="ENG482" s="1080"/>
      <c r="ENH482" s="1080"/>
      <c r="ENI482" s="1080"/>
      <c r="ENJ482" s="1080"/>
      <c r="ENK482" s="1080"/>
      <c r="ENL482" s="1080"/>
      <c r="ENM482" s="1080"/>
      <c r="ENN482" s="1080"/>
      <c r="ENO482" s="1080"/>
      <c r="ENP482" s="1080"/>
      <c r="ENQ482" s="1080"/>
      <c r="ENR482" s="1080"/>
      <c r="ENS482" s="1080"/>
      <c r="ENT482" s="1080"/>
      <c r="ENU482" s="1080"/>
      <c r="ENV482" s="1080"/>
      <c r="ENW482" s="1080"/>
      <c r="ENX482" s="1080"/>
      <c r="ENY482" s="1080"/>
      <c r="ENZ482" s="1080"/>
      <c r="EOA482" s="1080"/>
      <c r="EOB482" s="1080"/>
      <c r="EOC482" s="1080"/>
      <c r="EOD482" s="1080"/>
      <c r="EOE482" s="1080"/>
      <c r="EOF482" s="1080"/>
      <c r="EOG482" s="1080"/>
      <c r="EOH482" s="1080"/>
      <c r="EOI482" s="1080"/>
      <c r="EOJ482" s="1080"/>
      <c r="EOK482" s="1080"/>
      <c r="EOL482" s="1080"/>
      <c r="EOM482" s="1080"/>
      <c r="EON482" s="1080"/>
      <c r="EOO482" s="1080"/>
      <c r="EOP482" s="1080"/>
      <c r="EOQ482" s="1080"/>
      <c r="EOR482" s="1080"/>
      <c r="EOS482" s="1080"/>
      <c r="EOT482" s="1080"/>
      <c r="EOU482" s="1080"/>
      <c r="EOV482" s="1080"/>
      <c r="EOW482" s="1080"/>
      <c r="EOX482" s="1080"/>
      <c r="EOY482" s="1080"/>
      <c r="EOZ482" s="1080"/>
      <c r="EPA482" s="1080"/>
      <c r="EPB482" s="1080"/>
      <c r="EPC482" s="1080"/>
      <c r="EPD482" s="1080"/>
      <c r="EPE482" s="1080"/>
      <c r="EPF482" s="1080"/>
      <c r="EPG482" s="1080"/>
      <c r="EPH482" s="1080"/>
      <c r="EPI482" s="1080"/>
      <c r="EPJ482" s="1080"/>
      <c r="EPK482" s="1080"/>
      <c r="EPL482" s="1080"/>
      <c r="EPM482" s="1080"/>
      <c r="EPN482" s="1080"/>
      <c r="EPO482" s="1080"/>
      <c r="EPP482" s="1080"/>
      <c r="EPQ482" s="1080"/>
      <c r="EPR482" s="1080"/>
      <c r="EPS482" s="1080"/>
      <c r="EPT482" s="1080"/>
      <c r="EPU482" s="1080"/>
      <c r="EPV482" s="1080"/>
      <c r="EPW482" s="1080"/>
      <c r="EPX482" s="1080"/>
      <c r="EPY482" s="1080"/>
      <c r="EPZ482" s="1080"/>
      <c r="EQA482" s="1080"/>
      <c r="EQB482" s="1080"/>
      <c r="EQC482" s="1080"/>
      <c r="EQD482" s="1080"/>
      <c r="EQE482" s="1080"/>
      <c r="EQF482" s="1080"/>
      <c r="EQG482" s="1080"/>
      <c r="EQH482" s="1080"/>
      <c r="EQI482" s="1080"/>
      <c r="EQJ482" s="1080"/>
      <c r="EQK482" s="1080"/>
      <c r="EQL482" s="1080"/>
      <c r="EQM482" s="1080"/>
      <c r="EQN482" s="1080"/>
      <c r="EQO482" s="1080"/>
      <c r="EQP482" s="1080"/>
      <c r="EQQ482" s="1080"/>
      <c r="EQR482" s="1080"/>
      <c r="EQS482" s="1080"/>
      <c r="EQT482" s="1080"/>
      <c r="EQU482" s="1080"/>
      <c r="EQV482" s="1080"/>
      <c r="EQW482" s="1080"/>
      <c r="EQX482" s="1080"/>
      <c r="EQY482" s="1080"/>
      <c r="EQZ482" s="1080"/>
      <c r="ERA482" s="1080"/>
      <c r="ERB482" s="1080"/>
      <c r="ERC482" s="1080"/>
      <c r="ERD482" s="1080"/>
      <c r="ERE482" s="1080"/>
      <c r="ERF482" s="1080"/>
      <c r="ERG482" s="1080"/>
      <c r="ERH482" s="1080"/>
      <c r="ERI482" s="1080"/>
      <c r="ERJ482" s="1080"/>
      <c r="ERK482" s="1080"/>
      <c r="ERL482" s="1080"/>
      <c r="ERM482" s="1080"/>
      <c r="ERN482" s="1080"/>
      <c r="ERO482" s="1080"/>
      <c r="ERP482" s="1080"/>
      <c r="ERQ482" s="1080"/>
      <c r="ERR482" s="1080"/>
      <c r="ERS482" s="1080"/>
      <c r="ERT482" s="1080"/>
      <c r="ERU482" s="1080"/>
      <c r="ERV482" s="1080"/>
      <c r="ERW482" s="1080"/>
      <c r="ERX482" s="1080"/>
      <c r="ERY482" s="1080"/>
      <c r="ERZ482" s="1080"/>
      <c r="ESA482" s="1080"/>
      <c r="ESB482" s="1080"/>
      <c r="ESC482" s="1080"/>
      <c r="ESD482" s="1080"/>
      <c r="ESE482" s="1080"/>
      <c r="ESF482" s="1080"/>
      <c r="ESG482" s="1080"/>
      <c r="ESH482" s="1080"/>
      <c r="ESI482" s="1080"/>
      <c r="ESJ482" s="1080"/>
      <c r="ESK482" s="1080"/>
      <c r="ESL482" s="1080"/>
      <c r="ESM482" s="1080"/>
      <c r="ESN482" s="1080"/>
      <c r="ESO482" s="1080"/>
      <c r="ESP482" s="1080"/>
      <c r="ESQ482" s="1080"/>
      <c r="ESR482" s="1080"/>
      <c r="ESS482" s="1080"/>
      <c r="EST482" s="1080"/>
      <c r="ESU482" s="1080"/>
      <c r="ESV482" s="1080"/>
      <c r="ESW482" s="1080"/>
      <c r="ESX482" s="1080"/>
      <c r="ESY482" s="1080"/>
      <c r="ESZ482" s="1080"/>
      <c r="ETA482" s="1080"/>
      <c r="ETB482" s="1080"/>
      <c r="ETC482" s="1080"/>
      <c r="ETD482" s="1080"/>
      <c r="ETE482" s="1080"/>
      <c r="ETF482" s="1080"/>
      <c r="ETG482" s="1080"/>
      <c r="ETH482" s="1080"/>
      <c r="ETI482" s="1080"/>
      <c r="ETJ482" s="1080"/>
      <c r="ETK482" s="1080"/>
      <c r="ETL482" s="1080"/>
      <c r="ETM482" s="1080"/>
      <c r="ETN482" s="1080"/>
      <c r="ETO482" s="1080"/>
      <c r="ETP482" s="1080"/>
      <c r="ETQ482" s="1080"/>
      <c r="ETR482" s="1080"/>
      <c r="ETS482" s="1080"/>
      <c r="ETT482" s="1080"/>
      <c r="ETU482" s="1080"/>
      <c r="ETV482" s="1080"/>
      <c r="ETW482" s="1080"/>
      <c r="ETX482" s="1080"/>
      <c r="ETY482" s="1080"/>
      <c r="ETZ482" s="1080"/>
      <c r="EUA482" s="1080"/>
      <c r="EUB482" s="1080"/>
      <c r="EUC482" s="1080"/>
      <c r="EUD482" s="1080"/>
      <c r="EUE482" s="1080"/>
      <c r="EUF482" s="1080"/>
      <c r="EUG482" s="1080"/>
      <c r="EUH482" s="1080"/>
      <c r="EUI482" s="1080"/>
      <c r="EUJ482" s="1080"/>
      <c r="EUK482" s="1080"/>
      <c r="EUL482" s="1080"/>
      <c r="EUM482" s="1080"/>
      <c r="EUN482" s="1080"/>
      <c r="EUO482" s="1080"/>
      <c r="EUP482" s="1080"/>
      <c r="EUQ482" s="1080"/>
      <c r="EUR482" s="1080"/>
      <c r="EUS482" s="1080"/>
      <c r="EUT482" s="1080"/>
      <c r="EUU482" s="1080"/>
      <c r="EUV482" s="1080"/>
      <c r="EUW482" s="1080"/>
      <c r="EUX482" s="1080"/>
      <c r="EUY482" s="1080"/>
      <c r="EUZ482" s="1080"/>
      <c r="EVA482" s="1080"/>
      <c r="EVB482" s="1080"/>
      <c r="EVC482" s="1080"/>
      <c r="EVD482" s="1080"/>
      <c r="EVE482" s="1080"/>
      <c r="EVF482" s="1080"/>
      <c r="EVG482" s="1080"/>
      <c r="EVH482" s="1080"/>
      <c r="EVI482" s="1080"/>
      <c r="EVJ482" s="1080"/>
      <c r="EVK482" s="1080"/>
      <c r="EVL482" s="1080"/>
      <c r="EVM482" s="1080"/>
      <c r="EVN482" s="1080"/>
      <c r="EVO482" s="1080"/>
      <c r="EVP482" s="1080"/>
      <c r="EVQ482" s="1080"/>
      <c r="EVR482" s="1080"/>
      <c r="EVS482" s="1080"/>
      <c r="EVT482" s="1080"/>
      <c r="EVU482" s="1080"/>
      <c r="EVV482" s="1080"/>
      <c r="EVW482" s="1080"/>
      <c r="EVX482" s="1080"/>
      <c r="EVY482" s="1080"/>
      <c r="EVZ482" s="1080"/>
      <c r="EWA482" s="1080"/>
      <c r="EWB482" s="1080"/>
      <c r="EWC482" s="1080"/>
      <c r="EWD482" s="1080"/>
      <c r="EWE482" s="1080"/>
      <c r="EWF482" s="1080"/>
      <c r="EWG482" s="1080"/>
      <c r="EWH482" s="1080"/>
      <c r="EWI482" s="1080"/>
      <c r="EWJ482" s="1080"/>
      <c r="EWK482" s="1080"/>
      <c r="EWL482" s="1080"/>
      <c r="EWM482" s="1080"/>
      <c r="EWN482" s="1080"/>
      <c r="EWO482" s="1080"/>
      <c r="EWP482" s="1080"/>
      <c r="EWQ482" s="1080"/>
      <c r="EWR482" s="1080"/>
      <c r="EWS482" s="1080"/>
      <c r="EWT482" s="1080"/>
      <c r="EWU482" s="1080"/>
      <c r="EWV482" s="1080"/>
      <c r="EWW482" s="1080"/>
      <c r="EWX482" s="1080"/>
      <c r="EWY482" s="1080"/>
      <c r="EWZ482" s="1080"/>
      <c r="EXA482" s="1080"/>
      <c r="EXB482" s="1080"/>
      <c r="EXC482" s="1080"/>
      <c r="EXD482" s="1080"/>
      <c r="EXE482" s="1080"/>
      <c r="EXF482" s="1080"/>
      <c r="EXG482" s="1080"/>
      <c r="EXH482" s="1080"/>
      <c r="EXI482" s="1080"/>
      <c r="EXJ482" s="1080"/>
      <c r="EXK482" s="1080"/>
      <c r="EXL482" s="1080"/>
      <c r="EXM482" s="1080"/>
      <c r="EXN482" s="1080"/>
      <c r="EXO482" s="1080"/>
      <c r="EXP482" s="1080"/>
      <c r="EXQ482" s="1080"/>
      <c r="EXR482" s="1080"/>
      <c r="EXS482" s="1080"/>
      <c r="EXT482" s="1080"/>
      <c r="EXU482" s="1080"/>
      <c r="EXV482" s="1080"/>
      <c r="EXW482" s="1080"/>
      <c r="EXX482" s="1080"/>
      <c r="EXY482" s="1080"/>
      <c r="EXZ482" s="1080"/>
      <c r="EYA482" s="1080"/>
      <c r="EYB482" s="1080"/>
      <c r="EYC482" s="1080"/>
      <c r="EYD482" s="1080"/>
      <c r="EYE482" s="1080"/>
      <c r="EYF482" s="1080"/>
      <c r="EYG482" s="1080"/>
      <c r="EYH482" s="1080"/>
      <c r="EYI482" s="1080"/>
      <c r="EYJ482" s="1080"/>
      <c r="EYK482" s="1080"/>
      <c r="EYL482" s="1080"/>
      <c r="EYM482" s="1080"/>
      <c r="EYN482" s="1080"/>
      <c r="EYO482" s="1080"/>
      <c r="EYP482" s="1080"/>
      <c r="EYQ482" s="1080"/>
      <c r="EYR482" s="1080"/>
      <c r="EYS482" s="1080"/>
      <c r="EYT482" s="1080"/>
      <c r="EYU482" s="1080"/>
      <c r="EYV482" s="1080"/>
      <c r="EYW482" s="1080"/>
      <c r="EYX482" s="1080"/>
      <c r="EYY482" s="1080"/>
      <c r="EYZ482" s="1080"/>
      <c r="EZA482" s="1080"/>
      <c r="EZB482" s="1080"/>
      <c r="EZC482" s="1080"/>
      <c r="EZD482" s="1080"/>
      <c r="EZE482" s="1080"/>
      <c r="EZF482" s="1080"/>
      <c r="EZG482" s="1080"/>
      <c r="EZH482" s="1080"/>
      <c r="EZI482" s="1080"/>
      <c r="EZJ482" s="1080"/>
      <c r="EZK482" s="1080"/>
      <c r="EZL482" s="1080"/>
      <c r="EZM482" s="1080"/>
      <c r="EZN482" s="1080"/>
      <c r="EZO482" s="1080"/>
      <c r="EZP482" s="1080"/>
      <c r="EZQ482" s="1080"/>
      <c r="EZR482" s="1080"/>
      <c r="EZS482" s="1080"/>
      <c r="EZT482" s="1080"/>
      <c r="EZU482" s="1080"/>
      <c r="EZV482" s="1080"/>
      <c r="EZW482" s="1080"/>
      <c r="EZX482" s="1080"/>
      <c r="EZY482" s="1080"/>
      <c r="EZZ482" s="1080"/>
      <c r="FAA482" s="1080"/>
      <c r="FAB482" s="1080"/>
      <c r="FAC482" s="1080"/>
      <c r="FAD482" s="1080"/>
      <c r="FAE482" s="1080"/>
      <c r="FAF482" s="1080"/>
      <c r="FAG482" s="1080"/>
      <c r="FAH482" s="1080"/>
      <c r="FAI482" s="1080"/>
      <c r="FAJ482" s="1080"/>
      <c r="FAK482" s="1080"/>
      <c r="FAL482" s="1080"/>
      <c r="FAM482" s="1080"/>
      <c r="FAN482" s="1080"/>
      <c r="FAO482" s="1080"/>
      <c r="FAP482" s="1080"/>
      <c r="FAQ482" s="1080"/>
      <c r="FAR482" s="1080"/>
      <c r="FAS482" s="1080"/>
      <c r="FAT482" s="1080"/>
      <c r="FAU482" s="1080"/>
      <c r="FAV482" s="1080"/>
      <c r="FAW482" s="1080"/>
      <c r="FAX482" s="1080"/>
      <c r="FAY482" s="1080"/>
      <c r="FAZ482" s="1080"/>
      <c r="FBA482" s="1080"/>
      <c r="FBB482" s="1080"/>
      <c r="FBC482" s="1080"/>
      <c r="FBD482" s="1080"/>
      <c r="FBE482" s="1080"/>
      <c r="FBF482" s="1080"/>
      <c r="FBG482" s="1080"/>
      <c r="FBH482" s="1080"/>
      <c r="FBI482" s="1080"/>
      <c r="FBJ482" s="1080"/>
      <c r="FBK482" s="1080"/>
      <c r="FBL482" s="1080"/>
      <c r="FBM482" s="1080"/>
      <c r="FBN482" s="1080"/>
      <c r="FBO482" s="1080"/>
      <c r="FBP482" s="1080"/>
      <c r="FBQ482" s="1080"/>
      <c r="FBR482" s="1080"/>
      <c r="FBS482" s="1080"/>
      <c r="FBT482" s="1080"/>
      <c r="FBU482" s="1080"/>
      <c r="FBV482" s="1080"/>
      <c r="FBW482" s="1080"/>
      <c r="FBX482" s="1080"/>
      <c r="FBY482" s="1080"/>
      <c r="FBZ482" s="1080"/>
      <c r="FCA482" s="1080"/>
      <c r="FCB482" s="1080"/>
      <c r="FCC482" s="1080"/>
      <c r="FCD482" s="1080"/>
      <c r="FCE482" s="1080"/>
      <c r="FCF482" s="1080"/>
      <c r="FCG482" s="1080"/>
      <c r="FCH482" s="1080"/>
      <c r="FCI482" s="1080"/>
      <c r="FCJ482" s="1080"/>
      <c r="FCK482" s="1080"/>
      <c r="FCL482" s="1080"/>
      <c r="FCM482" s="1080"/>
      <c r="FCN482" s="1080"/>
      <c r="FCO482" s="1080"/>
      <c r="FCP482" s="1080"/>
      <c r="FCQ482" s="1080"/>
      <c r="FCR482" s="1080"/>
      <c r="FCS482" s="1080"/>
      <c r="FCT482" s="1080"/>
      <c r="FCU482" s="1080"/>
      <c r="FCV482" s="1080"/>
      <c r="FCW482" s="1080"/>
      <c r="FCX482" s="1080"/>
      <c r="FCY482" s="1080"/>
      <c r="FCZ482" s="1080"/>
      <c r="FDA482" s="1080"/>
      <c r="FDB482" s="1080"/>
      <c r="FDC482" s="1080"/>
      <c r="FDD482" s="1080"/>
      <c r="FDE482" s="1080"/>
      <c r="FDF482" s="1080"/>
      <c r="FDG482" s="1080"/>
      <c r="FDH482" s="1080"/>
      <c r="FDI482" s="1080"/>
      <c r="FDJ482" s="1080"/>
      <c r="FDK482" s="1080"/>
      <c r="FDL482" s="1080"/>
      <c r="FDM482" s="1080"/>
      <c r="FDN482" s="1080"/>
      <c r="FDO482" s="1080"/>
      <c r="FDP482" s="1080"/>
      <c r="FDQ482" s="1080"/>
      <c r="FDR482" s="1080"/>
      <c r="FDS482" s="1080"/>
      <c r="FDT482" s="1080"/>
      <c r="FDU482" s="1080"/>
      <c r="FDV482" s="1080"/>
      <c r="FDW482" s="1080"/>
      <c r="FDX482" s="1080"/>
      <c r="FDY482" s="1080"/>
      <c r="FDZ482" s="1080"/>
      <c r="FEA482" s="1080"/>
      <c r="FEB482" s="1080"/>
      <c r="FEC482" s="1080"/>
      <c r="FED482" s="1080"/>
      <c r="FEE482" s="1080"/>
      <c r="FEF482" s="1080"/>
      <c r="FEG482" s="1080"/>
      <c r="FEH482" s="1080"/>
      <c r="FEI482" s="1080"/>
      <c r="FEJ482" s="1080"/>
      <c r="FEK482" s="1080"/>
      <c r="FEL482" s="1080"/>
      <c r="FEM482" s="1080"/>
      <c r="FEN482" s="1080"/>
      <c r="FEO482" s="1080"/>
      <c r="FEP482" s="1080"/>
      <c r="FEQ482" s="1080"/>
      <c r="FER482" s="1080"/>
      <c r="FES482" s="1080"/>
      <c r="FET482" s="1080"/>
      <c r="FEU482" s="1080"/>
      <c r="FEV482" s="1080"/>
      <c r="FEW482" s="1080"/>
      <c r="FEX482" s="1080"/>
      <c r="FEY482" s="1080"/>
      <c r="FEZ482" s="1080"/>
      <c r="FFA482" s="1080"/>
      <c r="FFB482" s="1080"/>
      <c r="FFC482" s="1080"/>
      <c r="FFD482" s="1080"/>
      <c r="FFE482" s="1080"/>
      <c r="FFF482" s="1080"/>
      <c r="FFG482" s="1080"/>
      <c r="FFH482" s="1080"/>
      <c r="FFI482" s="1080"/>
      <c r="FFJ482" s="1080"/>
      <c r="FFK482" s="1080"/>
      <c r="FFL482" s="1080"/>
      <c r="FFM482" s="1080"/>
      <c r="FFN482" s="1080"/>
      <c r="FFO482" s="1080"/>
      <c r="FFP482" s="1080"/>
      <c r="FFQ482" s="1080"/>
      <c r="FFR482" s="1080"/>
      <c r="FFS482" s="1080"/>
      <c r="FFT482" s="1080"/>
      <c r="FFU482" s="1080"/>
      <c r="FFV482" s="1080"/>
      <c r="FFW482" s="1080"/>
      <c r="FFX482" s="1080"/>
      <c r="FFY482" s="1080"/>
      <c r="FFZ482" s="1080"/>
      <c r="FGA482" s="1080"/>
      <c r="FGB482" s="1080"/>
      <c r="FGC482" s="1080"/>
      <c r="FGD482" s="1080"/>
      <c r="FGE482" s="1080"/>
      <c r="FGF482" s="1080"/>
      <c r="FGG482" s="1080"/>
      <c r="FGH482" s="1080"/>
      <c r="FGI482" s="1080"/>
      <c r="FGJ482" s="1080"/>
      <c r="FGK482" s="1080"/>
      <c r="FGL482" s="1080"/>
      <c r="FGM482" s="1080"/>
      <c r="FGN482" s="1080"/>
      <c r="FGO482" s="1080"/>
      <c r="FGP482" s="1080"/>
      <c r="FGQ482" s="1080"/>
      <c r="FGR482" s="1080"/>
      <c r="FGS482" s="1080"/>
      <c r="FGT482" s="1080"/>
      <c r="FGU482" s="1080"/>
      <c r="FGV482" s="1080"/>
      <c r="FGW482" s="1080"/>
      <c r="FGX482" s="1080"/>
      <c r="FGY482" s="1080"/>
      <c r="FGZ482" s="1080"/>
      <c r="FHA482" s="1080"/>
      <c r="FHB482" s="1080"/>
      <c r="FHC482" s="1080"/>
      <c r="FHD482" s="1080"/>
      <c r="FHE482" s="1080"/>
      <c r="FHF482" s="1080"/>
      <c r="FHG482" s="1080"/>
      <c r="FHH482" s="1080"/>
      <c r="FHI482" s="1080"/>
      <c r="FHJ482" s="1080"/>
      <c r="FHK482" s="1080"/>
      <c r="FHL482" s="1080"/>
      <c r="FHM482" s="1080"/>
      <c r="FHN482" s="1080"/>
      <c r="FHO482" s="1080"/>
      <c r="FHP482" s="1080"/>
      <c r="FHQ482" s="1080"/>
      <c r="FHR482" s="1080"/>
      <c r="FHS482" s="1080"/>
      <c r="FHT482" s="1080"/>
      <c r="FHU482" s="1080"/>
      <c r="FHV482" s="1080"/>
      <c r="FHW482" s="1080"/>
      <c r="FHX482" s="1080"/>
      <c r="FHY482" s="1080"/>
      <c r="FHZ482" s="1080"/>
      <c r="FIA482" s="1080"/>
      <c r="FIB482" s="1080"/>
      <c r="FIC482" s="1080"/>
      <c r="FID482" s="1080"/>
      <c r="FIE482" s="1080"/>
      <c r="FIF482" s="1080"/>
      <c r="FIG482" s="1080"/>
      <c r="FIH482" s="1080"/>
      <c r="FII482" s="1080"/>
      <c r="FIJ482" s="1080"/>
      <c r="FIK482" s="1080"/>
      <c r="FIL482" s="1080"/>
      <c r="FIM482" s="1080"/>
      <c r="FIN482" s="1080"/>
      <c r="FIO482" s="1080"/>
      <c r="FIP482" s="1080"/>
      <c r="FIQ482" s="1080"/>
      <c r="FIR482" s="1080"/>
      <c r="FIS482" s="1080"/>
      <c r="FIT482" s="1080"/>
      <c r="FIU482" s="1080"/>
      <c r="FIV482" s="1080"/>
      <c r="FIW482" s="1080"/>
      <c r="FIX482" s="1080"/>
      <c r="FIY482" s="1080"/>
      <c r="FIZ482" s="1080"/>
      <c r="FJA482" s="1080"/>
      <c r="FJB482" s="1080"/>
      <c r="FJC482" s="1080"/>
      <c r="FJD482" s="1080"/>
      <c r="FJE482" s="1080"/>
      <c r="FJF482" s="1080"/>
      <c r="FJG482" s="1080"/>
      <c r="FJH482" s="1080"/>
      <c r="FJI482" s="1080"/>
      <c r="FJJ482" s="1080"/>
      <c r="FJK482" s="1080"/>
      <c r="FJL482" s="1080"/>
      <c r="FJM482" s="1080"/>
      <c r="FJN482" s="1080"/>
      <c r="FJO482" s="1080"/>
      <c r="FJP482" s="1080"/>
      <c r="FJQ482" s="1080"/>
      <c r="FJR482" s="1080"/>
      <c r="FJS482" s="1080"/>
      <c r="FJT482" s="1080"/>
      <c r="FJU482" s="1080"/>
      <c r="FJV482" s="1080"/>
      <c r="FJW482" s="1080"/>
      <c r="FJX482" s="1080"/>
      <c r="FJY482" s="1080"/>
      <c r="FJZ482" s="1080"/>
      <c r="FKA482" s="1080"/>
      <c r="FKB482" s="1080"/>
      <c r="FKC482" s="1080"/>
      <c r="FKD482" s="1080"/>
      <c r="FKE482" s="1080"/>
      <c r="FKF482" s="1080"/>
      <c r="FKG482" s="1080"/>
      <c r="FKH482" s="1080"/>
      <c r="FKI482" s="1080"/>
      <c r="FKJ482" s="1080"/>
      <c r="FKK482" s="1080"/>
      <c r="FKL482" s="1080"/>
      <c r="FKM482" s="1080"/>
      <c r="FKN482" s="1080"/>
      <c r="FKO482" s="1080"/>
      <c r="FKP482" s="1080"/>
      <c r="FKQ482" s="1080"/>
      <c r="FKR482" s="1080"/>
      <c r="FKS482" s="1080"/>
      <c r="FKT482" s="1080"/>
      <c r="FKU482" s="1080"/>
      <c r="FKV482" s="1080"/>
      <c r="FKW482" s="1080"/>
      <c r="FKX482" s="1080"/>
      <c r="FKY482" s="1080"/>
      <c r="FKZ482" s="1080"/>
      <c r="FLA482" s="1080"/>
      <c r="FLB482" s="1080"/>
      <c r="FLC482" s="1080"/>
      <c r="FLD482" s="1080"/>
      <c r="FLE482" s="1080"/>
      <c r="FLF482" s="1080"/>
      <c r="FLG482" s="1080"/>
      <c r="FLH482" s="1080"/>
      <c r="FLI482" s="1080"/>
      <c r="FLJ482" s="1080"/>
      <c r="FLK482" s="1080"/>
      <c r="FLL482" s="1080"/>
      <c r="FLM482" s="1080"/>
      <c r="FLN482" s="1080"/>
      <c r="FLO482" s="1080"/>
      <c r="FLP482" s="1080"/>
      <c r="FLQ482" s="1080"/>
      <c r="FLR482" s="1080"/>
      <c r="FLS482" s="1080"/>
      <c r="FLT482" s="1080"/>
      <c r="FLU482" s="1080"/>
      <c r="FLV482" s="1080"/>
      <c r="FLW482" s="1080"/>
      <c r="FLX482" s="1080"/>
      <c r="FLY482" s="1080"/>
      <c r="FLZ482" s="1080"/>
      <c r="FMA482" s="1080"/>
      <c r="FMB482" s="1080"/>
      <c r="FMC482" s="1080"/>
      <c r="FMD482" s="1080"/>
      <c r="FME482" s="1080"/>
      <c r="FMF482" s="1080"/>
      <c r="FMG482" s="1080"/>
      <c r="FMH482" s="1080"/>
      <c r="FMI482" s="1080"/>
      <c r="FMJ482" s="1080"/>
      <c r="FMK482" s="1080"/>
      <c r="FML482" s="1080"/>
      <c r="FMM482" s="1080"/>
      <c r="FMN482" s="1080"/>
      <c r="FMO482" s="1080"/>
      <c r="FMP482" s="1080"/>
      <c r="FMQ482" s="1080"/>
      <c r="FMR482" s="1080"/>
      <c r="FMS482" s="1080"/>
      <c r="FMT482" s="1080"/>
      <c r="FMU482" s="1080"/>
      <c r="FMV482" s="1080"/>
      <c r="FMW482" s="1080"/>
      <c r="FMX482" s="1080"/>
      <c r="FMY482" s="1080"/>
      <c r="FMZ482" s="1080"/>
      <c r="FNA482" s="1080"/>
      <c r="FNB482" s="1080"/>
      <c r="FNC482" s="1080"/>
      <c r="FND482" s="1080"/>
      <c r="FNE482" s="1080"/>
      <c r="FNF482" s="1080"/>
      <c r="FNG482" s="1080"/>
      <c r="FNH482" s="1080"/>
      <c r="FNI482" s="1080"/>
      <c r="FNJ482" s="1080"/>
      <c r="FNK482" s="1080"/>
      <c r="FNL482" s="1080"/>
      <c r="FNM482" s="1080"/>
      <c r="FNN482" s="1080"/>
      <c r="FNO482" s="1080"/>
      <c r="FNP482" s="1080"/>
      <c r="FNQ482" s="1080"/>
      <c r="FNR482" s="1080"/>
      <c r="FNS482" s="1080"/>
      <c r="FNT482" s="1080"/>
      <c r="FNU482" s="1080"/>
      <c r="FNV482" s="1080"/>
      <c r="FNW482" s="1080"/>
      <c r="FNX482" s="1080"/>
      <c r="FNY482" s="1080"/>
      <c r="FNZ482" s="1080"/>
      <c r="FOA482" s="1080"/>
      <c r="FOB482" s="1080"/>
      <c r="FOC482" s="1080"/>
      <c r="FOD482" s="1080"/>
      <c r="FOE482" s="1080"/>
      <c r="FOF482" s="1080"/>
      <c r="FOG482" s="1080"/>
      <c r="FOH482" s="1080"/>
      <c r="FOI482" s="1080"/>
      <c r="FOJ482" s="1080"/>
      <c r="FOK482" s="1080"/>
      <c r="FOL482" s="1080"/>
      <c r="FOM482" s="1080"/>
      <c r="FON482" s="1080"/>
      <c r="FOO482" s="1080"/>
      <c r="FOP482" s="1080"/>
      <c r="FOQ482" s="1080"/>
      <c r="FOR482" s="1080"/>
      <c r="FOS482" s="1080"/>
      <c r="FOT482" s="1080"/>
      <c r="FOU482" s="1080"/>
      <c r="FOV482" s="1080"/>
      <c r="FOW482" s="1080"/>
      <c r="FOX482" s="1080"/>
      <c r="FOY482" s="1080"/>
      <c r="FOZ482" s="1080"/>
      <c r="FPA482" s="1080"/>
      <c r="FPB482" s="1080"/>
      <c r="FPC482" s="1080"/>
      <c r="FPD482" s="1080"/>
      <c r="FPE482" s="1080"/>
      <c r="FPF482" s="1080"/>
      <c r="FPG482" s="1080"/>
      <c r="FPH482" s="1080"/>
      <c r="FPI482" s="1080"/>
      <c r="FPJ482" s="1080"/>
      <c r="FPK482" s="1080"/>
      <c r="FPL482" s="1080"/>
      <c r="FPM482" s="1080"/>
      <c r="FPN482" s="1080"/>
      <c r="FPO482" s="1080"/>
      <c r="FPP482" s="1080"/>
      <c r="FPQ482" s="1080"/>
      <c r="FPR482" s="1080"/>
      <c r="FPS482" s="1080"/>
      <c r="FPT482" s="1080"/>
      <c r="FPU482" s="1080"/>
      <c r="FPV482" s="1080"/>
      <c r="FPW482" s="1080"/>
      <c r="FPX482" s="1080"/>
      <c r="FPY482" s="1080"/>
      <c r="FPZ482" s="1080"/>
      <c r="FQA482" s="1080"/>
      <c r="FQB482" s="1080"/>
      <c r="FQC482" s="1080"/>
      <c r="FQD482" s="1080"/>
      <c r="FQE482" s="1080"/>
      <c r="FQF482" s="1080"/>
      <c r="FQG482" s="1080"/>
      <c r="FQH482" s="1080"/>
      <c r="FQI482" s="1080"/>
      <c r="FQJ482" s="1080"/>
      <c r="FQK482" s="1080"/>
      <c r="FQL482" s="1080"/>
      <c r="FQM482" s="1080"/>
      <c r="FQN482" s="1080"/>
      <c r="FQO482" s="1080"/>
      <c r="FQP482" s="1080"/>
      <c r="FQQ482" s="1080"/>
      <c r="FQR482" s="1080"/>
      <c r="FQS482" s="1080"/>
      <c r="FQT482" s="1080"/>
      <c r="FQU482" s="1080"/>
      <c r="FQV482" s="1080"/>
      <c r="FQW482" s="1080"/>
      <c r="FQX482" s="1080"/>
      <c r="FQY482" s="1080"/>
      <c r="FQZ482" s="1080"/>
      <c r="FRA482" s="1080"/>
      <c r="FRB482" s="1080"/>
      <c r="FRC482" s="1080"/>
      <c r="FRD482" s="1080"/>
      <c r="FRE482" s="1080"/>
      <c r="FRF482" s="1080"/>
      <c r="FRG482" s="1080"/>
      <c r="FRH482" s="1080"/>
      <c r="FRI482" s="1080"/>
      <c r="FRJ482" s="1080"/>
      <c r="FRK482" s="1080"/>
      <c r="FRL482" s="1080"/>
      <c r="FRM482" s="1080"/>
      <c r="FRN482" s="1080"/>
      <c r="FRO482" s="1080"/>
      <c r="FRP482" s="1080"/>
      <c r="FRQ482" s="1080"/>
      <c r="FRR482" s="1080"/>
      <c r="FRS482" s="1080"/>
      <c r="FRT482" s="1080"/>
      <c r="FRU482" s="1080"/>
      <c r="FRV482" s="1080"/>
      <c r="FRW482" s="1080"/>
      <c r="FRX482" s="1080"/>
      <c r="FRY482" s="1080"/>
      <c r="FRZ482" s="1080"/>
      <c r="FSA482" s="1080"/>
      <c r="FSB482" s="1080"/>
      <c r="FSC482" s="1080"/>
      <c r="FSD482" s="1080"/>
      <c r="FSE482" s="1080"/>
      <c r="FSF482" s="1080"/>
      <c r="FSG482" s="1080"/>
      <c r="FSH482" s="1080"/>
      <c r="FSI482" s="1080"/>
      <c r="FSJ482" s="1080"/>
      <c r="FSK482" s="1080"/>
      <c r="FSL482" s="1080"/>
      <c r="FSM482" s="1080"/>
      <c r="FSN482" s="1080"/>
      <c r="FSO482" s="1080"/>
      <c r="FSP482" s="1080"/>
      <c r="FSQ482" s="1080"/>
      <c r="FSR482" s="1080"/>
      <c r="FSS482" s="1080"/>
      <c r="FST482" s="1080"/>
      <c r="FSU482" s="1080"/>
      <c r="FSV482" s="1080"/>
      <c r="FSW482" s="1080"/>
      <c r="FSX482" s="1080"/>
      <c r="FSY482" s="1080"/>
      <c r="FSZ482" s="1080"/>
      <c r="FTA482" s="1080"/>
      <c r="FTB482" s="1080"/>
      <c r="FTC482" s="1080"/>
      <c r="FTD482" s="1080"/>
      <c r="FTE482" s="1080"/>
      <c r="FTF482" s="1080"/>
      <c r="FTG482" s="1080"/>
      <c r="FTH482" s="1080"/>
      <c r="FTI482" s="1080"/>
      <c r="FTJ482" s="1080"/>
      <c r="FTK482" s="1080"/>
      <c r="FTL482" s="1080"/>
      <c r="FTM482" s="1080"/>
      <c r="FTN482" s="1080"/>
      <c r="FTO482" s="1080"/>
      <c r="FTP482" s="1080"/>
      <c r="FTQ482" s="1080"/>
      <c r="FTR482" s="1080"/>
      <c r="FTS482" s="1080"/>
      <c r="FTT482" s="1080"/>
      <c r="FTU482" s="1080"/>
      <c r="FTV482" s="1080"/>
      <c r="FTW482" s="1080"/>
      <c r="FTX482" s="1080"/>
      <c r="FTY482" s="1080"/>
      <c r="FTZ482" s="1080"/>
      <c r="FUA482" s="1080"/>
      <c r="FUB482" s="1080"/>
      <c r="FUC482" s="1080"/>
      <c r="FUD482" s="1080"/>
      <c r="FUE482" s="1080"/>
      <c r="FUF482" s="1080"/>
      <c r="FUG482" s="1080"/>
      <c r="FUH482" s="1080"/>
      <c r="FUI482" s="1080"/>
      <c r="FUJ482" s="1080"/>
      <c r="FUK482" s="1080"/>
      <c r="FUL482" s="1080"/>
      <c r="FUM482" s="1080"/>
      <c r="FUN482" s="1080"/>
      <c r="FUO482" s="1080"/>
      <c r="FUP482" s="1080"/>
      <c r="FUQ482" s="1080"/>
      <c r="FUR482" s="1080"/>
      <c r="FUS482" s="1080"/>
      <c r="FUT482" s="1080"/>
      <c r="FUU482" s="1080"/>
      <c r="FUV482" s="1080"/>
      <c r="FUW482" s="1080"/>
      <c r="FUX482" s="1080"/>
      <c r="FUY482" s="1080"/>
      <c r="FUZ482" s="1080"/>
      <c r="FVA482" s="1080"/>
      <c r="FVB482" s="1080"/>
      <c r="FVC482" s="1080"/>
      <c r="FVD482" s="1080"/>
      <c r="FVE482" s="1080"/>
      <c r="FVF482" s="1080"/>
      <c r="FVG482" s="1080"/>
      <c r="FVH482" s="1080"/>
      <c r="FVI482" s="1080"/>
      <c r="FVJ482" s="1080"/>
      <c r="FVK482" s="1080"/>
      <c r="FVL482" s="1080"/>
      <c r="FVM482" s="1080"/>
      <c r="FVN482" s="1080"/>
      <c r="FVO482" s="1080"/>
      <c r="FVP482" s="1080"/>
      <c r="FVQ482" s="1080"/>
      <c r="FVR482" s="1080"/>
      <c r="FVS482" s="1080"/>
      <c r="FVT482" s="1080"/>
      <c r="FVU482" s="1080"/>
      <c r="FVV482" s="1080"/>
      <c r="FVW482" s="1080"/>
      <c r="FVX482" s="1080"/>
      <c r="FVY482" s="1080"/>
      <c r="FVZ482" s="1080"/>
      <c r="FWA482" s="1080"/>
      <c r="FWB482" s="1080"/>
      <c r="FWC482" s="1080"/>
      <c r="FWD482" s="1080"/>
      <c r="FWE482" s="1080"/>
      <c r="FWF482" s="1080"/>
      <c r="FWG482" s="1080"/>
      <c r="FWH482" s="1080"/>
      <c r="FWI482" s="1080"/>
      <c r="FWJ482" s="1080"/>
      <c r="FWK482" s="1080"/>
      <c r="FWL482" s="1080"/>
      <c r="FWM482" s="1080"/>
      <c r="FWN482" s="1080"/>
      <c r="FWO482" s="1080"/>
      <c r="FWP482" s="1080"/>
      <c r="FWQ482" s="1080"/>
      <c r="FWR482" s="1080"/>
      <c r="FWS482" s="1080"/>
      <c r="FWT482" s="1080"/>
      <c r="FWU482" s="1080"/>
      <c r="FWV482" s="1080"/>
      <c r="FWW482" s="1080"/>
      <c r="FWX482" s="1080"/>
      <c r="FWY482" s="1080"/>
      <c r="FWZ482" s="1080"/>
      <c r="FXA482" s="1080"/>
      <c r="FXB482" s="1080"/>
      <c r="FXC482" s="1080"/>
      <c r="FXD482" s="1080"/>
      <c r="FXE482" s="1080"/>
      <c r="FXF482" s="1080"/>
      <c r="FXG482" s="1080"/>
      <c r="FXH482" s="1080"/>
      <c r="FXI482" s="1080"/>
      <c r="FXJ482" s="1080"/>
      <c r="FXK482" s="1080"/>
      <c r="FXL482" s="1080"/>
      <c r="FXM482" s="1080"/>
      <c r="FXN482" s="1080"/>
      <c r="FXO482" s="1080"/>
      <c r="FXP482" s="1080"/>
      <c r="FXQ482" s="1080"/>
      <c r="FXR482" s="1080"/>
      <c r="FXS482" s="1080"/>
      <c r="FXT482" s="1080"/>
      <c r="FXU482" s="1080"/>
      <c r="FXV482" s="1080"/>
      <c r="FXW482" s="1080"/>
      <c r="FXX482" s="1080"/>
      <c r="FXY482" s="1080"/>
      <c r="FXZ482" s="1080"/>
      <c r="FYA482" s="1080"/>
      <c r="FYB482" s="1080"/>
      <c r="FYC482" s="1080"/>
      <c r="FYD482" s="1080"/>
      <c r="FYE482" s="1080"/>
      <c r="FYF482" s="1080"/>
      <c r="FYG482" s="1080"/>
      <c r="FYH482" s="1080"/>
      <c r="FYI482" s="1080"/>
      <c r="FYJ482" s="1080"/>
      <c r="FYK482" s="1080"/>
      <c r="FYL482" s="1080"/>
      <c r="FYM482" s="1080"/>
      <c r="FYN482" s="1080"/>
      <c r="FYO482" s="1080"/>
      <c r="FYP482" s="1080"/>
      <c r="FYQ482" s="1080"/>
      <c r="FYR482" s="1080"/>
      <c r="FYS482" s="1080"/>
      <c r="FYT482" s="1080"/>
      <c r="FYU482" s="1080"/>
      <c r="FYV482" s="1080"/>
      <c r="FYW482" s="1080"/>
      <c r="FYX482" s="1080"/>
      <c r="FYY482" s="1080"/>
      <c r="FYZ482" s="1080"/>
      <c r="FZA482" s="1080"/>
      <c r="FZB482" s="1080"/>
      <c r="FZC482" s="1080"/>
      <c r="FZD482" s="1080"/>
      <c r="FZE482" s="1080"/>
      <c r="FZF482" s="1080"/>
      <c r="FZG482" s="1080"/>
      <c r="FZH482" s="1080"/>
      <c r="FZI482" s="1080"/>
      <c r="FZJ482" s="1080"/>
      <c r="FZK482" s="1080"/>
      <c r="FZL482" s="1080"/>
      <c r="FZM482" s="1080"/>
      <c r="FZN482" s="1080"/>
      <c r="FZO482" s="1080"/>
      <c r="FZP482" s="1080"/>
      <c r="FZQ482" s="1080"/>
      <c r="FZR482" s="1080"/>
      <c r="FZS482" s="1080"/>
      <c r="FZT482" s="1080"/>
      <c r="FZU482" s="1080"/>
      <c r="FZV482" s="1080"/>
      <c r="FZW482" s="1080"/>
      <c r="FZX482" s="1080"/>
      <c r="FZY482" s="1080"/>
      <c r="FZZ482" s="1080"/>
      <c r="GAA482" s="1080"/>
      <c r="GAB482" s="1080"/>
      <c r="GAC482" s="1080"/>
      <c r="GAD482" s="1080"/>
      <c r="GAE482" s="1080"/>
      <c r="GAF482" s="1080"/>
      <c r="GAG482" s="1080"/>
      <c r="GAH482" s="1080"/>
      <c r="GAI482" s="1080"/>
      <c r="GAJ482" s="1080"/>
      <c r="GAK482" s="1080"/>
      <c r="GAL482" s="1080"/>
      <c r="GAM482" s="1080"/>
      <c r="GAN482" s="1080"/>
      <c r="GAO482" s="1080"/>
      <c r="GAP482" s="1080"/>
      <c r="GAQ482" s="1080"/>
      <c r="GAR482" s="1080"/>
      <c r="GAS482" s="1080"/>
      <c r="GAT482" s="1080"/>
      <c r="GAU482" s="1080"/>
      <c r="GAV482" s="1080"/>
      <c r="GAW482" s="1080"/>
      <c r="GAX482" s="1080"/>
      <c r="GAY482" s="1080"/>
      <c r="GAZ482" s="1080"/>
      <c r="GBA482" s="1080"/>
      <c r="GBB482" s="1080"/>
      <c r="GBC482" s="1080"/>
      <c r="GBD482" s="1080"/>
      <c r="GBE482" s="1080"/>
      <c r="GBF482" s="1080"/>
      <c r="GBG482" s="1080"/>
      <c r="GBH482" s="1080"/>
      <c r="GBI482" s="1080"/>
      <c r="GBJ482" s="1080"/>
      <c r="GBK482" s="1080"/>
      <c r="GBL482" s="1080"/>
      <c r="GBM482" s="1080"/>
      <c r="GBN482" s="1080"/>
      <c r="GBO482" s="1080"/>
      <c r="GBP482" s="1080"/>
      <c r="GBQ482" s="1080"/>
      <c r="GBR482" s="1080"/>
      <c r="GBS482" s="1080"/>
      <c r="GBT482" s="1080"/>
      <c r="GBU482" s="1080"/>
      <c r="GBV482" s="1080"/>
      <c r="GBW482" s="1080"/>
      <c r="GBX482" s="1080"/>
      <c r="GBY482" s="1080"/>
      <c r="GBZ482" s="1080"/>
      <c r="GCA482" s="1080"/>
      <c r="GCB482" s="1080"/>
      <c r="GCC482" s="1080"/>
      <c r="GCD482" s="1080"/>
      <c r="GCE482" s="1080"/>
      <c r="GCF482" s="1080"/>
      <c r="GCG482" s="1080"/>
      <c r="GCH482" s="1080"/>
      <c r="GCI482" s="1080"/>
      <c r="GCJ482" s="1080"/>
      <c r="GCK482" s="1080"/>
      <c r="GCL482" s="1080"/>
      <c r="GCM482" s="1080"/>
      <c r="GCN482" s="1080"/>
      <c r="GCO482" s="1080"/>
      <c r="GCP482" s="1080"/>
      <c r="GCQ482" s="1080"/>
      <c r="GCR482" s="1080"/>
      <c r="GCS482" s="1080"/>
      <c r="GCT482" s="1080"/>
      <c r="GCU482" s="1080"/>
      <c r="GCV482" s="1080"/>
      <c r="GCW482" s="1080"/>
      <c r="GCX482" s="1080"/>
      <c r="GCY482" s="1080"/>
      <c r="GCZ482" s="1080"/>
      <c r="GDA482" s="1080"/>
      <c r="GDB482" s="1080"/>
      <c r="GDC482" s="1080"/>
      <c r="GDD482" s="1080"/>
      <c r="GDE482" s="1080"/>
      <c r="GDF482" s="1080"/>
      <c r="GDG482" s="1080"/>
      <c r="GDH482" s="1080"/>
      <c r="GDI482" s="1080"/>
      <c r="GDJ482" s="1080"/>
      <c r="GDK482" s="1080"/>
      <c r="GDL482" s="1080"/>
      <c r="GDM482" s="1080"/>
      <c r="GDN482" s="1080"/>
      <c r="GDO482" s="1080"/>
      <c r="GDP482" s="1080"/>
      <c r="GDQ482" s="1080"/>
      <c r="GDR482" s="1080"/>
      <c r="GDS482" s="1080"/>
      <c r="GDT482" s="1080"/>
      <c r="GDU482" s="1080"/>
      <c r="GDV482" s="1080"/>
      <c r="GDW482" s="1080"/>
      <c r="GDX482" s="1080"/>
      <c r="GDY482" s="1080"/>
      <c r="GDZ482" s="1080"/>
      <c r="GEA482" s="1080"/>
      <c r="GEB482" s="1080"/>
      <c r="GEC482" s="1080"/>
      <c r="GED482" s="1080"/>
      <c r="GEE482" s="1080"/>
      <c r="GEF482" s="1080"/>
      <c r="GEG482" s="1080"/>
      <c r="GEH482" s="1080"/>
      <c r="GEI482" s="1080"/>
      <c r="GEJ482" s="1080"/>
      <c r="GEK482" s="1080"/>
      <c r="GEL482" s="1080"/>
      <c r="GEM482" s="1080"/>
      <c r="GEN482" s="1080"/>
      <c r="GEO482" s="1080"/>
      <c r="GEP482" s="1080"/>
      <c r="GEQ482" s="1080"/>
      <c r="GER482" s="1080"/>
      <c r="GES482" s="1080"/>
      <c r="GET482" s="1080"/>
      <c r="GEU482" s="1080"/>
      <c r="GEV482" s="1080"/>
      <c r="GEW482" s="1080"/>
      <c r="GEX482" s="1080"/>
      <c r="GEY482" s="1080"/>
      <c r="GEZ482" s="1080"/>
      <c r="GFA482" s="1080"/>
      <c r="GFB482" s="1080"/>
      <c r="GFC482" s="1080"/>
      <c r="GFD482" s="1080"/>
      <c r="GFE482" s="1080"/>
      <c r="GFF482" s="1080"/>
      <c r="GFG482" s="1080"/>
      <c r="GFH482" s="1080"/>
      <c r="GFI482" s="1080"/>
      <c r="GFJ482" s="1080"/>
      <c r="GFK482" s="1080"/>
      <c r="GFL482" s="1080"/>
      <c r="GFM482" s="1080"/>
      <c r="GFN482" s="1080"/>
      <c r="GFO482" s="1080"/>
      <c r="GFP482" s="1080"/>
      <c r="GFQ482" s="1080"/>
      <c r="GFR482" s="1080"/>
      <c r="GFS482" s="1080"/>
      <c r="GFT482" s="1080"/>
      <c r="GFU482" s="1080"/>
      <c r="GFV482" s="1080"/>
      <c r="GFW482" s="1080"/>
      <c r="GFX482" s="1080"/>
      <c r="GFY482" s="1080"/>
      <c r="GFZ482" s="1080"/>
      <c r="GGA482" s="1080"/>
      <c r="GGB482" s="1080"/>
      <c r="GGC482" s="1080"/>
      <c r="GGD482" s="1080"/>
      <c r="GGE482" s="1080"/>
      <c r="GGF482" s="1080"/>
      <c r="GGG482" s="1080"/>
      <c r="GGH482" s="1080"/>
      <c r="GGI482" s="1080"/>
      <c r="GGJ482" s="1080"/>
      <c r="GGK482" s="1080"/>
      <c r="GGL482" s="1080"/>
      <c r="GGM482" s="1080"/>
      <c r="GGN482" s="1080"/>
      <c r="GGO482" s="1080"/>
      <c r="GGP482" s="1080"/>
      <c r="GGQ482" s="1080"/>
      <c r="GGR482" s="1080"/>
      <c r="GGS482" s="1080"/>
      <c r="GGT482" s="1080"/>
      <c r="GGU482" s="1080"/>
      <c r="GGV482" s="1080"/>
      <c r="GGW482" s="1080"/>
      <c r="GGX482" s="1080"/>
      <c r="GGY482" s="1080"/>
      <c r="GGZ482" s="1080"/>
      <c r="GHA482" s="1080"/>
      <c r="GHB482" s="1080"/>
      <c r="GHC482" s="1080"/>
      <c r="GHD482" s="1080"/>
      <c r="GHE482" s="1080"/>
      <c r="GHF482" s="1080"/>
      <c r="GHG482" s="1080"/>
      <c r="GHH482" s="1080"/>
      <c r="GHI482" s="1080"/>
      <c r="GHJ482" s="1080"/>
      <c r="GHK482" s="1080"/>
      <c r="GHL482" s="1080"/>
      <c r="GHM482" s="1080"/>
      <c r="GHN482" s="1080"/>
      <c r="GHO482" s="1080"/>
      <c r="GHP482" s="1080"/>
      <c r="GHQ482" s="1080"/>
      <c r="GHR482" s="1080"/>
      <c r="GHS482" s="1080"/>
      <c r="GHT482" s="1080"/>
      <c r="GHU482" s="1080"/>
      <c r="GHV482" s="1080"/>
      <c r="GHW482" s="1080"/>
      <c r="GHX482" s="1080"/>
      <c r="GHY482" s="1080"/>
      <c r="GHZ482" s="1080"/>
      <c r="GIA482" s="1080"/>
      <c r="GIB482" s="1080"/>
      <c r="GIC482" s="1080"/>
      <c r="GID482" s="1080"/>
      <c r="GIE482" s="1080"/>
      <c r="GIF482" s="1080"/>
      <c r="GIG482" s="1080"/>
      <c r="GIH482" s="1080"/>
      <c r="GII482" s="1080"/>
      <c r="GIJ482" s="1080"/>
      <c r="GIK482" s="1080"/>
      <c r="GIL482" s="1080"/>
      <c r="GIM482" s="1080"/>
      <c r="GIN482" s="1080"/>
      <c r="GIO482" s="1080"/>
      <c r="GIP482" s="1080"/>
      <c r="GIQ482" s="1080"/>
      <c r="GIR482" s="1080"/>
      <c r="GIS482" s="1080"/>
      <c r="GIT482" s="1080"/>
      <c r="GIU482" s="1080"/>
      <c r="GIV482" s="1080"/>
      <c r="GIW482" s="1080"/>
      <c r="GIX482" s="1080"/>
      <c r="GIY482" s="1080"/>
      <c r="GIZ482" s="1080"/>
      <c r="GJA482" s="1080"/>
      <c r="GJB482" s="1080"/>
      <c r="GJC482" s="1080"/>
      <c r="GJD482" s="1080"/>
      <c r="GJE482" s="1080"/>
      <c r="GJF482" s="1080"/>
      <c r="GJG482" s="1080"/>
      <c r="GJH482" s="1080"/>
      <c r="GJI482" s="1080"/>
      <c r="GJJ482" s="1080"/>
      <c r="GJK482" s="1080"/>
      <c r="GJL482" s="1080"/>
      <c r="GJM482" s="1080"/>
      <c r="GJN482" s="1080"/>
      <c r="GJO482" s="1080"/>
      <c r="GJP482" s="1080"/>
      <c r="GJQ482" s="1080"/>
      <c r="GJR482" s="1080"/>
      <c r="GJS482" s="1080"/>
      <c r="GJT482" s="1080"/>
      <c r="GJU482" s="1080"/>
      <c r="GJV482" s="1080"/>
      <c r="GJW482" s="1080"/>
      <c r="GJX482" s="1080"/>
      <c r="GJY482" s="1080"/>
      <c r="GJZ482" s="1080"/>
      <c r="GKA482" s="1080"/>
      <c r="GKB482" s="1080"/>
      <c r="GKC482" s="1080"/>
      <c r="GKD482" s="1080"/>
      <c r="GKE482" s="1080"/>
      <c r="GKF482" s="1080"/>
      <c r="GKG482" s="1080"/>
      <c r="GKH482" s="1080"/>
      <c r="GKI482" s="1080"/>
      <c r="GKJ482" s="1080"/>
      <c r="GKK482" s="1080"/>
      <c r="GKL482" s="1080"/>
      <c r="GKM482" s="1080"/>
      <c r="GKN482" s="1080"/>
      <c r="GKO482" s="1080"/>
      <c r="GKP482" s="1080"/>
      <c r="GKQ482" s="1080"/>
      <c r="GKR482" s="1080"/>
      <c r="GKS482" s="1080"/>
      <c r="GKT482" s="1080"/>
      <c r="GKU482" s="1080"/>
      <c r="GKV482" s="1080"/>
      <c r="GKW482" s="1080"/>
      <c r="GKX482" s="1080"/>
      <c r="GKY482" s="1080"/>
      <c r="GKZ482" s="1080"/>
      <c r="GLA482" s="1080"/>
      <c r="GLB482" s="1080"/>
      <c r="GLC482" s="1080"/>
      <c r="GLD482" s="1080"/>
      <c r="GLE482" s="1080"/>
      <c r="GLF482" s="1080"/>
      <c r="GLG482" s="1080"/>
      <c r="GLH482" s="1080"/>
      <c r="GLI482" s="1080"/>
      <c r="GLJ482" s="1080"/>
      <c r="GLK482" s="1080"/>
      <c r="GLL482" s="1080"/>
      <c r="GLM482" s="1080"/>
      <c r="GLN482" s="1080"/>
      <c r="GLO482" s="1080"/>
      <c r="GLP482" s="1080"/>
      <c r="GLQ482" s="1080"/>
      <c r="GLR482" s="1080"/>
      <c r="GLS482" s="1080"/>
      <c r="GLT482" s="1080"/>
      <c r="GLU482" s="1080"/>
      <c r="GLV482" s="1080"/>
      <c r="GLW482" s="1080"/>
      <c r="GLX482" s="1080"/>
      <c r="GLY482" s="1080"/>
      <c r="GLZ482" s="1080"/>
      <c r="GMA482" s="1080"/>
      <c r="GMB482" s="1080"/>
      <c r="GMC482" s="1080"/>
      <c r="GMD482" s="1080"/>
      <c r="GME482" s="1080"/>
      <c r="GMF482" s="1080"/>
      <c r="GMG482" s="1080"/>
      <c r="GMH482" s="1080"/>
      <c r="GMI482" s="1080"/>
      <c r="GMJ482" s="1080"/>
      <c r="GMK482" s="1080"/>
      <c r="GML482" s="1080"/>
      <c r="GMM482" s="1080"/>
      <c r="GMN482" s="1080"/>
      <c r="GMO482" s="1080"/>
      <c r="GMP482" s="1080"/>
      <c r="GMQ482" s="1080"/>
      <c r="GMR482" s="1080"/>
      <c r="GMS482" s="1080"/>
      <c r="GMT482" s="1080"/>
      <c r="GMU482" s="1080"/>
      <c r="GMV482" s="1080"/>
      <c r="GMW482" s="1080"/>
      <c r="GMX482" s="1080"/>
      <c r="GMY482" s="1080"/>
      <c r="GMZ482" s="1080"/>
      <c r="GNA482" s="1080"/>
      <c r="GNB482" s="1080"/>
      <c r="GNC482" s="1080"/>
      <c r="GND482" s="1080"/>
      <c r="GNE482" s="1080"/>
      <c r="GNF482" s="1080"/>
      <c r="GNG482" s="1080"/>
      <c r="GNH482" s="1080"/>
      <c r="GNI482" s="1080"/>
      <c r="GNJ482" s="1080"/>
      <c r="GNK482" s="1080"/>
      <c r="GNL482" s="1080"/>
      <c r="GNM482" s="1080"/>
      <c r="GNN482" s="1080"/>
      <c r="GNO482" s="1080"/>
      <c r="GNP482" s="1080"/>
      <c r="GNQ482" s="1080"/>
      <c r="GNR482" s="1080"/>
      <c r="GNS482" s="1080"/>
      <c r="GNT482" s="1080"/>
      <c r="GNU482" s="1080"/>
      <c r="GNV482" s="1080"/>
      <c r="GNW482" s="1080"/>
      <c r="GNX482" s="1080"/>
      <c r="GNY482" s="1080"/>
      <c r="GNZ482" s="1080"/>
      <c r="GOA482" s="1080"/>
      <c r="GOB482" s="1080"/>
      <c r="GOC482" s="1080"/>
      <c r="GOD482" s="1080"/>
      <c r="GOE482" s="1080"/>
      <c r="GOF482" s="1080"/>
      <c r="GOG482" s="1080"/>
      <c r="GOH482" s="1080"/>
      <c r="GOI482" s="1080"/>
      <c r="GOJ482" s="1080"/>
      <c r="GOK482" s="1080"/>
      <c r="GOL482" s="1080"/>
      <c r="GOM482" s="1080"/>
      <c r="GON482" s="1080"/>
      <c r="GOO482" s="1080"/>
      <c r="GOP482" s="1080"/>
      <c r="GOQ482" s="1080"/>
      <c r="GOR482" s="1080"/>
      <c r="GOS482" s="1080"/>
      <c r="GOT482" s="1080"/>
      <c r="GOU482" s="1080"/>
      <c r="GOV482" s="1080"/>
      <c r="GOW482" s="1080"/>
      <c r="GOX482" s="1080"/>
      <c r="GOY482" s="1080"/>
      <c r="GOZ482" s="1080"/>
      <c r="GPA482" s="1080"/>
      <c r="GPB482" s="1080"/>
      <c r="GPC482" s="1080"/>
      <c r="GPD482" s="1080"/>
      <c r="GPE482" s="1080"/>
      <c r="GPF482" s="1080"/>
      <c r="GPG482" s="1080"/>
      <c r="GPH482" s="1080"/>
      <c r="GPI482" s="1080"/>
      <c r="GPJ482" s="1080"/>
      <c r="GPK482" s="1080"/>
      <c r="GPL482" s="1080"/>
      <c r="GPM482" s="1080"/>
      <c r="GPN482" s="1080"/>
      <c r="GPO482" s="1080"/>
      <c r="GPP482" s="1080"/>
      <c r="GPQ482" s="1080"/>
      <c r="GPR482" s="1080"/>
      <c r="GPS482" s="1080"/>
      <c r="GPT482" s="1080"/>
      <c r="GPU482" s="1080"/>
      <c r="GPV482" s="1080"/>
      <c r="GPW482" s="1080"/>
      <c r="GPX482" s="1080"/>
      <c r="GPY482" s="1080"/>
      <c r="GPZ482" s="1080"/>
      <c r="GQA482" s="1080"/>
      <c r="GQB482" s="1080"/>
      <c r="GQC482" s="1080"/>
      <c r="GQD482" s="1080"/>
      <c r="GQE482" s="1080"/>
      <c r="GQF482" s="1080"/>
      <c r="GQG482" s="1080"/>
      <c r="GQH482" s="1080"/>
      <c r="GQI482" s="1080"/>
      <c r="GQJ482" s="1080"/>
      <c r="GQK482" s="1080"/>
      <c r="GQL482" s="1080"/>
      <c r="GQM482" s="1080"/>
      <c r="GQN482" s="1080"/>
      <c r="GQO482" s="1080"/>
      <c r="GQP482" s="1080"/>
      <c r="GQQ482" s="1080"/>
      <c r="GQR482" s="1080"/>
      <c r="GQS482" s="1080"/>
      <c r="GQT482" s="1080"/>
      <c r="GQU482" s="1080"/>
      <c r="GQV482" s="1080"/>
      <c r="GQW482" s="1080"/>
      <c r="GQX482" s="1080"/>
      <c r="GQY482" s="1080"/>
      <c r="GQZ482" s="1080"/>
      <c r="GRA482" s="1080"/>
      <c r="GRB482" s="1080"/>
      <c r="GRC482" s="1080"/>
      <c r="GRD482" s="1080"/>
      <c r="GRE482" s="1080"/>
      <c r="GRF482" s="1080"/>
      <c r="GRG482" s="1080"/>
      <c r="GRH482" s="1080"/>
      <c r="GRI482" s="1080"/>
      <c r="GRJ482" s="1080"/>
      <c r="GRK482" s="1080"/>
      <c r="GRL482" s="1080"/>
      <c r="GRM482" s="1080"/>
      <c r="GRN482" s="1080"/>
      <c r="GRO482" s="1080"/>
      <c r="GRP482" s="1080"/>
      <c r="GRQ482" s="1080"/>
      <c r="GRR482" s="1080"/>
      <c r="GRS482" s="1080"/>
      <c r="GRT482" s="1080"/>
      <c r="GRU482" s="1080"/>
      <c r="GRV482" s="1080"/>
      <c r="GRW482" s="1080"/>
      <c r="GRX482" s="1080"/>
      <c r="GRY482" s="1080"/>
      <c r="GRZ482" s="1080"/>
      <c r="GSA482" s="1080"/>
      <c r="GSB482" s="1080"/>
      <c r="GSC482" s="1080"/>
      <c r="GSD482" s="1080"/>
      <c r="GSE482" s="1080"/>
      <c r="GSF482" s="1080"/>
      <c r="GSG482" s="1080"/>
      <c r="GSH482" s="1080"/>
      <c r="GSI482" s="1080"/>
      <c r="GSJ482" s="1080"/>
      <c r="GSK482" s="1080"/>
      <c r="GSL482" s="1080"/>
      <c r="GSM482" s="1080"/>
      <c r="GSN482" s="1080"/>
      <c r="GSO482" s="1080"/>
      <c r="GSP482" s="1080"/>
      <c r="GSQ482" s="1080"/>
      <c r="GSR482" s="1080"/>
      <c r="GSS482" s="1080"/>
      <c r="GST482" s="1080"/>
      <c r="GSU482" s="1080"/>
      <c r="GSV482" s="1080"/>
      <c r="GSW482" s="1080"/>
      <c r="GSX482" s="1080"/>
      <c r="GSY482" s="1080"/>
      <c r="GSZ482" s="1080"/>
      <c r="GTA482" s="1080"/>
      <c r="GTB482" s="1080"/>
      <c r="GTC482" s="1080"/>
      <c r="GTD482" s="1080"/>
      <c r="GTE482" s="1080"/>
      <c r="GTF482" s="1080"/>
      <c r="GTG482" s="1080"/>
      <c r="GTH482" s="1080"/>
      <c r="GTI482" s="1080"/>
      <c r="GTJ482" s="1080"/>
      <c r="GTK482" s="1080"/>
      <c r="GTL482" s="1080"/>
      <c r="GTM482" s="1080"/>
      <c r="GTN482" s="1080"/>
      <c r="GTO482" s="1080"/>
      <c r="GTP482" s="1080"/>
      <c r="GTQ482" s="1080"/>
      <c r="GTR482" s="1080"/>
      <c r="GTS482" s="1080"/>
      <c r="GTT482" s="1080"/>
      <c r="GTU482" s="1080"/>
      <c r="GTV482" s="1080"/>
      <c r="GTW482" s="1080"/>
      <c r="GTX482" s="1080"/>
      <c r="GTY482" s="1080"/>
      <c r="GTZ482" s="1080"/>
      <c r="GUA482" s="1080"/>
      <c r="GUB482" s="1080"/>
      <c r="GUC482" s="1080"/>
      <c r="GUD482" s="1080"/>
      <c r="GUE482" s="1080"/>
      <c r="GUF482" s="1080"/>
      <c r="GUG482" s="1080"/>
      <c r="GUH482" s="1080"/>
      <c r="GUI482" s="1080"/>
      <c r="GUJ482" s="1080"/>
      <c r="GUK482" s="1080"/>
      <c r="GUL482" s="1080"/>
      <c r="GUM482" s="1080"/>
      <c r="GUN482" s="1080"/>
      <c r="GUO482" s="1080"/>
      <c r="GUP482" s="1080"/>
      <c r="GUQ482" s="1080"/>
      <c r="GUR482" s="1080"/>
      <c r="GUS482" s="1080"/>
      <c r="GUT482" s="1080"/>
      <c r="GUU482" s="1080"/>
      <c r="GUV482" s="1080"/>
      <c r="GUW482" s="1080"/>
      <c r="GUX482" s="1080"/>
      <c r="GUY482" s="1080"/>
      <c r="GUZ482" s="1080"/>
      <c r="GVA482" s="1080"/>
      <c r="GVB482" s="1080"/>
      <c r="GVC482" s="1080"/>
      <c r="GVD482" s="1080"/>
      <c r="GVE482" s="1080"/>
      <c r="GVF482" s="1080"/>
      <c r="GVG482" s="1080"/>
      <c r="GVH482" s="1080"/>
      <c r="GVI482" s="1080"/>
      <c r="GVJ482" s="1080"/>
      <c r="GVK482" s="1080"/>
      <c r="GVL482" s="1080"/>
      <c r="GVM482" s="1080"/>
      <c r="GVN482" s="1080"/>
      <c r="GVO482" s="1080"/>
      <c r="GVP482" s="1080"/>
      <c r="GVQ482" s="1080"/>
      <c r="GVR482" s="1080"/>
      <c r="GVS482" s="1080"/>
      <c r="GVT482" s="1080"/>
      <c r="GVU482" s="1080"/>
      <c r="GVV482" s="1080"/>
      <c r="GVW482" s="1080"/>
      <c r="GVX482" s="1080"/>
      <c r="GVY482" s="1080"/>
      <c r="GVZ482" s="1080"/>
      <c r="GWA482" s="1080"/>
      <c r="GWB482" s="1080"/>
      <c r="GWC482" s="1080"/>
      <c r="GWD482" s="1080"/>
      <c r="GWE482" s="1080"/>
      <c r="GWF482" s="1080"/>
      <c r="GWG482" s="1080"/>
      <c r="GWH482" s="1080"/>
      <c r="GWI482" s="1080"/>
      <c r="GWJ482" s="1080"/>
      <c r="GWK482" s="1080"/>
      <c r="GWL482" s="1080"/>
      <c r="GWM482" s="1080"/>
      <c r="GWN482" s="1080"/>
      <c r="GWO482" s="1080"/>
      <c r="GWP482" s="1080"/>
      <c r="GWQ482" s="1080"/>
      <c r="GWR482" s="1080"/>
      <c r="GWS482" s="1080"/>
      <c r="GWT482" s="1080"/>
      <c r="GWU482" s="1080"/>
      <c r="GWV482" s="1080"/>
      <c r="GWW482" s="1080"/>
      <c r="GWX482" s="1080"/>
      <c r="GWY482" s="1080"/>
      <c r="GWZ482" s="1080"/>
      <c r="GXA482" s="1080"/>
      <c r="GXB482" s="1080"/>
      <c r="GXC482" s="1080"/>
      <c r="GXD482" s="1080"/>
      <c r="GXE482" s="1080"/>
      <c r="GXF482" s="1080"/>
      <c r="GXG482" s="1080"/>
      <c r="GXH482" s="1080"/>
      <c r="GXI482" s="1080"/>
      <c r="GXJ482" s="1080"/>
      <c r="GXK482" s="1080"/>
      <c r="GXL482" s="1080"/>
      <c r="GXM482" s="1080"/>
      <c r="GXN482" s="1080"/>
      <c r="GXO482" s="1080"/>
      <c r="GXP482" s="1080"/>
      <c r="GXQ482" s="1080"/>
      <c r="GXR482" s="1080"/>
      <c r="GXS482" s="1080"/>
      <c r="GXT482" s="1080"/>
      <c r="GXU482" s="1080"/>
      <c r="GXV482" s="1080"/>
      <c r="GXW482" s="1080"/>
      <c r="GXX482" s="1080"/>
      <c r="GXY482" s="1080"/>
      <c r="GXZ482" s="1080"/>
      <c r="GYA482" s="1080"/>
      <c r="GYB482" s="1080"/>
      <c r="GYC482" s="1080"/>
      <c r="GYD482" s="1080"/>
      <c r="GYE482" s="1080"/>
      <c r="GYF482" s="1080"/>
      <c r="GYG482" s="1080"/>
      <c r="GYH482" s="1080"/>
      <c r="GYI482" s="1080"/>
      <c r="GYJ482" s="1080"/>
      <c r="GYK482" s="1080"/>
      <c r="GYL482" s="1080"/>
      <c r="GYM482" s="1080"/>
      <c r="GYN482" s="1080"/>
      <c r="GYO482" s="1080"/>
      <c r="GYP482" s="1080"/>
      <c r="GYQ482" s="1080"/>
      <c r="GYR482" s="1080"/>
      <c r="GYS482" s="1080"/>
      <c r="GYT482" s="1080"/>
      <c r="GYU482" s="1080"/>
      <c r="GYV482" s="1080"/>
      <c r="GYW482" s="1080"/>
      <c r="GYX482" s="1080"/>
      <c r="GYY482" s="1080"/>
      <c r="GYZ482" s="1080"/>
      <c r="GZA482" s="1080"/>
      <c r="GZB482" s="1080"/>
      <c r="GZC482" s="1080"/>
      <c r="GZD482" s="1080"/>
      <c r="GZE482" s="1080"/>
      <c r="GZF482" s="1080"/>
      <c r="GZG482" s="1080"/>
      <c r="GZH482" s="1080"/>
      <c r="GZI482" s="1080"/>
      <c r="GZJ482" s="1080"/>
      <c r="GZK482" s="1080"/>
      <c r="GZL482" s="1080"/>
      <c r="GZM482" s="1080"/>
      <c r="GZN482" s="1080"/>
      <c r="GZO482" s="1080"/>
      <c r="GZP482" s="1080"/>
      <c r="GZQ482" s="1080"/>
      <c r="GZR482" s="1080"/>
      <c r="GZS482" s="1080"/>
      <c r="GZT482" s="1080"/>
      <c r="GZU482" s="1080"/>
      <c r="GZV482" s="1080"/>
      <c r="GZW482" s="1080"/>
      <c r="GZX482" s="1080"/>
      <c r="GZY482" s="1080"/>
      <c r="GZZ482" s="1080"/>
      <c r="HAA482" s="1080"/>
      <c r="HAB482" s="1080"/>
      <c r="HAC482" s="1080"/>
      <c r="HAD482" s="1080"/>
      <c r="HAE482" s="1080"/>
      <c r="HAF482" s="1080"/>
      <c r="HAG482" s="1080"/>
      <c r="HAH482" s="1080"/>
      <c r="HAI482" s="1080"/>
      <c r="HAJ482" s="1080"/>
      <c r="HAK482" s="1080"/>
      <c r="HAL482" s="1080"/>
      <c r="HAM482" s="1080"/>
      <c r="HAN482" s="1080"/>
      <c r="HAO482" s="1080"/>
      <c r="HAP482" s="1080"/>
      <c r="HAQ482" s="1080"/>
      <c r="HAR482" s="1080"/>
      <c r="HAS482" s="1080"/>
      <c r="HAT482" s="1080"/>
      <c r="HAU482" s="1080"/>
      <c r="HAV482" s="1080"/>
      <c r="HAW482" s="1080"/>
      <c r="HAX482" s="1080"/>
      <c r="HAY482" s="1080"/>
      <c r="HAZ482" s="1080"/>
      <c r="HBA482" s="1080"/>
      <c r="HBB482" s="1080"/>
      <c r="HBC482" s="1080"/>
      <c r="HBD482" s="1080"/>
      <c r="HBE482" s="1080"/>
      <c r="HBF482" s="1080"/>
      <c r="HBG482" s="1080"/>
      <c r="HBH482" s="1080"/>
      <c r="HBI482" s="1080"/>
      <c r="HBJ482" s="1080"/>
      <c r="HBK482" s="1080"/>
      <c r="HBL482" s="1080"/>
      <c r="HBM482" s="1080"/>
      <c r="HBN482" s="1080"/>
      <c r="HBO482" s="1080"/>
      <c r="HBP482" s="1080"/>
      <c r="HBQ482" s="1080"/>
      <c r="HBR482" s="1080"/>
      <c r="HBS482" s="1080"/>
      <c r="HBT482" s="1080"/>
      <c r="HBU482" s="1080"/>
      <c r="HBV482" s="1080"/>
      <c r="HBW482" s="1080"/>
      <c r="HBX482" s="1080"/>
      <c r="HBY482" s="1080"/>
      <c r="HBZ482" s="1080"/>
      <c r="HCA482" s="1080"/>
      <c r="HCB482" s="1080"/>
      <c r="HCC482" s="1080"/>
      <c r="HCD482" s="1080"/>
      <c r="HCE482" s="1080"/>
      <c r="HCF482" s="1080"/>
      <c r="HCG482" s="1080"/>
      <c r="HCH482" s="1080"/>
      <c r="HCI482" s="1080"/>
      <c r="HCJ482" s="1080"/>
      <c r="HCK482" s="1080"/>
      <c r="HCL482" s="1080"/>
      <c r="HCM482" s="1080"/>
      <c r="HCN482" s="1080"/>
      <c r="HCO482" s="1080"/>
      <c r="HCP482" s="1080"/>
      <c r="HCQ482" s="1080"/>
      <c r="HCR482" s="1080"/>
      <c r="HCS482" s="1080"/>
      <c r="HCT482" s="1080"/>
      <c r="HCU482" s="1080"/>
      <c r="HCV482" s="1080"/>
      <c r="HCW482" s="1080"/>
      <c r="HCX482" s="1080"/>
      <c r="HCY482" s="1080"/>
      <c r="HCZ482" s="1080"/>
      <c r="HDA482" s="1080"/>
      <c r="HDB482" s="1080"/>
      <c r="HDC482" s="1080"/>
      <c r="HDD482" s="1080"/>
      <c r="HDE482" s="1080"/>
      <c r="HDF482" s="1080"/>
      <c r="HDG482" s="1080"/>
      <c r="HDH482" s="1080"/>
      <c r="HDI482" s="1080"/>
      <c r="HDJ482" s="1080"/>
      <c r="HDK482" s="1080"/>
      <c r="HDL482" s="1080"/>
      <c r="HDM482" s="1080"/>
      <c r="HDN482" s="1080"/>
      <c r="HDO482" s="1080"/>
      <c r="HDP482" s="1080"/>
      <c r="HDQ482" s="1080"/>
      <c r="HDR482" s="1080"/>
      <c r="HDS482" s="1080"/>
      <c r="HDT482" s="1080"/>
      <c r="HDU482" s="1080"/>
      <c r="HDV482" s="1080"/>
      <c r="HDW482" s="1080"/>
      <c r="HDX482" s="1080"/>
      <c r="HDY482" s="1080"/>
      <c r="HDZ482" s="1080"/>
      <c r="HEA482" s="1080"/>
      <c r="HEB482" s="1080"/>
      <c r="HEC482" s="1080"/>
      <c r="HED482" s="1080"/>
      <c r="HEE482" s="1080"/>
      <c r="HEF482" s="1080"/>
      <c r="HEG482" s="1080"/>
      <c r="HEH482" s="1080"/>
      <c r="HEI482" s="1080"/>
      <c r="HEJ482" s="1080"/>
      <c r="HEK482" s="1080"/>
      <c r="HEL482" s="1080"/>
      <c r="HEM482" s="1080"/>
      <c r="HEN482" s="1080"/>
      <c r="HEO482" s="1080"/>
      <c r="HEP482" s="1080"/>
      <c r="HEQ482" s="1080"/>
      <c r="HER482" s="1080"/>
      <c r="HES482" s="1080"/>
      <c r="HET482" s="1080"/>
      <c r="HEU482" s="1080"/>
      <c r="HEV482" s="1080"/>
      <c r="HEW482" s="1080"/>
      <c r="HEX482" s="1080"/>
      <c r="HEY482" s="1080"/>
      <c r="HEZ482" s="1080"/>
      <c r="HFA482" s="1080"/>
      <c r="HFB482" s="1080"/>
      <c r="HFC482" s="1080"/>
      <c r="HFD482" s="1080"/>
      <c r="HFE482" s="1080"/>
      <c r="HFF482" s="1080"/>
      <c r="HFG482" s="1080"/>
      <c r="HFH482" s="1080"/>
      <c r="HFI482" s="1080"/>
      <c r="HFJ482" s="1080"/>
      <c r="HFK482" s="1080"/>
      <c r="HFL482" s="1080"/>
      <c r="HFM482" s="1080"/>
      <c r="HFN482" s="1080"/>
      <c r="HFO482" s="1080"/>
      <c r="HFP482" s="1080"/>
      <c r="HFQ482" s="1080"/>
      <c r="HFR482" s="1080"/>
      <c r="HFS482" s="1080"/>
      <c r="HFT482" s="1080"/>
      <c r="HFU482" s="1080"/>
      <c r="HFV482" s="1080"/>
      <c r="HFW482" s="1080"/>
      <c r="HFX482" s="1080"/>
      <c r="HFY482" s="1080"/>
      <c r="HFZ482" s="1080"/>
      <c r="HGA482" s="1080"/>
      <c r="HGB482" s="1080"/>
      <c r="HGC482" s="1080"/>
      <c r="HGD482" s="1080"/>
      <c r="HGE482" s="1080"/>
      <c r="HGF482" s="1080"/>
      <c r="HGG482" s="1080"/>
      <c r="HGH482" s="1080"/>
      <c r="HGI482" s="1080"/>
      <c r="HGJ482" s="1080"/>
      <c r="HGK482" s="1080"/>
      <c r="HGL482" s="1080"/>
      <c r="HGM482" s="1080"/>
      <c r="HGN482" s="1080"/>
      <c r="HGO482" s="1080"/>
      <c r="HGP482" s="1080"/>
      <c r="HGQ482" s="1080"/>
      <c r="HGR482" s="1080"/>
      <c r="HGS482" s="1080"/>
      <c r="HGT482" s="1080"/>
      <c r="HGU482" s="1080"/>
      <c r="HGV482" s="1080"/>
      <c r="HGW482" s="1080"/>
      <c r="HGX482" s="1080"/>
      <c r="HGY482" s="1080"/>
      <c r="HGZ482" s="1080"/>
      <c r="HHA482" s="1080"/>
      <c r="HHB482" s="1080"/>
      <c r="HHC482" s="1080"/>
      <c r="HHD482" s="1080"/>
      <c r="HHE482" s="1080"/>
      <c r="HHF482" s="1080"/>
      <c r="HHG482" s="1080"/>
      <c r="HHH482" s="1080"/>
      <c r="HHI482" s="1080"/>
      <c r="HHJ482" s="1080"/>
      <c r="HHK482" s="1080"/>
      <c r="HHL482" s="1080"/>
      <c r="HHM482" s="1080"/>
      <c r="HHN482" s="1080"/>
      <c r="HHO482" s="1080"/>
      <c r="HHP482" s="1080"/>
      <c r="HHQ482" s="1080"/>
      <c r="HHR482" s="1080"/>
      <c r="HHS482" s="1080"/>
      <c r="HHT482" s="1080"/>
      <c r="HHU482" s="1080"/>
      <c r="HHV482" s="1080"/>
      <c r="HHW482" s="1080"/>
      <c r="HHX482" s="1080"/>
      <c r="HHY482" s="1080"/>
      <c r="HHZ482" s="1080"/>
      <c r="HIA482" s="1080"/>
      <c r="HIB482" s="1080"/>
      <c r="HIC482" s="1080"/>
      <c r="HID482" s="1080"/>
      <c r="HIE482" s="1080"/>
      <c r="HIF482" s="1080"/>
      <c r="HIG482" s="1080"/>
      <c r="HIH482" s="1080"/>
      <c r="HII482" s="1080"/>
      <c r="HIJ482" s="1080"/>
      <c r="HIK482" s="1080"/>
      <c r="HIL482" s="1080"/>
      <c r="HIM482" s="1080"/>
      <c r="HIN482" s="1080"/>
      <c r="HIO482" s="1080"/>
      <c r="HIP482" s="1080"/>
      <c r="HIQ482" s="1080"/>
      <c r="HIR482" s="1080"/>
      <c r="HIS482" s="1080"/>
      <c r="HIT482" s="1080"/>
      <c r="HIU482" s="1080"/>
      <c r="HIV482" s="1080"/>
      <c r="HIW482" s="1080"/>
      <c r="HIX482" s="1080"/>
      <c r="HIY482" s="1080"/>
      <c r="HIZ482" s="1080"/>
      <c r="HJA482" s="1080"/>
      <c r="HJB482" s="1080"/>
      <c r="HJC482" s="1080"/>
      <c r="HJD482" s="1080"/>
      <c r="HJE482" s="1080"/>
      <c r="HJF482" s="1080"/>
      <c r="HJG482" s="1080"/>
      <c r="HJH482" s="1080"/>
      <c r="HJI482" s="1080"/>
      <c r="HJJ482" s="1080"/>
      <c r="HJK482" s="1080"/>
      <c r="HJL482" s="1080"/>
      <c r="HJM482" s="1080"/>
      <c r="HJN482" s="1080"/>
      <c r="HJO482" s="1080"/>
      <c r="HJP482" s="1080"/>
      <c r="HJQ482" s="1080"/>
      <c r="HJR482" s="1080"/>
      <c r="HJS482" s="1080"/>
      <c r="HJT482" s="1080"/>
      <c r="HJU482" s="1080"/>
      <c r="HJV482" s="1080"/>
      <c r="HJW482" s="1080"/>
      <c r="HJX482" s="1080"/>
      <c r="HJY482" s="1080"/>
      <c r="HJZ482" s="1080"/>
      <c r="HKA482" s="1080"/>
      <c r="HKB482" s="1080"/>
      <c r="HKC482" s="1080"/>
      <c r="HKD482" s="1080"/>
      <c r="HKE482" s="1080"/>
      <c r="HKF482" s="1080"/>
      <c r="HKG482" s="1080"/>
      <c r="HKH482" s="1080"/>
      <c r="HKI482" s="1080"/>
      <c r="HKJ482" s="1080"/>
      <c r="HKK482" s="1080"/>
      <c r="HKL482" s="1080"/>
      <c r="HKM482" s="1080"/>
      <c r="HKN482" s="1080"/>
      <c r="HKO482" s="1080"/>
      <c r="HKP482" s="1080"/>
      <c r="HKQ482" s="1080"/>
      <c r="HKR482" s="1080"/>
      <c r="HKS482" s="1080"/>
      <c r="HKT482" s="1080"/>
      <c r="HKU482" s="1080"/>
      <c r="HKV482" s="1080"/>
      <c r="HKW482" s="1080"/>
      <c r="HKX482" s="1080"/>
      <c r="HKY482" s="1080"/>
      <c r="HKZ482" s="1080"/>
      <c r="HLA482" s="1080"/>
      <c r="HLB482" s="1080"/>
      <c r="HLC482" s="1080"/>
      <c r="HLD482" s="1080"/>
      <c r="HLE482" s="1080"/>
      <c r="HLF482" s="1080"/>
      <c r="HLG482" s="1080"/>
      <c r="HLH482" s="1080"/>
      <c r="HLI482" s="1080"/>
      <c r="HLJ482" s="1080"/>
      <c r="HLK482" s="1080"/>
      <c r="HLL482" s="1080"/>
      <c r="HLM482" s="1080"/>
      <c r="HLN482" s="1080"/>
      <c r="HLO482" s="1080"/>
      <c r="HLP482" s="1080"/>
      <c r="HLQ482" s="1080"/>
      <c r="HLR482" s="1080"/>
      <c r="HLS482" s="1080"/>
      <c r="HLT482" s="1080"/>
      <c r="HLU482" s="1080"/>
      <c r="HLV482" s="1080"/>
      <c r="HLW482" s="1080"/>
      <c r="HLX482" s="1080"/>
      <c r="HLY482" s="1080"/>
      <c r="HLZ482" s="1080"/>
      <c r="HMA482" s="1080"/>
      <c r="HMB482" s="1080"/>
      <c r="HMC482" s="1080"/>
      <c r="HMD482" s="1080"/>
      <c r="HME482" s="1080"/>
      <c r="HMF482" s="1080"/>
      <c r="HMG482" s="1080"/>
      <c r="HMH482" s="1080"/>
      <c r="HMI482" s="1080"/>
      <c r="HMJ482" s="1080"/>
      <c r="HMK482" s="1080"/>
      <c r="HML482" s="1080"/>
      <c r="HMM482" s="1080"/>
      <c r="HMN482" s="1080"/>
      <c r="HMO482" s="1080"/>
      <c r="HMP482" s="1080"/>
      <c r="HMQ482" s="1080"/>
      <c r="HMR482" s="1080"/>
      <c r="HMS482" s="1080"/>
      <c r="HMT482" s="1080"/>
      <c r="HMU482" s="1080"/>
      <c r="HMV482" s="1080"/>
      <c r="HMW482" s="1080"/>
      <c r="HMX482" s="1080"/>
      <c r="HMY482" s="1080"/>
      <c r="HMZ482" s="1080"/>
      <c r="HNA482" s="1080"/>
      <c r="HNB482" s="1080"/>
      <c r="HNC482" s="1080"/>
      <c r="HND482" s="1080"/>
      <c r="HNE482" s="1080"/>
      <c r="HNF482" s="1080"/>
      <c r="HNG482" s="1080"/>
      <c r="HNH482" s="1080"/>
      <c r="HNI482" s="1080"/>
      <c r="HNJ482" s="1080"/>
      <c r="HNK482" s="1080"/>
      <c r="HNL482" s="1080"/>
      <c r="HNM482" s="1080"/>
      <c r="HNN482" s="1080"/>
      <c r="HNO482" s="1080"/>
      <c r="HNP482" s="1080"/>
      <c r="HNQ482" s="1080"/>
      <c r="HNR482" s="1080"/>
      <c r="HNS482" s="1080"/>
      <c r="HNT482" s="1080"/>
      <c r="HNU482" s="1080"/>
      <c r="HNV482" s="1080"/>
      <c r="HNW482" s="1080"/>
      <c r="HNX482" s="1080"/>
      <c r="HNY482" s="1080"/>
      <c r="HNZ482" s="1080"/>
      <c r="HOA482" s="1080"/>
      <c r="HOB482" s="1080"/>
      <c r="HOC482" s="1080"/>
      <c r="HOD482" s="1080"/>
      <c r="HOE482" s="1080"/>
      <c r="HOF482" s="1080"/>
      <c r="HOG482" s="1080"/>
      <c r="HOH482" s="1080"/>
      <c r="HOI482" s="1080"/>
      <c r="HOJ482" s="1080"/>
      <c r="HOK482" s="1080"/>
      <c r="HOL482" s="1080"/>
      <c r="HOM482" s="1080"/>
      <c r="HON482" s="1080"/>
      <c r="HOO482" s="1080"/>
      <c r="HOP482" s="1080"/>
      <c r="HOQ482" s="1080"/>
      <c r="HOR482" s="1080"/>
      <c r="HOS482" s="1080"/>
      <c r="HOT482" s="1080"/>
      <c r="HOU482" s="1080"/>
      <c r="HOV482" s="1080"/>
      <c r="HOW482" s="1080"/>
      <c r="HOX482" s="1080"/>
      <c r="HOY482" s="1080"/>
      <c r="HOZ482" s="1080"/>
      <c r="HPA482" s="1080"/>
      <c r="HPB482" s="1080"/>
      <c r="HPC482" s="1080"/>
      <c r="HPD482" s="1080"/>
      <c r="HPE482" s="1080"/>
      <c r="HPF482" s="1080"/>
      <c r="HPG482" s="1080"/>
      <c r="HPH482" s="1080"/>
      <c r="HPI482" s="1080"/>
      <c r="HPJ482" s="1080"/>
      <c r="HPK482" s="1080"/>
      <c r="HPL482" s="1080"/>
      <c r="HPM482" s="1080"/>
      <c r="HPN482" s="1080"/>
      <c r="HPO482" s="1080"/>
      <c r="HPP482" s="1080"/>
      <c r="HPQ482" s="1080"/>
      <c r="HPR482" s="1080"/>
      <c r="HPS482" s="1080"/>
      <c r="HPT482" s="1080"/>
      <c r="HPU482" s="1080"/>
      <c r="HPV482" s="1080"/>
      <c r="HPW482" s="1080"/>
      <c r="HPX482" s="1080"/>
      <c r="HPY482" s="1080"/>
      <c r="HPZ482" s="1080"/>
      <c r="HQA482" s="1080"/>
      <c r="HQB482" s="1080"/>
      <c r="HQC482" s="1080"/>
      <c r="HQD482" s="1080"/>
      <c r="HQE482" s="1080"/>
      <c r="HQF482" s="1080"/>
      <c r="HQG482" s="1080"/>
      <c r="HQH482" s="1080"/>
      <c r="HQI482" s="1080"/>
      <c r="HQJ482" s="1080"/>
      <c r="HQK482" s="1080"/>
      <c r="HQL482" s="1080"/>
      <c r="HQM482" s="1080"/>
      <c r="HQN482" s="1080"/>
      <c r="HQO482" s="1080"/>
      <c r="HQP482" s="1080"/>
      <c r="HQQ482" s="1080"/>
      <c r="HQR482" s="1080"/>
      <c r="HQS482" s="1080"/>
      <c r="HQT482" s="1080"/>
      <c r="HQU482" s="1080"/>
      <c r="HQV482" s="1080"/>
      <c r="HQW482" s="1080"/>
      <c r="HQX482" s="1080"/>
      <c r="HQY482" s="1080"/>
      <c r="HQZ482" s="1080"/>
      <c r="HRA482" s="1080"/>
      <c r="HRB482" s="1080"/>
      <c r="HRC482" s="1080"/>
      <c r="HRD482" s="1080"/>
      <c r="HRE482" s="1080"/>
      <c r="HRF482" s="1080"/>
      <c r="HRG482" s="1080"/>
      <c r="HRH482" s="1080"/>
      <c r="HRI482" s="1080"/>
      <c r="HRJ482" s="1080"/>
      <c r="HRK482" s="1080"/>
      <c r="HRL482" s="1080"/>
      <c r="HRM482" s="1080"/>
      <c r="HRN482" s="1080"/>
      <c r="HRO482" s="1080"/>
      <c r="HRP482" s="1080"/>
      <c r="HRQ482" s="1080"/>
      <c r="HRR482" s="1080"/>
      <c r="HRS482" s="1080"/>
      <c r="HRT482" s="1080"/>
      <c r="HRU482" s="1080"/>
      <c r="HRV482" s="1080"/>
      <c r="HRW482" s="1080"/>
      <c r="HRX482" s="1080"/>
      <c r="HRY482" s="1080"/>
      <c r="HRZ482" s="1080"/>
      <c r="HSA482" s="1080"/>
      <c r="HSB482" s="1080"/>
      <c r="HSC482" s="1080"/>
      <c r="HSD482" s="1080"/>
      <c r="HSE482" s="1080"/>
      <c r="HSF482" s="1080"/>
      <c r="HSG482" s="1080"/>
      <c r="HSH482" s="1080"/>
      <c r="HSI482" s="1080"/>
      <c r="HSJ482" s="1080"/>
      <c r="HSK482" s="1080"/>
      <c r="HSL482" s="1080"/>
      <c r="HSM482" s="1080"/>
      <c r="HSN482" s="1080"/>
      <c r="HSO482" s="1080"/>
      <c r="HSP482" s="1080"/>
      <c r="HSQ482" s="1080"/>
      <c r="HSR482" s="1080"/>
      <c r="HSS482" s="1080"/>
      <c r="HST482" s="1080"/>
      <c r="HSU482" s="1080"/>
      <c r="HSV482" s="1080"/>
      <c r="HSW482" s="1080"/>
      <c r="HSX482" s="1080"/>
      <c r="HSY482" s="1080"/>
      <c r="HSZ482" s="1080"/>
      <c r="HTA482" s="1080"/>
      <c r="HTB482" s="1080"/>
      <c r="HTC482" s="1080"/>
      <c r="HTD482" s="1080"/>
      <c r="HTE482" s="1080"/>
      <c r="HTF482" s="1080"/>
      <c r="HTG482" s="1080"/>
      <c r="HTH482" s="1080"/>
      <c r="HTI482" s="1080"/>
      <c r="HTJ482" s="1080"/>
      <c r="HTK482" s="1080"/>
      <c r="HTL482" s="1080"/>
      <c r="HTM482" s="1080"/>
      <c r="HTN482" s="1080"/>
      <c r="HTO482" s="1080"/>
      <c r="HTP482" s="1080"/>
      <c r="HTQ482" s="1080"/>
      <c r="HTR482" s="1080"/>
      <c r="HTS482" s="1080"/>
      <c r="HTT482" s="1080"/>
      <c r="HTU482" s="1080"/>
      <c r="HTV482" s="1080"/>
      <c r="HTW482" s="1080"/>
      <c r="HTX482" s="1080"/>
      <c r="HTY482" s="1080"/>
      <c r="HTZ482" s="1080"/>
      <c r="HUA482" s="1080"/>
      <c r="HUB482" s="1080"/>
      <c r="HUC482" s="1080"/>
      <c r="HUD482" s="1080"/>
      <c r="HUE482" s="1080"/>
      <c r="HUF482" s="1080"/>
      <c r="HUG482" s="1080"/>
      <c r="HUH482" s="1080"/>
      <c r="HUI482" s="1080"/>
      <c r="HUJ482" s="1080"/>
      <c r="HUK482" s="1080"/>
      <c r="HUL482" s="1080"/>
      <c r="HUM482" s="1080"/>
      <c r="HUN482" s="1080"/>
      <c r="HUO482" s="1080"/>
      <c r="HUP482" s="1080"/>
      <c r="HUQ482" s="1080"/>
      <c r="HUR482" s="1080"/>
      <c r="HUS482" s="1080"/>
      <c r="HUT482" s="1080"/>
      <c r="HUU482" s="1080"/>
      <c r="HUV482" s="1080"/>
      <c r="HUW482" s="1080"/>
      <c r="HUX482" s="1080"/>
      <c r="HUY482" s="1080"/>
      <c r="HUZ482" s="1080"/>
      <c r="HVA482" s="1080"/>
      <c r="HVB482" s="1080"/>
      <c r="HVC482" s="1080"/>
      <c r="HVD482" s="1080"/>
      <c r="HVE482" s="1080"/>
      <c r="HVF482" s="1080"/>
      <c r="HVG482" s="1080"/>
      <c r="HVH482" s="1080"/>
      <c r="HVI482" s="1080"/>
      <c r="HVJ482" s="1080"/>
      <c r="HVK482" s="1080"/>
      <c r="HVL482" s="1080"/>
      <c r="HVM482" s="1080"/>
      <c r="HVN482" s="1080"/>
      <c r="HVO482" s="1080"/>
      <c r="HVP482" s="1080"/>
      <c r="HVQ482" s="1080"/>
      <c r="HVR482" s="1080"/>
      <c r="HVS482" s="1080"/>
      <c r="HVT482" s="1080"/>
      <c r="HVU482" s="1080"/>
      <c r="HVV482" s="1080"/>
      <c r="HVW482" s="1080"/>
      <c r="HVX482" s="1080"/>
      <c r="HVY482" s="1080"/>
      <c r="HVZ482" s="1080"/>
      <c r="HWA482" s="1080"/>
      <c r="HWB482" s="1080"/>
      <c r="HWC482" s="1080"/>
      <c r="HWD482" s="1080"/>
      <c r="HWE482" s="1080"/>
      <c r="HWF482" s="1080"/>
      <c r="HWG482" s="1080"/>
      <c r="HWH482" s="1080"/>
      <c r="HWI482" s="1080"/>
      <c r="HWJ482" s="1080"/>
      <c r="HWK482" s="1080"/>
      <c r="HWL482" s="1080"/>
      <c r="HWM482" s="1080"/>
      <c r="HWN482" s="1080"/>
      <c r="HWO482" s="1080"/>
      <c r="HWP482" s="1080"/>
      <c r="HWQ482" s="1080"/>
      <c r="HWR482" s="1080"/>
      <c r="HWS482" s="1080"/>
      <c r="HWT482" s="1080"/>
      <c r="HWU482" s="1080"/>
      <c r="HWV482" s="1080"/>
      <c r="HWW482" s="1080"/>
      <c r="HWX482" s="1080"/>
      <c r="HWY482" s="1080"/>
      <c r="HWZ482" s="1080"/>
      <c r="HXA482" s="1080"/>
      <c r="HXB482" s="1080"/>
      <c r="HXC482" s="1080"/>
      <c r="HXD482" s="1080"/>
      <c r="HXE482" s="1080"/>
      <c r="HXF482" s="1080"/>
      <c r="HXG482" s="1080"/>
      <c r="HXH482" s="1080"/>
      <c r="HXI482" s="1080"/>
      <c r="HXJ482" s="1080"/>
      <c r="HXK482" s="1080"/>
      <c r="HXL482" s="1080"/>
      <c r="HXM482" s="1080"/>
      <c r="HXN482" s="1080"/>
      <c r="HXO482" s="1080"/>
      <c r="HXP482" s="1080"/>
      <c r="HXQ482" s="1080"/>
      <c r="HXR482" s="1080"/>
      <c r="HXS482" s="1080"/>
      <c r="HXT482" s="1080"/>
      <c r="HXU482" s="1080"/>
      <c r="HXV482" s="1080"/>
      <c r="HXW482" s="1080"/>
      <c r="HXX482" s="1080"/>
      <c r="HXY482" s="1080"/>
      <c r="HXZ482" s="1080"/>
      <c r="HYA482" s="1080"/>
      <c r="HYB482" s="1080"/>
      <c r="HYC482" s="1080"/>
      <c r="HYD482" s="1080"/>
      <c r="HYE482" s="1080"/>
      <c r="HYF482" s="1080"/>
      <c r="HYG482" s="1080"/>
      <c r="HYH482" s="1080"/>
      <c r="HYI482" s="1080"/>
      <c r="HYJ482" s="1080"/>
      <c r="HYK482" s="1080"/>
      <c r="HYL482" s="1080"/>
      <c r="HYM482" s="1080"/>
      <c r="HYN482" s="1080"/>
      <c r="HYO482" s="1080"/>
      <c r="HYP482" s="1080"/>
      <c r="HYQ482" s="1080"/>
      <c r="HYR482" s="1080"/>
      <c r="HYS482" s="1080"/>
      <c r="HYT482" s="1080"/>
      <c r="HYU482" s="1080"/>
      <c r="HYV482" s="1080"/>
      <c r="HYW482" s="1080"/>
      <c r="HYX482" s="1080"/>
      <c r="HYY482" s="1080"/>
      <c r="HYZ482" s="1080"/>
      <c r="HZA482" s="1080"/>
      <c r="HZB482" s="1080"/>
      <c r="HZC482" s="1080"/>
      <c r="HZD482" s="1080"/>
      <c r="HZE482" s="1080"/>
      <c r="HZF482" s="1080"/>
      <c r="HZG482" s="1080"/>
      <c r="HZH482" s="1080"/>
      <c r="HZI482" s="1080"/>
      <c r="HZJ482" s="1080"/>
      <c r="HZK482" s="1080"/>
      <c r="HZL482" s="1080"/>
      <c r="HZM482" s="1080"/>
      <c r="HZN482" s="1080"/>
      <c r="HZO482" s="1080"/>
      <c r="HZP482" s="1080"/>
      <c r="HZQ482" s="1080"/>
      <c r="HZR482" s="1080"/>
      <c r="HZS482" s="1080"/>
      <c r="HZT482" s="1080"/>
      <c r="HZU482" s="1080"/>
      <c r="HZV482" s="1080"/>
      <c r="HZW482" s="1080"/>
      <c r="HZX482" s="1080"/>
      <c r="HZY482" s="1080"/>
      <c r="HZZ482" s="1080"/>
      <c r="IAA482" s="1080"/>
      <c r="IAB482" s="1080"/>
      <c r="IAC482" s="1080"/>
      <c r="IAD482" s="1080"/>
      <c r="IAE482" s="1080"/>
      <c r="IAF482" s="1080"/>
      <c r="IAG482" s="1080"/>
      <c r="IAH482" s="1080"/>
      <c r="IAI482" s="1080"/>
      <c r="IAJ482" s="1080"/>
      <c r="IAK482" s="1080"/>
      <c r="IAL482" s="1080"/>
      <c r="IAM482" s="1080"/>
      <c r="IAN482" s="1080"/>
      <c r="IAO482" s="1080"/>
      <c r="IAP482" s="1080"/>
      <c r="IAQ482" s="1080"/>
      <c r="IAR482" s="1080"/>
      <c r="IAS482" s="1080"/>
      <c r="IAT482" s="1080"/>
      <c r="IAU482" s="1080"/>
      <c r="IAV482" s="1080"/>
      <c r="IAW482" s="1080"/>
      <c r="IAX482" s="1080"/>
      <c r="IAY482" s="1080"/>
      <c r="IAZ482" s="1080"/>
      <c r="IBA482" s="1080"/>
      <c r="IBB482" s="1080"/>
      <c r="IBC482" s="1080"/>
      <c r="IBD482" s="1080"/>
      <c r="IBE482" s="1080"/>
      <c r="IBF482" s="1080"/>
      <c r="IBG482" s="1080"/>
      <c r="IBH482" s="1080"/>
      <c r="IBI482" s="1080"/>
      <c r="IBJ482" s="1080"/>
      <c r="IBK482" s="1080"/>
      <c r="IBL482" s="1080"/>
      <c r="IBM482" s="1080"/>
      <c r="IBN482" s="1080"/>
      <c r="IBO482" s="1080"/>
      <c r="IBP482" s="1080"/>
      <c r="IBQ482" s="1080"/>
      <c r="IBR482" s="1080"/>
      <c r="IBS482" s="1080"/>
      <c r="IBT482" s="1080"/>
      <c r="IBU482" s="1080"/>
      <c r="IBV482" s="1080"/>
      <c r="IBW482" s="1080"/>
      <c r="IBX482" s="1080"/>
      <c r="IBY482" s="1080"/>
      <c r="IBZ482" s="1080"/>
      <c r="ICA482" s="1080"/>
      <c r="ICB482" s="1080"/>
      <c r="ICC482" s="1080"/>
      <c r="ICD482" s="1080"/>
      <c r="ICE482" s="1080"/>
      <c r="ICF482" s="1080"/>
      <c r="ICG482" s="1080"/>
      <c r="ICH482" s="1080"/>
      <c r="ICI482" s="1080"/>
      <c r="ICJ482" s="1080"/>
      <c r="ICK482" s="1080"/>
      <c r="ICL482" s="1080"/>
      <c r="ICM482" s="1080"/>
      <c r="ICN482" s="1080"/>
      <c r="ICO482" s="1080"/>
      <c r="ICP482" s="1080"/>
      <c r="ICQ482" s="1080"/>
      <c r="ICR482" s="1080"/>
      <c r="ICS482" s="1080"/>
      <c r="ICT482" s="1080"/>
      <c r="ICU482" s="1080"/>
      <c r="ICV482" s="1080"/>
      <c r="ICW482" s="1080"/>
      <c r="ICX482" s="1080"/>
      <c r="ICY482" s="1080"/>
      <c r="ICZ482" s="1080"/>
      <c r="IDA482" s="1080"/>
      <c r="IDB482" s="1080"/>
      <c r="IDC482" s="1080"/>
      <c r="IDD482" s="1080"/>
      <c r="IDE482" s="1080"/>
      <c r="IDF482" s="1080"/>
      <c r="IDG482" s="1080"/>
      <c r="IDH482" s="1080"/>
      <c r="IDI482" s="1080"/>
      <c r="IDJ482" s="1080"/>
      <c r="IDK482" s="1080"/>
      <c r="IDL482" s="1080"/>
      <c r="IDM482" s="1080"/>
      <c r="IDN482" s="1080"/>
      <c r="IDO482" s="1080"/>
      <c r="IDP482" s="1080"/>
      <c r="IDQ482" s="1080"/>
      <c r="IDR482" s="1080"/>
      <c r="IDS482" s="1080"/>
      <c r="IDT482" s="1080"/>
      <c r="IDU482" s="1080"/>
      <c r="IDV482" s="1080"/>
      <c r="IDW482" s="1080"/>
      <c r="IDX482" s="1080"/>
      <c r="IDY482" s="1080"/>
      <c r="IDZ482" s="1080"/>
      <c r="IEA482" s="1080"/>
      <c r="IEB482" s="1080"/>
      <c r="IEC482" s="1080"/>
      <c r="IED482" s="1080"/>
      <c r="IEE482" s="1080"/>
      <c r="IEF482" s="1080"/>
      <c r="IEG482" s="1080"/>
      <c r="IEH482" s="1080"/>
      <c r="IEI482" s="1080"/>
      <c r="IEJ482" s="1080"/>
      <c r="IEK482" s="1080"/>
      <c r="IEL482" s="1080"/>
      <c r="IEM482" s="1080"/>
      <c r="IEN482" s="1080"/>
      <c r="IEO482" s="1080"/>
      <c r="IEP482" s="1080"/>
      <c r="IEQ482" s="1080"/>
      <c r="IER482" s="1080"/>
      <c r="IES482" s="1080"/>
      <c r="IET482" s="1080"/>
      <c r="IEU482" s="1080"/>
      <c r="IEV482" s="1080"/>
      <c r="IEW482" s="1080"/>
      <c r="IEX482" s="1080"/>
      <c r="IEY482" s="1080"/>
      <c r="IEZ482" s="1080"/>
      <c r="IFA482" s="1080"/>
      <c r="IFB482" s="1080"/>
      <c r="IFC482" s="1080"/>
      <c r="IFD482" s="1080"/>
      <c r="IFE482" s="1080"/>
      <c r="IFF482" s="1080"/>
      <c r="IFG482" s="1080"/>
      <c r="IFH482" s="1080"/>
      <c r="IFI482" s="1080"/>
      <c r="IFJ482" s="1080"/>
      <c r="IFK482" s="1080"/>
      <c r="IFL482" s="1080"/>
      <c r="IFM482" s="1080"/>
      <c r="IFN482" s="1080"/>
      <c r="IFO482" s="1080"/>
      <c r="IFP482" s="1080"/>
      <c r="IFQ482" s="1080"/>
      <c r="IFR482" s="1080"/>
      <c r="IFS482" s="1080"/>
      <c r="IFT482" s="1080"/>
      <c r="IFU482" s="1080"/>
      <c r="IFV482" s="1080"/>
      <c r="IFW482" s="1080"/>
      <c r="IFX482" s="1080"/>
      <c r="IFY482" s="1080"/>
      <c r="IFZ482" s="1080"/>
      <c r="IGA482" s="1080"/>
      <c r="IGB482" s="1080"/>
      <c r="IGC482" s="1080"/>
      <c r="IGD482" s="1080"/>
      <c r="IGE482" s="1080"/>
      <c r="IGF482" s="1080"/>
      <c r="IGG482" s="1080"/>
      <c r="IGH482" s="1080"/>
      <c r="IGI482" s="1080"/>
      <c r="IGJ482" s="1080"/>
      <c r="IGK482" s="1080"/>
      <c r="IGL482" s="1080"/>
      <c r="IGM482" s="1080"/>
      <c r="IGN482" s="1080"/>
      <c r="IGO482" s="1080"/>
      <c r="IGP482" s="1080"/>
      <c r="IGQ482" s="1080"/>
      <c r="IGR482" s="1080"/>
      <c r="IGS482" s="1080"/>
      <c r="IGT482" s="1080"/>
      <c r="IGU482" s="1080"/>
      <c r="IGV482" s="1080"/>
      <c r="IGW482" s="1080"/>
      <c r="IGX482" s="1080"/>
      <c r="IGY482" s="1080"/>
      <c r="IGZ482" s="1080"/>
      <c r="IHA482" s="1080"/>
      <c r="IHB482" s="1080"/>
      <c r="IHC482" s="1080"/>
      <c r="IHD482" s="1080"/>
      <c r="IHE482" s="1080"/>
      <c r="IHF482" s="1080"/>
      <c r="IHG482" s="1080"/>
      <c r="IHH482" s="1080"/>
      <c r="IHI482" s="1080"/>
      <c r="IHJ482" s="1080"/>
      <c r="IHK482" s="1080"/>
      <c r="IHL482" s="1080"/>
      <c r="IHM482" s="1080"/>
      <c r="IHN482" s="1080"/>
      <c r="IHO482" s="1080"/>
      <c r="IHP482" s="1080"/>
      <c r="IHQ482" s="1080"/>
      <c r="IHR482" s="1080"/>
      <c r="IHS482" s="1080"/>
      <c r="IHT482" s="1080"/>
      <c r="IHU482" s="1080"/>
      <c r="IHV482" s="1080"/>
      <c r="IHW482" s="1080"/>
      <c r="IHX482" s="1080"/>
      <c r="IHY482" s="1080"/>
      <c r="IHZ482" s="1080"/>
      <c r="IIA482" s="1080"/>
      <c r="IIB482" s="1080"/>
      <c r="IIC482" s="1080"/>
      <c r="IID482" s="1080"/>
      <c r="IIE482" s="1080"/>
      <c r="IIF482" s="1080"/>
      <c r="IIG482" s="1080"/>
      <c r="IIH482" s="1080"/>
      <c r="III482" s="1080"/>
      <c r="IIJ482" s="1080"/>
      <c r="IIK482" s="1080"/>
      <c r="IIL482" s="1080"/>
      <c r="IIM482" s="1080"/>
      <c r="IIN482" s="1080"/>
      <c r="IIO482" s="1080"/>
      <c r="IIP482" s="1080"/>
      <c r="IIQ482" s="1080"/>
      <c r="IIR482" s="1080"/>
      <c r="IIS482" s="1080"/>
      <c r="IIT482" s="1080"/>
      <c r="IIU482" s="1080"/>
      <c r="IIV482" s="1080"/>
      <c r="IIW482" s="1080"/>
      <c r="IIX482" s="1080"/>
      <c r="IIY482" s="1080"/>
      <c r="IIZ482" s="1080"/>
      <c r="IJA482" s="1080"/>
      <c r="IJB482" s="1080"/>
      <c r="IJC482" s="1080"/>
      <c r="IJD482" s="1080"/>
      <c r="IJE482" s="1080"/>
      <c r="IJF482" s="1080"/>
      <c r="IJG482" s="1080"/>
      <c r="IJH482" s="1080"/>
      <c r="IJI482" s="1080"/>
      <c r="IJJ482" s="1080"/>
      <c r="IJK482" s="1080"/>
      <c r="IJL482" s="1080"/>
      <c r="IJM482" s="1080"/>
      <c r="IJN482" s="1080"/>
      <c r="IJO482" s="1080"/>
      <c r="IJP482" s="1080"/>
      <c r="IJQ482" s="1080"/>
      <c r="IJR482" s="1080"/>
      <c r="IJS482" s="1080"/>
      <c r="IJT482" s="1080"/>
      <c r="IJU482" s="1080"/>
      <c r="IJV482" s="1080"/>
      <c r="IJW482" s="1080"/>
      <c r="IJX482" s="1080"/>
      <c r="IJY482" s="1080"/>
      <c r="IJZ482" s="1080"/>
      <c r="IKA482" s="1080"/>
      <c r="IKB482" s="1080"/>
      <c r="IKC482" s="1080"/>
      <c r="IKD482" s="1080"/>
      <c r="IKE482" s="1080"/>
      <c r="IKF482" s="1080"/>
      <c r="IKG482" s="1080"/>
      <c r="IKH482" s="1080"/>
      <c r="IKI482" s="1080"/>
      <c r="IKJ482" s="1080"/>
      <c r="IKK482" s="1080"/>
      <c r="IKL482" s="1080"/>
      <c r="IKM482" s="1080"/>
      <c r="IKN482" s="1080"/>
      <c r="IKO482" s="1080"/>
      <c r="IKP482" s="1080"/>
      <c r="IKQ482" s="1080"/>
      <c r="IKR482" s="1080"/>
      <c r="IKS482" s="1080"/>
      <c r="IKT482" s="1080"/>
      <c r="IKU482" s="1080"/>
      <c r="IKV482" s="1080"/>
      <c r="IKW482" s="1080"/>
      <c r="IKX482" s="1080"/>
      <c r="IKY482" s="1080"/>
      <c r="IKZ482" s="1080"/>
      <c r="ILA482" s="1080"/>
      <c r="ILB482" s="1080"/>
      <c r="ILC482" s="1080"/>
      <c r="ILD482" s="1080"/>
      <c r="ILE482" s="1080"/>
      <c r="ILF482" s="1080"/>
      <c r="ILG482" s="1080"/>
      <c r="ILH482" s="1080"/>
      <c r="ILI482" s="1080"/>
      <c r="ILJ482" s="1080"/>
      <c r="ILK482" s="1080"/>
      <c r="ILL482" s="1080"/>
      <c r="ILM482" s="1080"/>
      <c r="ILN482" s="1080"/>
      <c r="ILO482" s="1080"/>
      <c r="ILP482" s="1080"/>
      <c r="ILQ482" s="1080"/>
      <c r="ILR482" s="1080"/>
      <c r="ILS482" s="1080"/>
      <c r="ILT482" s="1080"/>
      <c r="ILU482" s="1080"/>
      <c r="ILV482" s="1080"/>
      <c r="ILW482" s="1080"/>
      <c r="ILX482" s="1080"/>
      <c r="ILY482" s="1080"/>
      <c r="ILZ482" s="1080"/>
      <c r="IMA482" s="1080"/>
      <c r="IMB482" s="1080"/>
      <c r="IMC482" s="1080"/>
      <c r="IMD482" s="1080"/>
      <c r="IME482" s="1080"/>
      <c r="IMF482" s="1080"/>
      <c r="IMG482" s="1080"/>
      <c r="IMH482" s="1080"/>
      <c r="IMI482" s="1080"/>
      <c r="IMJ482" s="1080"/>
      <c r="IMK482" s="1080"/>
      <c r="IML482" s="1080"/>
      <c r="IMM482" s="1080"/>
      <c r="IMN482" s="1080"/>
      <c r="IMO482" s="1080"/>
      <c r="IMP482" s="1080"/>
      <c r="IMQ482" s="1080"/>
      <c r="IMR482" s="1080"/>
      <c r="IMS482" s="1080"/>
      <c r="IMT482" s="1080"/>
      <c r="IMU482" s="1080"/>
      <c r="IMV482" s="1080"/>
      <c r="IMW482" s="1080"/>
      <c r="IMX482" s="1080"/>
      <c r="IMY482" s="1080"/>
      <c r="IMZ482" s="1080"/>
      <c r="INA482" s="1080"/>
      <c r="INB482" s="1080"/>
      <c r="INC482" s="1080"/>
      <c r="IND482" s="1080"/>
      <c r="INE482" s="1080"/>
      <c r="INF482" s="1080"/>
      <c r="ING482" s="1080"/>
      <c r="INH482" s="1080"/>
      <c r="INI482" s="1080"/>
      <c r="INJ482" s="1080"/>
      <c r="INK482" s="1080"/>
      <c r="INL482" s="1080"/>
      <c r="INM482" s="1080"/>
      <c r="INN482" s="1080"/>
      <c r="INO482" s="1080"/>
      <c r="INP482" s="1080"/>
      <c r="INQ482" s="1080"/>
      <c r="INR482" s="1080"/>
      <c r="INS482" s="1080"/>
      <c r="INT482" s="1080"/>
      <c r="INU482" s="1080"/>
      <c r="INV482" s="1080"/>
      <c r="INW482" s="1080"/>
      <c r="INX482" s="1080"/>
      <c r="INY482" s="1080"/>
      <c r="INZ482" s="1080"/>
      <c r="IOA482" s="1080"/>
      <c r="IOB482" s="1080"/>
      <c r="IOC482" s="1080"/>
      <c r="IOD482" s="1080"/>
      <c r="IOE482" s="1080"/>
      <c r="IOF482" s="1080"/>
      <c r="IOG482" s="1080"/>
      <c r="IOH482" s="1080"/>
      <c r="IOI482" s="1080"/>
      <c r="IOJ482" s="1080"/>
      <c r="IOK482" s="1080"/>
      <c r="IOL482" s="1080"/>
      <c r="IOM482" s="1080"/>
      <c r="ION482" s="1080"/>
      <c r="IOO482" s="1080"/>
      <c r="IOP482" s="1080"/>
      <c r="IOQ482" s="1080"/>
      <c r="IOR482" s="1080"/>
      <c r="IOS482" s="1080"/>
      <c r="IOT482" s="1080"/>
      <c r="IOU482" s="1080"/>
      <c r="IOV482" s="1080"/>
      <c r="IOW482" s="1080"/>
      <c r="IOX482" s="1080"/>
      <c r="IOY482" s="1080"/>
      <c r="IOZ482" s="1080"/>
      <c r="IPA482" s="1080"/>
      <c r="IPB482" s="1080"/>
      <c r="IPC482" s="1080"/>
      <c r="IPD482" s="1080"/>
      <c r="IPE482" s="1080"/>
      <c r="IPF482" s="1080"/>
      <c r="IPG482" s="1080"/>
      <c r="IPH482" s="1080"/>
      <c r="IPI482" s="1080"/>
      <c r="IPJ482" s="1080"/>
      <c r="IPK482" s="1080"/>
      <c r="IPL482" s="1080"/>
      <c r="IPM482" s="1080"/>
      <c r="IPN482" s="1080"/>
      <c r="IPO482" s="1080"/>
      <c r="IPP482" s="1080"/>
      <c r="IPQ482" s="1080"/>
      <c r="IPR482" s="1080"/>
      <c r="IPS482" s="1080"/>
      <c r="IPT482" s="1080"/>
      <c r="IPU482" s="1080"/>
      <c r="IPV482" s="1080"/>
      <c r="IPW482" s="1080"/>
      <c r="IPX482" s="1080"/>
      <c r="IPY482" s="1080"/>
      <c r="IPZ482" s="1080"/>
      <c r="IQA482" s="1080"/>
      <c r="IQB482" s="1080"/>
      <c r="IQC482" s="1080"/>
      <c r="IQD482" s="1080"/>
      <c r="IQE482" s="1080"/>
      <c r="IQF482" s="1080"/>
      <c r="IQG482" s="1080"/>
      <c r="IQH482" s="1080"/>
      <c r="IQI482" s="1080"/>
      <c r="IQJ482" s="1080"/>
      <c r="IQK482" s="1080"/>
      <c r="IQL482" s="1080"/>
      <c r="IQM482" s="1080"/>
      <c r="IQN482" s="1080"/>
      <c r="IQO482" s="1080"/>
      <c r="IQP482" s="1080"/>
      <c r="IQQ482" s="1080"/>
      <c r="IQR482" s="1080"/>
      <c r="IQS482" s="1080"/>
      <c r="IQT482" s="1080"/>
      <c r="IQU482" s="1080"/>
      <c r="IQV482" s="1080"/>
      <c r="IQW482" s="1080"/>
      <c r="IQX482" s="1080"/>
      <c r="IQY482" s="1080"/>
      <c r="IQZ482" s="1080"/>
      <c r="IRA482" s="1080"/>
      <c r="IRB482" s="1080"/>
      <c r="IRC482" s="1080"/>
      <c r="IRD482" s="1080"/>
      <c r="IRE482" s="1080"/>
      <c r="IRF482" s="1080"/>
      <c r="IRG482" s="1080"/>
      <c r="IRH482" s="1080"/>
      <c r="IRI482" s="1080"/>
      <c r="IRJ482" s="1080"/>
      <c r="IRK482" s="1080"/>
      <c r="IRL482" s="1080"/>
      <c r="IRM482" s="1080"/>
      <c r="IRN482" s="1080"/>
      <c r="IRO482" s="1080"/>
      <c r="IRP482" s="1080"/>
      <c r="IRQ482" s="1080"/>
      <c r="IRR482" s="1080"/>
      <c r="IRS482" s="1080"/>
      <c r="IRT482" s="1080"/>
      <c r="IRU482" s="1080"/>
      <c r="IRV482" s="1080"/>
      <c r="IRW482" s="1080"/>
      <c r="IRX482" s="1080"/>
      <c r="IRY482" s="1080"/>
      <c r="IRZ482" s="1080"/>
      <c r="ISA482" s="1080"/>
      <c r="ISB482" s="1080"/>
      <c r="ISC482" s="1080"/>
      <c r="ISD482" s="1080"/>
      <c r="ISE482" s="1080"/>
      <c r="ISF482" s="1080"/>
      <c r="ISG482" s="1080"/>
      <c r="ISH482" s="1080"/>
      <c r="ISI482" s="1080"/>
      <c r="ISJ482" s="1080"/>
      <c r="ISK482" s="1080"/>
      <c r="ISL482" s="1080"/>
      <c r="ISM482" s="1080"/>
      <c r="ISN482" s="1080"/>
      <c r="ISO482" s="1080"/>
      <c r="ISP482" s="1080"/>
      <c r="ISQ482" s="1080"/>
      <c r="ISR482" s="1080"/>
      <c r="ISS482" s="1080"/>
      <c r="IST482" s="1080"/>
      <c r="ISU482" s="1080"/>
      <c r="ISV482" s="1080"/>
      <c r="ISW482" s="1080"/>
      <c r="ISX482" s="1080"/>
      <c r="ISY482" s="1080"/>
      <c r="ISZ482" s="1080"/>
      <c r="ITA482" s="1080"/>
      <c r="ITB482" s="1080"/>
      <c r="ITC482" s="1080"/>
      <c r="ITD482" s="1080"/>
      <c r="ITE482" s="1080"/>
      <c r="ITF482" s="1080"/>
      <c r="ITG482" s="1080"/>
      <c r="ITH482" s="1080"/>
      <c r="ITI482" s="1080"/>
      <c r="ITJ482" s="1080"/>
      <c r="ITK482" s="1080"/>
      <c r="ITL482" s="1080"/>
      <c r="ITM482" s="1080"/>
      <c r="ITN482" s="1080"/>
      <c r="ITO482" s="1080"/>
      <c r="ITP482" s="1080"/>
      <c r="ITQ482" s="1080"/>
      <c r="ITR482" s="1080"/>
      <c r="ITS482" s="1080"/>
      <c r="ITT482" s="1080"/>
      <c r="ITU482" s="1080"/>
      <c r="ITV482" s="1080"/>
      <c r="ITW482" s="1080"/>
      <c r="ITX482" s="1080"/>
      <c r="ITY482" s="1080"/>
      <c r="ITZ482" s="1080"/>
      <c r="IUA482" s="1080"/>
      <c r="IUB482" s="1080"/>
      <c r="IUC482" s="1080"/>
      <c r="IUD482" s="1080"/>
      <c r="IUE482" s="1080"/>
      <c r="IUF482" s="1080"/>
      <c r="IUG482" s="1080"/>
      <c r="IUH482" s="1080"/>
      <c r="IUI482" s="1080"/>
      <c r="IUJ482" s="1080"/>
      <c r="IUK482" s="1080"/>
      <c r="IUL482" s="1080"/>
      <c r="IUM482" s="1080"/>
      <c r="IUN482" s="1080"/>
      <c r="IUO482" s="1080"/>
      <c r="IUP482" s="1080"/>
      <c r="IUQ482" s="1080"/>
      <c r="IUR482" s="1080"/>
      <c r="IUS482" s="1080"/>
      <c r="IUT482" s="1080"/>
      <c r="IUU482" s="1080"/>
      <c r="IUV482" s="1080"/>
      <c r="IUW482" s="1080"/>
      <c r="IUX482" s="1080"/>
      <c r="IUY482" s="1080"/>
      <c r="IUZ482" s="1080"/>
      <c r="IVA482" s="1080"/>
      <c r="IVB482" s="1080"/>
      <c r="IVC482" s="1080"/>
      <c r="IVD482" s="1080"/>
      <c r="IVE482" s="1080"/>
      <c r="IVF482" s="1080"/>
      <c r="IVG482" s="1080"/>
      <c r="IVH482" s="1080"/>
      <c r="IVI482" s="1080"/>
      <c r="IVJ482" s="1080"/>
      <c r="IVK482" s="1080"/>
      <c r="IVL482" s="1080"/>
      <c r="IVM482" s="1080"/>
      <c r="IVN482" s="1080"/>
      <c r="IVO482" s="1080"/>
      <c r="IVP482" s="1080"/>
      <c r="IVQ482" s="1080"/>
      <c r="IVR482" s="1080"/>
      <c r="IVS482" s="1080"/>
      <c r="IVT482" s="1080"/>
      <c r="IVU482" s="1080"/>
      <c r="IVV482" s="1080"/>
      <c r="IVW482" s="1080"/>
      <c r="IVX482" s="1080"/>
      <c r="IVY482" s="1080"/>
      <c r="IVZ482" s="1080"/>
      <c r="IWA482" s="1080"/>
      <c r="IWB482" s="1080"/>
      <c r="IWC482" s="1080"/>
      <c r="IWD482" s="1080"/>
      <c r="IWE482" s="1080"/>
      <c r="IWF482" s="1080"/>
      <c r="IWG482" s="1080"/>
      <c r="IWH482" s="1080"/>
      <c r="IWI482" s="1080"/>
      <c r="IWJ482" s="1080"/>
      <c r="IWK482" s="1080"/>
      <c r="IWL482" s="1080"/>
      <c r="IWM482" s="1080"/>
      <c r="IWN482" s="1080"/>
      <c r="IWO482" s="1080"/>
      <c r="IWP482" s="1080"/>
      <c r="IWQ482" s="1080"/>
      <c r="IWR482" s="1080"/>
      <c r="IWS482" s="1080"/>
      <c r="IWT482" s="1080"/>
      <c r="IWU482" s="1080"/>
      <c r="IWV482" s="1080"/>
      <c r="IWW482" s="1080"/>
      <c r="IWX482" s="1080"/>
      <c r="IWY482" s="1080"/>
      <c r="IWZ482" s="1080"/>
      <c r="IXA482" s="1080"/>
      <c r="IXB482" s="1080"/>
      <c r="IXC482" s="1080"/>
      <c r="IXD482" s="1080"/>
      <c r="IXE482" s="1080"/>
      <c r="IXF482" s="1080"/>
      <c r="IXG482" s="1080"/>
      <c r="IXH482" s="1080"/>
      <c r="IXI482" s="1080"/>
      <c r="IXJ482" s="1080"/>
      <c r="IXK482" s="1080"/>
      <c r="IXL482" s="1080"/>
      <c r="IXM482" s="1080"/>
      <c r="IXN482" s="1080"/>
      <c r="IXO482" s="1080"/>
      <c r="IXP482" s="1080"/>
      <c r="IXQ482" s="1080"/>
      <c r="IXR482" s="1080"/>
      <c r="IXS482" s="1080"/>
      <c r="IXT482" s="1080"/>
      <c r="IXU482" s="1080"/>
      <c r="IXV482" s="1080"/>
      <c r="IXW482" s="1080"/>
      <c r="IXX482" s="1080"/>
      <c r="IXY482" s="1080"/>
      <c r="IXZ482" s="1080"/>
      <c r="IYA482" s="1080"/>
      <c r="IYB482" s="1080"/>
      <c r="IYC482" s="1080"/>
      <c r="IYD482" s="1080"/>
      <c r="IYE482" s="1080"/>
      <c r="IYF482" s="1080"/>
      <c r="IYG482" s="1080"/>
      <c r="IYH482" s="1080"/>
      <c r="IYI482" s="1080"/>
      <c r="IYJ482" s="1080"/>
      <c r="IYK482" s="1080"/>
      <c r="IYL482" s="1080"/>
      <c r="IYM482" s="1080"/>
      <c r="IYN482" s="1080"/>
      <c r="IYO482" s="1080"/>
      <c r="IYP482" s="1080"/>
      <c r="IYQ482" s="1080"/>
      <c r="IYR482" s="1080"/>
      <c r="IYS482" s="1080"/>
      <c r="IYT482" s="1080"/>
      <c r="IYU482" s="1080"/>
      <c r="IYV482" s="1080"/>
      <c r="IYW482" s="1080"/>
      <c r="IYX482" s="1080"/>
      <c r="IYY482" s="1080"/>
      <c r="IYZ482" s="1080"/>
      <c r="IZA482" s="1080"/>
      <c r="IZB482" s="1080"/>
      <c r="IZC482" s="1080"/>
      <c r="IZD482" s="1080"/>
      <c r="IZE482" s="1080"/>
      <c r="IZF482" s="1080"/>
      <c r="IZG482" s="1080"/>
      <c r="IZH482" s="1080"/>
      <c r="IZI482" s="1080"/>
      <c r="IZJ482" s="1080"/>
      <c r="IZK482" s="1080"/>
      <c r="IZL482" s="1080"/>
      <c r="IZM482" s="1080"/>
      <c r="IZN482" s="1080"/>
      <c r="IZO482" s="1080"/>
      <c r="IZP482" s="1080"/>
      <c r="IZQ482" s="1080"/>
      <c r="IZR482" s="1080"/>
      <c r="IZS482" s="1080"/>
      <c r="IZT482" s="1080"/>
      <c r="IZU482" s="1080"/>
      <c r="IZV482" s="1080"/>
      <c r="IZW482" s="1080"/>
      <c r="IZX482" s="1080"/>
      <c r="IZY482" s="1080"/>
      <c r="IZZ482" s="1080"/>
      <c r="JAA482" s="1080"/>
      <c r="JAB482" s="1080"/>
      <c r="JAC482" s="1080"/>
      <c r="JAD482" s="1080"/>
      <c r="JAE482" s="1080"/>
      <c r="JAF482" s="1080"/>
      <c r="JAG482" s="1080"/>
      <c r="JAH482" s="1080"/>
      <c r="JAI482" s="1080"/>
      <c r="JAJ482" s="1080"/>
      <c r="JAK482" s="1080"/>
      <c r="JAL482" s="1080"/>
      <c r="JAM482" s="1080"/>
      <c r="JAN482" s="1080"/>
      <c r="JAO482" s="1080"/>
      <c r="JAP482" s="1080"/>
      <c r="JAQ482" s="1080"/>
      <c r="JAR482" s="1080"/>
      <c r="JAS482" s="1080"/>
      <c r="JAT482" s="1080"/>
      <c r="JAU482" s="1080"/>
      <c r="JAV482" s="1080"/>
      <c r="JAW482" s="1080"/>
      <c r="JAX482" s="1080"/>
      <c r="JAY482" s="1080"/>
      <c r="JAZ482" s="1080"/>
      <c r="JBA482" s="1080"/>
      <c r="JBB482" s="1080"/>
      <c r="JBC482" s="1080"/>
      <c r="JBD482" s="1080"/>
      <c r="JBE482" s="1080"/>
      <c r="JBF482" s="1080"/>
      <c r="JBG482" s="1080"/>
      <c r="JBH482" s="1080"/>
      <c r="JBI482" s="1080"/>
      <c r="JBJ482" s="1080"/>
      <c r="JBK482" s="1080"/>
      <c r="JBL482" s="1080"/>
      <c r="JBM482" s="1080"/>
      <c r="JBN482" s="1080"/>
      <c r="JBO482" s="1080"/>
      <c r="JBP482" s="1080"/>
      <c r="JBQ482" s="1080"/>
      <c r="JBR482" s="1080"/>
      <c r="JBS482" s="1080"/>
      <c r="JBT482" s="1080"/>
      <c r="JBU482" s="1080"/>
      <c r="JBV482" s="1080"/>
      <c r="JBW482" s="1080"/>
      <c r="JBX482" s="1080"/>
      <c r="JBY482" s="1080"/>
      <c r="JBZ482" s="1080"/>
      <c r="JCA482" s="1080"/>
      <c r="JCB482" s="1080"/>
      <c r="JCC482" s="1080"/>
      <c r="JCD482" s="1080"/>
      <c r="JCE482" s="1080"/>
      <c r="JCF482" s="1080"/>
      <c r="JCG482" s="1080"/>
      <c r="JCH482" s="1080"/>
      <c r="JCI482" s="1080"/>
      <c r="JCJ482" s="1080"/>
      <c r="JCK482" s="1080"/>
      <c r="JCL482" s="1080"/>
      <c r="JCM482" s="1080"/>
      <c r="JCN482" s="1080"/>
      <c r="JCO482" s="1080"/>
      <c r="JCP482" s="1080"/>
      <c r="JCQ482" s="1080"/>
      <c r="JCR482" s="1080"/>
      <c r="JCS482" s="1080"/>
      <c r="JCT482" s="1080"/>
      <c r="JCU482" s="1080"/>
      <c r="JCV482" s="1080"/>
      <c r="JCW482" s="1080"/>
      <c r="JCX482" s="1080"/>
      <c r="JCY482" s="1080"/>
      <c r="JCZ482" s="1080"/>
      <c r="JDA482" s="1080"/>
      <c r="JDB482" s="1080"/>
      <c r="JDC482" s="1080"/>
      <c r="JDD482" s="1080"/>
      <c r="JDE482" s="1080"/>
      <c r="JDF482" s="1080"/>
      <c r="JDG482" s="1080"/>
      <c r="JDH482" s="1080"/>
      <c r="JDI482" s="1080"/>
      <c r="JDJ482" s="1080"/>
      <c r="JDK482" s="1080"/>
      <c r="JDL482" s="1080"/>
      <c r="JDM482" s="1080"/>
      <c r="JDN482" s="1080"/>
      <c r="JDO482" s="1080"/>
      <c r="JDP482" s="1080"/>
      <c r="JDQ482" s="1080"/>
      <c r="JDR482" s="1080"/>
      <c r="JDS482" s="1080"/>
      <c r="JDT482" s="1080"/>
      <c r="JDU482" s="1080"/>
      <c r="JDV482" s="1080"/>
      <c r="JDW482" s="1080"/>
      <c r="JDX482" s="1080"/>
      <c r="JDY482" s="1080"/>
      <c r="JDZ482" s="1080"/>
      <c r="JEA482" s="1080"/>
      <c r="JEB482" s="1080"/>
      <c r="JEC482" s="1080"/>
      <c r="JED482" s="1080"/>
      <c r="JEE482" s="1080"/>
      <c r="JEF482" s="1080"/>
      <c r="JEG482" s="1080"/>
      <c r="JEH482" s="1080"/>
      <c r="JEI482" s="1080"/>
      <c r="JEJ482" s="1080"/>
      <c r="JEK482" s="1080"/>
      <c r="JEL482" s="1080"/>
      <c r="JEM482" s="1080"/>
      <c r="JEN482" s="1080"/>
      <c r="JEO482" s="1080"/>
      <c r="JEP482" s="1080"/>
      <c r="JEQ482" s="1080"/>
      <c r="JER482" s="1080"/>
      <c r="JES482" s="1080"/>
      <c r="JET482" s="1080"/>
      <c r="JEU482" s="1080"/>
      <c r="JEV482" s="1080"/>
      <c r="JEW482" s="1080"/>
      <c r="JEX482" s="1080"/>
      <c r="JEY482" s="1080"/>
      <c r="JEZ482" s="1080"/>
      <c r="JFA482" s="1080"/>
      <c r="JFB482" s="1080"/>
      <c r="JFC482" s="1080"/>
      <c r="JFD482" s="1080"/>
      <c r="JFE482" s="1080"/>
      <c r="JFF482" s="1080"/>
      <c r="JFG482" s="1080"/>
      <c r="JFH482" s="1080"/>
      <c r="JFI482" s="1080"/>
      <c r="JFJ482" s="1080"/>
      <c r="JFK482" s="1080"/>
      <c r="JFL482" s="1080"/>
      <c r="JFM482" s="1080"/>
      <c r="JFN482" s="1080"/>
      <c r="JFO482" s="1080"/>
      <c r="JFP482" s="1080"/>
      <c r="JFQ482" s="1080"/>
      <c r="JFR482" s="1080"/>
      <c r="JFS482" s="1080"/>
      <c r="JFT482" s="1080"/>
      <c r="JFU482" s="1080"/>
      <c r="JFV482" s="1080"/>
      <c r="JFW482" s="1080"/>
      <c r="JFX482" s="1080"/>
      <c r="JFY482" s="1080"/>
      <c r="JFZ482" s="1080"/>
      <c r="JGA482" s="1080"/>
      <c r="JGB482" s="1080"/>
      <c r="JGC482" s="1080"/>
      <c r="JGD482" s="1080"/>
      <c r="JGE482" s="1080"/>
      <c r="JGF482" s="1080"/>
      <c r="JGG482" s="1080"/>
      <c r="JGH482" s="1080"/>
      <c r="JGI482" s="1080"/>
      <c r="JGJ482" s="1080"/>
      <c r="JGK482" s="1080"/>
      <c r="JGL482" s="1080"/>
      <c r="JGM482" s="1080"/>
      <c r="JGN482" s="1080"/>
      <c r="JGO482" s="1080"/>
      <c r="JGP482" s="1080"/>
      <c r="JGQ482" s="1080"/>
      <c r="JGR482" s="1080"/>
      <c r="JGS482" s="1080"/>
      <c r="JGT482" s="1080"/>
      <c r="JGU482" s="1080"/>
      <c r="JGV482" s="1080"/>
      <c r="JGW482" s="1080"/>
      <c r="JGX482" s="1080"/>
      <c r="JGY482" s="1080"/>
      <c r="JGZ482" s="1080"/>
      <c r="JHA482" s="1080"/>
      <c r="JHB482" s="1080"/>
      <c r="JHC482" s="1080"/>
      <c r="JHD482" s="1080"/>
      <c r="JHE482" s="1080"/>
      <c r="JHF482" s="1080"/>
      <c r="JHG482" s="1080"/>
      <c r="JHH482" s="1080"/>
      <c r="JHI482" s="1080"/>
      <c r="JHJ482" s="1080"/>
      <c r="JHK482" s="1080"/>
      <c r="JHL482" s="1080"/>
      <c r="JHM482" s="1080"/>
      <c r="JHN482" s="1080"/>
      <c r="JHO482" s="1080"/>
      <c r="JHP482" s="1080"/>
      <c r="JHQ482" s="1080"/>
      <c r="JHR482" s="1080"/>
      <c r="JHS482" s="1080"/>
      <c r="JHT482" s="1080"/>
      <c r="JHU482" s="1080"/>
      <c r="JHV482" s="1080"/>
      <c r="JHW482" s="1080"/>
      <c r="JHX482" s="1080"/>
      <c r="JHY482" s="1080"/>
      <c r="JHZ482" s="1080"/>
      <c r="JIA482" s="1080"/>
      <c r="JIB482" s="1080"/>
      <c r="JIC482" s="1080"/>
      <c r="JID482" s="1080"/>
      <c r="JIE482" s="1080"/>
      <c r="JIF482" s="1080"/>
      <c r="JIG482" s="1080"/>
      <c r="JIH482" s="1080"/>
      <c r="JII482" s="1080"/>
      <c r="JIJ482" s="1080"/>
      <c r="JIK482" s="1080"/>
      <c r="JIL482" s="1080"/>
      <c r="JIM482" s="1080"/>
      <c r="JIN482" s="1080"/>
      <c r="JIO482" s="1080"/>
      <c r="JIP482" s="1080"/>
      <c r="JIQ482" s="1080"/>
      <c r="JIR482" s="1080"/>
      <c r="JIS482" s="1080"/>
      <c r="JIT482" s="1080"/>
      <c r="JIU482" s="1080"/>
      <c r="JIV482" s="1080"/>
      <c r="JIW482" s="1080"/>
      <c r="JIX482" s="1080"/>
      <c r="JIY482" s="1080"/>
      <c r="JIZ482" s="1080"/>
      <c r="JJA482" s="1080"/>
      <c r="JJB482" s="1080"/>
      <c r="JJC482" s="1080"/>
      <c r="JJD482" s="1080"/>
      <c r="JJE482" s="1080"/>
      <c r="JJF482" s="1080"/>
      <c r="JJG482" s="1080"/>
      <c r="JJH482" s="1080"/>
      <c r="JJI482" s="1080"/>
      <c r="JJJ482" s="1080"/>
      <c r="JJK482" s="1080"/>
      <c r="JJL482" s="1080"/>
      <c r="JJM482" s="1080"/>
      <c r="JJN482" s="1080"/>
      <c r="JJO482" s="1080"/>
      <c r="JJP482" s="1080"/>
      <c r="JJQ482" s="1080"/>
      <c r="JJR482" s="1080"/>
      <c r="JJS482" s="1080"/>
      <c r="JJT482" s="1080"/>
      <c r="JJU482" s="1080"/>
      <c r="JJV482" s="1080"/>
      <c r="JJW482" s="1080"/>
      <c r="JJX482" s="1080"/>
      <c r="JJY482" s="1080"/>
      <c r="JJZ482" s="1080"/>
      <c r="JKA482" s="1080"/>
      <c r="JKB482" s="1080"/>
      <c r="JKC482" s="1080"/>
      <c r="JKD482" s="1080"/>
      <c r="JKE482" s="1080"/>
      <c r="JKF482" s="1080"/>
      <c r="JKG482" s="1080"/>
      <c r="JKH482" s="1080"/>
      <c r="JKI482" s="1080"/>
      <c r="JKJ482" s="1080"/>
      <c r="JKK482" s="1080"/>
      <c r="JKL482" s="1080"/>
      <c r="JKM482" s="1080"/>
      <c r="JKN482" s="1080"/>
      <c r="JKO482" s="1080"/>
      <c r="JKP482" s="1080"/>
      <c r="JKQ482" s="1080"/>
      <c r="JKR482" s="1080"/>
      <c r="JKS482" s="1080"/>
      <c r="JKT482" s="1080"/>
      <c r="JKU482" s="1080"/>
      <c r="JKV482" s="1080"/>
      <c r="JKW482" s="1080"/>
      <c r="JKX482" s="1080"/>
      <c r="JKY482" s="1080"/>
      <c r="JKZ482" s="1080"/>
      <c r="JLA482" s="1080"/>
      <c r="JLB482" s="1080"/>
      <c r="JLC482" s="1080"/>
      <c r="JLD482" s="1080"/>
      <c r="JLE482" s="1080"/>
      <c r="JLF482" s="1080"/>
      <c r="JLG482" s="1080"/>
      <c r="JLH482" s="1080"/>
      <c r="JLI482" s="1080"/>
      <c r="JLJ482" s="1080"/>
      <c r="JLK482" s="1080"/>
      <c r="JLL482" s="1080"/>
      <c r="JLM482" s="1080"/>
      <c r="JLN482" s="1080"/>
      <c r="JLO482" s="1080"/>
      <c r="JLP482" s="1080"/>
      <c r="JLQ482" s="1080"/>
      <c r="JLR482" s="1080"/>
      <c r="JLS482" s="1080"/>
      <c r="JLT482" s="1080"/>
      <c r="JLU482" s="1080"/>
      <c r="JLV482" s="1080"/>
      <c r="JLW482" s="1080"/>
      <c r="JLX482" s="1080"/>
      <c r="JLY482" s="1080"/>
      <c r="JLZ482" s="1080"/>
      <c r="JMA482" s="1080"/>
      <c r="JMB482" s="1080"/>
      <c r="JMC482" s="1080"/>
      <c r="JMD482" s="1080"/>
      <c r="JME482" s="1080"/>
      <c r="JMF482" s="1080"/>
      <c r="JMG482" s="1080"/>
      <c r="JMH482" s="1080"/>
      <c r="JMI482" s="1080"/>
      <c r="JMJ482" s="1080"/>
      <c r="JMK482" s="1080"/>
      <c r="JML482" s="1080"/>
      <c r="JMM482" s="1080"/>
      <c r="JMN482" s="1080"/>
      <c r="JMO482" s="1080"/>
      <c r="JMP482" s="1080"/>
      <c r="JMQ482" s="1080"/>
      <c r="JMR482" s="1080"/>
      <c r="JMS482" s="1080"/>
      <c r="JMT482" s="1080"/>
      <c r="JMU482" s="1080"/>
      <c r="JMV482" s="1080"/>
      <c r="JMW482" s="1080"/>
      <c r="JMX482" s="1080"/>
      <c r="JMY482" s="1080"/>
      <c r="JMZ482" s="1080"/>
      <c r="JNA482" s="1080"/>
      <c r="JNB482" s="1080"/>
      <c r="JNC482" s="1080"/>
      <c r="JND482" s="1080"/>
      <c r="JNE482" s="1080"/>
      <c r="JNF482" s="1080"/>
      <c r="JNG482" s="1080"/>
      <c r="JNH482" s="1080"/>
      <c r="JNI482" s="1080"/>
      <c r="JNJ482" s="1080"/>
      <c r="JNK482" s="1080"/>
      <c r="JNL482" s="1080"/>
      <c r="JNM482" s="1080"/>
      <c r="JNN482" s="1080"/>
      <c r="JNO482" s="1080"/>
      <c r="JNP482" s="1080"/>
      <c r="JNQ482" s="1080"/>
      <c r="JNR482" s="1080"/>
      <c r="JNS482" s="1080"/>
      <c r="JNT482" s="1080"/>
      <c r="JNU482" s="1080"/>
      <c r="JNV482" s="1080"/>
      <c r="JNW482" s="1080"/>
      <c r="JNX482" s="1080"/>
      <c r="JNY482" s="1080"/>
      <c r="JNZ482" s="1080"/>
      <c r="JOA482" s="1080"/>
      <c r="JOB482" s="1080"/>
      <c r="JOC482" s="1080"/>
      <c r="JOD482" s="1080"/>
      <c r="JOE482" s="1080"/>
      <c r="JOF482" s="1080"/>
      <c r="JOG482" s="1080"/>
      <c r="JOH482" s="1080"/>
      <c r="JOI482" s="1080"/>
      <c r="JOJ482" s="1080"/>
      <c r="JOK482" s="1080"/>
      <c r="JOL482" s="1080"/>
      <c r="JOM482" s="1080"/>
      <c r="JON482" s="1080"/>
      <c r="JOO482" s="1080"/>
      <c r="JOP482" s="1080"/>
      <c r="JOQ482" s="1080"/>
      <c r="JOR482" s="1080"/>
      <c r="JOS482" s="1080"/>
      <c r="JOT482" s="1080"/>
      <c r="JOU482" s="1080"/>
      <c r="JOV482" s="1080"/>
      <c r="JOW482" s="1080"/>
      <c r="JOX482" s="1080"/>
      <c r="JOY482" s="1080"/>
      <c r="JOZ482" s="1080"/>
      <c r="JPA482" s="1080"/>
      <c r="JPB482" s="1080"/>
      <c r="JPC482" s="1080"/>
      <c r="JPD482" s="1080"/>
      <c r="JPE482" s="1080"/>
      <c r="JPF482" s="1080"/>
      <c r="JPG482" s="1080"/>
      <c r="JPH482" s="1080"/>
      <c r="JPI482" s="1080"/>
      <c r="JPJ482" s="1080"/>
      <c r="JPK482" s="1080"/>
      <c r="JPL482" s="1080"/>
      <c r="JPM482" s="1080"/>
      <c r="JPN482" s="1080"/>
      <c r="JPO482" s="1080"/>
      <c r="JPP482" s="1080"/>
      <c r="JPQ482" s="1080"/>
      <c r="JPR482" s="1080"/>
      <c r="JPS482" s="1080"/>
      <c r="JPT482" s="1080"/>
      <c r="JPU482" s="1080"/>
      <c r="JPV482" s="1080"/>
      <c r="JPW482" s="1080"/>
      <c r="JPX482" s="1080"/>
      <c r="JPY482" s="1080"/>
      <c r="JPZ482" s="1080"/>
      <c r="JQA482" s="1080"/>
      <c r="JQB482" s="1080"/>
      <c r="JQC482" s="1080"/>
      <c r="JQD482" s="1080"/>
      <c r="JQE482" s="1080"/>
      <c r="JQF482" s="1080"/>
      <c r="JQG482" s="1080"/>
      <c r="JQH482" s="1080"/>
      <c r="JQI482" s="1080"/>
      <c r="JQJ482" s="1080"/>
      <c r="JQK482" s="1080"/>
      <c r="JQL482" s="1080"/>
      <c r="JQM482" s="1080"/>
      <c r="JQN482" s="1080"/>
      <c r="JQO482" s="1080"/>
      <c r="JQP482" s="1080"/>
      <c r="JQQ482" s="1080"/>
      <c r="JQR482" s="1080"/>
      <c r="JQS482" s="1080"/>
      <c r="JQT482" s="1080"/>
      <c r="JQU482" s="1080"/>
      <c r="JQV482" s="1080"/>
      <c r="JQW482" s="1080"/>
      <c r="JQX482" s="1080"/>
      <c r="JQY482" s="1080"/>
      <c r="JQZ482" s="1080"/>
      <c r="JRA482" s="1080"/>
      <c r="JRB482" s="1080"/>
      <c r="JRC482" s="1080"/>
      <c r="JRD482" s="1080"/>
      <c r="JRE482" s="1080"/>
      <c r="JRF482" s="1080"/>
      <c r="JRG482" s="1080"/>
      <c r="JRH482" s="1080"/>
      <c r="JRI482" s="1080"/>
      <c r="JRJ482" s="1080"/>
      <c r="JRK482" s="1080"/>
      <c r="JRL482" s="1080"/>
      <c r="JRM482" s="1080"/>
      <c r="JRN482" s="1080"/>
      <c r="JRO482" s="1080"/>
      <c r="JRP482" s="1080"/>
      <c r="JRQ482" s="1080"/>
      <c r="JRR482" s="1080"/>
      <c r="JRS482" s="1080"/>
      <c r="JRT482" s="1080"/>
      <c r="JRU482" s="1080"/>
      <c r="JRV482" s="1080"/>
      <c r="JRW482" s="1080"/>
      <c r="JRX482" s="1080"/>
      <c r="JRY482" s="1080"/>
      <c r="JRZ482" s="1080"/>
      <c r="JSA482" s="1080"/>
      <c r="JSB482" s="1080"/>
      <c r="JSC482" s="1080"/>
      <c r="JSD482" s="1080"/>
      <c r="JSE482" s="1080"/>
      <c r="JSF482" s="1080"/>
      <c r="JSG482" s="1080"/>
      <c r="JSH482" s="1080"/>
      <c r="JSI482" s="1080"/>
      <c r="JSJ482" s="1080"/>
      <c r="JSK482" s="1080"/>
      <c r="JSL482" s="1080"/>
      <c r="JSM482" s="1080"/>
      <c r="JSN482" s="1080"/>
      <c r="JSO482" s="1080"/>
      <c r="JSP482" s="1080"/>
      <c r="JSQ482" s="1080"/>
      <c r="JSR482" s="1080"/>
      <c r="JSS482" s="1080"/>
      <c r="JST482" s="1080"/>
      <c r="JSU482" s="1080"/>
      <c r="JSV482" s="1080"/>
      <c r="JSW482" s="1080"/>
      <c r="JSX482" s="1080"/>
      <c r="JSY482" s="1080"/>
      <c r="JSZ482" s="1080"/>
      <c r="JTA482" s="1080"/>
      <c r="JTB482" s="1080"/>
      <c r="JTC482" s="1080"/>
      <c r="JTD482" s="1080"/>
      <c r="JTE482" s="1080"/>
      <c r="JTF482" s="1080"/>
      <c r="JTG482" s="1080"/>
      <c r="JTH482" s="1080"/>
      <c r="JTI482" s="1080"/>
      <c r="JTJ482" s="1080"/>
      <c r="JTK482" s="1080"/>
      <c r="JTL482" s="1080"/>
      <c r="JTM482" s="1080"/>
      <c r="JTN482" s="1080"/>
      <c r="JTO482" s="1080"/>
      <c r="JTP482" s="1080"/>
      <c r="JTQ482" s="1080"/>
      <c r="JTR482" s="1080"/>
      <c r="JTS482" s="1080"/>
      <c r="JTT482" s="1080"/>
      <c r="JTU482" s="1080"/>
      <c r="JTV482" s="1080"/>
      <c r="JTW482" s="1080"/>
      <c r="JTX482" s="1080"/>
      <c r="JTY482" s="1080"/>
      <c r="JTZ482" s="1080"/>
      <c r="JUA482" s="1080"/>
      <c r="JUB482" s="1080"/>
      <c r="JUC482" s="1080"/>
      <c r="JUD482" s="1080"/>
      <c r="JUE482" s="1080"/>
      <c r="JUF482" s="1080"/>
      <c r="JUG482" s="1080"/>
      <c r="JUH482" s="1080"/>
      <c r="JUI482" s="1080"/>
      <c r="JUJ482" s="1080"/>
      <c r="JUK482" s="1080"/>
      <c r="JUL482" s="1080"/>
      <c r="JUM482" s="1080"/>
      <c r="JUN482" s="1080"/>
      <c r="JUO482" s="1080"/>
      <c r="JUP482" s="1080"/>
      <c r="JUQ482" s="1080"/>
      <c r="JUR482" s="1080"/>
      <c r="JUS482" s="1080"/>
      <c r="JUT482" s="1080"/>
      <c r="JUU482" s="1080"/>
      <c r="JUV482" s="1080"/>
      <c r="JUW482" s="1080"/>
      <c r="JUX482" s="1080"/>
      <c r="JUY482" s="1080"/>
      <c r="JUZ482" s="1080"/>
      <c r="JVA482" s="1080"/>
      <c r="JVB482" s="1080"/>
      <c r="JVC482" s="1080"/>
      <c r="JVD482" s="1080"/>
      <c r="JVE482" s="1080"/>
      <c r="JVF482" s="1080"/>
      <c r="JVG482" s="1080"/>
      <c r="JVH482" s="1080"/>
      <c r="JVI482" s="1080"/>
      <c r="JVJ482" s="1080"/>
      <c r="JVK482" s="1080"/>
      <c r="JVL482" s="1080"/>
      <c r="JVM482" s="1080"/>
      <c r="JVN482" s="1080"/>
      <c r="JVO482" s="1080"/>
      <c r="JVP482" s="1080"/>
      <c r="JVQ482" s="1080"/>
      <c r="JVR482" s="1080"/>
      <c r="JVS482" s="1080"/>
      <c r="JVT482" s="1080"/>
      <c r="JVU482" s="1080"/>
      <c r="JVV482" s="1080"/>
      <c r="JVW482" s="1080"/>
      <c r="JVX482" s="1080"/>
      <c r="JVY482" s="1080"/>
      <c r="JVZ482" s="1080"/>
      <c r="JWA482" s="1080"/>
      <c r="JWB482" s="1080"/>
      <c r="JWC482" s="1080"/>
      <c r="JWD482" s="1080"/>
      <c r="JWE482" s="1080"/>
      <c r="JWF482" s="1080"/>
      <c r="JWG482" s="1080"/>
      <c r="JWH482" s="1080"/>
      <c r="JWI482" s="1080"/>
      <c r="JWJ482" s="1080"/>
      <c r="JWK482" s="1080"/>
      <c r="JWL482" s="1080"/>
      <c r="JWM482" s="1080"/>
      <c r="JWN482" s="1080"/>
      <c r="JWO482" s="1080"/>
      <c r="JWP482" s="1080"/>
      <c r="JWQ482" s="1080"/>
      <c r="JWR482" s="1080"/>
      <c r="JWS482" s="1080"/>
      <c r="JWT482" s="1080"/>
      <c r="JWU482" s="1080"/>
      <c r="JWV482" s="1080"/>
      <c r="JWW482" s="1080"/>
      <c r="JWX482" s="1080"/>
      <c r="JWY482" s="1080"/>
      <c r="JWZ482" s="1080"/>
      <c r="JXA482" s="1080"/>
      <c r="JXB482" s="1080"/>
      <c r="JXC482" s="1080"/>
      <c r="JXD482" s="1080"/>
      <c r="JXE482" s="1080"/>
      <c r="JXF482" s="1080"/>
      <c r="JXG482" s="1080"/>
      <c r="JXH482" s="1080"/>
      <c r="JXI482" s="1080"/>
      <c r="JXJ482" s="1080"/>
      <c r="JXK482" s="1080"/>
      <c r="JXL482" s="1080"/>
      <c r="JXM482" s="1080"/>
      <c r="JXN482" s="1080"/>
      <c r="JXO482" s="1080"/>
      <c r="JXP482" s="1080"/>
      <c r="JXQ482" s="1080"/>
      <c r="JXR482" s="1080"/>
      <c r="JXS482" s="1080"/>
      <c r="JXT482" s="1080"/>
      <c r="JXU482" s="1080"/>
      <c r="JXV482" s="1080"/>
      <c r="JXW482" s="1080"/>
      <c r="JXX482" s="1080"/>
      <c r="JXY482" s="1080"/>
      <c r="JXZ482" s="1080"/>
      <c r="JYA482" s="1080"/>
      <c r="JYB482" s="1080"/>
      <c r="JYC482" s="1080"/>
      <c r="JYD482" s="1080"/>
      <c r="JYE482" s="1080"/>
      <c r="JYF482" s="1080"/>
      <c r="JYG482" s="1080"/>
      <c r="JYH482" s="1080"/>
      <c r="JYI482" s="1080"/>
      <c r="JYJ482" s="1080"/>
      <c r="JYK482" s="1080"/>
      <c r="JYL482" s="1080"/>
      <c r="JYM482" s="1080"/>
      <c r="JYN482" s="1080"/>
      <c r="JYO482" s="1080"/>
      <c r="JYP482" s="1080"/>
      <c r="JYQ482" s="1080"/>
      <c r="JYR482" s="1080"/>
      <c r="JYS482" s="1080"/>
      <c r="JYT482" s="1080"/>
      <c r="JYU482" s="1080"/>
      <c r="JYV482" s="1080"/>
      <c r="JYW482" s="1080"/>
      <c r="JYX482" s="1080"/>
      <c r="JYY482" s="1080"/>
      <c r="JYZ482" s="1080"/>
      <c r="JZA482" s="1080"/>
      <c r="JZB482" s="1080"/>
      <c r="JZC482" s="1080"/>
      <c r="JZD482" s="1080"/>
      <c r="JZE482" s="1080"/>
      <c r="JZF482" s="1080"/>
      <c r="JZG482" s="1080"/>
      <c r="JZH482" s="1080"/>
      <c r="JZI482" s="1080"/>
      <c r="JZJ482" s="1080"/>
      <c r="JZK482" s="1080"/>
      <c r="JZL482" s="1080"/>
      <c r="JZM482" s="1080"/>
      <c r="JZN482" s="1080"/>
      <c r="JZO482" s="1080"/>
      <c r="JZP482" s="1080"/>
      <c r="JZQ482" s="1080"/>
      <c r="JZR482" s="1080"/>
      <c r="JZS482" s="1080"/>
      <c r="JZT482" s="1080"/>
      <c r="JZU482" s="1080"/>
      <c r="JZV482" s="1080"/>
      <c r="JZW482" s="1080"/>
      <c r="JZX482" s="1080"/>
      <c r="JZY482" s="1080"/>
      <c r="JZZ482" s="1080"/>
      <c r="KAA482" s="1080"/>
      <c r="KAB482" s="1080"/>
      <c r="KAC482" s="1080"/>
      <c r="KAD482" s="1080"/>
      <c r="KAE482" s="1080"/>
      <c r="KAF482" s="1080"/>
      <c r="KAG482" s="1080"/>
      <c r="KAH482" s="1080"/>
      <c r="KAI482" s="1080"/>
      <c r="KAJ482" s="1080"/>
      <c r="KAK482" s="1080"/>
      <c r="KAL482" s="1080"/>
      <c r="KAM482" s="1080"/>
      <c r="KAN482" s="1080"/>
      <c r="KAO482" s="1080"/>
      <c r="KAP482" s="1080"/>
      <c r="KAQ482" s="1080"/>
      <c r="KAR482" s="1080"/>
      <c r="KAS482" s="1080"/>
      <c r="KAT482" s="1080"/>
      <c r="KAU482" s="1080"/>
      <c r="KAV482" s="1080"/>
      <c r="KAW482" s="1080"/>
      <c r="KAX482" s="1080"/>
      <c r="KAY482" s="1080"/>
      <c r="KAZ482" s="1080"/>
      <c r="KBA482" s="1080"/>
      <c r="KBB482" s="1080"/>
      <c r="KBC482" s="1080"/>
      <c r="KBD482" s="1080"/>
      <c r="KBE482" s="1080"/>
      <c r="KBF482" s="1080"/>
      <c r="KBG482" s="1080"/>
      <c r="KBH482" s="1080"/>
      <c r="KBI482" s="1080"/>
      <c r="KBJ482" s="1080"/>
      <c r="KBK482" s="1080"/>
      <c r="KBL482" s="1080"/>
      <c r="KBM482" s="1080"/>
      <c r="KBN482" s="1080"/>
      <c r="KBO482" s="1080"/>
      <c r="KBP482" s="1080"/>
      <c r="KBQ482" s="1080"/>
      <c r="KBR482" s="1080"/>
      <c r="KBS482" s="1080"/>
      <c r="KBT482" s="1080"/>
      <c r="KBU482" s="1080"/>
      <c r="KBV482" s="1080"/>
      <c r="KBW482" s="1080"/>
      <c r="KBX482" s="1080"/>
      <c r="KBY482" s="1080"/>
      <c r="KBZ482" s="1080"/>
      <c r="KCA482" s="1080"/>
      <c r="KCB482" s="1080"/>
      <c r="KCC482" s="1080"/>
      <c r="KCD482" s="1080"/>
      <c r="KCE482" s="1080"/>
      <c r="KCF482" s="1080"/>
      <c r="KCG482" s="1080"/>
      <c r="KCH482" s="1080"/>
      <c r="KCI482" s="1080"/>
      <c r="KCJ482" s="1080"/>
      <c r="KCK482" s="1080"/>
      <c r="KCL482" s="1080"/>
      <c r="KCM482" s="1080"/>
      <c r="KCN482" s="1080"/>
      <c r="KCO482" s="1080"/>
      <c r="KCP482" s="1080"/>
      <c r="KCQ482" s="1080"/>
      <c r="KCR482" s="1080"/>
      <c r="KCS482" s="1080"/>
      <c r="KCT482" s="1080"/>
      <c r="KCU482" s="1080"/>
      <c r="KCV482" s="1080"/>
      <c r="KCW482" s="1080"/>
      <c r="KCX482" s="1080"/>
      <c r="KCY482" s="1080"/>
      <c r="KCZ482" s="1080"/>
      <c r="KDA482" s="1080"/>
      <c r="KDB482" s="1080"/>
      <c r="KDC482" s="1080"/>
      <c r="KDD482" s="1080"/>
      <c r="KDE482" s="1080"/>
      <c r="KDF482" s="1080"/>
      <c r="KDG482" s="1080"/>
      <c r="KDH482" s="1080"/>
      <c r="KDI482" s="1080"/>
      <c r="KDJ482" s="1080"/>
      <c r="KDK482" s="1080"/>
      <c r="KDL482" s="1080"/>
      <c r="KDM482" s="1080"/>
      <c r="KDN482" s="1080"/>
      <c r="KDO482" s="1080"/>
      <c r="KDP482" s="1080"/>
      <c r="KDQ482" s="1080"/>
      <c r="KDR482" s="1080"/>
      <c r="KDS482" s="1080"/>
      <c r="KDT482" s="1080"/>
      <c r="KDU482" s="1080"/>
      <c r="KDV482" s="1080"/>
      <c r="KDW482" s="1080"/>
      <c r="KDX482" s="1080"/>
      <c r="KDY482" s="1080"/>
      <c r="KDZ482" s="1080"/>
      <c r="KEA482" s="1080"/>
      <c r="KEB482" s="1080"/>
      <c r="KEC482" s="1080"/>
      <c r="KED482" s="1080"/>
      <c r="KEE482" s="1080"/>
      <c r="KEF482" s="1080"/>
      <c r="KEG482" s="1080"/>
      <c r="KEH482" s="1080"/>
      <c r="KEI482" s="1080"/>
      <c r="KEJ482" s="1080"/>
      <c r="KEK482" s="1080"/>
      <c r="KEL482" s="1080"/>
      <c r="KEM482" s="1080"/>
      <c r="KEN482" s="1080"/>
      <c r="KEO482" s="1080"/>
      <c r="KEP482" s="1080"/>
      <c r="KEQ482" s="1080"/>
      <c r="KER482" s="1080"/>
      <c r="KES482" s="1080"/>
      <c r="KET482" s="1080"/>
      <c r="KEU482" s="1080"/>
      <c r="KEV482" s="1080"/>
      <c r="KEW482" s="1080"/>
      <c r="KEX482" s="1080"/>
      <c r="KEY482" s="1080"/>
      <c r="KEZ482" s="1080"/>
      <c r="KFA482" s="1080"/>
      <c r="KFB482" s="1080"/>
      <c r="KFC482" s="1080"/>
      <c r="KFD482" s="1080"/>
      <c r="KFE482" s="1080"/>
      <c r="KFF482" s="1080"/>
      <c r="KFG482" s="1080"/>
      <c r="KFH482" s="1080"/>
      <c r="KFI482" s="1080"/>
      <c r="KFJ482" s="1080"/>
      <c r="KFK482" s="1080"/>
      <c r="KFL482" s="1080"/>
      <c r="KFM482" s="1080"/>
      <c r="KFN482" s="1080"/>
      <c r="KFO482" s="1080"/>
      <c r="KFP482" s="1080"/>
      <c r="KFQ482" s="1080"/>
      <c r="KFR482" s="1080"/>
      <c r="KFS482" s="1080"/>
      <c r="KFT482" s="1080"/>
      <c r="KFU482" s="1080"/>
      <c r="KFV482" s="1080"/>
      <c r="KFW482" s="1080"/>
      <c r="KFX482" s="1080"/>
      <c r="KFY482" s="1080"/>
      <c r="KFZ482" s="1080"/>
      <c r="KGA482" s="1080"/>
      <c r="KGB482" s="1080"/>
      <c r="KGC482" s="1080"/>
      <c r="KGD482" s="1080"/>
      <c r="KGE482" s="1080"/>
      <c r="KGF482" s="1080"/>
      <c r="KGG482" s="1080"/>
      <c r="KGH482" s="1080"/>
      <c r="KGI482" s="1080"/>
      <c r="KGJ482" s="1080"/>
      <c r="KGK482" s="1080"/>
      <c r="KGL482" s="1080"/>
      <c r="KGM482" s="1080"/>
      <c r="KGN482" s="1080"/>
      <c r="KGO482" s="1080"/>
      <c r="KGP482" s="1080"/>
      <c r="KGQ482" s="1080"/>
      <c r="KGR482" s="1080"/>
      <c r="KGS482" s="1080"/>
      <c r="KGT482" s="1080"/>
      <c r="KGU482" s="1080"/>
      <c r="KGV482" s="1080"/>
      <c r="KGW482" s="1080"/>
      <c r="KGX482" s="1080"/>
      <c r="KGY482" s="1080"/>
      <c r="KGZ482" s="1080"/>
      <c r="KHA482" s="1080"/>
      <c r="KHB482" s="1080"/>
      <c r="KHC482" s="1080"/>
      <c r="KHD482" s="1080"/>
      <c r="KHE482" s="1080"/>
      <c r="KHF482" s="1080"/>
      <c r="KHG482" s="1080"/>
      <c r="KHH482" s="1080"/>
      <c r="KHI482" s="1080"/>
      <c r="KHJ482" s="1080"/>
      <c r="KHK482" s="1080"/>
      <c r="KHL482" s="1080"/>
      <c r="KHM482" s="1080"/>
      <c r="KHN482" s="1080"/>
      <c r="KHO482" s="1080"/>
      <c r="KHP482" s="1080"/>
      <c r="KHQ482" s="1080"/>
      <c r="KHR482" s="1080"/>
      <c r="KHS482" s="1080"/>
      <c r="KHT482" s="1080"/>
      <c r="KHU482" s="1080"/>
      <c r="KHV482" s="1080"/>
      <c r="KHW482" s="1080"/>
      <c r="KHX482" s="1080"/>
      <c r="KHY482" s="1080"/>
      <c r="KHZ482" s="1080"/>
      <c r="KIA482" s="1080"/>
      <c r="KIB482" s="1080"/>
      <c r="KIC482" s="1080"/>
      <c r="KID482" s="1080"/>
      <c r="KIE482" s="1080"/>
      <c r="KIF482" s="1080"/>
      <c r="KIG482" s="1080"/>
      <c r="KIH482" s="1080"/>
      <c r="KII482" s="1080"/>
      <c r="KIJ482" s="1080"/>
      <c r="KIK482" s="1080"/>
      <c r="KIL482" s="1080"/>
      <c r="KIM482" s="1080"/>
      <c r="KIN482" s="1080"/>
      <c r="KIO482" s="1080"/>
      <c r="KIP482" s="1080"/>
      <c r="KIQ482" s="1080"/>
      <c r="KIR482" s="1080"/>
      <c r="KIS482" s="1080"/>
      <c r="KIT482" s="1080"/>
      <c r="KIU482" s="1080"/>
      <c r="KIV482" s="1080"/>
      <c r="KIW482" s="1080"/>
      <c r="KIX482" s="1080"/>
      <c r="KIY482" s="1080"/>
      <c r="KIZ482" s="1080"/>
      <c r="KJA482" s="1080"/>
      <c r="KJB482" s="1080"/>
      <c r="KJC482" s="1080"/>
      <c r="KJD482" s="1080"/>
      <c r="KJE482" s="1080"/>
      <c r="KJF482" s="1080"/>
      <c r="KJG482" s="1080"/>
      <c r="KJH482" s="1080"/>
      <c r="KJI482" s="1080"/>
      <c r="KJJ482" s="1080"/>
      <c r="KJK482" s="1080"/>
      <c r="KJL482" s="1080"/>
      <c r="KJM482" s="1080"/>
      <c r="KJN482" s="1080"/>
      <c r="KJO482" s="1080"/>
      <c r="KJP482" s="1080"/>
      <c r="KJQ482" s="1080"/>
      <c r="KJR482" s="1080"/>
      <c r="KJS482" s="1080"/>
      <c r="KJT482" s="1080"/>
      <c r="KJU482" s="1080"/>
      <c r="KJV482" s="1080"/>
      <c r="KJW482" s="1080"/>
      <c r="KJX482" s="1080"/>
      <c r="KJY482" s="1080"/>
      <c r="KJZ482" s="1080"/>
      <c r="KKA482" s="1080"/>
      <c r="KKB482" s="1080"/>
      <c r="KKC482" s="1080"/>
      <c r="KKD482" s="1080"/>
      <c r="KKE482" s="1080"/>
      <c r="KKF482" s="1080"/>
      <c r="KKG482" s="1080"/>
      <c r="KKH482" s="1080"/>
      <c r="KKI482" s="1080"/>
      <c r="KKJ482" s="1080"/>
      <c r="KKK482" s="1080"/>
      <c r="KKL482" s="1080"/>
      <c r="KKM482" s="1080"/>
      <c r="KKN482" s="1080"/>
      <c r="KKO482" s="1080"/>
      <c r="KKP482" s="1080"/>
      <c r="KKQ482" s="1080"/>
      <c r="KKR482" s="1080"/>
      <c r="KKS482" s="1080"/>
      <c r="KKT482" s="1080"/>
      <c r="KKU482" s="1080"/>
      <c r="KKV482" s="1080"/>
      <c r="KKW482" s="1080"/>
      <c r="KKX482" s="1080"/>
      <c r="KKY482" s="1080"/>
      <c r="KKZ482" s="1080"/>
      <c r="KLA482" s="1080"/>
      <c r="KLB482" s="1080"/>
      <c r="KLC482" s="1080"/>
      <c r="KLD482" s="1080"/>
      <c r="KLE482" s="1080"/>
      <c r="KLF482" s="1080"/>
      <c r="KLG482" s="1080"/>
      <c r="KLH482" s="1080"/>
      <c r="KLI482" s="1080"/>
      <c r="KLJ482" s="1080"/>
      <c r="KLK482" s="1080"/>
      <c r="KLL482" s="1080"/>
      <c r="KLM482" s="1080"/>
      <c r="KLN482" s="1080"/>
      <c r="KLO482" s="1080"/>
      <c r="KLP482" s="1080"/>
      <c r="KLQ482" s="1080"/>
      <c r="KLR482" s="1080"/>
      <c r="KLS482" s="1080"/>
      <c r="KLT482" s="1080"/>
      <c r="KLU482" s="1080"/>
      <c r="KLV482" s="1080"/>
      <c r="KLW482" s="1080"/>
      <c r="KLX482" s="1080"/>
      <c r="KLY482" s="1080"/>
      <c r="KLZ482" s="1080"/>
      <c r="KMA482" s="1080"/>
      <c r="KMB482" s="1080"/>
      <c r="KMC482" s="1080"/>
      <c r="KMD482" s="1080"/>
      <c r="KME482" s="1080"/>
      <c r="KMF482" s="1080"/>
      <c r="KMG482" s="1080"/>
      <c r="KMH482" s="1080"/>
      <c r="KMI482" s="1080"/>
      <c r="KMJ482" s="1080"/>
      <c r="KMK482" s="1080"/>
      <c r="KML482" s="1080"/>
      <c r="KMM482" s="1080"/>
      <c r="KMN482" s="1080"/>
      <c r="KMO482" s="1080"/>
      <c r="KMP482" s="1080"/>
      <c r="KMQ482" s="1080"/>
      <c r="KMR482" s="1080"/>
      <c r="KMS482" s="1080"/>
      <c r="KMT482" s="1080"/>
      <c r="KMU482" s="1080"/>
      <c r="KMV482" s="1080"/>
      <c r="KMW482" s="1080"/>
      <c r="KMX482" s="1080"/>
      <c r="KMY482" s="1080"/>
      <c r="KMZ482" s="1080"/>
      <c r="KNA482" s="1080"/>
      <c r="KNB482" s="1080"/>
      <c r="KNC482" s="1080"/>
      <c r="KND482" s="1080"/>
      <c r="KNE482" s="1080"/>
      <c r="KNF482" s="1080"/>
      <c r="KNG482" s="1080"/>
      <c r="KNH482" s="1080"/>
      <c r="KNI482" s="1080"/>
      <c r="KNJ482" s="1080"/>
      <c r="KNK482" s="1080"/>
      <c r="KNL482" s="1080"/>
      <c r="KNM482" s="1080"/>
      <c r="KNN482" s="1080"/>
      <c r="KNO482" s="1080"/>
      <c r="KNP482" s="1080"/>
      <c r="KNQ482" s="1080"/>
      <c r="KNR482" s="1080"/>
      <c r="KNS482" s="1080"/>
      <c r="KNT482" s="1080"/>
      <c r="KNU482" s="1080"/>
      <c r="KNV482" s="1080"/>
      <c r="KNW482" s="1080"/>
      <c r="KNX482" s="1080"/>
      <c r="KNY482" s="1080"/>
      <c r="KNZ482" s="1080"/>
      <c r="KOA482" s="1080"/>
      <c r="KOB482" s="1080"/>
      <c r="KOC482" s="1080"/>
      <c r="KOD482" s="1080"/>
      <c r="KOE482" s="1080"/>
      <c r="KOF482" s="1080"/>
      <c r="KOG482" s="1080"/>
      <c r="KOH482" s="1080"/>
      <c r="KOI482" s="1080"/>
      <c r="KOJ482" s="1080"/>
      <c r="KOK482" s="1080"/>
      <c r="KOL482" s="1080"/>
      <c r="KOM482" s="1080"/>
      <c r="KON482" s="1080"/>
      <c r="KOO482" s="1080"/>
      <c r="KOP482" s="1080"/>
      <c r="KOQ482" s="1080"/>
      <c r="KOR482" s="1080"/>
      <c r="KOS482" s="1080"/>
      <c r="KOT482" s="1080"/>
      <c r="KOU482" s="1080"/>
      <c r="KOV482" s="1080"/>
      <c r="KOW482" s="1080"/>
      <c r="KOX482" s="1080"/>
      <c r="KOY482" s="1080"/>
      <c r="KOZ482" s="1080"/>
      <c r="KPA482" s="1080"/>
      <c r="KPB482" s="1080"/>
      <c r="KPC482" s="1080"/>
      <c r="KPD482" s="1080"/>
      <c r="KPE482" s="1080"/>
      <c r="KPF482" s="1080"/>
      <c r="KPG482" s="1080"/>
      <c r="KPH482" s="1080"/>
      <c r="KPI482" s="1080"/>
      <c r="KPJ482" s="1080"/>
      <c r="KPK482" s="1080"/>
      <c r="KPL482" s="1080"/>
      <c r="KPM482" s="1080"/>
      <c r="KPN482" s="1080"/>
      <c r="KPO482" s="1080"/>
      <c r="KPP482" s="1080"/>
      <c r="KPQ482" s="1080"/>
      <c r="KPR482" s="1080"/>
      <c r="KPS482" s="1080"/>
      <c r="KPT482" s="1080"/>
      <c r="KPU482" s="1080"/>
      <c r="KPV482" s="1080"/>
      <c r="KPW482" s="1080"/>
      <c r="KPX482" s="1080"/>
      <c r="KPY482" s="1080"/>
      <c r="KPZ482" s="1080"/>
      <c r="KQA482" s="1080"/>
      <c r="KQB482" s="1080"/>
      <c r="KQC482" s="1080"/>
      <c r="KQD482" s="1080"/>
      <c r="KQE482" s="1080"/>
      <c r="KQF482" s="1080"/>
      <c r="KQG482" s="1080"/>
      <c r="KQH482" s="1080"/>
      <c r="KQI482" s="1080"/>
      <c r="KQJ482" s="1080"/>
      <c r="KQK482" s="1080"/>
      <c r="KQL482" s="1080"/>
      <c r="KQM482" s="1080"/>
      <c r="KQN482" s="1080"/>
      <c r="KQO482" s="1080"/>
      <c r="KQP482" s="1080"/>
      <c r="KQQ482" s="1080"/>
      <c r="KQR482" s="1080"/>
      <c r="KQS482" s="1080"/>
      <c r="KQT482" s="1080"/>
      <c r="KQU482" s="1080"/>
      <c r="KQV482" s="1080"/>
      <c r="KQW482" s="1080"/>
      <c r="KQX482" s="1080"/>
      <c r="KQY482" s="1080"/>
      <c r="KQZ482" s="1080"/>
      <c r="KRA482" s="1080"/>
      <c r="KRB482" s="1080"/>
      <c r="KRC482" s="1080"/>
      <c r="KRD482" s="1080"/>
      <c r="KRE482" s="1080"/>
      <c r="KRF482" s="1080"/>
      <c r="KRG482" s="1080"/>
      <c r="KRH482" s="1080"/>
      <c r="KRI482" s="1080"/>
      <c r="KRJ482" s="1080"/>
      <c r="KRK482" s="1080"/>
      <c r="KRL482" s="1080"/>
      <c r="KRM482" s="1080"/>
      <c r="KRN482" s="1080"/>
      <c r="KRO482" s="1080"/>
      <c r="KRP482" s="1080"/>
      <c r="KRQ482" s="1080"/>
      <c r="KRR482" s="1080"/>
      <c r="KRS482" s="1080"/>
      <c r="KRT482" s="1080"/>
      <c r="KRU482" s="1080"/>
      <c r="KRV482" s="1080"/>
      <c r="KRW482" s="1080"/>
      <c r="KRX482" s="1080"/>
      <c r="KRY482" s="1080"/>
      <c r="KRZ482" s="1080"/>
      <c r="KSA482" s="1080"/>
      <c r="KSB482" s="1080"/>
      <c r="KSC482" s="1080"/>
      <c r="KSD482" s="1080"/>
      <c r="KSE482" s="1080"/>
      <c r="KSF482" s="1080"/>
      <c r="KSG482" s="1080"/>
      <c r="KSH482" s="1080"/>
      <c r="KSI482" s="1080"/>
      <c r="KSJ482" s="1080"/>
      <c r="KSK482" s="1080"/>
      <c r="KSL482" s="1080"/>
      <c r="KSM482" s="1080"/>
      <c r="KSN482" s="1080"/>
      <c r="KSO482" s="1080"/>
      <c r="KSP482" s="1080"/>
      <c r="KSQ482" s="1080"/>
      <c r="KSR482" s="1080"/>
      <c r="KSS482" s="1080"/>
      <c r="KST482" s="1080"/>
      <c r="KSU482" s="1080"/>
      <c r="KSV482" s="1080"/>
      <c r="KSW482" s="1080"/>
      <c r="KSX482" s="1080"/>
      <c r="KSY482" s="1080"/>
      <c r="KSZ482" s="1080"/>
      <c r="KTA482" s="1080"/>
      <c r="KTB482" s="1080"/>
      <c r="KTC482" s="1080"/>
      <c r="KTD482" s="1080"/>
      <c r="KTE482" s="1080"/>
      <c r="KTF482" s="1080"/>
      <c r="KTG482" s="1080"/>
      <c r="KTH482" s="1080"/>
      <c r="KTI482" s="1080"/>
      <c r="KTJ482" s="1080"/>
      <c r="KTK482" s="1080"/>
      <c r="KTL482" s="1080"/>
      <c r="KTM482" s="1080"/>
      <c r="KTN482" s="1080"/>
      <c r="KTO482" s="1080"/>
      <c r="KTP482" s="1080"/>
      <c r="KTQ482" s="1080"/>
      <c r="KTR482" s="1080"/>
      <c r="KTS482" s="1080"/>
      <c r="KTT482" s="1080"/>
      <c r="KTU482" s="1080"/>
      <c r="KTV482" s="1080"/>
      <c r="KTW482" s="1080"/>
      <c r="KTX482" s="1080"/>
      <c r="KTY482" s="1080"/>
      <c r="KTZ482" s="1080"/>
      <c r="KUA482" s="1080"/>
      <c r="KUB482" s="1080"/>
      <c r="KUC482" s="1080"/>
      <c r="KUD482" s="1080"/>
      <c r="KUE482" s="1080"/>
      <c r="KUF482" s="1080"/>
      <c r="KUG482" s="1080"/>
      <c r="KUH482" s="1080"/>
      <c r="KUI482" s="1080"/>
      <c r="KUJ482" s="1080"/>
      <c r="KUK482" s="1080"/>
      <c r="KUL482" s="1080"/>
      <c r="KUM482" s="1080"/>
      <c r="KUN482" s="1080"/>
      <c r="KUO482" s="1080"/>
      <c r="KUP482" s="1080"/>
      <c r="KUQ482" s="1080"/>
      <c r="KUR482" s="1080"/>
      <c r="KUS482" s="1080"/>
      <c r="KUT482" s="1080"/>
      <c r="KUU482" s="1080"/>
      <c r="KUV482" s="1080"/>
      <c r="KUW482" s="1080"/>
      <c r="KUX482" s="1080"/>
      <c r="KUY482" s="1080"/>
      <c r="KUZ482" s="1080"/>
      <c r="KVA482" s="1080"/>
      <c r="KVB482" s="1080"/>
      <c r="KVC482" s="1080"/>
      <c r="KVD482" s="1080"/>
      <c r="KVE482" s="1080"/>
      <c r="KVF482" s="1080"/>
      <c r="KVG482" s="1080"/>
      <c r="KVH482" s="1080"/>
      <c r="KVI482" s="1080"/>
      <c r="KVJ482" s="1080"/>
      <c r="KVK482" s="1080"/>
      <c r="KVL482" s="1080"/>
      <c r="KVM482" s="1080"/>
      <c r="KVN482" s="1080"/>
      <c r="KVO482" s="1080"/>
      <c r="KVP482" s="1080"/>
      <c r="KVQ482" s="1080"/>
      <c r="KVR482" s="1080"/>
      <c r="KVS482" s="1080"/>
      <c r="KVT482" s="1080"/>
      <c r="KVU482" s="1080"/>
      <c r="KVV482" s="1080"/>
      <c r="KVW482" s="1080"/>
      <c r="KVX482" s="1080"/>
      <c r="KVY482" s="1080"/>
      <c r="KVZ482" s="1080"/>
      <c r="KWA482" s="1080"/>
      <c r="KWB482" s="1080"/>
      <c r="KWC482" s="1080"/>
      <c r="KWD482" s="1080"/>
      <c r="KWE482" s="1080"/>
      <c r="KWF482" s="1080"/>
      <c r="KWG482" s="1080"/>
      <c r="KWH482" s="1080"/>
      <c r="KWI482" s="1080"/>
      <c r="KWJ482" s="1080"/>
      <c r="KWK482" s="1080"/>
      <c r="KWL482" s="1080"/>
      <c r="KWM482" s="1080"/>
      <c r="KWN482" s="1080"/>
      <c r="KWO482" s="1080"/>
      <c r="KWP482" s="1080"/>
      <c r="KWQ482" s="1080"/>
      <c r="KWR482" s="1080"/>
      <c r="KWS482" s="1080"/>
      <c r="KWT482" s="1080"/>
      <c r="KWU482" s="1080"/>
      <c r="KWV482" s="1080"/>
      <c r="KWW482" s="1080"/>
      <c r="KWX482" s="1080"/>
      <c r="KWY482" s="1080"/>
      <c r="KWZ482" s="1080"/>
      <c r="KXA482" s="1080"/>
      <c r="KXB482" s="1080"/>
      <c r="KXC482" s="1080"/>
      <c r="KXD482" s="1080"/>
      <c r="KXE482" s="1080"/>
      <c r="KXF482" s="1080"/>
      <c r="KXG482" s="1080"/>
      <c r="KXH482" s="1080"/>
      <c r="KXI482" s="1080"/>
      <c r="KXJ482" s="1080"/>
      <c r="KXK482" s="1080"/>
      <c r="KXL482" s="1080"/>
      <c r="KXM482" s="1080"/>
      <c r="KXN482" s="1080"/>
      <c r="KXO482" s="1080"/>
      <c r="KXP482" s="1080"/>
      <c r="KXQ482" s="1080"/>
      <c r="KXR482" s="1080"/>
      <c r="KXS482" s="1080"/>
      <c r="KXT482" s="1080"/>
      <c r="KXU482" s="1080"/>
      <c r="KXV482" s="1080"/>
      <c r="KXW482" s="1080"/>
      <c r="KXX482" s="1080"/>
      <c r="KXY482" s="1080"/>
      <c r="KXZ482" s="1080"/>
      <c r="KYA482" s="1080"/>
      <c r="KYB482" s="1080"/>
      <c r="KYC482" s="1080"/>
      <c r="KYD482" s="1080"/>
      <c r="KYE482" s="1080"/>
      <c r="KYF482" s="1080"/>
      <c r="KYG482" s="1080"/>
      <c r="KYH482" s="1080"/>
      <c r="KYI482" s="1080"/>
      <c r="KYJ482" s="1080"/>
      <c r="KYK482" s="1080"/>
      <c r="KYL482" s="1080"/>
      <c r="KYM482" s="1080"/>
      <c r="KYN482" s="1080"/>
      <c r="KYO482" s="1080"/>
      <c r="KYP482" s="1080"/>
      <c r="KYQ482" s="1080"/>
      <c r="KYR482" s="1080"/>
      <c r="KYS482" s="1080"/>
      <c r="KYT482" s="1080"/>
      <c r="KYU482" s="1080"/>
      <c r="KYV482" s="1080"/>
      <c r="KYW482" s="1080"/>
      <c r="KYX482" s="1080"/>
      <c r="KYY482" s="1080"/>
      <c r="KYZ482" s="1080"/>
      <c r="KZA482" s="1080"/>
      <c r="KZB482" s="1080"/>
      <c r="KZC482" s="1080"/>
      <c r="KZD482" s="1080"/>
      <c r="KZE482" s="1080"/>
      <c r="KZF482" s="1080"/>
      <c r="KZG482" s="1080"/>
      <c r="KZH482" s="1080"/>
      <c r="KZI482" s="1080"/>
      <c r="KZJ482" s="1080"/>
      <c r="KZK482" s="1080"/>
      <c r="KZL482" s="1080"/>
      <c r="KZM482" s="1080"/>
      <c r="KZN482" s="1080"/>
      <c r="KZO482" s="1080"/>
      <c r="KZP482" s="1080"/>
      <c r="KZQ482" s="1080"/>
      <c r="KZR482" s="1080"/>
      <c r="KZS482" s="1080"/>
      <c r="KZT482" s="1080"/>
      <c r="KZU482" s="1080"/>
      <c r="KZV482" s="1080"/>
      <c r="KZW482" s="1080"/>
      <c r="KZX482" s="1080"/>
      <c r="KZY482" s="1080"/>
      <c r="KZZ482" s="1080"/>
      <c r="LAA482" s="1080"/>
      <c r="LAB482" s="1080"/>
      <c r="LAC482" s="1080"/>
      <c r="LAD482" s="1080"/>
      <c r="LAE482" s="1080"/>
      <c r="LAF482" s="1080"/>
      <c r="LAG482" s="1080"/>
      <c r="LAH482" s="1080"/>
      <c r="LAI482" s="1080"/>
      <c r="LAJ482" s="1080"/>
      <c r="LAK482" s="1080"/>
      <c r="LAL482" s="1080"/>
      <c r="LAM482" s="1080"/>
      <c r="LAN482" s="1080"/>
      <c r="LAO482" s="1080"/>
      <c r="LAP482" s="1080"/>
      <c r="LAQ482" s="1080"/>
      <c r="LAR482" s="1080"/>
      <c r="LAS482" s="1080"/>
      <c r="LAT482" s="1080"/>
      <c r="LAU482" s="1080"/>
      <c r="LAV482" s="1080"/>
      <c r="LAW482" s="1080"/>
      <c r="LAX482" s="1080"/>
      <c r="LAY482" s="1080"/>
      <c r="LAZ482" s="1080"/>
      <c r="LBA482" s="1080"/>
      <c r="LBB482" s="1080"/>
      <c r="LBC482" s="1080"/>
      <c r="LBD482" s="1080"/>
      <c r="LBE482" s="1080"/>
      <c r="LBF482" s="1080"/>
      <c r="LBG482" s="1080"/>
      <c r="LBH482" s="1080"/>
      <c r="LBI482" s="1080"/>
      <c r="LBJ482" s="1080"/>
      <c r="LBK482" s="1080"/>
      <c r="LBL482" s="1080"/>
      <c r="LBM482" s="1080"/>
      <c r="LBN482" s="1080"/>
      <c r="LBO482" s="1080"/>
      <c r="LBP482" s="1080"/>
      <c r="LBQ482" s="1080"/>
      <c r="LBR482" s="1080"/>
      <c r="LBS482" s="1080"/>
      <c r="LBT482" s="1080"/>
      <c r="LBU482" s="1080"/>
      <c r="LBV482" s="1080"/>
      <c r="LBW482" s="1080"/>
      <c r="LBX482" s="1080"/>
      <c r="LBY482" s="1080"/>
      <c r="LBZ482" s="1080"/>
      <c r="LCA482" s="1080"/>
      <c r="LCB482" s="1080"/>
      <c r="LCC482" s="1080"/>
      <c r="LCD482" s="1080"/>
      <c r="LCE482" s="1080"/>
      <c r="LCF482" s="1080"/>
      <c r="LCG482" s="1080"/>
      <c r="LCH482" s="1080"/>
      <c r="LCI482" s="1080"/>
      <c r="LCJ482" s="1080"/>
      <c r="LCK482" s="1080"/>
      <c r="LCL482" s="1080"/>
      <c r="LCM482" s="1080"/>
      <c r="LCN482" s="1080"/>
      <c r="LCO482" s="1080"/>
      <c r="LCP482" s="1080"/>
      <c r="LCQ482" s="1080"/>
      <c r="LCR482" s="1080"/>
      <c r="LCS482" s="1080"/>
      <c r="LCT482" s="1080"/>
      <c r="LCU482" s="1080"/>
      <c r="LCV482" s="1080"/>
      <c r="LCW482" s="1080"/>
      <c r="LCX482" s="1080"/>
      <c r="LCY482" s="1080"/>
      <c r="LCZ482" s="1080"/>
      <c r="LDA482" s="1080"/>
      <c r="LDB482" s="1080"/>
      <c r="LDC482" s="1080"/>
      <c r="LDD482" s="1080"/>
      <c r="LDE482" s="1080"/>
      <c r="LDF482" s="1080"/>
      <c r="LDG482" s="1080"/>
      <c r="LDH482" s="1080"/>
      <c r="LDI482" s="1080"/>
      <c r="LDJ482" s="1080"/>
      <c r="LDK482" s="1080"/>
      <c r="LDL482" s="1080"/>
      <c r="LDM482" s="1080"/>
      <c r="LDN482" s="1080"/>
      <c r="LDO482" s="1080"/>
      <c r="LDP482" s="1080"/>
      <c r="LDQ482" s="1080"/>
      <c r="LDR482" s="1080"/>
      <c r="LDS482" s="1080"/>
      <c r="LDT482" s="1080"/>
      <c r="LDU482" s="1080"/>
      <c r="LDV482" s="1080"/>
      <c r="LDW482" s="1080"/>
      <c r="LDX482" s="1080"/>
      <c r="LDY482" s="1080"/>
      <c r="LDZ482" s="1080"/>
      <c r="LEA482" s="1080"/>
      <c r="LEB482" s="1080"/>
      <c r="LEC482" s="1080"/>
      <c r="LED482" s="1080"/>
      <c r="LEE482" s="1080"/>
      <c r="LEF482" s="1080"/>
      <c r="LEG482" s="1080"/>
      <c r="LEH482" s="1080"/>
      <c r="LEI482" s="1080"/>
      <c r="LEJ482" s="1080"/>
      <c r="LEK482" s="1080"/>
      <c r="LEL482" s="1080"/>
      <c r="LEM482" s="1080"/>
      <c r="LEN482" s="1080"/>
      <c r="LEO482" s="1080"/>
      <c r="LEP482" s="1080"/>
      <c r="LEQ482" s="1080"/>
      <c r="LER482" s="1080"/>
      <c r="LES482" s="1080"/>
      <c r="LET482" s="1080"/>
      <c r="LEU482" s="1080"/>
      <c r="LEV482" s="1080"/>
      <c r="LEW482" s="1080"/>
      <c r="LEX482" s="1080"/>
      <c r="LEY482" s="1080"/>
      <c r="LEZ482" s="1080"/>
      <c r="LFA482" s="1080"/>
      <c r="LFB482" s="1080"/>
      <c r="LFC482" s="1080"/>
      <c r="LFD482" s="1080"/>
      <c r="LFE482" s="1080"/>
      <c r="LFF482" s="1080"/>
      <c r="LFG482" s="1080"/>
      <c r="LFH482" s="1080"/>
      <c r="LFI482" s="1080"/>
      <c r="LFJ482" s="1080"/>
      <c r="LFK482" s="1080"/>
      <c r="LFL482" s="1080"/>
      <c r="LFM482" s="1080"/>
      <c r="LFN482" s="1080"/>
      <c r="LFO482" s="1080"/>
      <c r="LFP482" s="1080"/>
      <c r="LFQ482" s="1080"/>
      <c r="LFR482" s="1080"/>
      <c r="LFS482" s="1080"/>
      <c r="LFT482" s="1080"/>
      <c r="LFU482" s="1080"/>
      <c r="LFV482" s="1080"/>
      <c r="LFW482" s="1080"/>
      <c r="LFX482" s="1080"/>
      <c r="LFY482" s="1080"/>
      <c r="LFZ482" s="1080"/>
      <c r="LGA482" s="1080"/>
      <c r="LGB482" s="1080"/>
      <c r="LGC482" s="1080"/>
      <c r="LGD482" s="1080"/>
      <c r="LGE482" s="1080"/>
      <c r="LGF482" s="1080"/>
      <c r="LGG482" s="1080"/>
      <c r="LGH482" s="1080"/>
      <c r="LGI482" s="1080"/>
      <c r="LGJ482" s="1080"/>
      <c r="LGK482" s="1080"/>
      <c r="LGL482" s="1080"/>
      <c r="LGM482" s="1080"/>
      <c r="LGN482" s="1080"/>
      <c r="LGO482" s="1080"/>
      <c r="LGP482" s="1080"/>
      <c r="LGQ482" s="1080"/>
      <c r="LGR482" s="1080"/>
      <c r="LGS482" s="1080"/>
      <c r="LGT482" s="1080"/>
      <c r="LGU482" s="1080"/>
      <c r="LGV482" s="1080"/>
      <c r="LGW482" s="1080"/>
      <c r="LGX482" s="1080"/>
      <c r="LGY482" s="1080"/>
      <c r="LGZ482" s="1080"/>
      <c r="LHA482" s="1080"/>
      <c r="LHB482" s="1080"/>
      <c r="LHC482" s="1080"/>
      <c r="LHD482" s="1080"/>
      <c r="LHE482" s="1080"/>
      <c r="LHF482" s="1080"/>
      <c r="LHG482" s="1080"/>
      <c r="LHH482" s="1080"/>
      <c r="LHI482" s="1080"/>
      <c r="LHJ482" s="1080"/>
      <c r="LHK482" s="1080"/>
      <c r="LHL482" s="1080"/>
      <c r="LHM482" s="1080"/>
      <c r="LHN482" s="1080"/>
      <c r="LHO482" s="1080"/>
      <c r="LHP482" s="1080"/>
      <c r="LHQ482" s="1080"/>
      <c r="LHR482" s="1080"/>
      <c r="LHS482" s="1080"/>
      <c r="LHT482" s="1080"/>
      <c r="LHU482" s="1080"/>
      <c r="LHV482" s="1080"/>
      <c r="LHW482" s="1080"/>
      <c r="LHX482" s="1080"/>
      <c r="LHY482" s="1080"/>
      <c r="LHZ482" s="1080"/>
      <c r="LIA482" s="1080"/>
      <c r="LIB482" s="1080"/>
      <c r="LIC482" s="1080"/>
      <c r="LID482" s="1080"/>
      <c r="LIE482" s="1080"/>
      <c r="LIF482" s="1080"/>
      <c r="LIG482" s="1080"/>
      <c r="LIH482" s="1080"/>
      <c r="LII482" s="1080"/>
      <c r="LIJ482" s="1080"/>
      <c r="LIK482" s="1080"/>
      <c r="LIL482" s="1080"/>
      <c r="LIM482" s="1080"/>
      <c r="LIN482" s="1080"/>
      <c r="LIO482" s="1080"/>
      <c r="LIP482" s="1080"/>
      <c r="LIQ482" s="1080"/>
      <c r="LIR482" s="1080"/>
      <c r="LIS482" s="1080"/>
      <c r="LIT482" s="1080"/>
      <c r="LIU482" s="1080"/>
      <c r="LIV482" s="1080"/>
      <c r="LIW482" s="1080"/>
      <c r="LIX482" s="1080"/>
      <c r="LIY482" s="1080"/>
      <c r="LIZ482" s="1080"/>
      <c r="LJA482" s="1080"/>
      <c r="LJB482" s="1080"/>
      <c r="LJC482" s="1080"/>
      <c r="LJD482" s="1080"/>
      <c r="LJE482" s="1080"/>
      <c r="LJF482" s="1080"/>
      <c r="LJG482" s="1080"/>
      <c r="LJH482" s="1080"/>
      <c r="LJI482" s="1080"/>
      <c r="LJJ482" s="1080"/>
      <c r="LJK482" s="1080"/>
      <c r="LJL482" s="1080"/>
      <c r="LJM482" s="1080"/>
      <c r="LJN482" s="1080"/>
      <c r="LJO482" s="1080"/>
      <c r="LJP482" s="1080"/>
      <c r="LJQ482" s="1080"/>
      <c r="LJR482" s="1080"/>
      <c r="LJS482" s="1080"/>
      <c r="LJT482" s="1080"/>
      <c r="LJU482" s="1080"/>
      <c r="LJV482" s="1080"/>
      <c r="LJW482" s="1080"/>
      <c r="LJX482" s="1080"/>
      <c r="LJY482" s="1080"/>
      <c r="LJZ482" s="1080"/>
      <c r="LKA482" s="1080"/>
      <c r="LKB482" s="1080"/>
      <c r="LKC482" s="1080"/>
      <c r="LKD482" s="1080"/>
      <c r="LKE482" s="1080"/>
      <c r="LKF482" s="1080"/>
      <c r="LKG482" s="1080"/>
      <c r="LKH482" s="1080"/>
      <c r="LKI482" s="1080"/>
      <c r="LKJ482" s="1080"/>
      <c r="LKK482" s="1080"/>
      <c r="LKL482" s="1080"/>
      <c r="LKM482" s="1080"/>
      <c r="LKN482" s="1080"/>
      <c r="LKO482" s="1080"/>
      <c r="LKP482" s="1080"/>
      <c r="LKQ482" s="1080"/>
      <c r="LKR482" s="1080"/>
      <c r="LKS482" s="1080"/>
      <c r="LKT482" s="1080"/>
      <c r="LKU482" s="1080"/>
      <c r="LKV482" s="1080"/>
      <c r="LKW482" s="1080"/>
      <c r="LKX482" s="1080"/>
      <c r="LKY482" s="1080"/>
      <c r="LKZ482" s="1080"/>
      <c r="LLA482" s="1080"/>
      <c r="LLB482" s="1080"/>
      <c r="LLC482" s="1080"/>
      <c r="LLD482" s="1080"/>
      <c r="LLE482" s="1080"/>
      <c r="LLF482" s="1080"/>
      <c r="LLG482" s="1080"/>
      <c r="LLH482" s="1080"/>
      <c r="LLI482" s="1080"/>
      <c r="LLJ482" s="1080"/>
      <c r="LLK482" s="1080"/>
      <c r="LLL482" s="1080"/>
      <c r="LLM482" s="1080"/>
      <c r="LLN482" s="1080"/>
      <c r="LLO482" s="1080"/>
      <c r="LLP482" s="1080"/>
      <c r="LLQ482" s="1080"/>
      <c r="LLR482" s="1080"/>
      <c r="LLS482" s="1080"/>
      <c r="LLT482" s="1080"/>
      <c r="LLU482" s="1080"/>
      <c r="LLV482" s="1080"/>
      <c r="LLW482" s="1080"/>
      <c r="LLX482" s="1080"/>
      <c r="LLY482" s="1080"/>
      <c r="LLZ482" s="1080"/>
      <c r="LMA482" s="1080"/>
      <c r="LMB482" s="1080"/>
      <c r="LMC482" s="1080"/>
      <c r="LMD482" s="1080"/>
      <c r="LME482" s="1080"/>
      <c r="LMF482" s="1080"/>
      <c r="LMG482" s="1080"/>
      <c r="LMH482" s="1080"/>
      <c r="LMI482" s="1080"/>
      <c r="LMJ482" s="1080"/>
      <c r="LMK482" s="1080"/>
      <c r="LML482" s="1080"/>
      <c r="LMM482" s="1080"/>
      <c r="LMN482" s="1080"/>
      <c r="LMO482" s="1080"/>
      <c r="LMP482" s="1080"/>
      <c r="LMQ482" s="1080"/>
      <c r="LMR482" s="1080"/>
      <c r="LMS482" s="1080"/>
      <c r="LMT482" s="1080"/>
      <c r="LMU482" s="1080"/>
      <c r="LMV482" s="1080"/>
      <c r="LMW482" s="1080"/>
      <c r="LMX482" s="1080"/>
      <c r="LMY482" s="1080"/>
      <c r="LMZ482" s="1080"/>
      <c r="LNA482" s="1080"/>
      <c r="LNB482" s="1080"/>
      <c r="LNC482" s="1080"/>
      <c r="LND482" s="1080"/>
      <c r="LNE482" s="1080"/>
      <c r="LNF482" s="1080"/>
      <c r="LNG482" s="1080"/>
      <c r="LNH482" s="1080"/>
      <c r="LNI482" s="1080"/>
      <c r="LNJ482" s="1080"/>
      <c r="LNK482" s="1080"/>
      <c r="LNL482" s="1080"/>
      <c r="LNM482" s="1080"/>
      <c r="LNN482" s="1080"/>
      <c r="LNO482" s="1080"/>
      <c r="LNP482" s="1080"/>
      <c r="LNQ482" s="1080"/>
      <c r="LNR482" s="1080"/>
      <c r="LNS482" s="1080"/>
      <c r="LNT482" s="1080"/>
      <c r="LNU482" s="1080"/>
      <c r="LNV482" s="1080"/>
      <c r="LNW482" s="1080"/>
      <c r="LNX482" s="1080"/>
      <c r="LNY482" s="1080"/>
      <c r="LNZ482" s="1080"/>
      <c r="LOA482" s="1080"/>
      <c r="LOB482" s="1080"/>
      <c r="LOC482" s="1080"/>
      <c r="LOD482" s="1080"/>
      <c r="LOE482" s="1080"/>
      <c r="LOF482" s="1080"/>
      <c r="LOG482" s="1080"/>
      <c r="LOH482" s="1080"/>
      <c r="LOI482" s="1080"/>
      <c r="LOJ482" s="1080"/>
      <c r="LOK482" s="1080"/>
      <c r="LOL482" s="1080"/>
      <c r="LOM482" s="1080"/>
      <c r="LON482" s="1080"/>
      <c r="LOO482" s="1080"/>
      <c r="LOP482" s="1080"/>
      <c r="LOQ482" s="1080"/>
      <c r="LOR482" s="1080"/>
      <c r="LOS482" s="1080"/>
      <c r="LOT482" s="1080"/>
      <c r="LOU482" s="1080"/>
      <c r="LOV482" s="1080"/>
      <c r="LOW482" s="1080"/>
      <c r="LOX482" s="1080"/>
      <c r="LOY482" s="1080"/>
      <c r="LOZ482" s="1080"/>
      <c r="LPA482" s="1080"/>
      <c r="LPB482" s="1080"/>
      <c r="LPC482" s="1080"/>
      <c r="LPD482" s="1080"/>
      <c r="LPE482" s="1080"/>
      <c r="LPF482" s="1080"/>
      <c r="LPG482" s="1080"/>
      <c r="LPH482" s="1080"/>
      <c r="LPI482" s="1080"/>
      <c r="LPJ482" s="1080"/>
      <c r="LPK482" s="1080"/>
      <c r="LPL482" s="1080"/>
      <c r="LPM482" s="1080"/>
      <c r="LPN482" s="1080"/>
      <c r="LPO482" s="1080"/>
      <c r="LPP482" s="1080"/>
      <c r="LPQ482" s="1080"/>
      <c r="LPR482" s="1080"/>
      <c r="LPS482" s="1080"/>
      <c r="LPT482" s="1080"/>
      <c r="LPU482" s="1080"/>
      <c r="LPV482" s="1080"/>
      <c r="LPW482" s="1080"/>
      <c r="LPX482" s="1080"/>
      <c r="LPY482" s="1080"/>
      <c r="LPZ482" s="1080"/>
      <c r="LQA482" s="1080"/>
      <c r="LQB482" s="1080"/>
      <c r="LQC482" s="1080"/>
      <c r="LQD482" s="1080"/>
      <c r="LQE482" s="1080"/>
      <c r="LQF482" s="1080"/>
      <c r="LQG482" s="1080"/>
      <c r="LQH482" s="1080"/>
      <c r="LQI482" s="1080"/>
      <c r="LQJ482" s="1080"/>
      <c r="LQK482" s="1080"/>
      <c r="LQL482" s="1080"/>
      <c r="LQM482" s="1080"/>
      <c r="LQN482" s="1080"/>
      <c r="LQO482" s="1080"/>
      <c r="LQP482" s="1080"/>
      <c r="LQQ482" s="1080"/>
      <c r="LQR482" s="1080"/>
      <c r="LQS482" s="1080"/>
      <c r="LQT482" s="1080"/>
      <c r="LQU482" s="1080"/>
      <c r="LQV482" s="1080"/>
      <c r="LQW482" s="1080"/>
      <c r="LQX482" s="1080"/>
      <c r="LQY482" s="1080"/>
      <c r="LQZ482" s="1080"/>
      <c r="LRA482" s="1080"/>
      <c r="LRB482" s="1080"/>
      <c r="LRC482" s="1080"/>
      <c r="LRD482" s="1080"/>
      <c r="LRE482" s="1080"/>
      <c r="LRF482" s="1080"/>
      <c r="LRG482" s="1080"/>
      <c r="LRH482" s="1080"/>
      <c r="LRI482" s="1080"/>
      <c r="LRJ482" s="1080"/>
      <c r="LRK482" s="1080"/>
      <c r="LRL482" s="1080"/>
      <c r="LRM482" s="1080"/>
      <c r="LRN482" s="1080"/>
      <c r="LRO482" s="1080"/>
      <c r="LRP482" s="1080"/>
      <c r="LRQ482" s="1080"/>
      <c r="LRR482" s="1080"/>
      <c r="LRS482" s="1080"/>
      <c r="LRT482" s="1080"/>
      <c r="LRU482" s="1080"/>
      <c r="LRV482" s="1080"/>
      <c r="LRW482" s="1080"/>
      <c r="LRX482" s="1080"/>
      <c r="LRY482" s="1080"/>
      <c r="LRZ482" s="1080"/>
      <c r="LSA482" s="1080"/>
      <c r="LSB482" s="1080"/>
      <c r="LSC482" s="1080"/>
      <c r="LSD482" s="1080"/>
      <c r="LSE482" s="1080"/>
      <c r="LSF482" s="1080"/>
      <c r="LSG482" s="1080"/>
      <c r="LSH482" s="1080"/>
      <c r="LSI482" s="1080"/>
      <c r="LSJ482" s="1080"/>
      <c r="LSK482" s="1080"/>
      <c r="LSL482" s="1080"/>
      <c r="LSM482" s="1080"/>
      <c r="LSN482" s="1080"/>
      <c r="LSO482" s="1080"/>
      <c r="LSP482" s="1080"/>
      <c r="LSQ482" s="1080"/>
      <c r="LSR482" s="1080"/>
      <c r="LSS482" s="1080"/>
      <c r="LST482" s="1080"/>
      <c r="LSU482" s="1080"/>
      <c r="LSV482" s="1080"/>
      <c r="LSW482" s="1080"/>
      <c r="LSX482" s="1080"/>
      <c r="LSY482" s="1080"/>
      <c r="LSZ482" s="1080"/>
      <c r="LTA482" s="1080"/>
      <c r="LTB482" s="1080"/>
      <c r="LTC482" s="1080"/>
      <c r="LTD482" s="1080"/>
      <c r="LTE482" s="1080"/>
      <c r="LTF482" s="1080"/>
      <c r="LTG482" s="1080"/>
      <c r="LTH482" s="1080"/>
      <c r="LTI482" s="1080"/>
      <c r="LTJ482" s="1080"/>
      <c r="LTK482" s="1080"/>
      <c r="LTL482" s="1080"/>
      <c r="LTM482" s="1080"/>
      <c r="LTN482" s="1080"/>
      <c r="LTO482" s="1080"/>
      <c r="LTP482" s="1080"/>
      <c r="LTQ482" s="1080"/>
      <c r="LTR482" s="1080"/>
      <c r="LTS482" s="1080"/>
      <c r="LTT482" s="1080"/>
      <c r="LTU482" s="1080"/>
      <c r="LTV482" s="1080"/>
      <c r="LTW482" s="1080"/>
      <c r="LTX482" s="1080"/>
      <c r="LTY482" s="1080"/>
      <c r="LTZ482" s="1080"/>
      <c r="LUA482" s="1080"/>
      <c r="LUB482" s="1080"/>
      <c r="LUC482" s="1080"/>
      <c r="LUD482" s="1080"/>
      <c r="LUE482" s="1080"/>
      <c r="LUF482" s="1080"/>
      <c r="LUG482" s="1080"/>
      <c r="LUH482" s="1080"/>
      <c r="LUI482" s="1080"/>
      <c r="LUJ482" s="1080"/>
      <c r="LUK482" s="1080"/>
      <c r="LUL482" s="1080"/>
      <c r="LUM482" s="1080"/>
      <c r="LUN482" s="1080"/>
      <c r="LUO482" s="1080"/>
      <c r="LUP482" s="1080"/>
      <c r="LUQ482" s="1080"/>
      <c r="LUR482" s="1080"/>
      <c r="LUS482" s="1080"/>
      <c r="LUT482" s="1080"/>
      <c r="LUU482" s="1080"/>
      <c r="LUV482" s="1080"/>
      <c r="LUW482" s="1080"/>
      <c r="LUX482" s="1080"/>
      <c r="LUY482" s="1080"/>
      <c r="LUZ482" s="1080"/>
      <c r="LVA482" s="1080"/>
      <c r="LVB482" s="1080"/>
      <c r="LVC482" s="1080"/>
      <c r="LVD482" s="1080"/>
      <c r="LVE482" s="1080"/>
      <c r="LVF482" s="1080"/>
      <c r="LVG482" s="1080"/>
      <c r="LVH482" s="1080"/>
      <c r="LVI482" s="1080"/>
      <c r="LVJ482" s="1080"/>
      <c r="LVK482" s="1080"/>
      <c r="LVL482" s="1080"/>
      <c r="LVM482" s="1080"/>
      <c r="LVN482" s="1080"/>
      <c r="LVO482" s="1080"/>
      <c r="LVP482" s="1080"/>
      <c r="LVQ482" s="1080"/>
      <c r="LVR482" s="1080"/>
      <c r="LVS482" s="1080"/>
      <c r="LVT482" s="1080"/>
      <c r="LVU482" s="1080"/>
      <c r="LVV482" s="1080"/>
      <c r="LVW482" s="1080"/>
      <c r="LVX482" s="1080"/>
      <c r="LVY482" s="1080"/>
      <c r="LVZ482" s="1080"/>
      <c r="LWA482" s="1080"/>
      <c r="LWB482" s="1080"/>
      <c r="LWC482" s="1080"/>
      <c r="LWD482" s="1080"/>
      <c r="LWE482" s="1080"/>
      <c r="LWF482" s="1080"/>
      <c r="LWG482" s="1080"/>
      <c r="LWH482" s="1080"/>
      <c r="LWI482" s="1080"/>
      <c r="LWJ482" s="1080"/>
      <c r="LWK482" s="1080"/>
      <c r="LWL482" s="1080"/>
      <c r="LWM482" s="1080"/>
      <c r="LWN482" s="1080"/>
      <c r="LWO482" s="1080"/>
      <c r="LWP482" s="1080"/>
      <c r="LWQ482" s="1080"/>
      <c r="LWR482" s="1080"/>
      <c r="LWS482" s="1080"/>
      <c r="LWT482" s="1080"/>
      <c r="LWU482" s="1080"/>
      <c r="LWV482" s="1080"/>
      <c r="LWW482" s="1080"/>
      <c r="LWX482" s="1080"/>
      <c r="LWY482" s="1080"/>
      <c r="LWZ482" s="1080"/>
      <c r="LXA482" s="1080"/>
      <c r="LXB482" s="1080"/>
      <c r="LXC482" s="1080"/>
      <c r="LXD482" s="1080"/>
      <c r="LXE482" s="1080"/>
      <c r="LXF482" s="1080"/>
      <c r="LXG482" s="1080"/>
      <c r="LXH482" s="1080"/>
      <c r="LXI482" s="1080"/>
      <c r="LXJ482" s="1080"/>
      <c r="LXK482" s="1080"/>
      <c r="LXL482" s="1080"/>
      <c r="LXM482" s="1080"/>
      <c r="LXN482" s="1080"/>
      <c r="LXO482" s="1080"/>
      <c r="LXP482" s="1080"/>
      <c r="LXQ482" s="1080"/>
      <c r="LXR482" s="1080"/>
      <c r="LXS482" s="1080"/>
      <c r="LXT482" s="1080"/>
      <c r="LXU482" s="1080"/>
      <c r="LXV482" s="1080"/>
      <c r="LXW482" s="1080"/>
      <c r="LXX482" s="1080"/>
      <c r="LXY482" s="1080"/>
      <c r="LXZ482" s="1080"/>
      <c r="LYA482" s="1080"/>
      <c r="LYB482" s="1080"/>
      <c r="LYC482" s="1080"/>
      <c r="LYD482" s="1080"/>
      <c r="LYE482" s="1080"/>
      <c r="LYF482" s="1080"/>
      <c r="LYG482" s="1080"/>
      <c r="LYH482" s="1080"/>
      <c r="LYI482" s="1080"/>
      <c r="LYJ482" s="1080"/>
      <c r="LYK482" s="1080"/>
      <c r="LYL482" s="1080"/>
      <c r="LYM482" s="1080"/>
      <c r="LYN482" s="1080"/>
      <c r="LYO482" s="1080"/>
      <c r="LYP482" s="1080"/>
      <c r="LYQ482" s="1080"/>
      <c r="LYR482" s="1080"/>
      <c r="LYS482" s="1080"/>
      <c r="LYT482" s="1080"/>
      <c r="LYU482" s="1080"/>
      <c r="LYV482" s="1080"/>
      <c r="LYW482" s="1080"/>
      <c r="LYX482" s="1080"/>
      <c r="LYY482" s="1080"/>
      <c r="LYZ482" s="1080"/>
      <c r="LZA482" s="1080"/>
      <c r="LZB482" s="1080"/>
      <c r="LZC482" s="1080"/>
      <c r="LZD482" s="1080"/>
      <c r="LZE482" s="1080"/>
      <c r="LZF482" s="1080"/>
      <c r="LZG482" s="1080"/>
      <c r="LZH482" s="1080"/>
      <c r="LZI482" s="1080"/>
      <c r="LZJ482" s="1080"/>
      <c r="LZK482" s="1080"/>
      <c r="LZL482" s="1080"/>
      <c r="LZM482" s="1080"/>
      <c r="LZN482" s="1080"/>
      <c r="LZO482" s="1080"/>
      <c r="LZP482" s="1080"/>
      <c r="LZQ482" s="1080"/>
      <c r="LZR482" s="1080"/>
      <c r="LZS482" s="1080"/>
      <c r="LZT482" s="1080"/>
      <c r="LZU482" s="1080"/>
      <c r="LZV482" s="1080"/>
      <c r="LZW482" s="1080"/>
      <c r="LZX482" s="1080"/>
      <c r="LZY482" s="1080"/>
      <c r="LZZ482" s="1080"/>
      <c r="MAA482" s="1080"/>
      <c r="MAB482" s="1080"/>
      <c r="MAC482" s="1080"/>
      <c r="MAD482" s="1080"/>
      <c r="MAE482" s="1080"/>
      <c r="MAF482" s="1080"/>
      <c r="MAG482" s="1080"/>
      <c r="MAH482" s="1080"/>
      <c r="MAI482" s="1080"/>
      <c r="MAJ482" s="1080"/>
      <c r="MAK482" s="1080"/>
      <c r="MAL482" s="1080"/>
      <c r="MAM482" s="1080"/>
      <c r="MAN482" s="1080"/>
      <c r="MAO482" s="1080"/>
      <c r="MAP482" s="1080"/>
      <c r="MAQ482" s="1080"/>
      <c r="MAR482" s="1080"/>
      <c r="MAS482" s="1080"/>
      <c r="MAT482" s="1080"/>
      <c r="MAU482" s="1080"/>
      <c r="MAV482" s="1080"/>
      <c r="MAW482" s="1080"/>
      <c r="MAX482" s="1080"/>
      <c r="MAY482" s="1080"/>
      <c r="MAZ482" s="1080"/>
      <c r="MBA482" s="1080"/>
      <c r="MBB482" s="1080"/>
      <c r="MBC482" s="1080"/>
      <c r="MBD482" s="1080"/>
      <c r="MBE482" s="1080"/>
      <c r="MBF482" s="1080"/>
      <c r="MBG482" s="1080"/>
      <c r="MBH482" s="1080"/>
      <c r="MBI482" s="1080"/>
      <c r="MBJ482" s="1080"/>
      <c r="MBK482" s="1080"/>
      <c r="MBL482" s="1080"/>
      <c r="MBM482" s="1080"/>
      <c r="MBN482" s="1080"/>
      <c r="MBO482" s="1080"/>
      <c r="MBP482" s="1080"/>
      <c r="MBQ482" s="1080"/>
      <c r="MBR482" s="1080"/>
      <c r="MBS482" s="1080"/>
      <c r="MBT482" s="1080"/>
      <c r="MBU482" s="1080"/>
      <c r="MBV482" s="1080"/>
      <c r="MBW482" s="1080"/>
      <c r="MBX482" s="1080"/>
      <c r="MBY482" s="1080"/>
      <c r="MBZ482" s="1080"/>
      <c r="MCA482" s="1080"/>
      <c r="MCB482" s="1080"/>
      <c r="MCC482" s="1080"/>
      <c r="MCD482" s="1080"/>
      <c r="MCE482" s="1080"/>
      <c r="MCF482" s="1080"/>
      <c r="MCG482" s="1080"/>
      <c r="MCH482" s="1080"/>
      <c r="MCI482" s="1080"/>
      <c r="MCJ482" s="1080"/>
      <c r="MCK482" s="1080"/>
      <c r="MCL482" s="1080"/>
      <c r="MCM482" s="1080"/>
      <c r="MCN482" s="1080"/>
      <c r="MCO482" s="1080"/>
      <c r="MCP482" s="1080"/>
      <c r="MCQ482" s="1080"/>
      <c r="MCR482" s="1080"/>
      <c r="MCS482" s="1080"/>
      <c r="MCT482" s="1080"/>
      <c r="MCU482" s="1080"/>
      <c r="MCV482" s="1080"/>
      <c r="MCW482" s="1080"/>
      <c r="MCX482" s="1080"/>
      <c r="MCY482" s="1080"/>
      <c r="MCZ482" s="1080"/>
      <c r="MDA482" s="1080"/>
      <c r="MDB482" s="1080"/>
      <c r="MDC482" s="1080"/>
      <c r="MDD482" s="1080"/>
      <c r="MDE482" s="1080"/>
      <c r="MDF482" s="1080"/>
      <c r="MDG482" s="1080"/>
      <c r="MDH482" s="1080"/>
      <c r="MDI482" s="1080"/>
      <c r="MDJ482" s="1080"/>
      <c r="MDK482" s="1080"/>
      <c r="MDL482" s="1080"/>
      <c r="MDM482" s="1080"/>
      <c r="MDN482" s="1080"/>
      <c r="MDO482" s="1080"/>
      <c r="MDP482" s="1080"/>
      <c r="MDQ482" s="1080"/>
      <c r="MDR482" s="1080"/>
      <c r="MDS482" s="1080"/>
      <c r="MDT482" s="1080"/>
      <c r="MDU482" s="1080"/>
      <c r="MDV482" s="1080"/>
      <c r="MDW482" s="1080"/>
      <c r="MDX482" s="1080"/>
      <c r="MDY482" s="1080"/>
      <c r="MDZ482" s="1080"/>
      <c r="MEA482" s="1080"/>
      <c r="MEB482" s="1080"/>
      <c r="MEC482" s="1080"/>
      <c r="MED482" s="1080"/>
      <c r="MEE482" s="1080"/>
      <c r="MEF482" s="1080"/>
      <c r="MEG482" s="1080"/>
      <c r="MEH482" s="1080"/>
      <c r="MEI482" s="1080"/>
      <c r="MEJ482" s="1080"/>
      <c r="MEK482" s="1080"/>
      <c r="MEL482" s="1080"/>
      <c r="MEM482" s="1080"/>
      <c r="MEN482" s="1080"/>
      <c r="MEO482" s="1080"/>
      <c r="MEP482" s="1080"/>
      <c r="MEQ482" s="1080"/>
      <c r="MER482" s="1080"/>
      <c r="MES482" s="1080"/>
      <c r="MET482" s="1080"/>
      <c r="MEU482" s="1080"/>
      <c r="MEV482" s="1080"/>
      <c r="MEW482" s="1080"/>
      <c r="MEX482" s="1080"/>
      <c r="MEY482" s="1080"/>
      <c r="MEZ482" s="1080"/>
      <c r="MFA482" s="1080"/>
      <c r="MFB482" s="1080"/>
      <c r="MFC482" s="1080"/>
      <c r="MFD482" s="1080"/>
      <c r="MFE482" s="1080"/>
      <c r="MFF482" s="1080"/>
      <c r="MFG482" s="1080"/>
      <c r="MFH482" s="1080"/>
      <c r="MFI482" s="1080"/>
      <c r="MFJ482" s="1080"/>
      <c r="MFK482" s="1080"/>
      <c r="MFL482" s="1080"/>
      <c r="MFM482" s="1080"/>
      <c r="MFN482" s="1080"/>
      <c r="MFO482" s="1080"/>
      <c r="MFP482" s="1080"/>
      <c r="MFQ482" s="1080"/>
      <c r="MFR482" s="1080"/>
      <c r="MFS482" s="1080"/>
      <c r="MFT482" s="1080"/>
      <c r="MFU482" s="1080"/>
      <c r="MFV482" s="1080"/>
      <c r="MFW482" s="1080"/>
      <c r="MFX482" s="1080"/>
      <c r="MFY482" s="1080"/>
      <c r="MFZ482" s="1080"/>
      <c r="MGA482" s="1080"/>
      <c r="MGB482" s="1080"/>
      <c r="MGC482" s="1080"/>
      <c r="MGD482" s="1080"/>
      <c r="MGE482" s="1080"/>
      <c r="MGF482" s="1080"/>
      <c r="MGG482" s="1080"/>
      <c r="MGH482" s="1080"/>
      <c r="MGI482" s="1080"/>
      <c r="MGJ482" s="1080"/>
      <c r="MGK482" s="1080"/>
      <c r="MGL482" s="1080"/>
      <c r="MGM482" s="1080"/>
      <c r="MGN482" s="1080"/>
      <c r="MGO482" s="1080"/>
      <c r="MGP482" s="1080"/>
      <c r="MGQ482" s="1080"/>
      <c r="MGR482" s="1080"/>
      <c r="MGS482" s="1080"/>
      <c r="MGT482" s="1080"/>
      <c r="MGU482" s="1080"/>
      <c r="MGV482" s="1080"/>
      <c r="MGW482" s="1080"/>
      <c r="MGX482" s="1080"/>
      <c r="MGY482" s="1080"/>
      <c r="MGZ482" s="1080"/>
      <c r="MHA482" s="1080"/>
      <c r="MHB482" s="1080"/>
      <c r="MHC482" s="1080"/>
      <c r="MHD482" s="1080"/>
      <c r="MHE482" s="1080"/>
      <c r="MHF482" s="1080"/>
      <c r="MHG482" s="1080"/>
      <c r="MHH482" s="1080"/>
      <c r="MHI482" s="1080"/>
      <c r="MHJ482" s="1080"/>
      <c r="MHK482" s="1080"/>
      <c r="MHL482" s="1080"/>
      <c r="MHM482" s="1080"/>
      <c r="MHN482" s="1080"/>
      <c r="MHO482" s="1080"/>
      <c r="MHP482" s="1080"/>
      <c r="MHQ482" s="1080"/>
      <c r="MHR482" s="1080"/>
      <c r="MHS482" s="1080"/>
      <c r="MHT482" s="1080"/>
      <c r="MHU482" s="1080"/>
      <c r="MHV482" s="1080"/>
      <c r="MHW482" s="1080"/>
      <c r="MHX482" s="1080"/>
      <c r="MHY482" s="1080"/>
      <c r="MHZ482" s="1080"/>
      <c r="MIA482" s="1080"/>
      <c r="MIB482" s="1080"/>
      <c r="MIC482" s="1080"/>
      <c r="MID482" s="1080"/>
      <c r="MIE482" s="1080"/>
      <c r="MIF482" s="1080"/>
      <c r="MIG482" s="1080"/>
      <c r="MIH482" s="1080"/>
      <c r="MII482" s="1080"/>
      <c r="MIJ482" s="1080"/>
      <c r="MIK482" s="1080"/>
      <c r="MIL482" s="1080"/>
      <c r="MIM482" s="1080"/>
      <c r="MIN482" s="1080"/>
      <c r="MIO482" s="1080"/>
      <c r="MIP482" s="1080"/>
      <c r="MIQ482" s="1080"/>
      <c r="MIR482" s="1080"/>
      <c r="MIS482" s="1080"/>
      <c r="MIT482" s="1080"/>
      <c r="MIU482" s="1080"/>
      <c r="MIV482" s="1080"/>
      <c r="MIW482" s="1080"/>
      <c r="MIX482" s="1080"/>
      <c r="MIY482" s="1080"/>
      <c r="MIZ482" s="1080"/>
      <c r="MJA482" s="1080"/>
      <c r="MJB482" s="1080"/>
      <c r="MJC482" s="1080"/>
      <c r="MJD482" s="1080"/>
      <c r="MJE482" s="1080"/>
      <c r="MJF482" s="1080"/>
      <c r="MJG482" s="1080"/>
      <c r="MJH482" s="1080"/>
      <c r="MJI482" s="1080"/>
      <c r="MJJ482" s="1080"/>
      <c r="MJK482" s="1080"/>
      <c r="MJL482" s="1080"/>
      <c r="MJM482" s="1080"/>
      <c r="MJN482" s="1080"/>
      <c r="MJO482" s="1080"/>
      <c r="MJP482" s="1080"/>
      <c r="MJQ482" s="1080"/>
      <c r="MJR482" s="1080"/>
      <c r="MJS482" s="1080"/>
      <c r="MJT482" s="1080"/>
      <c r="MJU482" s="1080"/>
      <c r="MJV482" s="1080"/>
      <c r="MJW482" s="1080"/>
      <c r="MJX482" s="1080"/>
      <c r="MJY482" s="1080"/>
      <c r="MJZ482" s="1080"/>
      <c r="MKA482" s="1080"/>
      <c r="MKB482" s="1080"/>
      <c r="MKC482" s="1080"/>
      <c r="MKD482" s="1080"/>
      <c r="MKE482" s="1080"/>
      <c r="MKF482" s="1080"/>
      <c r="MKG482" s="1080"/>
      <c r="MKH482" s="1080"/>
      <c r="MKI482" s="1080"/>
      <c r="MKJ482" s="1080"/>
      <c r="MKK482" s="1080"/>
      <c r="MKL482" s="1080"/>
      <c r="MKM482" s="1080"/>
      <c r="MKN482" s="1080"/>
      <c r="MKO482" s="1080"/>
      <c r="MKP482" s="1080"/>
      <c r="MKQ482" s="1080"/>
      <c r="MKR482" s="1080"/>
      <c r="MKS482" s="1080"/>
      <c r="MKT482" s="1080"/>
      <c r="MKU482" s="1080"/>
      <c r="MKV482" s="1080"/>
      <c r="MKW482" s="1080"/>
      <c r="MKX482" s="1080"/>
      <c r="MKY482" s="1080"/>
      <c r="MKZ482" s="1080"/>
      <c r="MLA482" s="1080"/>
      <c r="MLB482" s="1080"/>
      <c r="MLC482" s="1080"/>
      <c r="MLD482" s="1080"/>
      <c r="MLE482" s="1080"/>
      <c r="MLF482" s="1080"/>
      <c r="MLG482" s="1080"/>
      <c r="MLH482" s="1080"/>
      <c r="MLI482" s="1080"/>
      <c r="MLJ482" s="1080"/>
      <c r="MLK482" s="1080"/>
      <c r="MLL482" s="1080"/>
      <c r="MLM482" s="1080"/>
      <c r="MLN482" s="1080"/>
      <c r="MLO482" s="1080"/>
      <c r="MLP482" s="1080"/>
      <c r="MLQ482" s="1080"/>
      <c r="MLR482" s="1080"/>
      <c r="MLS482" s="1080"/>
      <c r="MLT482" s="1080"/>
      <c r="MLU482" s="1080"/>
      <c r="MLV482" s="1080"/>
      <c r="MLW482" s="1080"/>
      <c r="MLX482" s="1080"/>
      <c r="MLY482" s="1080"/>
      <c r="MLZ482" s="1080"/>
      <c r="MMA482" s="1080"/>
      <c r="MMB482" s="1080"/>
      <c r="MMC482" s="1080"/>
      <c r="MMD482" s="1080"/>
      <c r="MME482" s="1080"/>
      <c r="MMF482" s="1080"/>
      <c r="MMG482" s="1080"/>
      <c r="MMH482" s="1080"/>
      <c r="MMI482" s="1080"/>
      <c r="MMJ482" s="1080"/>
      <c r="MMK482" s="1080"/>
      <c r="MML482" s="1080"/>
      <c r="MMM482" s="1080"/>
      <c r="MMN482" s="1080"/>
      <c r="MMO482" s="1080"/>
      <c r="MMP482" s="1080"/>
      <c r="MMQ482" s="1080"/>
      <c r="MMR482" s="1080"/>
      <c r="MMS482" s="1080"/>
      <c r="MMT482" s="1080"/>
      <c r="MMU482" s="1080"/>
      <c r="MMV482" s="1080"/>
      <c r="MMW482" s="1080"/>
      <c r="MMX482" s="1080"/>
      <c r="MMY482" s="1080"/>
      <c r="MMZ482" s="1080"/>
      <c r="MNA482" s="1080"/>
      <c r="MNB482" s="1080"/>
      <c r="MNC482" s="1080"/>
      <c r="MND482" s="1080"/>
      <c r="MNE482" s="1080"/>
      <c r="MNF482" s="1080"/>
      <c r="MNG482" s="1080"/>
      <c r="MNH482" s="1080"/>
      <c r="MNI482" s="1080"/>
      <c r="MNJ482" s="1080"/>
      <c r="MNK482" s="1080"/>
      <c r="MNL482" s="1080"/>
      <c r="MNM482" s="1080"/>
      <c r="MNN482" s="1080"/>
      <c r="MNO482" s="1080"/>
      <c r="MNP482" s="1080"/>
      <c r="MNQ482" s="1080"/>
      <c r="MNR482" s="1080"/>
      <c r="MNS482" s="1080"/>
      <c r="MNT482" s="1080"/>
      <c r="MNU482" s="1080"/>
      <c r="MNV482" s="1080"/>
      <c r="MNW482" s="1080"/>
      <c r="MNX482" s="1080"/>
      <c r="MNY482" s="1080"/>
      <c r="MNZ482" s="1080"/>
      <c r="MOA482" s="1080"/>
      <c r="MOB482" s="1080"/>
      <c r="MOC482" s="1080"/>
      <c r="MOD482" s="1080"/>
      <c r="MOE482" s="1080"/>
      <c r="MOF482" s="1080"/>
      <c r="MOG482" s="1080"/>
      <c r="MOH482" s="1080"/>
      <c r="MOI482" s="1080"/>
      <c r="MOJ482" s="1080"/>
      <c r="MOK482" s="1080"/>
      <c r="MOL482" s="1080"/>
      <c r="MOM482" s="1080"/>
      <c r="MON482" s="1080"/>
      <c r="MOO482" s="1080"/>
      <c r="MOP482" s="1080"/>
      <c r="MOQ482" s="1080"/>
      <c r="MOR482" s="1080"/>
      <c r="MOS482" s="1080"/>
      <c r="MOT482" s="1080"/>
      <c r="MOU482" s="1080"/>
      <c r="MOV482" s="1080"/>
      <c r="MOW482" s="1080"/>
      <c r="MOX482" s="1080"/>
      <c r="MOY482" s="1080"/>
      <c r="MOZ482" s="1080"/>
      <c r="MPA482" s="1080"/>
      <c r="MPB482" s="1080"/>
      <c r="MPC482" s="1080"/>
      <c r="MPD482" s="1080"/>
      <c r="MPE482" s="1080"/>
      <c r="MPF482" s="1080"/>
      <c r="MPG482" s="1080"/>
      <c r="MPH482" s="1080"/>
      <c r="MPI482" s="1080"/>
      <c r="MPJ482" s="1080"/>
      <c r="MPK482" s="1080"/>
      <c r="MPL482" s="1080"/>
      <c r="MPM482" s="1080"/>
      <c r="MPN482" s="1080"/>
      <c r="MPO482" s="1080"/>
      <c r="MPP482" s="1080"/>
      <c r="MPQ482" s="1080"/>
      <c r="MPR482" s="1080"/>
      <c r="MPS482" s="1080"/>
      <c r="MPT482" s="1080"/>
      <c r="MPU482" s="1080"/>
      <c r="MPV482" s="1080"/>
      <c r="MPW482" s="1080"/>
      <c r="MPX482" s="1080"/>
      <c r="MPY482" s="1080"/>
      <c r="MPZ482" s="1080"/>
      <c r="MQA482" s="1080"/>
      <c r="MQB482" s="1080"/>
      <c r="MQC482" s="1080"/>
      <c r="MQD482" s="1080"/>
      <c r="MQE482" s="1080"/>
      <c r="MQF482" s="1080"/>
      <c r="MQG482" s="1080"/>
      <c r="MQH482" s="1080"/>
      <c r="MQI482" s="1080"/>
      <c r="MQJ482" s="1080"/>
      <c r="MQK482" s="1080"/>
      <c r="MQL482" s="1080"/>
      <c r="MQM482" s="1080"/>
      <c r="MQN482" s="1080"/>
      <c r="MQO482" s="1080"/>
      <c r="MQP482" s="1080"/>
      <c r="MQQ482" s="1080"/>
      <c r="MQR482" s="1080"/>
      <c r="MQS482" s="1080"/>
      <c r="MQT482" s="1080"/>
      <c r="MQU482" s="1080"/>
      <c r="MQV482" s="1080"/>
      <c r="MQW482" s="1080"/>
      <c r="MQX482" s="1080"/>
      <c r="MQY482" s="1080"/>
      <c r="MQZ482" s="1080"/>
      <c r="MRA482" s="1080"/>
      <c r="MRB482" s="1080"/>
      <c r="MRC482" s="1080"/>
      <c r="MRD482" s="1080"/>
      <c r="MRE482" s="1080"/>
      <c r="MRF482" s="1080"/>
      <c r="MRG482" s="1080"/>
      <c r="MRH482" s="1080"/>
      <c r="MRI482" s="1080"/>
      <c r="MRJ482" s="1080"/>
      <c r="MRK482" s="1080"/>
      <c r="MRL482" s="1080"/>
      <c r="MRM482" s="1080"/>
      <c r="MRN482" s="1080"/>
      <c r="MRO482" s="1080"/>
      <c r="MRP482" s="1080"/>
      <c r="MRQ482" s="1080"/>
      <c r="MRR482" s="1080"/>
      <c r="MRS482" s="1080"/>
      <c r="MRT482" s="1080"/>
      <c r="MRU482" s="1080"/>
      <c r="MRV482" s="1080"/>
      <c r="MRW482" s="1080"/>
      <c r="MRX482" s="1080"/>
      <c r="MRY482" s="1080"/>
      <c r="MRZ482" s="1080"/>
      <c r="MSA482" s="1080"/>
      <c r="MSB482" s="1080"/>
      <c r="MSC482" s="1080"/>
      <c r="MSD482" s="1080"/>
      <c r="MSE482" s="1080"/>
      <c r="MSF482" s="1080"/>
      <c r="MSG482" s="1080"/>
      <c r="MSH482" s="1080"/>
      <c r="MSI482" s="1080"/>
      <c r="MSJ482" s="1080"/>
      <c r="MSK482" s="1080"/>
      <c r="MSL482" s="1080"/>
      <c r="MSM482" s="1080"/>
      <c r="MSN482" s="1080"/>
      <c r="MSO482" s="1080"/>
      <c r="MSP482" s="1080"/>
      <c r="MSQ482" s="1080"/>
      <c r="MSR482" s="1080"/>
      <c r="MSS482" s="1080"/>
      <c r="MST482" s="1080"/>
      <c r="MSU482" s="1080"/>
      <c r="MSV482" s="1080"/>
      <c r="MSW482" s="1080"/>
      <c r="MSX482" s="1080"/>
      <c r="MSY482" s="1080"/>
      <c r="MSZ482" s="1080"/>
      <c r="MTA482" s="1080"/>
      <c r="MTB482" s="1080"/>
      <c r="MTC482" s="1080"/>
      <c r="MTD482" s="1080"/>
      <c r="MTE482" s="1080"/>
      <c r="MTF482" s="1080"/>
      <c r="MTG482" s="1080"/>
      <c r="MTH482" s="1080"/>
      <c r="MTI482" s="1080"/>
      <c r="MTJ482" s="1080"/>
      <c r="MTK482" s="1080"/>
      <c r="MTL482" s="1080"/>
      <c r="MTM482" s="1080"/>
      <c r="MTN482" s="1080"/>
      <c r="MTO482" s="1080"/>
      <c r="MTP482" s="1080"/>
      <c r="MTQ482" s="1080"/>
      <c r="MTR482" s="1080"/>
      <c r="MTS482" s="1080"/>
      <c r="MTT482" s="1080"/>
      <c r="MTU482" s="1080"/>
      <c r="MTV482" s="1080"/>
      <c r="MTW482" s="1080"/>
      <c r="MTX482" s="1080"/>
      <c r="MTY482" s="1080"/>
      <c r="MTZ482" s="1080"/>
      <c r="MUA482" s="1080"/>
      <c r="MUB482" s="1080"/>
      <c r="MUC482" s="1080"/>
      <c r="MUD482" s="1080"/>
      <c r="MUE482" s="1080"/>
      <c r="MUF482" s="1080"/>
      <c r="MUG482" s="1080"/>
      <c r="MUH482" s="1080"/>
      <c r="MUI482" s="1080"/>
      <c r="MUJ482" s="1080"/>
      <c r="MUK482" s="1080"/>
      <c r="MUL482" s="1080"/>
      <c r="MUM482" s="1080"/>
      <c r="MUN482" s="1080"/>
      <c r="MUO482" s="1080"/>
      <c r="MUP482" s="1080"/>
      <c r="MUQ482" s="1080"/>
      <c r="MUR482" s="1080"/>
      <c r="MUS482" s="1080"/>
      <c r="MUT482" s="1080"/>
      <c r="MUU482" s="1080"/>
      <c r="MUV482" s="1080"/>
      <c r="MUW482" s="1080"/>
      <c r="MUX482" s="1080"/>
      <c r="MUY482" s="1080"/>
      <c r="MUZ482" s="1080"/>
      <c r="MVA482" s="1080"/>
      <c r="MVB482" s="1080"/>
      <c r="MVC482" s="1080"/>
      <c r="MVD482" s="1080"/>
      <c r="MVE482" s="1080"/>
      <c r="MVF482" s="1080"/>
      <c r="MVG482" s="1080"/>
      <c r="MVH482" s="1080"/>
      <c r="MVI482" s="1080"/>
      <c r="MVJ482" s="1080"/>
      <c r="MVK482" s="1080"/>
      <c r="MVL482" s="1080"/>
      <c r="MVM482" s="1080"/>
      <c r="MVN482" s="1080"/>
      <c r="MVO482" s="1080"/>
      <c r="MVP482" s="1080"/>
      <c r="MVQ482" s="1080"/>
      <c r="MVR482" s="1080"/>
      <c r="MVS482" s="1080"/>
      <c r="MVT482" s="1080"/>
      <c r="MVU482" s="1080"/>
      <c r="MVV482" s="1080"/>
      <c r="MVW482" s="1080"/>
      <c r="MVX482" s="1080"/>
      <c r="MVY482" s="1080"/>
      <c r="MVZ482" s="1080"/>
      <c r="MWA482" s="1080"/>
      <c r="MWB482" s="1080"/>
      <c r="MWC482" s="1080"/>
      <c r="MWD482" s="1080"/>
      <c r="MWE482" s="1080"/>
      <c r="MWF482" s="1080"/>
      <c r="MWG482" s="1080"/>
      <c r="MWH482" s="1080"/>
      <c r="MWI482" s="1080"/>
      <c r="MWJ482" s="1080"/>
      <c r="MWK482" s="1080"/>
      <c r="MWL482" s="1080"/>
      <c r="MWM482" s="1080"/>
      <c r="MWN482" s="1080"/>
      <c r="MWO482" s="1080"/>
      <c r="MWP482" s="1080"/>
      <c r="MWQ482" s="1080"/>
      <c r="MWR482" s="1080"/>
      <c r="MWS482" s="1080"/>
      <c r="MWT482" s="1080"/>
      <c r="MWU482" s="1080"/>
      <c r="MWV482" s="1080"/>
      <c r="MWW482" s="1080"/>
      <c r="MWX482" s="1080"/>
      <c r="MWY482" s="1080"/>
      <c r="MWZ482" s="1080"/>
      <c r="MXA482" s="1080"/>
      <c r="MXB482" s="1080"/>
      <c r="MXC482" s="1080"/>
      <c r="MXD482" s="1080"/>
      <c r="MXE482" s="1080"/>
      <c r="MXF482" s="1080"/>
      <c r="MXG482" s="1080"/>
      <c r="MXH482" s="1080"/>
      <c r="MXI482" s="1080"/>
      <c r="MXJ482" s="1080"/>
      <c r="MXK482" s="1080"/>
      <c r="MXL482" s="1080"/>
      <c r="MXM482" s="1080"/>
      <c r="MXN482" s="1080"/>
      <c r="MXO482" s="1080"/>
      <c r="MXP482" s="1080"/>
      <c r="MXQ482" s="1080"/>
      <c r="MXR482" s="1080"/>
      <c r="MXS482" s="1080"/>
      <c r="MXT482" s="1080"/>
      <c r="MXU482" s="1080"/>
      <c r="MXV482" s="1080"/>
      <c r="MXW482" s="1080"/>
      <c r="MXX482" s="1080"/>
      <c r="MXY482" s="1080"/>
      <c r="MXZ482" s="1080"/>
      <c r="MYA482" s="1080"/>
      <c r="MYB482" s="1080"/>
      <c r="MYC482" s="1080"/>
      <c r="MYD482" s="1080"/>
      <c r="MYE482" s="1080"/>
      <c r="MYF482" s="1080"/>
      <c r="MYG482" s="1080"/>
      <c r="MYH482" s="1080"/>
      <c r="MYI482" s="1080"/>
      <c r="MYJ482" s="1080"/>
      <c r="MYK482" s="1080"/>
      <c r="MYL482" s="1080"/>
      <c r="MYM482" s="1080"/>
      <c r="MYN482" s="1080"/>
      <c r="MYO482" s="1080"/>
      <c r="MYP482" s="1080"/>
      <c r="MYQ482" s="1080"/>
      <c r="MYR482" s="1080"/>
      <c r="MYS482" s="1080"/>
      <c r="MYT482" s="1080"/>
      <c r="MYU482" s="1080"/>
      <c r="MYV482" s="1080"/>
      <c r="MYW482" s="1080"/>
      <c r="MYX482" s="1080"/>
      <c r="MYY482" s="1080"/>
      <c r="MYZ482" s="1080"/>
      <c r="MZA482" s="1080"/>
      <c r="MZB482" s="1080"/>
      <c r="MZC482" s="1080"/>
      <c r="MZD482" s="1080"/>
      <c r="MZE482" s="1080"/>
      <c r="MZF482" s="1080"/>
      <c r="MZG482" s="1080"/>
      <c r="MZH482" s="1080"/>
      <c r="MZI482" s="1080"/>
      <c r="MZJ482" s="1080"/>
      <c r="MZK482" s="1080"/>
      <c r="MZL482" s="1080"/>
      <c r="MZM482" s="1080"/>
      <c r="MZN482" s="1080"/>
      <c r="MZO482" s="1080"/>
      <c r="MZP482" s="1080"/>
      <c r="MZQ482" s="1080"/>
      <c r="MZR482" s="1080"/>
      <c r="MZS482" s="1080"/>
      <c r="MZT482" s="1080"/>
      <c r="MZU482" s="1080"/>
      <c r="MZV482" s="1080"/>
      <c r="MZW482" s="1080"/>
      <c r="MZX482" s="1080"/>
      <c r="MZY482" s="1080"/>
      <c r="MZZ482" s="1080"/>
      <c r="NAA482" s="1080"/>
      <c r="NAB482" s="1080"/>
      <c r="NAC482" s="1080"/>
      <c r="NAD482" s="1080"/>
      <c r="NAE482" s="1080"/>
      <c r="NAF482" s="1080"/>
      <c r="NAG482" s="1080"/>
      <c r="NAH482" s="1080"/>
      <c r="NAI482" s="1080"/>
      <c r="NAJ482" s="1080"/>
      <c r="NAK482" s="1080"/>
      <c r="NAL482" s="1080"/>
      <c r="NAM482" s="1080"/>
      <c r="NAN482" s="1080"/>
      <c r="NAO482" s="1080"/>
      <c r="NAP482" s="1080"/>
      <c r="NAQ482" s="1080"/>
      <c r="NAR482" s="1080"/>
      <c r="NAS482" s="1080"/>
      <c r="NAT482" s="1080"/>
      <c r="NAU482" s="1080"/>
      <c r="NAV482" s="1080"/>
      <c r="NAW482" s="1080"/>
      <c r="NAX482" s="1080"/>
      <c r="NAY482" s="1080"/>
      <c r="NAZ482" s="1080"/>
      <c r="NBA482" s="1080"/>
      <c r="NBB482" s="1080"/>
      <c r="NBC482" s="1080"/>
      <c r="NBD482" s="1080"/>
      <c r="NBE482" s="1080"/>
      <c r="NBF482" s="1080"/>
      <c r="NBG482" s="1080"/>
      <c r="NBH482" s="1080"/>
      <c r="NBI482" s="1080"/>
      <c r="NBJ482" s="1080"/>
      <c r="NBK482" s="1080"/>
      <c r="NBL482" s="1080"/>
      <c r="NBM482" s="1080"/>
      <c r="NBN482" s="1080"/>
      <c r="NBO482" s="1080"/>
      <c r="NBP482" s="1080"/>
      <c r="NBQ482" s="1080"/>
      <c r="NBR482" s="1080"/>
      <c r="NBS482" s="1080"/>
      <c r="NBT482" s="1080"/>
      <c r="NBU482" s="1080"/>
      <c r="NBV482" s="1080"/>
      <c r="NBW482" s="1080"/>
      <c r="NBX482" s="1080"/>
      <c r="NBY482" s="1080"/>
      <c r="NBZ482" s="1080"/>
      <c r="NCA482" s="1080"/>
      <c r="NCB482" s="1080"/>
      <c r="NCC482" s="1080"/>
      <c r="NCD482" s="1080"/>
      <c r="NCE482" s="1080"/>
      <c r="NCF482" s="1080"/>
      <c r="NCG482" s="1080"/>
      <c r="NCH482" s="1080"/>
      <c r="NCI482" s="1080"/>
      <c r="NCJ482" s="1080"/>
      <c r="NCK482" s="1080"/>
      <c r="NCL482" s="1080"/>
      <c r="NCM482" s="1080"/>
      <c r="NCN482" s="1080"/>
      <c r="NCO482" s="1080"/>
      <c r="NCP482" s="1080"/>
      <c r="NCQ482" s="1080"/>
      <c r="NCR482" s="1080"/>
      <c r="NCS482" s="1080"/>
      <c r="NCT482" s="1080"/>
      <c r="NCU482" s="1080"/>
      <c r="NCV482" s="1080"/>
      <c r="NCW482" s="1080"/>
      <c r="NCX482" s="1080"/>
      <c r="NCY482" s="1080"/>
      <c r="NCZ482" s="1080"/>
      <c r="NDA482" s="1080"/>
      <c r="NDB482" s="1080"/>
      <c r="NDC482" s="1080"/>
      <c r="NDD482" s="1080"/>
      <c r="NDE482" s="1080"/>
      <c r="NDF482" s="1080"/>
      <c r="NDG482" s="1080"/>
      <c r="NDH482" s="1080"/>
      <c r="NDI482" s="1080"/>
      <c r="NDJ482" s="1080"/>
      <c r="NDK482" s="1080"/>
      <c r="NDL482" s="1080"/>
      <c r="NDM482" s="1080"/>
      <c r="NDN482" s="1080"/>
      <c r="NDO482" s="1080"/>
      <c r="NDP482" s="1080"/>
      <c r="NDQ482" s="1080"/>
      <c r="NDR482" s="1080"/>
      <c r="NDS482" s="1080"/>
      <c r="NDT482" s="1080"/>
      <c r="NDU482" s="1080"/>
      <c r="NDV482" s="1080"/>
      <c r="NDW482" s="1080"/>
      <c r="NDX482" s="1080"/>
      <c r="NDY482" s="1080"/>
      <c r="NDZ482" s="1080"/>
      <c r="NEA482" s="1080"/>
      <c r="NEB482" s="1080"/>
      <c r="NEC482" s="1080"/>
      <c r="NED482" s="1080"/>
      <c r="NEE482" s="1080"/>
      <c r="NEF482" s="1080"/>
      <c r="NEG482" s="1080"/>
      <c r="NEH482" s="1080"/>
      <c r="NEI482" s="1080"/>
      <c r="NEJ482" s="1080"/>
      <c r="NEK482" s="1080"/>
      <c r="NEL482" s="1080"/>
      <c r="NEM482" s="1080"/>
      <c r="NEN482" s="1080"/>
      <c r="NEO482" s="1080"/>
      <c r="NEP482" s="1080"/>
      <c r="NEQ482" s="1080"/>
      <c r="NER482" s="1080"/>
      <c r="NES482" s="1080"/>
      <c r="NET482" s="1080"/>
      <c r="NEU482" s="1080"/>
      <c r="NEV482" s="1080"/>
      <c r="NEW482" s="1080"/>
      <c r="NEX482" s="1080"/>
      <c r="NEY482" s="1080"/>
      <c r="NEZ482" s="1080"/>
      <c r="NFA482" s="1080"/>
      <c r="NFB482" s="1080"/>
      <c r="NFC482" s="1080"/>
      <c r="NFD482" s="1080"/>
      <c r="NFE482" s="1080"/>
      <c r="NFF482" s="1080"/>
      <c r="NFG482" s="1080"/>
      <c r="NFH482" s="1080"/>
      <c r="NFI482" s="1080"/>
      <c r="NFJ482" s="1080"/>
      <c r="NFK482" s="1080"/>
      <c r="NFL482" s="1080"/>
      <c r="NFM482" s="1080"/>
      <c r="NFN482" s="1080"/>
      <c r="NFO482" s="1080"/>
      <c r="NFP482" s="1080"/>
      <c r="NFQ482" s="1080"/>
      <c r="NFR482" s="1080"/>
      <c r="NFS482" s="1080"/>
      <c r="NFT482" s="1080"/>
      <c r="NFU482" s="1080"/>
      <c r="NFV482" s="1080"/>
      <c r="NFW482" s="1080"/>
      <c r="NFX482" s="1080"/>
      <c r="NFY482" s="1080"/>
      <c r="NFZ482" s="1080"/>
      <c r="NGA482" s="1080"/>
      <c r="NGB482" s="1080"/>
      <c r="NGC482" s="1080"/>
      <c r="NGD482" s="1080"/>
      <c r="NGE482" s="1080"/>
      <c r="NGF482" s="1080"/>
      <c r="NGG482" s="1080"/>
      <c r="NGH482" s="1080"/>
      <c r="NGI482" s="1080"/>
      <c r="NGJ482" s="1080"/>
      <c r="NGK482" s="1080"/>
      <c r="NGL482" s="1080"/>
      <c r="NGM482" s="1080"/>
      <c r="NGN482" s="1080"/>
      <c r="NGO482" s="1080"/>
      <c r="NGP482" s="1080"/>
      <c r="NGQ482" s="1080"/>
      <c r="NGR482" s="1080"/>
      <c r="NGS482" s="1080"/>
      <c r="NGT482" s="1080"/>
      <c r="NGU482" s="1080"/>
      <c r="NGV482" s="1080"/>
      <c r="NGW482" s="1080"/>
      <c r="NGX482" s="1080"/>
      <c r="NGY482" s="1080"/>
      <c r="NGZ482" s="1080"/>
      <c r="NHA482" s="1080"/>
      <c r="NHB482" s="1080"/>
      <c r="NHC482" s="1080"/>
      <c r="NHD482" s="1080"/>
      <c r="NHE482" s="1080"/>
      <c r="NHF482" s="1080"/>
      <c r="NHG482" s="1080"/>
      <c r="NHH482" s="1080"/>
      <c r="NHI482" s="1080"/>
      <c r="NHJ482" s="1080"/>
      <c r="NHK482" s="1080"/>
      <c r="NHL482" s="1080"/>
      <c r="NHM482" s="1080"/>
      <c r="NHN482" s="1080"/>
      <c r="NHO482" s="1080"/>
      <c r="NHP482" s="1080"/>
      <c r="NHQ482" s="1080"/>
      <c r="NHR482" s="1080"/>
      <c r="NHS482" s="1080"/>
      <c r="NHT482" s="1080"/>
      <c r="NHU482" s="1080"/>
      <c r="NHV482" s="1080"/>
      <c r="NHW482" s="1080"/>
      <c r="NHX482" s="1080"/>
      <c r="NHY482" s="1080"/>
      <c r="NHZ482" s="1080"/>
      <c r="NIA482" s="1080"/>
      <c r="NIB482" s="1080"/>
      <c r="NIC482" s="1080"/>
      <c r="NID482" s="1080"/>
      <c r="NIE482" s="1080"/>
      <c r="NIF482" s="1080"/>
      <c r="NIG482" s="1080"/>
      <c r="NIH482" s="1080"/>
      <c r="NII482" s="1080"/>
      <c r="NIJ482" s="1080"/>
      <c r="NIK482" s="1080"/>
      <c r="NIL482" s="1080"/>
      <c r="NIM482" s="1080"/>
      <c r="NIN482" s="1080"/>
      <c r="NIO482" s="1080"/>
      <c r="NIP482" s="1080"/>
      <c r="NIQ482" s="1080"/>
      <c r="NIR482" s="1080"/>
      <c r="NIS482" s="1080"/>
      <c r="NIT482" s="1080"/>
      <c r="NIU482" s="1080"/>
      <c r="NIV482" s="1080"/>
      <c r="NIW482" s="1080"/>
      <c r="NIX482" s="1080"/>
      <c r="NIY482" s="1080"/>
      <c r="NIZ482" s="1080"/>
      <c r="NJA482" s="1080"/>
      <c r="NJB482" s="1080"/>
      <c r="NJC482" s="1080"/>
      <c r="NJD482" s="1080"/>
      <c r="NJE482" s="1080"/>
      <c r="NJF482" s="1080"/>
      <c r="NJG482" s="1080"/>
      <c r="NJH482" s="1080"/>
      <c r="NJI482" s="1080"/>
      <c r="NJJ482" s="1080"/>
      <c r="NJK482" s="1080"/>
      <c r="NJL482" s="1080"/>
      <c r="NJM482" s="1080"/>
      <c r="NJN482" s="1080"/>
      <c r="NJO482" s="1080"/>
      <c r="NJP482" s="1080"/>
      <c r="NJQ482" s="1080"/>
      <c r="NJR482" s="1080"/>
      <c r="NJS482" s="1080"/>
      <c r="NJT482" s="1080"/>
      <c r="NJU482" s="1080"/>
      <c r="NJV482" s="1080"/>
      <c r="NJW482" s="1080"/>
      <c r="NJX482" s="1080"/>
      <c r="NJY482" s="1080"/>
      <c r="NJZ482" s="1080"/>
      <c r="NKA482" s="1080"/>
      <c r="NKB482" s="1080"/>
      <c r="NKC482" s="1080"/>
      <c r="NKD482" s="1080"/>
      <c r="NKE482" s="1080"/>
      <c r="NKF482" s="1080"/>
      <c r="NKG482" s="1080"/>
      <c r="NKH482" s="1080"/>
      <c r="NKI482" s="1080"/>
      <c r="NKJ482" s="1080"/>
      <c r="NKK482" s="1080"/>
      <c r="NKL482" s="1080"/>
      <c r="NKM482" s="1080"/>
      <c r="NKN482" s="1080"/>
      <c r="NKO482" s="1080"/>
      <c r="NKP482" s="1080"/>
      <c r="NKQ482" s="1080"/>
      <c r="NKR482" s="1080"/>
      <c r="NKS482" s="1080"/>
      <c r="NKT482" s="1080"/>
      <c r="NKU482" s="1080"/>
      <c r="NKV482" s="1080"/>
      <c r="NKW482" s="1080"/>
      <c r="NKX482" s="1080"/>
      <c r="NKY482" s="1080"/>
      <c r="NKZ482" s="1080"/>
      <c r="NLA482" s="1080"/>
      <c r="NLB482" s="1080"/>
      <c r="NLC482" s="1080"/>
      <c r="NLD482" s="1080"/>
      <c r="NLE482" s="1080"/>
      <c r="NLF482" s="1080"/>
      <c r="NLG482" s="1080"/>
      <c r="NLH482" s="1080"/>
      <c r="NLI482" s="1080"/>
      <c r="NLJ482" s="1080"/>
      <c r="NLK482" s="1080"/>
      <c r="NLL482" s="1080"/>
      <c r="NLM482" s="1080"/>
      <c r="NLN482" s="1080"/>
      <c r="NLO482" s="1080"/>
      <c r="NLP482" s="1080"/>
      <c r="NLQ482" s="1080"/>
      <c r="NLR482" s="1080"/>
      <c r="NLS482" s="1080"/>
      <c r="NLT482" s="1080"/>
      <c r="NLU482" s="1080"/>
      <c r="NLV482" s="1080"/>
      <c r="NLW482" s="1080"/>
      <c r="NLX482" s="1080"/>
      <c r="NLY482" s="1080"/>
      <c r="NLZ482" s="1080"/>
      <c r="NMA482" s="1080"/>
      <c r="NMB482" s="1080"/>
      <c r="NMC482" s="1080"/>
      <c r="NMD482" s="1080"/>
      <c r="NME482" s="1080"/>
      <c r="NMF482" s="1080"/>
      <c r="NMG482" s="1080"/>
      <c r="NMH482" s="1080"/>
      <c r="NMI482" s="1080"/>
      <c r="NMJ482" s="1080"/>
      <c r="NMK482" s="1080"/>
      <c r="NML482" s="1080"/>
      <c r="NMM482" s="1080"/>
      <c r="NMN482" s="1080"/>
      <c r="NMO482" s="1080"/>
      <c r="NMP482" s="1080"/>
      <c r="NMQ482" s="1080"/>
      <c r="NMR482" s="1080"/>
      <c r="NMS482" s="1080"/>
      <c r="NMT482" s="1080"/>
      <c r="NMU482" s="1080"/>
      <c r="NMV482" s="1080"/>
      <c r="NMW482" s="1080"/>
      <c r="NMX482" s="1080"/>
      <c r="NMY482" s="1080"/>
      <c r="NMZ482" s="1080"/>
      <c r="NNA482" s="1080"/>
      <c r="NNB482" s="1080"/>
      <c r="NNC482" s="1080"/>
      <c r="NND482" s="1080"/>
      <c r="NNE482" s="1080"/>
      <c r="NNF482" s="1080"/>
      <c r="NNG482" s="1080"/>
      <c r="NNH482" s="1080"/>
      <c r="NNI482" s="1080"/>
      <c r="NNJ482" s="1080"/>
      <c r="NNK482" s="1080"/>
      <c r="NNL482" s="1080"/>
      <c r="NNM482" s="1080"/>
      <c r="NNN482" s="1080"/>
      <c r="NNO482" s="1080"/>
      <c r="NNP482" s="1080"/>
      <c r="NNQ482" s="1080"/>
      <c r="NNR482" s="1080"/>
      <c r="NNS482" s="1080"/>
      <c r="NNT482" s="1080"/>
      <c r="NNU482" s="1080"/>
      <c r="NNV482" s="1080"/>
      <c r="NNW482" s="1080"/>
      <c r="NNX482" s="1080"/>
      <c r="NNY482" s="1080"/>
      <c r="NNZ482" s="1080"/>
      <c r="NOA482" s="1080"/>
      <c r="NOB482" s="1080"/>
      <c r="NOC482" s="1080"/>
      <c r="NOD482" s="1080"/>
      <c r="NOE482" s="1080"/>
      <c r="NOF482" s="1080"/>
      <c r="NOG482" s="1080"/>
      <c r="NOH482" s="1080"/>
      <c r="NOI482" s="1080"/>
      <c r="NOJ482" s="1080"/>
      <c r="NOK482" s="1080"/>
      <c r="NOL482" s="1080"/>
      <c r="NOM482" s="1080"/>
      <c r="NON482" s="1080"/>
      <c r="NOO482" s="1080"/>
      <c r="NOP482" s="1080"/>
      <c r="NOQ482" s="1080"/>
      <c r="NOR482" s="1080"/>
      <c r="NOS482" s="1080"/>
      <c r="NOT482" s="1080"/>
      <c r="NOU482" s="1080"/>
      <c r="NOV482" s="1080"/>
      <c r="NOW482" s="1080"/>
      <c r="NOX482" s="1080"/>
      <c r="NOY482" s="1080"/>
      <c r="NOZ482" s="1080"/>
      <c r="NPA482" s="1080"/>
      <c r="NPB482" s="1080"/>
      <c r="NPC482" s="1080"/>
      <c r="NPD482" s="1080"/>
      <c r="NPE482" s="1080"/>
      <c r="NPF482" s="1080"/>
      <c r="NPG482" s="1080"/>
      <c r="NPH482" s="1080"/>
      <c r="NPI482" s="1080"/>
      <c r="NPJ482" s="1080"/>
      <c r="NPK482" s="1080"/>
      <c r="NPL482" s="1080"/>
      <c r="NPM482" s="1080"/>
      <c r="NPN482" s="1080"/>
      <c r="NPO482" s="1080"/>
      <c r="NPP482" s="1080"/>
      <c r="NPQ482" s="1080"/>
      <c r="NPR482" s="1080"/>
      <c r="NPS482" s="1080"/>
      <c r="NPT482" s="1080"/>
      <c r="NPU482" s="1080"/>
      <c r="NPV482" s="1080"/>
      <c r="NPW482" s="1080"/>
      <c r="NPX482" s="1080"/>
      <c r="NPY482" s="1080"/>
      <c r="NPZ482" s="1080"/>
      <c r="NQA482" s="1080"/>
      <c r="NQB482" s="1080"/>
      <c r="NQC482" s="1080"/>
      <c r="NQD482" s="1080"/>
      <c r="NQE482" s="1080"/>
      <c r="NQF482" s="1080"/>
      <c r="NQG482" s="1080"/>
      <c r="NQH482" s="1080"/>
      <c r="NQI482" s="1080"/>
      <c r="NQJ482" s="1080"/>
      <c r="NQK482" s="1080"/>
      <c r="NQL482" s="1080"/>
      <c r="NQM482" s="1080"/>
      <c r="NQN482" s="1080"/>
      <c r="NQO482" s="1080"/>
      <c r="NQP482" s="1080"/>
      <c r="NQQ482" s="1080"/>
      <c r="NQR482" s="1080"/>
      <c r="NQS482" s="1080"/>
      <c r="NQT482" s="1080"/>
      <c r="NQU482" s="1080"/>
      <c r="NQV482" s="1080"/>
      <c r="NQW482" s="1080"/>
      <c r="NQX482" s="1080"/>
      <c r="NQY482" s="1080"/>
      <c r="NQZ482" s="1080"/>
      <c r="NRA482" s="1080"/>
      <c r="NRB482" s="1080"/>
      <c r="NRC482" s="1080"/>
      <c r="NRD482" s="1080"/>
      <c r="NRE482" s="1080"/>
      <c r="NRF482" s="1080"/>
      <c r="NRG482" s="1080"/>
      <c r="NRH482" s="1080"/>
      <c r="NRI482" s="1080"/>
      <c r="NRJ482" s="1080"/>
      <c r="NRK482" s="1080"/>
      <c r="NRL482" s="1080"/>
      <c r="NRM482" s="1080"/>
      <c r="NRN482" s="1080"/>
      <c r="NRO482" s="1080"/>
      <c r="NRP482" s="1080"/>
      <c r="NRQ482" s="1080"/>
      <c r="NRR482" s="1080"/>
      <c r="NRS482" s="1080"/>
      <c r="NRT482" s="1080"/>
      <c r="NRU482" s="1080"/>
      <c r="NRV482" s="1080"/>
      <c r="NRW482" s="1080"/>
      <c r="NRX482" s="1080"/>
      <c r="NRY482" s="1080"/>
      <c r="NRZ482" s="1080"/>
      <c r="NSA482" s="1080"/>
      <c r="NSB482" s="1080"/>
      <c r="NSC482" s="1080"/>
      <c r="NSD482" s="1080"/>
      <c r="NSE482" s="1080"/>
      <c r="NSF482" s="1080"/>
      <c r="NSG482" s="1080"/>
      <c r="NSH482" s="1080"/>
      <c r="NSI482" s="1080"/>
      <c r="NSJ482" s="1080"/>
      <c r="NSK482" s="1080"/>
      <c r="NSL482" s="1080"/>
      <c r="NSM482" s="1080"/>
      <c r="NSN482" s="1080"/>
      <c r="NSO482" s="1080"/>
      <c r="NSP482" s="1080"/>
      <c r="NSQ482" s="1080"/>
      <c r="NSR482" s="1080"/>
      <c r="NSS482" s="1080"/>
      <c r="NST482" s="1080"/>
      <c r="NSU482" s="1080"/>
      <c r="NSV482" s="1080"/>
      <c r="NSW482" s="1080"/>
      <c r="NSX482" s="1080"/>
      <c r="NSY482" s="1080"/>
      <c r="NSZ482" s="1080"/>
      <c r="NTA482" s="1080"/>
      <c r="NTB482" s="1080"/>
      <c r="NTC482" s="1080"/>
      <c r="NTD482" s="1080"/>
      <c r="NTE482" s="1080"/>
      <c r="NTF482" s="1080"/>
      <c r="NTG482" s="1080"/>
      <c r="NTH482" s="1080"/>
      <c r="NTI482" s="1080"/>
      <c r="NTJ482" s="1080"/>
      <c r="NTK482" s="1080"/>
      <c r="NTL482" s="1080"/>
      <c r="NTM482" s="1080"/>
      <c r="NTN482" s="1080"/>
      <c r="NTO482" s="1080"/>
      <c r="NTP482" s="1080"/>
      <c r="NTQ482" s="1080"/>
      <c r="NTR482" s="1080"/>
      <c r="NTS482" s="1080"/>
      <c r="NTT482" s="1080"/>
      <c r="NTU482" s="1080"/>
      <c r="NTV482" s="1080"/>
      <c r="NTW482" s="1080"/>
      <c r="NTX482" s="1080"/>
      <c r="NTY482" s="1080"/>
      <c r="NTZ482" s="1080"/>
      <c r="NUA482" s="1080"/>
      <c r="NUB482" s="1080"/>
      <c r="NUC482" s="1080"/>
      <c r="NUD482" s="1080"/>
      <c r="NUE482" s="1080"/>
      <c r="NUF482" s="1080"/>
      <c r="NUG482" s="1080"/>
      <c r="NUH482" s="1080"/>
      <c r="NUI482" s="1080"/>
      <c r="NUJ482" s="1080"/>
      <c r="NUK482" s="1080"/>
      <c r="NUL482" s="1080"/>
      <c r="NUM482" s="1080"/>
      <c r="NUN482" s="1080"/>
      <c r="NUO482" s="1080"/>
      <c r="NUP482" s="1080"/>
      <c r="NUQ482" s="1080"/>
      <c r="NUR482" s="1080"/>
      <c r="NUS482" s="1080"/>
      <c r="NUT482" s="1080"/>
      <c r="NUU482" s="1080"/>
      <c r="NUV482" s="1080"/>
      <c r="NUW482" s="1080"/>
      <c r="NUX482" s="1080"/>
      <c r="NUY482" s="1080"/>
      <c r="NUZ482" s="1080"/>
      <c r="NVA482" s="1080"/>
      <c r="NVB482" s="1080"/>
      <c r="NVC482" s="1080"/>
      <c r="NVD482" s="1080"/>
      <c r="NVE482" s="1080"/>
      <c r="NVF482" s="1080"/>
      <c r="NVG482" s="1080"/>
      <c r="NVH482" s="1080"/>
      <c r="NVI482" s="1080"/>
      <c r="NVJ482" s="1080"/>
      <c r="NVK482" s="1080"/>
      <c r="NVL482" s="1080"/>
      <c r="NVM482" s="1080"/>
      <c r="NVN482" s="1080"/>
      <c r="NVO482" s="1080"/>
      <c r="NVP482" s="1080"/>
      <c r="NVQ482" s="1080"/>
      <c r="NVR482" s="1080"/>
      <c r="NVS482" s="1080"/>
      <c r="NVT482" s="1080"/>
      <c r="NVU482" s="1080"/>
      <c r="NVV482" s="1080"/>
      <c r="NVW482" s="1080"/>
      <c r="NVX482" s="1080"/>
      <c r="NVY482" s="1080"/>
      <c r="NVZ482" s="1080"/>
      <c r="NWA482" s="1080"/>
      <c r="NWB482" s="1080"/>
      <c r="NWC482" s="1080"/>
      <c r="NWD482" s="1080"/>
      <c r="NWE482" s="1080"/>
      <c r="NWF482" s="1080"/>
      <c r="NWG482" s="1080"/>
      <c r="NWH482" s="1080"/>
      <c r="NWI482" s="1080"/>
      <c r="NWJ482" s="1080"/>
      <c r="NWK482" s="1080"/>
      <c r="NWL482" s="1080"/>
      <c r="NWM482" s="1080"/>
      <c r="NWN482" s="1080"/>
      <c r="NWO482" s="1080"/>
      <c r="NWP482" s="1080"/>
      <c r="NWQ482" s="1080"/>
      <c r="NWR482" s="1080"/>
      <c r="NWS482" s="1080"/>
      <c r="NWT482" s="1080"/>
      <c r="NWU482" s="1080"/>
      <c r="NWV482" s="1080"/>
      <c r="NWW482" s="1080"/>
      <c r="NWX482" s="1080"/>
      <c r="NWY482" s="1080"/>
      <c r="NWZ482" s="1080"/>
      <c r="NXA482" s="1080"/>
      <c r="NXB482" s="1080"/>
      <c r="NXC482" s="1080"/>
      <c r="NXD482" s="1080"/>
      <c r="NXE482" s="1080"/>
      <c r="NXF482" s="1080"/>
      <c r="NXG482" s="1080"/>
      <c r="NXH482" s="1080"/>
      <c r="NXI482" s="1080"/>
      <c r="NXJ482" s="1080"/>
      <c r="NXK482" s="1080"/>
      <c r="NXL482" s="1080"/>
      <c r="NXM482" s="1080"/>
      <c r="NXN482" s="1080"/>
      <c r="NXO482" s="1080"/>
      <c r="NXP482" s="1080"/>
      <c r="NXQ482" s="1080"/>
      <c r="NXR482" s="1080"/>
      <c r="NXS482" s="1080"/>
      <c r="NXT482" s="1080"/>
      <c r="NXU482" s="1080"/>
      <c r="NXV482" s="1080"/>
      <c r="NXW482" s="1080"/>
      <c r="NXX482" s="1080"/>
      <c r="NXY482" s="1080"/>
      <c r="NXZ482" s="1080"/>
      <c r="NYA482" s="1080"/>
      <c r="NYB482" s="1080"/>
      <c r="NYC482" s="1080"/>
      <c r="NYD482" s="1080"/>
      <c r="NYE482" s="1080"/>
      <c r="NYF482" s="1080"/>
      <c r="NYG482" s="1080"/>
      <c r="NYH482" s="1080"/>
      <c r="NYI482" s="1080"/>
      <c r="NYJ482" s="1080"/>
      <c r="NYK482" s="1080"/>
      <c r="NYL482" s="1080"/>
      <c r="NYM482" s="1080"/>
      <c r="NYN482" s="1080"/>
      <c r="NYO482" s="1080"/>
      <c r="NYP482" s="1080"/>
      <c r="NYQ482" s="1080"/>
      <c r="NYR482" s="1080"/>
      <c r="NYS482" s="1080"/>
      <c r="NYT482" s="1080"/>
      <c r="NYU482" s="1080"/>
      <c r="NYV482" s="1080"/>
      <c r="NYW482" s="1080"/>
      <c r="NYX482" s="1080"/>
      <c r="NYY482" s="1080"/>
      <c r="NYZ482" s="1080"/>
      <c r="NZA482" s="1080"/>
      <c r="NZB482" s="1080"/>
      <c r="NZC482" s="1080"/>
      <c r="NZD482" s="1080"/>
      <c r="NZE482" s="1080"/>
      <c r="NZF482" s="1080"/>
      <c r="NZG482" s="1080"/>
      <c r="NZH482" s="1080"/>
      <c r="NZI482" s="1080"/>
      <c r="NZJ482" s="1080"/>
      <c r="NZK482" s="1080"/>
      <c r="NZL482" s="1080"/>
      <c r="NZM482" s="1080"/>
      <c r="NZN482" s="1080"/>
      <c r="NZO482" s="1080"/>
      <c r="NZP482" s="1080"/>
      <c r="NZQ482" s="1080"/>
      <c r="NZR482" s="1080"/>
      <c r="NZS482" s="1080"/>
      <c r="NZT482" s="1080"/>
      <c r="NZU482" s="1080"/>
      <c r="NZV482" s="1080"/>
      <c r="NZW482" s="1080"/>
      <c r="NZX482" s="1080"/>
      <c r="NZY482" s="1080"/>
      <c r="NZZ482" s="1080"/>
      <c r="OAA482" s="1080"/>
      <c r="OAB482" s="1080"/>
      <c r="OAC482" s="1080"/>
      <c r="OAD482" s="1080"/>
      <c r="OAE482" s="1080"/>
      <c r="OAF482" s="1080"/>
      <c r="OAG482" s="1080"/>
      <c r="OAH482" s="1080"/>
      <c r="OAI482" s="1080"/>
      <c r="OAJ482" s="1080"/>
      <c r="OAK482" s="1080"/>
      <c r="OAL482" s="1080"/>
      <c r="OAM482" s="1080"/>
      <c r="OAN482" s="1080"/>
      <c r="OAO482" s="1080"/>
      <c r="OAP482" s="1080"/>
      <c r="OAQ482" s="1080"/>
      <c r="OAR482" s="1080"/>
      <c r="OAS482" s="1080"/>
      <c r="OAT482" s="1080"/>
      <c r="OAU482" s="1080"/>
      <c r="OAV482" s="1080"/>
      <c r="OAW482" s="1080"/>
      <c r="OAX482" s="1080"/>
      <c r="OAY482" s="1080"/>
      <c r="OAZ482" s="1080"/>
      <c r="OBA482" s="1080"/>
      <c r="OBB482" s="1080"/>
      <c r="OBC482" s="1080"/>
      <c r="OBD482" s="1080"/>
      <c r="OBE482" s="1080"/>
      <c r="OBF482" s="1080"/>
      <c r="OBG482" s="1080"/>
      <c r="OBH482" s="1080"/>
      <c r="OBI482" s="1080"/>
      <c r="OBJ482" s="1080"/>
      <c r="OBK482" s="1080"/>
      <c r="OBL482" s="1080"/>
      <c r="OBM482" s="1080"/>
      <c r="OBN482" s="1080"/>
      <c r="OBO482" s="1080"/>
      <c r="OBP482" s="1080"/>
      <c r="OBQ482" s="1080"/>
      <c r="OBR482" s="1080"/>
      <c r="OBS482" s="1080"/>
      <c r="OBT482" s="1080"/>
      <c r="OBU482" s="1080"/>
      <c r="OBV482" s="1080"/>
      <c r="OBW482" s="1080"/>
      <c r="OBX482" s="1080"/>
      <c r="OBY482" s="1080"/>
      <c r="OBZ482" s="1080"/>
      <c r="OCA482" s="1080"/>
      <c r="OCB482" s="1080"/>
      <c r="OCC482" s="1080"/>
      <c r="OCD482" s="1080"/>
      <c r="OCE482" s="1080"/>
      <c r="OCF482" s="1080"/>
      <c r="OCG482" s="1080"/>
      <c r="OCH482" s="1080"/>
      <c r="OCI482" s="1080"/>
      <c r="OCJ482" s="1080"/>
      <c r="OCK482" s="1080"/>
      <c r="OCL482" s="1080"/>
      <c r="OCM482" s="1080"/>
      <c r="OCN482" s="1080"/>
      <c r="OCO482" s="1080"/>
      <c r="OCP482" s="1080"/>
      <c r="OCQ482" s="1080"/>
      <c r="OCR482" s="1080"/>
      <c r="OCS482" s="1080"/>
      <c r="OCT482" s="1080"/>
      <c r="OCU482" s="1080"/>
      <c r="OCV482" s="1080"/>
      <c r="OCW482" s="1080"/>
      <c r="OCX482" s="1080"/>
      <c r="OCY482" s="1080"/>
      <c r="OCZ482" s="1080"/>
      <c r="ODA482" s="1080"/>
      <c r="ODB482" s="1080"/>
      <c r="ODC482" s="1080"/>
      <c r="ODD482" s="1080"/>
      <c r="ODE482" s="1080"/>
      <c r="ODF482" s="1080"/>
      <c r="ODG482" s="1080"/>
      <c r="ODH482" s="1080"/>
      <c r="ODI482" s="1080"/>
      <c r="ODJ482" s="1080"/>
      <c r="ODK482" s="1080"/>
      <c r="ODL482" s="1080"/>
      <c r="ODM482" s="1080"/>
      <c r="ODN482" s="1080"/>
      <c r="ODO482" s="1080"/>
      <c r="ODP482" s="1080"/>
      <c r="ODQ482" s="1080"/>
      <c r="ODR482" s="1080"/>
      <c r="ODS482" s="1080"/>
      <c r="ODT482" s="1080"/>
      <c r="ODU482" s="1080"/>
      <c r="ODV482" s="1080"/>
      <c r="ODW482" s="1080"/>
      <c r="ODX482" s="1080"/>
      <c r="ODY482" s="1080"/>
      <c r="ODZ482" s="1080"/>
      <c r="OEA482" s="1080"/>
      <c r="OEB482" s="1080"/>
      <c r="OEC482" s="1080"/>
      <c r="OED482" s="1080"/>
      <c r="OEE482" s="1080"/>
      <c r="OEF482" s="1080"/>
      <c r="OEG482" s="1080"/>
      <c r="OEH482" s="1080"/>
      <c r="OEI482" s="1080"/>
      <c r="OEJ482" s="1080"/>
      <c r="OEK482" s="1080"/>
      <c r="OEL482" s="1080"/>
      <c r="OEM482" s="1080"/>
      <c r="OEN482" s="1080"/>
      <c r="OEO482" s="1080"/>
      <c r="OEP482" s="1080"/>
      <c r="OEQ482" s="1080"/>
      <c r="OER482" s="1080"/>
      <c r="OES482" s="1080"/>
      <c r="OET482" s="1080"/>
      <c r="OEU482" s="1080"/>
      <c r="OEV482" s="1080"/>
      <c r="OEW482" s="1080"/>
      <c r="OEX482" s="1080"/>
      <c r="OEY482" s="1080"/>
      <c r="OEZ482" s="1080"/>
      <c r="OFA482" s="1080"/>
      <c r="OFB482" s="1080"/>
      <c r="OFC482" s="1080"/>
      <c r="OFD482" s="1080"/>
      <c r="OFE482" s="1080"/>
      <c r="OFF482" s="1080"/>
      <c r="OFG482" s="1080"/>
      <c r="OFH482" s="1080"/>
      <c r="OFI482" s="1080"/>
      <c r="OFJ482" s="1080"/>
      <c r="OFK482" s="1080"/>
      <c r="OFL482" s="1080"/>
      <c r="OFM482" s="1080"/>
      <c r="OFN482" s="1080"/>
      <c r="OFO482" s="1080"/>
      <c r="OFP482" s="1080"/>
      <c r="OFQ482" s="1080"/>
      <c r="OFR482" s="1080"/>
      <c r="OFS482" s="1080"/>
      <c r="OFT482" s="1080"/>
      <c r="OFU482" s="1080"/>
      <c r="OFV482" s="1080"/>
      <c r="OFW482" s="1080"/>
      <c r="OFX482" s="1080"/>
      <c r="OFY482" s="1080"/>
      <c r="OFZ482" s="1080"/>
      <c r="OGA482" s="1080"/>
      <c r="OGB482" s="1080"/>
      <c r="OGC482" s="1080"/>
      <c r="OGD482" s="1080"/>
      <c r="OGE482" s="1080"/>
      <c r="OGF482" s="1080"/>
      <c r="OGG482" s="1080"/>
      <c r="OGH482" s="1080"/>
      <c r="OGI482" s="1080"/>
      <c r="OGJ482" s="1080"/>
      <c r="OGK482" s="1080"/>
      <c r="OGL482" s="1080"/>
      <c r="OGM482" s="1080"/>
      <c r="OGN482" s="1080"/>
      <c r="OGO482" s="1080"/>
      <c r="OGP482" s="1080"/>
      <c r="OGQ482" s="1080"/>
      <c r="OGR482" s="1080"/>
      <c r="OGS482" s="1080"/>
      <c r="OGT482" s="1080"/>
      <c r="OGU482" s="1080"/>
      <c r="OGV482" s="1080"/>
      <c r="OGW482" s="1080"/>
      <c r="OGX482" s="1080"/>
      <c r="OGY482" s="1080"/>
      <c r="OGZ482" s="1080"/>
      <c r="OHA482" s="1080"/>
      <c r="OHB482" s="1080"/>
      <c r="OHC482" s="1080"/>
      <c r="OHD482" s="1080"/>
      <c r="OHE482" s="1080"/>
      <c r="OHF482" s="1080"/>
      <c r="OHG482" s="1080"/>
      <c r="OHH482" s="1080"/>
      <c r="OHI482" s="1080"/>
      <c r="OHJ482" s="1080"/>
      <c r="OHK482" s="1080"/>
      <c r="OHL482" s="1080"/>
      <c r="OHM482" s="1080"/>
      <c r="OHN482" s="1080"/>
      <c r="OHO482" s="1080"/>
      <c r="OHP482" s="1080"/>
      <c r="OHQ482" s="1080"/>
      <c r="OHR482" s="1080"/>
      <c r="OHS482" s="1080"/>
      <c r="OHT482" s="1080"/>
      <c r="OHU482" s="1080"/>
      <c r="OHV482" s="1080"/>
      <c r="OHW482" s="1080"/>
      <c r="OHX482" s="1080"/>
      <c r="OHY482" s="1080"/>
      <c r="OHZ482" s="1080"/>
      <c r="OIA482" s="1080"/>
      <c r="OIB482" s="1080"/>
      <c r="OIC482" s="1080"/>
      <c r="OID482" s="1080"/>
      <c r="OIE482" s="1080"/>
      <c r="OIF482" s="1080"/>
      <c r="OIG482" s="1080"/>
      <c r="OIH482" s="1080"/>
      <c r="OII482" s="1080"/>
      <c r="OIJ482" s="1080"/>
      <c r="OIK482" s="1080"/>
      <c r="OIL482" s="1080"/>
      <c r="OIM482" s="1080"/>
      <c r="OIN482" s="1080"/>
      <c r="OIO482" s="1080"/>
      <c r="OIP482" s="1080"/>
      <c r="OIQ482" s="1080"/>
      <c r="OIR482" s="1080"/>
      <c r="OIS482" s="1080"/>
      <c r="OIT482" s="1080"/>
      <c r="OIU482" s="1080"/>
      <c r="OIV482" s="1080"/>
      <c r="OIW482" s="1080"/>
      <c r="OIX482" s="1080"/>
      <c r="OIY482" s="1080"/>
      <c r="OIZ482" s="1080"/>
      <c r="OJA482" s="1080"/>
      <c r="OJB482" s="1080"/>
      <c r="OJC482" s="1080"/>
      <c r="OJD482" s="1080"/>
      <c r="OJE482" s="1080"/>
      <c r="OJF482" s="1080"/>
      <c r="OJG482" s="1080"/>
      <c r="OJH482" s="1080"/>
      <c r="OJI482" s="1080"/>
      <c r="OJJ482" s="1080"/>
      <c r="OJK482" s="1080"/>
      <c r="OJL482" s="1080"/>
      <c r="OJM482" s="1080"/>
      <c r="OJN482" s="1080"/>
      <c r="OJO482" s="1080"/>
      <c r="OJP482" s="1080"/>
      <c r="OJQ482" s="1080"/>
      <c r="OJR482" s="1080"/>
      <c r="OJS482" s="1080"/>
      <c r="OJT482" s="1080"/>
      <c r="OJU482" s="1080"/>
      <c r="OJV482" s="1080"/>
      <c r="OJW482" s="1080"/>
      <c r="OJX482" s="1080"/>
      <c r="OJY482" s="1080"/>
      <c r="OJZ482" s="1080"/>
      <c r="OKA482" s="1080"/>
      <c r="OKB482" s="1080"/>
      <c r="OKC482" s="1080"/>
      <c r="OKD482" s="1080"/>
      <c r="OKE482" s="1080"/>
      <c r="OKF482" s="1080"/>
      <c r="OKG482" s="1080"/>
      <c r="OKH482" s="1080"/>
      <c r="OKI482" s="1080"/>
      <c r="OKJ482" s="1080"/>
      <c r="OKK482" s="1080"/>
      <c r="OKL482" s="1080"/>
      <c r="OKM482" s="1080"/>
      <c r="OKN482" s="1080"/>
      <c r="OKO482" s="1080"/>
      <c r="OKP482" s="1080"/>
      <c r="OKQ482" s="1080"/>
      <c r="OKR482" s="1080"/>
      <c r="OKS482" s="1080"/>
      <c r="OKT482" s="1080"/>
      <c r="OKU482" s="1080"/>
      <c r="OKV482" s="1080"/>
      <c r="OKW482" s="1080"/>
      <c r="OKX482" s="1080"/>
      <c r="OKY482" s="1080"/>
      <c r="OKZ482" s="1080"/>
      <c r="OLA482" s="1080"/>
      <c r="OLB482" s="1080"/>
      <c r="OLC482" s="1080"/>
      <c r="OLD482" s="1080"/>
      <c r="OLE482" s="1080"/>
      <c r="OLF482" s="1080"/>
      <c r="OLG482" s="1080"/>
      <c r="OLH482" s="1080"/>
      <c r="OLI482" s="1080"/>
      <c r="OLJ482" s="1080"/>
      <c r="OLK482" s="1080"/>
      <c r="OLL482" s="1080"/>
      <c r="OLM482" s="1080"/>
      <c r="OLN482" s="1080"/>
      <c r="OLO482" s="1080"/>
      <c r="OLP482" s="1080"/>
      <c r="OLQ482" s="1080"/>
      <c r="OLR482" s="1080"/>
      <c r="OLS482" s="1080"/>
      <c r="OLT482" s="1080"/>
      <c r="OLU482" s="1080"/>
      <c r="OLV482" s="1080"/>
      <c r="OLW482" s="1080"/>
      <c r="OLX482" s="1080"/>
      <c r="OLY482" s="1080"/>
      <c r="OLZ482" s="1080"/>
      <c r="OMA482" s="1080"/>
      <c r="OMB482" s="1080"/>
      <c r="OMC482" s="1080"/>
      <c r="OMD482" s="1080"/>
      <c r="OME482" s="1080"/>
      <c r="OMF482" s="1080"/>
      <c r="OMG482" s="1080"/>
      <c r="OMH482" s="1080"/>
      <c r="OMI482" s="1080"/>
      <c r="OMJ482" s="1080"/>
      <c r="OMK482" s="1080"/>
      <c r="OML482" s="1080"/>
      <c r="OMM482" s="1080"/>
      <c r="OMN482" s="1080"/>
      <c r="OMO482" s="1080"/>
      <c r="OMP482" s="1080"/>
      <c r="OMQ482" s="1080"/>
      <c r="OMR482" s="1080"/>
      <c r="OMS482" s="1080"/>
      <c r="OMT482" s="1080"/>
      <c r="OMU482" s="1080"/>
      <c r="OMV482" s="1080"/>
      <c r="OMW482" s="1080"/>
      <c r="OMX482" s="1080"/>
      <c r="OMY482" s="1080"/>
      <c r="OMZ482" s="1080"/>
      <c r="ONA482" s="1080"/>
      <c r="ONB482" s="1080"/>
      <c r="ONC482" s="1080"/>
      <c r="OND482" s="1080"/>
      <c r="ONE482" s="1080"/>
      <c r="ONF482" s="1080"/>
      <c r="ONG482" s="1080"/>
      <c r="ONH482" s="1080"/>
      <c r="ONI482" s="1080"/>
      <c r="ONJ482" s="1080"/>
      <c r="ONK482" s="1080"/>
      <c r="ONL482" s="1080"/>
      <c r="ONM482" s="1080"/>
      <c r="ONN482" s="1080"/>
      <c r="ONO482" s="1080"/>
      <c r="ONP482" s="1080"/>
      <c r="ONQ482" s="1080"/>
      <c r="ONR482" s="1080"/>
      <c r="ONS482" s="1080"/>
      <c r="ONT482" s="1080"/>
      <c r="ONU482" s="1080"/>
      <c r="ONV482" s="1080"/>
      <c r="ONW482" s="1080"/>
      <c r="ONX482" s="1080"/>
      <c r="ONY482" s="1080"/>
      <c r="ONZ482" s="1080"/>
      <c r="OOA482" s="1080"/>
      <c r="OOB482" s="1080"/>
      <c r="OOC482" s="1080"/>
      <c r="OOD482" s="1080"/>
      <c r="OOE482" s="1080"/>
      <c r="OOF482" s="1080"/>
      <c r="OOG482" s="1080"/>
      <c r="OOH482" s="1080"/>
      <c r="OOI482" s="1080"/>
      <c r="OOJ482" s="1080"/>
      <c r="OOK482" s="1080"/>
      <c r="OOL482" s="1080"/>
      <c r="OOM482" s="1080"/>
      <c r="OON482" s="1080"/>
      <c r="OOO482" s="1080"/>
      <c r="OOP482" s="1080"/>
      <c r="OOQ482" s="1080"/>
      <c r="OOR482" s="1080"/>
      <c r="OOS482" s="1080"/>
      <c r="OOT482" s="1080"/>
      <c r="OOU482" s="1080"/>
      <c r="OOV482" s="1080"/>
      <c r="OOW482" s="1080"/>
      <c r="OOX482" s="1080"/>
      <c r="OOY482" s="1080"/>
      <c r="OOZ482" s="1080"/>
      <c r="OPA482" s="1080"/>
      <c r="OPB482" s="1080"/>
      <c r="OPC482" s="1080"/>
      <c r="OPD482" s="1080"/>
      <c r="OPE482" s="1080"/>
      <c r="OPF482" s="1080"/>
      <c r="OPG482" s="1080"/>
      <c r="OPH482" s="1080"/>
      <c r="OPI482" s="1080"/>
      <c r="OPJ482" s="1080"/>
      <c r="OPK482" s="1080"/>
      <c r="OPL482" s="1080"/>
      <c r="OPM482" s="1080"/>
      <c r="OPN482" s="1080"/>
      <c r="OPO482" s="1080"/>
      <c r="OPP482" s="1080"/>
      <c r="OPQ482" s="1080"/>
      <c r="OPR482" s="1080"/>
      <c r="OPS482" s="1080"/>
      <c r="OPT482" s="1080"/>
      <c r="OPU482" s="1080"/>
      <c r="OPV482" s="1080"/>
      <c r="OPW482" s="1080"/>
      <c r="OPX482" s="1080"/>
      <c r="OPY482" s="1080"/>
      <c r="OPZ482" s="1080"/>
      <c r="OQA482" s="1080"/>
      <c r="OQB482" s="1080"/>
      <c r="OQC482" s="1080"/>
      <c r="OQD482" s="1080"/>
      <c r="OQE482" s="1080"/>
      <c r="OQF482" s="1080"/>
      <c r="OQG482" s="1080"/>
      <c r="OQH482" s="1080"/>
      <c r="OQI482" s="1080"/>
      <c r="OQJ482" s="1080"/>
      <c r="OQK482" s="1080"/>
      <c r="OQL482" s="1080"/>
      <c r="OQM482" s="1080"/>
      <c r="OQN482" s="1080"/>
      <c r="OQO482" s="1080"/>
      <c r="OQP482" s="1080"/>
      <c r="OQQ482" s="1080"/>
      <c r="OQR482" s="1080"/>
      <c r="OQS482" s="1080"/>
      <c r="OQT482" s="1080"/>
      <c r="OQU482" s="1080"/>
      <c r="OQV482" s="1080"/>
      <c r="OQW482" s="1080"/>
      <c r="OQX482" s="1080"/>
      <c r="OQY482" s="1080"/>
      <c r="OQZ482" s="1080"/>
      <c r="ORA482" s="1080"/>
      <c r="ORB482" s="1080"/>
      <c r="ORC482" s="1080"/>
      <c r="ORD482" s="1080"/>
      <c r="ORE482" s="1080"/>
      <c r="ORF482" s="1080"/>
      <c r="ORG482" s="1080"/>
      <c r="ORH482" s="1080"/>
      <c r="ORI482" s="1080"/>
      <c r="ORJ482" s="1080"/>
      <c r="ORK482" s="1080"/>
      <c r="ORL482" s="1080"/>
      <c r="ORM482" s="1080"/>
      <c r="ORN482" s="1080"/>
      <c r="ORO482" s="1080"/>
      <c r="ORP482" s="1080"/>
      <c r="ORQ482" s="1080"/>
      <c r="ORR482" s="1080"/>
      <c r="ORS482" s="1080"/>
      <c r="ORT482" s="1080"/>
      <c r="ORU482" s="1080"/>
      <c r="ORV482" s="1080"/>
      <c r="ORW482" s="1080"/>
      <c r="ORX482" s="1080"/>
      <c r="ORY482" s="1080"/>
      <c r="ORZ482" s="1080"/>
      <c r="OSA482" s="1080"/>
      <c r="OSB482" s="1080"/>
      <c r="OSC482" s="1080"/>
      <c r="OSD482" s="1080"/>
      <c r="OSE482" s="1080"/>
      <c r="OSF482" s="1080"/>
      <c r="OSG482" s="1080"/>
      <c r="OSH482" s="1080"/>
      <c r="OSI482" s="1080"/>
      <c r="OSJ482" s="1080"/>
      <c r="OSK482" s="1080"/>
      <c r="OSL482" s="1080"/>
      <c r="OSM482" s="1080"/>
      <c r="OSN482" s="1080"/>
      <c r="OSO482" s="1080"/>
      <c r="OSP482" s="1080"/>
      <c r="OSQ482" s="1080"/>
      <c r="OSR482" s="1080"/>
      <c r="OSS482" s="1080"/>
      <c r="OST482" s="1080"/>
      <c r="OSU482" s="1080"/>
      <c r="OSV482" s="1080"/>
      <c r="OSW482" s="1080"/>
      <c r="OSX482" s="1080"/>
      <c r="OSY482" s="1080"/>
      <c r="OSZ482" s="1080"/>
      <c r="OTA482" s="1080"/>
      <c r="OTB482" s="1080"/>
      <c r="OTC482" s="1080"/>
      <c r="OTD482" s="1080"/>
      <c r="OTE482" s="1080"/>
      <c r="OTF482" s="1080"/>
      <c r="OTG482" s="1080"/>
      <c r="OTH482" s="1080"/>
      <c r="OTI482" s="1080"/>
      <c r="OTJ482" s="1080"/>
      <c r="OTK482" s="1080"/>
      <c r="OTL482" s="1080"/>
      <c r="OTM482" s="1080"/>
      <c r="OTN482" s="1080"/>
      <c r="OTO482" s="1080"/>
      <c r="OTP482" s="1080"/>
      <c r="OTQ482" s="1080"/>
      <c r="OTR482" s="1080"/>
      <c r="OTS482" s="1080"/>
      <c r="OTT482" s="1080"/>
      <c r="OTU482" s="1080"/>
      <c r="OTV482" s="1080"/>
      <c r="OTW482" s="1080"/>
      <c r="OTX482" s="1080"/>
      <c r="OTY482" s="1080"/>
      <c r="OTZ482" s="1080"/>
      <c r="OUA482" s="1080"/>
      <c r="OUB482" s="1080"/>
      <c r="OUC482" s="1080"/>
      <c r="OUD482" s="1080"/>
      <c r="OUE482" s="1080"/>
      <c r="OUF482" s="1080"/>
      <c r="OUG482" s="1080"/>
      <c r="OUH482" s="1080"/>
      <c r="OUI482" s="1080"/>
      <c r="OUJ482" s="1080"/>
      <c r="OUK482" s="1080"/>
      <c r="OUL482" s="1080"/>
      <c r="OUM482" s="1080"/>
      <c r="OUN482" s="1080"/>
      <c r="OUO482" s="1080"/>
      <c r="OUP482" s="1080"/>
      <c r="OUQ482" s="1080"/>
      <c r="OUR482" s="1080"/>
      <c r="OUS482" s="1080"/>
      <c r="OUT482" s="1080"/>
      <c r="OUU482" s="1080"/>
      <c r="OUV482" s="1080"/>
      <c r="OUW482" s="1080"/>
      <c r="OUX482" s="1080"/>
      <c r="OUY482" s="1080"/>
      <c r="OUZ482" s="1080"/>
      <c r="OVA482" s="1080"/>
      <c r="OVB482" s="1080"/>
      <c r="OVC482" s="1080"/>
      <c r="OVD482" s="1080"/>
      <c r="OVE482" s="1080"/>
      <c r="OVF482" s="1080"/>
      <c r="OVG482" s="1080"/>
      <c r="OVH482" s="1080"/>
      <c r="OVI482" s="1080"/>
      <c r="OVJ482" s="1080"/>
      <c r="OVK482" s="1080"/>
      <c r="OVL482" s="1080"/>
      <c r="OVM482" s="1080"/>
      <c r="OVN482" s="1080"/>
      <c r="OVO482" s="1080"/>
      <c r="OVP482" s="1080"/>
      <c r="OVQ482" s="1080"/>
      <c r="OVR482" s="1080"/>
      <c r="OVS482" s="1080"/>
      <c r="OVT482" s="1080"/>
      <c r="OVU482" s="1080"/>
      <c r="OVV482" s="1080"/>
      <c r="OVW482" s="1080"/>
      <c r="OVX482" s="1080"/>
      <c r="OVY482" s="1080"/>
      <c r="OVZ482" s="1080"/>
      <c r="OWA482" s="1080"/>
      <c r="OWB482" s="1080"/>
      <c r="OWC482" s="1080"/>
      <c r="OWD482" s="1080"/>
      <c r="OWE482" s="1080"/>
      <c r="OWF482" s="1080"/>
      <c r="OWG482" s="1080"/>
      <c r="OWH482" s="1080"/>
      <c r="OWI482" s="1080"/>
      <c r="OWJ482" s="1080"/>
      <c r="OWK482" s="1080"/>
      <c r="OWL482" s="1080"/>
      <c r="OWM482" s="1080"/>
      <c r="OWN482" s="1080"/>
      <c r="OWO482" s="1080"/>
      <c r="OWP482" s="1080"/>
      <c r="OWQ482" s="1080"/>
      <c r="OWR482" s="1080"/>
      <c r="OWS482" s="1080"/>
      <c r="OWT482" s="1080"/>
      <c r="OWU482" s="1080"/>
      <c r="OWV482" s="1080"/>
      <c r="OWW482" s="1080"/>
      <c r="OWX482" s="1080"/>
      <c r="OWY482" s="1080"/>
      <c r="OWZ482" s="1080"/>
      <c r="OXA482" s="1080"/>
      <c r="OXB482" s="1080"/>
      <c r="OXC482" s="1080"/>
      <c r="OXD482" s="1080"/>
      <c r="OXE482" s="1080"/>
      <c r="OXF482" s="1080"/>
      <c r="OXG482" s="1080"/>
      <c r="OXH482" s="1080"/>
      <c r="OXI482" s="1080"/>
      <c r="OXJ482" s="1080"/>
      <c r="OXK482" s="1080"/>
      <c r="OXL482" s="1080"/>
      <c r="OXM482" s="1080"/>
      <c r="OXN482" s="1080"/>
      <c r="OXO482" s="1080"/>
      <c r="OXP482" s="1080"/>
      <c r="OXQ482" s="1080"/>
      <c r="OXR482" s="1080"/>
      <c r="OXS482" s="1080"/>
      <c r="OXT482" s="1080"/>
      <c r="OXU482" s="1080"/>
      <c r="OXV482" s="1080"/>
      <c r="OXW482" s="1080"/>
      <c r="OXX482" s="1080"/>
      <c r="OXY482" s="1080"/>
      <c r="OXZ482" s="1080"/>
      <c r="OYA482" s="1080"/>
      <c r="OYB482" s="1080"/>
      <c r="OYC482" s="1080"/>
      <c r="OYD482" s="1080"/>
      <c r="OYE482" s="1080"/>
      <c r="OYF482" s="1080"/>
      <c r="OYG482" s="1080"/>
      <c r="OYH482" s="1080"/>
      <c r="OYI482" s="1080"/>
      <c r="OYJ482" s="1080"/>
      <c r="OYK482" s="1080"/>
      <c r="OYL482" s="1080"/>
      <c r="OYM482" s="1080"/>
      <c r="OYN482" s="1080"/>
      <c r="OYO482" s="1080"/>
      <c r="OYP482" s="1080"/>
      <c r="OYQ482" s="1080"/>
      <c r="OYR482" s="1080"/>
      <c r="OYS482" s="1080"/>
      <c r="OYT482" s="1080"/>
      <c r="OYU482" s="1080"/>
      <c r="OYV482" s="1080"/>
      <c r="OYW482" s="1080"/>
      <c r="OYX482" s="1080"/>
      <c r="OYY482" s="1080"/>
      <c r="OYZ482" s="1080"/>
      <c r="OZA482" s="1080"/>
      <c r="OZB482" s="1080"/>
      <c r="OZC482" s="1080"/>
      <c r="OZD482" s="1080"/>
      <c r="OZE482" s="1080"/>
      <c r="OZF482" s="1080"/>
      <c r="OZG482" s="1080"/>
      <c r="OZH482" s="1080"/>
      <c r="OZI482" s="1080"/>
      <c r="OZJ482" s="1080"/>
      <c r="OZK482" s="1080"/>
      <c r="OZL482" s="1080"/>
      <c r="OZM482" s="1080"/>
      <c r="OZN482" s="1080"/>
      <c r="OZO482" s="1080"/>
      <c r="OZP482" s="1080"/>
      <c r="OZQ482" s="1080"/>
      <c r="OZR482" s="1080"/>
      <c r="OZS482" s="1080"/>
      <c r="OZT482" s="1080"/>
      <c r="OZU482" s="1080"/>
      <c r="OZV482" s="1080"/>
      <c r="OZW482" s="1080"/>
      <c r="OZX482" s="1080"/>
      <c r="OZY482" s="1080"/>
      <c r="OZZ482" s="1080"/>
      <c r="PAA482" s="1080"/>
      <c r="PAB482" s="1080"/>
      <c r="PAC482" s="1080"/>
      <c r="PAD482" s="1080"/>
      <c r="PAE482" s="1080"/>
      <c r="PAF482" s="1080"/>
      <c r="PAG482" s="1080"/>
      <c r="PAH482" s="1080"/>
      <c r="PAI482" s="1080"/>
      <c r="PAJ482" s="1080"/>
      <c r="PAK482" s="1080"/>
      <c r="PAL482" s="1080"/>
      <c r="PAM482" s="1080"/>
      <c r="PAN482" s="1080"/>
      <c r="PAO482" s="1080"/>
      <c r="PAP482" s="1080"/>
      <c r="PAQ482" s="1080"/>
      <c r="PAR482" s="1080"/>
      <c r="PAS482" s="1080"/>
      <c r="PAT482" s="1080"/>
      <c r="PAU482" s="1080"/>
      <c r="PAV482" s="1080"/>
      <c r="PAW482" s="1080"/>
      <c r="PAX482" s="1080"/>
      <c r="PAY482" s="1080"/>
      <c r="PAZ482" s="1080"/>
      <c r="PBA482" s="1080"/>
      <c r="PBB482" s="1080"/>
      <c r="PBC482" s="1080"/>
      <c r="PBD482" s="1080"/>
      <c r="PBE482" s="1080"/>
      <c r="PBF482" s="1080"/>
      <c r="PBG482" s="1080"/>
      <c r="PBH482" s="1080"/>
      <c r="PBI482" s="1080"/>
      <c r="PBJ482" s="1080"/>
      <c r="PBK482" s="1080"/>
      <c r="PBL482" s="1080"/>
      <c r="PBM482" s="1080"/>
      <c r="PBN482" s="1080"/>
      <c r="PBO482" s="1080"/>
      <c r="PBP482" s="1080"/>
      <c r="PBQ482" s="1080"/>
      <c r="PBR482" s="1080"/>
      <c r="PBS482" s="1080"/>
      <c r="PBT482" s="1080"/>
      <c r="PBU482" s="1080"/>
      <c r="PBV482" s="1080"/>
      <c r="PBW482" s="1080"/>
      <c r="PBX482" s="1080"/>
      <c r="PBY482" s="1080"/>
      <c r="PBZ482" s="1080"/>
      <c r="PCA482" s="1080"/>
      <c r="PCB482" s="1080"/>
      <c r="PCC482" s="1080"/>
      <c r="PCD482" s="1080"/>
      <c r="PCE482" s="1080"/>
      <c r="PCF482" s="1080"/>
      <c r="PCG482" s="1080"/>
      <c r="PCH482" s="1080"/>
      <c r="PCI482" s="1080"/>
      <c r="PCJ482" s="1080"/>
      <c r="PCK482" s="1080"/>
      <c r="PCL482" s="1080"/>
      <c r="PCM482" s="1080"/>
      <c r="PCN482" s="1080"/>
      <c r="PCO482" s="1080"/>
      <c r="PCP482" s="1080"/>
      <c r="PCQ482" s="1080"/>
      <c r="PCR482" s="1080"/>
      <c r="PCS482" s="1080"/>
      <c r="PCT482" s="1080"/>
      <c r="PCU482" s="1080"/>
      <c r="PCV482" s="1080"/>
      <c r="PCW482" s="1080"/>
      <c r="PCX482" s="1080"/>
      <c r="PCY482" s="1080"/>
      <c r="PCZ482" s="1080"/>
      <c r="PDA482" s="1080"/>
      <c r="PDB482" s="1080"/>
      <c r="PDC482" s="1080"/>
      <c r="PDD482" s="1080"/>
      <c r="PDE482" s="1080"/>
      <c r="PDF482" s="1080"/>
      <c r="PDG482" s="1080"/>
      <c r="PDH482" s="1080"/>
      <c r="PDI482" s="1080"/>
      <c r="PDJ482" s="1080"/>
      <c r="PDK482" s="1080"/>
      <c r="PDL482" s="1080"/>
      <c r="PDM482" s="1080"/>
      <c r="PDN482" s="1080"/>
      <c r="PDO482" s="1080"/>
      <c r="PDP482" s="1080"/>
      <c r="PDQ482" s="1080"/>
      <c r="PDR482" s="1080"/>
      <c r="PDS482" s="1080"/>
      <c r="PDT482" s="1080"/>
      <c r="PDU482" s="1080"/>
      <c r="PDV482" s="1080"/>
      <c r="PDW482" s="1080"/>
      <c r="PDX482" s="1080"/>
      <c r="PDY482" s="1080"/>
      <c r="PDZ482" s="1080"/>
      <c r="PEA482" s="1080"/>
      <c r="PEB482" s="1080"/>
      <c r="PEC482" s="1080"/>
      <c r="PED482" s="1080"/>
      <c r="PEE482" s="1080"/>
      <c r="PEF482" s="1080"/>
      <c r="PEG482" s="1080"/>
      <c r="PEH482" s="1080"/>
      <c r="PEI482" s="1080"/>
      <c r="PEJ482" s="1080"/>
      <c r="PEK482" s="1080"/>
      <c r="PEL482" s="1080"/>
      <c r="PEM482" s="1080"/>
      <c r="PEN482" s="1080"/>
      <c r="PEO482" s="1080"/>
      <c r="PEP482" s="1080"/>
      <c r="PEQ482" s="1080"/>
      <c r="PER482" s="1080"/>
      <c r="PES482" s="1080"/>
      <c r="PET482" s="1080"/>
      <c r="PEU482" s="1080"/>
      <c r="PEV482" s="1080"/>
      <c r="PEW482" s="1080"/>
      <c r="PEX482" s="1080"/>
      <c r="PEY482" s="1080"/>
      <c r="PEZ482" s="1080"/>
      <c r="PFA482" s="1080"/>
      <c r="PFB482" s="1080"/>
      <c r="PFC482" s="1080"/>
      <c r="PFD482" s="1080"/>
      <c r="PFE482" s="1080"/>
      <c r="PFF482" s="1080"/>
      <c r="PFG482" s="1080"/>
      <c r="PFH482" s="1080"/>
      <c r="PFI482" s="1080"/>
      <c r="PFJ482" s="1080"/>
      <c r="PFK482" s="1080"/>
      <c r="PFL482" s="1080"/>
      <c r="PFM482" s="1080"/>
      <c r="PFN482" s="1080"/>
      <c r="PFO482" s="1080"/>
      <c r="PFP482" s="1080"/>
      <c r="PFQ482" s="1080"/>
      <c r="PFR482" s="1080"/>
      <c r="PFS482" s="1080"/>
      <c r="PFT482" s="1080"/>
      <c r="PFU482" s="1080"/>
      <c r="PFV482" s="1080"/>
      <c r="PFW482" s="1080"/>
      <c r="PFX482" s="1080"/>
      <c r="PFY482" s="1080"/>
      <c r="PFZ482" s="1080"/>
      <c r="PGA482" s="1080"/>
      <c r="PGB482" s="1080"/>
      <c r="PGC482" s="1080"/>
      <c r="PGD482" s="1080"/>
      <c r="PGE482" s="1080"/>
      <c r="PGF482" s="1080"/>
      <c r="PGG482" s="1080"/>
      <c r="PGH482" s="1080"/>
      <c r="PGI482" s="1080"/>
      <c r="PGJ482" s="1080"/>
      <c r="PGK482" s="1080"/>
      <c r="PGL482" s="1080"/>
      <c r="PGM482" s="1080"/>
      <c r="PGN482" s="1080"/>
      <c r="PGO482" s="1080"/>
      <c r="PGP482" s="1080"/>
      <c r="PGQ482" s="1080"/>
      <c r="PGR482" s="1080"/>
      <c r="PGS482" s="1080"/>
      <c r="PGT482" s="1080"/>
      <c r="PGU482" s="1080"/>
      <c r="PGV482" s="1080"/>
      <c r="PGW482" s="1080"/>
      <c r="PGX482" s="1080"/>
      <c r="PGY482" s="1080"/>
      <c r="PGZ482" s="1080"/>
      <c r="PHA482" s="1080"/>
      <c r="PHB482" s="1080"/>
      <c r="PHC482" s="1080"/>
      <c r="PHD482" s="1080"/>
      <c r="PHE482" s="1080"/>
      <c r="PHF482" s="1080"/>
      <c r="PHG482" s="1080"/>
      <c r="PHH482" s="1080"/>
      <c r="PHI482" s="1080"/>
      <c r="PHJ482" s="1080"/>
      <c r="PHK482" s="1080"/>
      <c r="PHL482" s="1080"/>
      <c r="PHM482" s="1080"/>
      <c r="PHN482" s="1080"/>
      <c r="PHO482" s="1080"/>
      <c r="PHP482" s="1080"/>
      <c r="PHQ482" s="1080"/>
      <c r="PHR482" s="1080"/>
      <c r="PHS482" s="1080"/>
      <c r="PHT482" s="1080"/>
      <c r="PHU482" s="1080"/>
      <c r="PHV482" s="1080"/>
      <c r="PHW482" s="1080"/>
      <c r="PHX482" s="1080"/>
      <c r="PHY482" s="1080"/>
      <c r="PHZ482" s="1080"/>
      <c r="PIA482" s="1080"/>
      <c r="PIB482" s="1080"/>
      <c r="PIC482" s="1080"/>
      <c r="PID482" s="1080"/>
      <c r="PIE482" s="1080"/>
      <c r="PIF482" s="1080"/>
      <c r="PIG482" s="1080"/>
      <c r="PIH482" s="1080"/>
      <c r="PII482" s="1080"/>
      <c r="PIJ482" s="1080"/>
      <c r="PIK482" s="1080"/>
      <c r="PIL482" s="1080"/>
      <c r="PIM482" s="1080"/>
      <c r="PIN482" s="1080"/>
      <c r="PIO482" s="1080"/>
      <c r="PIP482" s="1080"/>
      <c r="PIQ482" s="1080"/>
      <c r="PIR482" s="1080"/>
      <c r="PIS482" s="1080"/>
      <c r="PIT482" s="1080"/>
      <c r="PIU482" s="1080"/>
      <c r="PIV482" s="1080"/>
      <c r="PIW482" s="1080"/>
      <c r="PIX482" s="1080"/>
      <c r="PIY482" s="1080"/>
      <c r="PIZ482" s="1080"/>
      <c r="PJA482" s="1080"/>
      <c r="PJB482" s="1080"/>
      <c r="PJC482" s="1080"/>
      <c r="PJD482" s="1080"/>
      <c r="PJE482" s="1080"/>
      <c r="PJF482" s="1080"/>
      <c r="PJG482" s="1080"/>
      <c r="PJH482" s="1080"/>
      <c r="PJI482" s="1080"/>
      <c r="PJJ482" s="1080"/>
      <c r="PJK482" s="1080"/>
      <c r="PJL482" s="1080"/>
      <c r="PJM482" s="1080"/>
      <c r="PJN482" s="1080"/>
      <c r="PJO482" s="1080"/>
      <c r="PJP482" s="1080"/>
      <c r="PJQ482" s="1080"/>
      <c r="PJR482" s="1080"/>
      <c r="PJS482" s="1080"/>
      <c r="PJT482" s="1080"/>
      <c r="PJU482" s="1080"/>
      <c r="PJV482" s="1080"/>
      <c r="PJW482" s="1080"/>
      <c r="PJX482" s="1080"/>
      <c r="PJY482" s="1080"/>
      <c r="PJZ482" s="1080"/>
      <c r="PKA482" s="1080"/>
      <c r="PKB482" s="1080"/>
      <c r="PKC482" s="1080"/>
      <c r="PKD482" s="1080"/>
      <c r="PKE482" s="1080"/>
      <c r="PKF482" s="1080"/>
      <c r="PKG482" s="1080"/>
      <c r="PKH482" s="1080"/>
      <c r="PKI482" s="1080"/>
      <c r="PKJ482" s="1080"/>
      <c r="PKK482" s="1080"/>
      <c r="PKL482" s="1080"/>
      <c r="PKM482" s="1080"/>
      <c r="PKN482" s="1080"/>
      <c r="PKO482" s="1080"/>
      <c r="PKP482" s="1080"/>
      <c r="PKQ482" s="1080"/>
      <c r="PKR482" s="1080"/>
      <c r="PKS482" s="1080"/>
      <c r="PKT482" s="1080"/>
      <c r="PKU482" s="1080"/>
      <c r="PKV482" s="1080"/>
      <c r="PKW482" s="1080"/>
      <c r="PKX482" s="1080"/>
      <c r="PKY482" s="1080"/>
      <c r="PKZ482" s="1080"/>
      <c r="PLA482" s="1080"/>
      <c r="PLB482" s="1080"/>
      <c r="PLC482" s="1080"/>
      <c r="PLD482" s="1080"/>
      <c r="PLE482" s="1080"/>
      <c r="PLF482" s="1080"/>
      <c r="PLG482" s="1080"/>
      <c r="PLH482" s="1080"/>
      <c r="PLI482" s="1080"/>
      <c r="PLJ482" s="1080"/>
      <c r="PLK482" s="1080"/>
      <c r="PLL482" s="1080"/>
      <c r="PLM482" s="1080"/>
      <c r="PLN482" s="1080"/>
      <c r="PLO482" s="1080"/>
      <c r="PLP482" s="1080"/>
      <c r="PLQ482" s="1080"/>
      <c r="PLR482" s="1080"/>
      <c r="PLS482" s="1080"/>
      <c r="PLT482" s="1080"/>
      <c r="PLU482" s="1080"/>
      <c r="PLV482" s="1080"/>
      <c r="PLW482" s="1080"/>
      <c r="PLX482" s="1080"/>
      <c r="PLY482" s="1080"/>
      <c r="PLZ482" s="1080"/>
      <c r="PMA482" s="1080"/>
      <c r="PMB482" s="1080"/>
      <c r="PMC482" s="1080"/>
      <c r="PMD482" s="1080"/>
      <c r="PME482" s="1080"/>
      <c r="PMF482" s="1080"/>
      <c r="PMG482" s="1080"/>
      <c r="PMH482" s="1080"/>
      <c r="PMI482" s="1080"/>
      <c r="PMJ482" s="1080"/>
      <c r="PMK482" s="1080"/>
      <c r="PML482" s="1080"/>
      <c r="PMM482" s="1080"/>
      <c r="PMN482" s="1080"/>
      <c r="PMO482" s="1080"/>
      <c r="PMP482" s="1080"/>
      <c r="PMQ482" s="1080"/>
      <c r="PMR482" s="1080"/>
      <c r="PMS482" s="1080"/>
      <c r="PMT482" s="1080"/>
      <c r="PMU482" s="1080"/>
      <c r="PMV482" s="1080"/>
      <c r="PMW482" s="1080"/>
      <c r="PMX482" s="1080"/>
      <c r="PMY482" s="1080"/>
      <c r="PMZ482" s="1080"/>
      <c r="PNA482" s="1080"/>
      <c r="PNB482" s="1080"/>
      <c r="PNC482" s="1080"/>
      <c r="PND482" s="1080"/>
      <c r="PNE482" s="1080"/>
      <c r="PNF482" s="1080"/>
      <c r="PNG482" s="1080"/>
      <c r="PNH482" s="1080"/>
      <c r="PNI482" s="1080"/>
      <c r="PNJ482" s="1080"/>
      <c r="PNK482" s="1080"/>
      <c r="PNL482" s="1080"/>
      <c r="PNM482" s="1080"/>
      <c r="PNN482" s="1080"/>
      <c r="PNO482" s="1080"/>
      <c r="PNP482" s="1080"/>
      <c r="PNQ482" s="1080"/>
      <c r="PNR482" s="1080"/>
      <c r="PNS482" s="1080"/>
      <c r="PNT482" s="1080"/>
      <c r="PNU482" s="1080"/>
      <c r="PNV482" s="1080"/>
      <c r="PNW482" s="1080"/>
      <c r="PNX482" s="1080"/>
      <c r="PNY482" s="1080"/>
      <c r="PNZ482" s="1080"/>
      <c r="POA482" s="1080"/>
      <c r="POB482" s="1080"/>
      <c r="POC482" s="1080"/>
      <c r="POD482" s="1080"/>
      <c r="POE482" s="1080"/>
      <c r="POF482" s="1080"/>
      <c r="POG482" s="1080"/>
      <c r="POH482" s="1080"/>
      <c r="POI482" s="1080"/>
      <c r="POJ482" s="1080"/>
      <c r="POK482" s="1080"/>
      <c r="POL482" s="1080"/>
      <c r="POM482" s="1080"/>
      <c r="PON482" s="1080"/>
      <c r="POO482" s="1080"/>
      <c r="POP482" s="1080"/>
      <c r="POQ482" s="1080"/>
      <c r="POR482" s="1080"/>
      <c r="POS482" s="1080"/>
      <c r="POT482" s="1080"/>
      <c r="POU482" s="1080"/>
      <c r="POV482" s="1080"/>
      <c r="POW482" s="1080"/>
      <c r="POX482" s="1080"/>
      <c r="POY482" s="1080"/>
      <c r="POZ482" s="1080"/>
      <c r="PPA482" s="1080"/>
      <c r="PPB482" s="1080"/>
      <c r="PPC482" s="1080"/>
      <c r="PPD482" s="1080"/>
      <c r="PPE482" s="1080"/>
      <c r="PPF482" s="1080"/>
      <c r="PPG482" s="1080"/>
      <c r="PPH482" s="1080"/>
      <c r="PPI482" s="1080"/>
      <c r="PPJ482" s="1080"/>
      <c r="PPK482" s="1080"/>
      <c r="PPL482" s="1080"/>
      <c r="PPM482" s="1080"/>
      <c r="PPN482" s="1080"/>
      <c r="PPO482" s="1080"/>
      <c r="PPP482" s="1080"/>
      <c r="PPQ482" s="1080"/>
      <c r="PPR482" s="1080"/>
      <c r="PPS482" s="1080"/>
      <c r="PPT482" s="1080"/>
      <c r="PPU482" s="1080"/>
      <c r="PPV482" s="1080"/>
      <c r="PPW482" s="1080"/>
      <c r="PPX482" s="1080"/>
      <c r="PPY482" s="1080"/>
      <c r="PPZ482" s="1080"/>
      <c r="PQA482" s="1080"/>
      <c r="PQB482" s="1080"/>
      <c r="PQC482" s="1080"/>
      <c r="PQD482" s="1080"/>
      <c r="PQE482" s="1080"/>
      <c r="PQF482" s="1080"/>
      <c r="PQG482" s="1080"/>
      <c r="PQH482" s="1080"/>
      <c r="PQI482" s="1080"/>
      <c r="PQJ482" s="1080"/>
      <c r="PQK482" s="1080"/>
      <c r="PQL482" s="1080"/>
      <c r="PQM482" s="1080"/>
      <c r="PQN482" s="1080"/>
      <c r="PQO482" s="1080"/>
      <c r="PQP482" s="1080"/>
      <c r="PQQ482" s="1080"/>
      <c r="PQR482" s="1080"/>
      <c r="PQS482" s="1080"/>
      <c r="PQT482" s="1080"/>
      <c r="PQU482" s="1080"/>
      <c r="PQV482" s="1080"/>
      <c r="PQW482" s="1080"/>
      <c r="PQX482" s="1080"/>
      <c r="PQY482" s="1080"/>
      <c r="PQZ482" s="1080"/>
      <c r="PRA482" s="1080"/>
      <c r="PRB482" s="1080"/>
      <c r="PRC482" s="1080"/>
      <c r="PRD482" s="1080"/>
      <c r="PRE482" s="1080"/>
      <c r="PRF482" s="1080"/>
      <c r="PRG482" s="1080"/>
      <c r="PRH482" s="1080"/>
      <c r="PRI482" s="1080"/>
      <c r="PRJ482" s="1080"/>
      <c r="PRK482" s="1080"/>
      <c r="PRL482" s="1080"/>
      <c r="PRM482" s="1080"/>
      <c r="PRN482" s="1080"/>
      <c r="PRO482" s="1080"/>
      <c r="PRP482" s="1080"/>
      <c r="PRQ482" s="1080"/>
      <c r="PRR482" s="1080"/>
      <c r="PRS482" s="1080"/>
      <c r="PRT482" s="1080"/>
      <c r="PRU482" s="1080"/>
      <c r="PRV482" s="1080"/>
      <c r="PRW482" s="1080"/>
      <c r="PRX482" s="1080"/>
      <c r="PRY482" s="1080"/>
      <c r="PRZ482" s="1080"/>
      <c r="PSA482" s="1080"/>
      <c r="PSB482" s="1080"/>
      <c r="PSC482" s="1080"/>
      <c r="PSD482" s="1080"/>
      <c r="PSE482" s="1080"/>
      <c r="PSF482" s="1080"/>
      <c r="PSG482" s="1080"/>
      <c r="PSH482" s="1080"/>
      <c r="PSI482" s="1080"/>
      <c r="PSJ482" s="1080"/>
      <c r="PSK482" s="1080"/>
      <c r="PSL482" s="1080"/>
      <c r="PSM482" s="1080"/>
      <c r="PSN482" s="1080"/>
      <c r="PSO482" s="1080"/>
      <c r="PSP482" s="1080"/>
      <c r="PSQ482" s="1080"/>
      <c r="PSR482" s="1080"/>
      <c r="PSS482" s="1080"/>
      <c r="PST482" s="1080"/>
      <c r="PSU482" s="1080"/>
      <c r="PSV482" s="1080"/>
      <c r="PSW482" s="1080"/>
      <c r="PSX482" s="1080"/>
      <c r="PSY482" s="1080"/>
      <c r="PSZ482" s="1080"/>
      <c r="PTA482" s="1080"/>
      <c r="PTB482" s="1080"/>
      <c r="PTC482" s="1080"/>
      <c r="PTD482" s="1080"/>
      <c r="PTE482" s="1080"/>
      <c r="PTF482" s="1080"/>
      <c r="PTG482" s="1080"/>
      <c r="PTH482" s="1080"/>
      <c r="PTI482" s="1080"/>
      <c r="PTJ482" s="1080"/>
      <c r="PTK482" s="1080"/>
      <c r="PTL482" s="1080"/>
      <c r="PTM482" s="1080"/>
      <c r="PTN482" s="1080"/>
      <c r="PTO482" s="1080"/>
      <c r="PTP482" s="1080"/>
      <c r="PTQ482" s="1080"/>
      <c r="PTR482" s="1080"/>
      <c r="PTS482" s="1080"/>
      <c r="PTT482" s="1080"/>
      <c r="PTU482" s="1080"/>
      <c r="PTV482" s="1080"/>
      <c r="PTW482" s="1080"/>
      <c r="PTX482" s="1080"/>
      <c r="PTY482" s="1080"/>
      <c r="PTZ482" s="1080"/>
      <c r="PUA482" s="1080"/>
      <c r="PUB482" s="1080"/>
      <c r="PUC482" s="1080"/>
      <c r="PUD482" s="1080"/>
      <c r="PUE482" s="1080"/>
      <c r="PUF482" s="1080"/>
      <c r="PUG482" s="1080"/>
      <c r="PUH482" s="1080"/>
      <c r="PUI482" s="1080"/>
      <c r="PUJ482" s="1080"/>
      <c r="PUK482" s="1080"/>
      <c r="PUL482" s="1080"/>
      <c r="PUM482" s="1080"/>
      <c r="PUN482" s="1080"/>
      <c r="PUO482" s="1080"/>
      <c r="PUP482" s="1080"/>
      <c r="PUQ482" s="1080"/>
      <c r="PUR482" s="1080"/>
      <c r="PUS482" s="1080"/>
      <c r="PUT482" s="1080"/>
      <c r="PUU482" s="1080"/>
      <c r="PUV482" s="1080"/>
      <c r="PUW482" s="1080"/>
      <c r="PUX482" s="1080"/>
      <c r="PUY482" s="1080"/>
      <c r="PUZ482" s="1080"/>
      <c r="PVA482" s="1080"/>
      <c r="PVB482" s="1080"/>
      <c r="PVC482" s="1080"/>
      <c r="PVD482" s="1080"/>
      <c r="PVE482" s="1080"/>
      <c r="PVF482" s="1080"/>
      <c r="PVG482" s="1080"/>
      <c r="PVH482" s="1080"/>
      <c r="PVI482" s="1080"/>
      <c r="PVJ482" s="1080"/>
      <c r="PVK482" s="1080"/>
      <c r="PVL482" s="1080"/>
      <c r="PVM482" s="1080"/>
      <c r="PVN482" s="1080"/>
      <c r="PVO482" s="1080"/>
      <c r="PVP482" s="1080"/>
      <c r="PVQ482" s="1080"/>
      <c r="PVR482" s="1080"/>
      <c r="PVS482" s="1080"/>
      <c r="PVT482" s="1080"/>
      <c r="PVU482" s="1080"/>
      <c r="PVV482" s="1080"/>
      <c r="PVW482" s="1080"/>
      <c r="PVX482" s="1080"/>
      <c r="PVY482" s="1080"/>
      <c r="PVZ482" s="1080"/>
      <c r="PWA482" s="1080"/>
      <c r="PWB482" s="1080"/>
      <c r="PWC482" s="1080"/>
      <c r="PWD482" s="1080"/>
      <c r="PWE482" s="1080"/>
      <c r="PWF482" s="1080"/>
      <c r="PWG482" s="1080"/>
      <c r="PWH482" s="1080"/>
      <c r="PWI482" s="1080"/>
      <c r="PWJ482" s="1080"/>
      <c r="PWK482" s="1080"/>
      <c r="PWL482" s="1080"/>
      <c r="PWM482" s="1080"/>
      <c r="PWN482" s="1080"/>
      <c r="PWO482" s="1080"/>
      <c r="PWP482" s="1080"/>
      <c r="PWQ482" s="1080"/>
      <c r="PWR482" s="1080"/>
      <c r="PWS482" s="1080"/>
      <c r="PWT482" s="1080"/>
      <c r="PWU482" s="1080"/>
      <c r="PWV482" s="1080"/>
      <c r="PWW482" s="1080"/>
      <c r="PWX482" s="1080"/>
      <c r="PWY482" s="1080"/>
      <c r="PWZ482" s="1080"/>
      <c r="PXA482" s="1080"/>
      <c r="PXB482" s="1080"/>
      <c r="PXC482" s="1080"/>
      <c r="PXD482" s="1080"/>
      <c r="PXE482" s="1080"/>
      <c r="PXF482" s="1080"/>
      <c r="PXG482" s="1080"/>
      <c r="PXH482" s="1080"/>
      <c r="PXI482" s="1080"/>
      <c r="PXJ482" s="1080"/>
      <c r="PXK482" s="1080"/>
      <c r="PXL482" s="1080"/>
      <c r="PXM482" s="1080"/>
      <c r="PXN482" s="1080"/>
      <c r="PXO482" s="1080"/>
      <c r="PXP482" s="1080"/>
      <c r="PXQ482" s="1080"/>
      <c r="PXR482" s="1080"/>
      <c r="PXS482" s="1080"/>
      <c r="PXT482" s="1080"/>
      <c r="PXU482" s="1080"/>
      <c r="PXV482" s="1080"/>
      <c r="PXW482" s="1080"/>
      <c r="PXX482" s="1080"/>
      <c r="PXY482" s="1080"/>
      <c r="PXZ482" s="1080"/>
      <c r="PYA482" s="1080"/>
      <c r="PYB482" s="1080"/>
      <c r="PYC482" s="1080"/>
      <c r="PYD482" s="1080"/>
      <c r="PYE482" s="1080"/>
      <c r="PYF482" s="1080"/>
      <c r="PYG482" s="1080"/>
      <c r="PYH482" s="1080"/>
      <c r="PYI482" s="1080"/>
      <c r="PYJ482" s="1080"/>
      <c r="PYK482" s="1080"/>
      <c r="PYL482" s="1080"/>
      <c r="PYM482" s="1080"/>
      <c r="PYN482" s="1080"/>
      <c r="PYO482" s="1080"/>
      <c r="PYP482" s="1080"/>
      <c r="PYQ482" s="1080"/>
      <c r="PYR482" s="1080"/>
      <c r="PYS482" s="1080"/>
      <c r="PYT482" s="1080"/>
      <c r="PYU482" s="1080"/>
      <c r="PYV482" s="1080"/>
      <c r="PYW482" s="1080"/>
      <c r="PYX482" s="1080"/>
      <c r="PYY482" s="1080"/>
      <c r="PYZ482" s="1080"/>
      <c r="PZA482" s="1080"/>
      <c r="PZB482" s="1080"/>
      <c r="PZC482" s="1080"/>
      <c r="PZD482" s="1080"/>
      <c r="PZE482" s="1080"/>
      <c r="PZF482" s="1080"/>
      <c r="PZG482" s="1080"/>
      <c r="PZH482" s="1080"/>
      <c r="PZI482" s="1080"/>
      <c r="PZJ482" s="1080"/>
      <c r="PZK482" s="1080"/>
      <c r="PZL482" s="1080"/>
      <c r="PZM482" s="1080"/>
      <c r="PZN482" s="1080"/>
      <c r="PZO482" s="1080"/>
      <c r="PZP482" s="1080"/>
      <c r="PZQ482" s="1080"/>
      <c r="PZR482" s="1080"/>
      <c r="PZS482" s="1080"/>
      <c r="PZT482" s="1080"/>
      <c r="PZU482" s="1080"/>
      <c r="PZV482" s="1080"/>
      <c r="PZW482" s="1080"/>
      <c r="PZX482" s="1080"/>
      <c r="PZY482" s="1080"/>
      <c r="PZZ482" s="1080"/>
      <c r="QAA482" s="1080"/>
      <c r="QAB482" s="1080"/>
      <c r="QAC482" s="1080"/>
      <c r="QAD482" s="1080"/>
      <c r="QAE482" s="1080"/>
      <c r="QAF482" s="1080"/>
      <c r="QAG482" s="1080"/>
      <c r="QAH482" s="1080"/>
      <c r="QAI482" s="1080"/>
      <c r="QAJ482" s="1080"/>
      <c r="QAK482" s="1080"/>
      <c r="QAL482" s="1080"/>
      <c r="QAM482" s="1080"/>
      <c r="QAN482" s="1080"/>
      <c r="QAO482" s="1080"/>
      <c r="QAP482" s="1080"/>
      <c r="QAQ482" s="1080"/>
      <c r="QAR482" s="1080"/>
      <c r="QAS482" s="1080"/>
      <c r="QAT482" s="1080"/>
      <c r="QAU482" s="1080"/>
      <c r="QAV482" s="1080"/>
      <c r="QAW482" s="1080"/>
      <c r="QAX482" s="1080"/>
      <c r="QAY482" s="1080"/>
      <c r="QAZ482" s="1080"/>
      <c r="QBA482" s="1080"/>
      <c r="QBB482" s="1080"/>
      <c r="QBC482" s="1080"/>
      <c r="QBD482" s="1080"/>
      <c r="QBE482" s="1080"/>
      <c r="QBF482" s="1080"/>
      <c r="QBG482" s="1080"/>
      <c r="QBH482" s="1080"/>
      <c r="QBI482" s="1080"/>
      <c r="QBJ482" s="1080"/>
      <c r="QBK482" s="1080"/>
      <c r="QBL482" s="1080"/>
      <c r="QBM482" s="1080"/>
      <c r="QBN482" s="1080"/>
      <c r="QBO482" s="1080"/>
      <c r="QBP482" s="1080"/>
      <c r="QBQ482" s="1080"/>
      <c r="QBR482" s="1080"/>
      <c r="QBS482" s="1080"/>
      <c r="QBT482" s="1080"/>
      <c r="QBU482" s="1080"/>
      <c r="QBV482" s="1080"/>
      <c r="QBW482" s="1080"/>
      <c r="QBX482" s="1080"/>
      <c r="QBY482" s="1080"/>
      <c r="QBZ482" s="1080"/>
      <c r="QCA482" s="1080"/>
      <c r="QCB482" s="1080"/>
      <c r="QCC482" s="1080"/>
      <c r="QCD482" s="1080"/>
      <c r="QCE482" s="1080"/>
      <c r="QCF482" s="1080"/>
      <c r="QCG482" s="1080"/>
      <c r="QCH482" s="1080"/>
      <c r="QCI482" s="1080"/>
      <c r="QCJ482" s="1080"/>
      <c r="QCK482" s="1080"/>
      <c r="QCL482" s="1080"/>
      <c r="QCM482" s="1080"/>
      <c r="QCN482" s="1080"/>
      <c r="QCO482" s="1080"/>
      <c r="QCP482" s="1080"/>
      <c r="QCQ482" s="1080"/>
      <c r="QCR482" s="1080"/>
      <c r="QCS482" s="1080"/>
      <c r="QCT482" s="1080"/>
      <c r="QCU482" s="1080"/>
      <c r="QCV482" s="1080"/>
      <c r="QCW482" s="1080"/>
      <c r="QCX482" s="1080"/>
      <c r="QCY482" s="1080"/>
      <c r="QCZ482" s="1080"/>
      <c r="QDA482" s="1080"/>
      <c r="QDB482" s="1080"/>
      <c r="QDC482" s="1080"/>
      <c r="QDD482" s="1080"/>
      <c r="QDE482" s="1080"/>
      <c r="QDF482" s="1080"/>
      <c r="QDG482" s="1080"/>
      <c r="QDH482" s="1080"/>
      <c r="QDI482" s="1080"/>
      <c r="QDJ482" s="1080"/>
      <c r="QDK482" s="1080"/>
      <c r="QDL482" s="1080"/>
      <c r="QDM482" s="1080"/>
      <c r="QDN482" s="1080"/>
      <c r="QDO482" s="1080"/>
      <c r="QDP482" s="1080"/>
      <c r="QDQ482" s="1080"/>
      <c r="QDR482" s="1080"/>
      <c r="QDS482" s="1080"/>
      <c r="QDT482" s="1080"/>
      <c r="QDU482" s="1080"/>
      <c r="QDV482" s="1080"/>
      <c r="QDW482" s="1080"/>
      <c r="QDX482" s="1080"/>
      <c r="QDY482" s="1080"/>
      <c r="QDZ482" s="1080"/>
      <c r="QEA482" s="1080"/>
      <c r="QEB482" s="1080"/>
      <c r="QEC482" s="1080"/>
      <c r="QED482" s="1080"/>
      <c r="QEE482" s="1080"/>
      <c r="QEF482" s="1080"/>
      <c r="QEG482" s="1080"/>
      <c r="QEH482" s="1080"/>
      <c r="QEI482" s="1080"/>
      <c r="QEJ482" s="1080"/>
      <c r="QEK482" s="1080"/>
      <c r="QEL482" s="1080"/>
      <c r="QEM482" s="1080"/>
      <c r="QEN482" s="1080"/>
      <c r="QEO482" s="1080"/>
      <c r="QEP482" s="1080"/>
      <c r="QEQ482" s="1080"/>
      <c r="QER482" s="1080"/>
      <c r="QES482" s="1080"/>
      <c r="QET482" s="1080"/>
      <c r="QEU482" s="1080"/>
      <c r="QEV482" s="1080"/>
      <c r="QEW482" s="1080"/>
      <c r="QEX482" s="1080"/>
      <c r="QEY482" s="1080"/>
      <c r="QEZ482" s="1080"/>
      <c r="QFA482" s="1080"/>
      <c r="QFB482" s="1080"/>
      <c r="QFC482" s="1080"/>
      <c r="QFD482" s="1080"/>
      <c r="QFE482" s="1080"/>
      <c r="QFF482" s="1080"/>
      <c r="QFG482" s="1080"/>
      <c r="QFH482" s="1080"/>
      <c r="QFI482" s="1080"/>
      <c r="QFJ482" s="1080"/>
      <c r="QFK482" s="1080"/>
      <c r="QFL482" s="1080"/>
      <c r="QFM482" s="1080"/>
      <c r="QFN482" s="1080"/>
      <c r="QFO482" s="1080"/>
      <c r="QFP482" s="1080"/>
      <c r="QFQ482" s="1080"/>
      <c r="QFR482" s="1080"/>
      <c r="QFS482" s="1080"/>
      <c r="QFT482" s="1080"/>
      <c r="QFU482" s="1080"/>
      <c r="QFV482" s="1080"/>
      <c r="QFW482" s="1080"/>
      <c r="QFX482" s="1080"/>
      <c r="QFY482" s="1080"/>
      <c r="QFZ482" s="1080"/>
      <c r="QGA482" s="1080"/>
      <c r="QGB482" s="1080"/>
      <c r="QGC482" s="1080"/>
      <c r="QGD482" s="1080"/>
      <c r="QGE482" s="1080"/>
      <c r="QGF482" s="1080"/>
      <c r="QGG482" s="1080"/>
      <c r="QGH482" s="1080"/>
      <c r="QGI482" s="1080"/>
      <c r="QGJ482" s="1080"/>
      <c r="QGK482" s="1080"/>
      <c r="QGL482" s="1080"/>
      <c r="QGM482" s="1080"/>
      <c r="QGN482" s="1080"/>
      <c r="QGO482" s="1080"/>
      <c r="QGP482" s="1080"/>
      <c r="QGQ482" s="1080"/>
      <c r="QGR482" s="1080"/>
      <c r="QGS482" s="1080"/>
      <c r="QGT482" s="1080"/>
      <c r="QGU482" s="1080"/>
      <c r="QGV482" s="1080"/>
      <c r="QGW482" s="1080"/>
      <c r="QGX482" s="1080"/>
      <c r="QGY482" s="1080"/>
      <c r="QGZ482" s="1080"/>
      <c r="QHA482" s="1080"/>
      <c r="QHB482" s="1080"/>
      <c r="QHC482" s="1080"/>
      <c r="QHD482" s="1080"/>
      <c r="QHE482" s="1080"/>
      <c r="QHF482" s="1080"/>
      <c r="QHG482" s="1080"/>
      <c r="QHH482" s="1080"/>
      <c r="QHI482" s="1080"/>
      <c r="QHJ482" s="1080"/>
      <c r="QHK482" s="1080"/>
      <c r="QHL482" s="1080"/>
      <c r="QHM482" s="1080"/>
      <c r="QHN482" s="1080"/>
      <c r="QHO482" s="1080"/>
      <c r="QHP482" s="1080"/>
      <c r="QHQ482" s="1080"/>
      <c r="QHR482" s="1080"/>
      <c r="QHS482" s="1080"/>
      <c r="QHT482" s="1080"/>
      <c r="QHU482" s="1080"/>
      <c r="QHV482" s="1080"/>
      <c r="QHW482" s="1080"/>
      <c r="QHX482" s="1080"/>
      <c r="QHY482" s="1080"/>
      <c r="QHZ482" s="1080"/>
      <c r="QIA482" s="1080"/>
      <c r="QIB482" s="1080"/>
      <c r="QIC482" s="1080"/>
      <c r="QID482" s="1080"/>
      <c r="QIE482" s="1080"/>
      <c r="QIF482" s="1080"/>
      <c r="QIG482" s="1080"/>
      <c r="QIH482" s="1080"/>
      <c r="QII482" s="1080"/>
      <c r="QIJ482" s="1080"/>
      <c r="QIK482" s="1080"/>
      <c r="QIL482" s="1080"/>
      <c r="QIM482" s="1080"/>
      <c r="QIN482" s="1080"/>
      <c r="QIO482" s="1080"/>
      <c r="QIP482" s="1080"/>
      <c r="QIQ482" s="1080"/>
      <c r="QIR482" s="1080"/>
      <c r="QIS482" s="1080"/>
      <c r="QIT482" s="1080"/>
      <c r="QIU482" s="1080"/>
      <c r="QIV482" s="1080"/>
      <c r="QIW482" s="1080"/>
      <c r="QIX482" s="1080"/>
      <c r="QIY482" s="1080"/>
      <c r="QIZ482" s="1080"/>
      <c r="QJA482" s="1080"/>
      <c r="QJB482" s="1080"/>
      <c r="QJC482" s="1080"/>
      <c r="QJD482" s="1080"/>
      <c r="QJE482" s="1080"/>
      <c r="QJF482" s="1080"/>
      <c r="QJG482" s="1080"/>
      <c r="QJH482" s="1080"/>
      <c r="QJI482" s="1080"/>
      <c r="QJJ482" s="1080"/>
      <c r="QJK482" s="1080"/>
      <c r="QJL482" s="1080"/>
      <c r="QJM482" s="1080"/>
      <c r="QJN482" s="1080"/>
      <c r="QJO482" s="1080"/>
      <c r="QJP482" s="1080"/>
      <c r="QJQ482" s="1080"/>
      <c r="QJR482" s="1080"/>
      <c r="QJS482" s="1080"/>
      <c r="QJT482" s="1080"/>
      <c r="QJU482" s="1080"/>
      <c r="QJV482" s="1080"/>
      <c r="QJW482" s="1080"/>
      <c r="QJX482" s="1080"/>
      <c r="QJY482" s="1080"/>
      <c r="QJZ482" s="1080"/>
      <c r="QKA482" s="1080"/>
      <c r="QKB482" s="1080"/>
      <c r="QKC482" s="1080"/>
      <c r="QKD482" s="1080"/>
      <c r="QKE482" s="1080"/>
      <c r="QKF482" s="1080"/>
      <c r="QKG482" s="1080"/>
      <c r="QKH482" s="1080"/>
      <c r="QKI482" s="1080"/>
      <c r="QKJ482" s="1080"/>
      <c r="QKK482" s="1080"/>
      <c r="QKL482" s="1080"/>
      <c r="QKM482" s="1080"/>
      <c r="QKN482" s="1080"/>
      <c r="QKO482" s="1080"/>
      <c r="QKP482" s="1080"/>
      <c r="QKQ482" s="1080"/>
      <c r="QKR482" s="1080"/>
      <c r="QKS482" s="1080"/>
      <c r="QKT482" s="1080"/>
      <c r="QKU482" s="1080"/>
      <c r="QKV482" s="1080"/>
      <c r="QKW482" s="1080"/>
      <c r="QKX482" s="1080"/>
      <c r="QKY482" s="1080"/>
      <c r="QKZ482" s="1080"/>
      <c r="QLA482" s="1080"/>
      <c r="QLB482" s="1080"/>
      <c r="QLC482" s="1080"/>
      <c r="QLD482" s="1080"/>
      <c r="QLE482" s="1080"/>
      <c r="QLF482" s="1080"/>
      <c r="QLG482" s="1080"/>
      <c r="QLH482" s="1080"/>
      <c r="QLI482" s="1080"/>
      <c r="QLJ482" s="1080"/>
      <c r="QLK482" s="1080"/>
      <c r="QLL482" s="1080"/>
      <c r="QLM482" s="1080"/>
      <c r="QLN482" s="1080"/>
      <c r="QLO482" s="1080"/>
      <c r="QLP482" s="1080"/>
      <c r="QLQ482" s="1080"/>
      <c r="QLR482" s="1080"/>
      <c r="QLS482" s="1080"/>
      <c r="QLT482" s="1080"/>
      <c r="QLU482" s="1080"/>
      <c r="QLV482" s="1080"/>
      <c r="QLW482" s="1080"/>
      <c r="QLX482" s="1080"/>
      <c r="QLY482" s="1080"/>
      <c r="QLZ482" s="1080"/>
      <c r="QMA482" s="1080"/>
      <c r="QMB482" s="1080"/>
      <c r="QMC482" s="1080"/>
      <c r="QMD482" s="1080"/>
      <c r="QME482" s="1080"/>
      <c r="QMF482" s="1080"/>
      <c r="QMG482" s="1080"/>
      <c r="QMH482" s="1080"/>
      <c r="QMI482" s="1080"/>
      <c r="QMJ482" s="1080"/>
      <c r="QMK482" s="1080"/>
      <c r="QML482" s="1080"/>
      <c r="QMM482" s="1080"/>
      <c r="QMN482" s="1080"/>
      <c r="QMO482" s="1080"/>
      <c r="QMP482" s="1080"/>
      <c r="QMQ482" s="1080"/>
      <c r="QMR482" s="1080"/>
      <c r="QMS482" s="1080"/>
      <c r="QMT482" s="1080"/>
      <c r="QMU482" s="1080"/>
      <c r="QMV482" s="1080"/>
      <c r="QMW482" s="1080"/>
      <c r="QMX482" s="1080"/>
      <c r="QMY482" s="1080"/>
      <c r="QMZ482" s="1080"/>
      <c r="QNA482" s="1080"/>
      <c r="QNB482" s="1080"/>
      <c r="QNC482" s="1080"/>
      <c r="QND482" s="1080"/>
      <c r="QNE482" s="1080"/>
      <c r="QNF482" s="1080"/>
      <c r="QNG482" s="1080"/>
      <c r="QNH482" s="1080"/>
      <c r="QNI482" s="1080"/>
      <c r="QNJ482" s="1080"/>
      <c r="QNK482" s="1080"/>
      <c r="QNL482" s="1080"/>
      <c r="QNM482" s="1080"/>
      <c r="QNN482" s="1080"/>
      <c r="QNO482" s="1080"/>
      <c r="QNP482" s="1080"/>
      <c r="QNQ482" s="1080"/>
      <c r="QNR482" s="1080"/>
      <c r="QNS482" s="1080"/>
      <c r="QNT482" s="1080"/>
      <c r="QNU482" s="1080"/>
      <c r="QNV482" s="1080"/>
      <c r="QNW482" s="1080"/>
      <c r="QNX482" s="1080"/>
      <c r="QNY482" s="1080"/>
      <c r="QNZ482" s="1080"/>
      <c r="QOA482" s="1080"/>
      <c r="QOB482" s="1080"/>
      <c r="QOC482" s="1080"/>
      <c r="QOD482" s="1080"/>
      <c r="QOE482" s="1080"/>
      <c r="QOF482" s="1080"/>
      <c r="QOG482" s="1080"/>
      <c r="QOH482" s="1080"/>
      <c r="QOI482" s="1080"/>
      <c r="QOJ482" s="1080"/>
      <c r="QOK482" s="1080"/>
      <c r="QOL482" s="1080"/>
      <c r="QOM482" s="1080"/>
      <c r="QON482" s="1080"/>
      <c r="QOO482" s="1080"/>
      <c r="QOP482" s="1080"/>
      <c r="QOQ482" s="1080"/>
      <c r="QOR482" s="1080"/>
      <c r="QOS482" s="1080"/>
      <c r="QOT482" s="1080"/>
      <c r="QOU482" s="1080"/>
      <c r="QOV482" s="1080"/>
      <c r="QOW482" s="1080"/>
      <c r="QOX482" s="1080"/>
      <c r="QOY482" s="1080"/>
      <c r="QOZ482" s="1080"/>
      <c r="QPA482" s="1080"/>
      <c r="QPB482" s="1080"/>
      <c r="QPC482" s="1080"/>
      <c r="QPD482" s="1080"/>
      <c r="QPE482" s="1080"/>
      <c r="QPF482" s="1080"/>
      <c r="QPG482" s="1080"/>
      <c r="QPH482" s="1080"/>
      <c r="QPI482" s="1080"/>
      <c r="QPJ482" s="1080"/>
      <c r="QPK482" s="1080"/>
      <c r="QPL482" s="1080"/>
      <c r="QPM482" s="1080"/>
      <c r="QPN482" s="1080"/>
      <c r="QPO482" s="1080"/>
      <c r="QPP482" s="1080"/>
      <c r="QPQ482" s="1080"/>
      <c r="QPR482" s="1080"/>
      <c r="QPS482" s="1080"/>
      <c r="QPT482" s="1080"/>
      <c r="QPU482" s="1080"/>
      <c r="QPV482" s="1080"/>
      <c r="QPW482" s="1080"/>
      <c r="QPX482" s="1080"/>
      <c r="QPY482" s="1080"/>
      <c r="QPZ482" s="1080"/>
      <c r="QQA482" s="1080"/>
      <c r="QQB482" s="1080"/>
      <c r="QQC482" s="1080"/>
      <c r="QQD482" s="1080"/>
      <c r="QQE482" s="1080"/>
      <c r="QQF482" s="1080"/>
      <c r="QQG482" s="1080"/>
      <c r="QQH482" s="1080"/>
      <c r="QQI482" s="1080"/>
      <c r="QQJ482" s="1080"/>
      <c r="QQK482" s="1080"/>
      <c r="QQL482" s="1080"/>
      <c r="QQM482" s="1080"/>
      <c r="QQN482" s="1080"/>
      <c r="QQO482" s="1080"/>
      <c r="QQP482" s="1080"/>
      <c r="QQQ482" s="1080"/>
      <c r="QQR482" s="1080"/>
      <c r="QQS482" s="1080"/>
      <c r="QQT482" s="1080"/>
      <c r="QQU482" s="1080"/>
      <c r="QQV482" s="1080"/>
      <c r="QQW482" s="1080"/>
      <c r="QQX482" s="1080"/>
      <c r="QQY482" s="1080"/>
      <c r="QQZ482" s="1080"/>
      <c r="QRA482" s="1080"/>
      <c r="QRB482" s="1080"/>
      <c r="QRC482" s="1080"/>
      <c r="QRD482" s="1080"/>
      <c r="QRE482" s="1080"/>
      <c r="QRF482" s="1080"/>
      <c r="QRG482" s="1080"/>
      <c r="QRH482" s="1080"/>
      <c r="QRI482" s="1080"/>
      <c r="QRJ482" s="1080"/>
      <c r="QRK482" s="1080"/>
      <c r="QRL482" s="1080"/>
      <c r="QRM482" s="1080"/>
      <c r="QRN482" s="1080"/>
      <c r="QRO482" s="1080"/>
      <c r="QRP482" s="1080"/>
      <c r="QRQ482" s="1080"/>
      <c r="QRR482" s="1080"/>
      <c r="QRS482" s="1080"/>
      <c r="QRT482" s="1080"/>
      <c r="QRU482" s="1080"/>
      <c r="QRV482" s="1080"/>
      <c r="QRW482" s="1080"/>
      <c r="QRX482" s="1080"/>
      <c r="QRY482" s="1080"/>
      <c r="QRZ482" s="1080"/>
      <c r="QSA482" s="1080"/>
      <c r="QSB482" s="1080"/>
      <c r="QSC482" s="1080"/>
      <c r="QSD482" s="1080"/>
      <c r="QSE482" s="1080"/>
      <c r="QSF482" s="1080"/>
      <c r="QSG482" s="1080"/>
      <c r="QSH482" s="1080"/>
      <c r="QSI482" s="1080"/>
      <c r="QSJ482" s="1080"/>
      <c r="QSK482" s="1080"/>
      <c r="QSL482" s="1080"/>
      <c r="QSM482" s="1080"/>
      <c r="QSN482" s="1080"/>
      <c r="QSO482" s="1080"/>
      <c r="QSP482" s="1080"/>
      <c r="QSQ482" s="1080"/>
      <c r="QSR482" s="1080"/>
      <c r="QSS482" s="1080"/>
      <c r="QST482" s="1080"/>
      <c r="QSU482" s="1080"/>
      <c r="QSV482" s="1080"/>
      <c r="QSW482" s="1080"/>
      <c r="QSX482" s="1080"/>
      <c r="QSY482" s="1080"/>
      <c r="QSZ482" s="1080"/>
      <c r="QTA482" s="1080"/>
      <c r="QTB482" s="1080"/>
      <c r="QTC482" s="1080"/>
      <c r="QTD482" s="1080"/>
      <c r="QTE482" s="1080"/>
      <c r="QTF482" s="1080"/>
      <c r="QTG482" s="1080"/>
      <c r="QTH482" s="1080"/>
      <c r="QTI482" s="1080"/>
      <c r="QTJ482" s="1080"/>
      <c r="QTK482" s="1080"/>
      <c r="QTL482" s="1080"/>
      <c r="QTM482" s="1080"/>
      <c r="QTN482" s="1080"/>
      <c r="QTO482" s="1080"/>
      <c r="QTP482" s="1080"/>
      <c r="QTQ482" s="1080"/>
      <c r="QTR482" s="1080"/>
      <c r="QTS482" s="1080"/>
      <c r="QTT482" s="1080"/>
      <c r="QTU482" s="1080"/>
      <c r="QTV482" s="1080"/>
      <c r="QTW482" s="1080"/>
      <c r="QTX482" s="1080"/>
      <c r="QTY482" s="1080"/>
      <c r="QTZ482" s="1080"/>
      <c r="QUA482" s="1080"/>
      <c r="QUB482" s="1080"/>
      <c r="QUC482" s="1080"/>
      <c r="QUD482" s="1080"/>
      <c r="QUE482" s="1080"/>
      <c r="QUF482" s="1080"/>
      <c r="QUG482" s="1080"/>
      <c r="QUH482" s="1080"/>
      <c r="QUI482" s="1080"/>
      <c r="QUJ482" s="1080"/>
      <c r="QUK482" s="1080"/>
      <c r="QUL482" s="1080"/>
      <c r="QUM482" s="1080"/>
      <c r="QUN482" s="1080"/>
      <c r="QUO482" s="1080"/>
      <c r="QUP482" s="1080"/>
      <c r="QUQ482" s="1080"/>
      <c r="QUR482" s="1080"/>
      <c r="QUS482" s="1080"/>
      <c r="QUT482" s="1080"/>
      <c r="QUU482" s="1080"/>
      <c r="QUV482" s="1080"/>
      <c r="QUW482" s="1080"/>
      <c r="QUX482" s="1080"/>
      <c r="QUY482" s="1080"/>
      <c r="QUZ482" s="1080"/>
      <c r="QVA482" s="1080"/>
      <c r="QVB482" s="1080"/>
      <c r="QVC482" s="1080"/>
      <c r="QVD482" s="1080"/>
      <c r="QVE482" s="1080"/>
      <c r="QVF482" s="1080"/>
      <c r="QVG482" s="1080"/>
      <c r="QVH482" s="1080"/>
      <c r="QVI482" s="1080"/>
      <c r="QVJ482" s="1080"/>
      <c r="QVK482" s="1080"/>
      <c r="QVL482" s="1080"/>
      <c r="QVM482" s="1080"/>
      <c r="QVN482" s="1080"/>
      <c r="QVO482" s="1080"/>
      <c r="QVP482" s="1080"/>
      <c r="QVQ482" s="1080"/>
      <c r="QVR482" s="1080"/>
      <c r="QVS482" s="1080"/>
      <c r="QVT482" s="1080"/>
      <c r="QVU482" s="1080"/>
      <c r="QVV482" s="1080"/>
      <c r="QVW482" s="1080"/>
      <c r="QVX482" s="1080"/>
      <c r="QVY482" s="1080"/>
      <c r="QVZ482" s="1080"/>
      <c r="QWA482" s="1080"/>
      <c r="QWB482" s="1080"/>
      <c r="QWC482" s="1080"/>
      <c r="QWD482" s="1080"/>
      <c r="QWE482" s="1080"/>
      <c r="QWF482" s="1080"/>
      <c r="QWG482" s="1080"/>
      <c r="QWH482" s="1080"/>
      <c r="QWI482" s="1080"/>
      <c r="QWJ482" s="1080"/>
      <c r="QWK482" s="1080"/>
      <c r="QWL482" s="1080"/>
      <c r="QWM482" s="1080"/>
      <c r="QWN482" s="1080"/>
      <c r="QWO482" s="1080"/>
      <c r="QWP482" s="1080"/>
      <c r="QWQ482" s="1080"/>
      <c r="QWR482" s="1080"/>
      <c r="QWS482" s="1080"/>
      <c r="QWT482" s="1080"/>
      <c r="QWU482" s="1080"/>
      <c r="QWV482" s="1080"/>
      <c r="QWW482" s="1080"/>
      <c r="QWX482" s="1080"/>
      <c r="QWY482" s="1080"/>
      <c r="QWZ482" s="1080"/>
      <c r="QXA482" s="1080"/>
      <c r="QXB482" s="1080"/>
      <c r="QXC482" s="1080"/>
      <c r="QXD482" s="1080"/>
      <c r="QXE482" s="1080"/>
      <c r="QXF482" s="1080"/>
      <c r="QXG482" s="1080"/>
      <c r="QXH482" s="1080"/>
      <c r="QXI482" s="1080"/>
      <c r="QXJ482" s="1080"/>
      <c r="QXK482" s="1080"/>
      <c r="QXL482" s="1080"/>
      <c r="QXM482" s="1080"/>
      <c r="QXN482" s="1080"/>
      <c r="QXO482" s="1080"/>
      <c r="QXP482" s="1080"/>
      <c r="QXQ482" s="1080"/>
      <c r="QXR482" s="1080"/>
      <c r="QXS482" s="1080"/>
      <c r="QXT482" s="1080"/>
      <c r="QXU482" s="1080"/>
      <c r="QXV482" s="1080"/>
      <c r="QXW482" s="1080"/>
      <c r="QXX482" s="1080"/>
      <c r="QXY482" s="1080"/>
      <c r="QXZ482" s="1080"/>
      <c r="QYA482" s="1080"/>
      <c r="QYB482" s="1080"/>
      <c r="QYC482" s="1080"/>
      <c r="QYD482" s="1080"/>
      <c r="QYE482" s="1080"/>
      <c r="QYF482" s="1080"/>
      <c r="QYG482" s="1080"/>
      <c r="QYH482" s="1080"/>
      <c r="QYI482" s="1080"/>
      <c r="QYJ482" s="1080"/>
      <c r="QYK482" s="1080"/>
      <c r="QYL482" s="1080"/>
      <c r="QYM482" s="1080"/>
      <c r="QYN482" s="1080"/>
      <c r="QYO482" s="1080"/>
      <c r="QYP482" s="1080"/>
      <c r="QYQ482" s="1080"/>
      <c r="QYR482" s="1080"/>
      <c r="QYS482" s="1080"/>
      <c r="QYT482" s="1080"/>
      <c r="QYU482" s="1080"/>
      <c r="QYV482" s="1080"/>
      <c r="QYW482" s="1080"/>
      <c r="QYX482" s="1080"/>
      <c r="QYY482" s="1080"/>
      <c r="QYZ482" s="1080"/>
      <c r="QZA482" s="1080"/>
      <c r="QZB482" s="1080"/>
      <c r="QZC482" s="1080"/>
      <c r="QZD482" s="1080"/>
      <c r="QZE482" s="1080"/>
      <c r="QZF482" s="1080"/>
      <c r="QZG482" s="1080"/>
      <c r="QZH482" s="1080"/>
      <c r="QZI482" s="1080"/>
      <c r="QZJ482" s="1080"/>
      <c r="QZK482" s="1080"/>
      <c r="QZL482" s="1080"/>
      <c r="QZM482" s="1080"/>
      <c r="QZN482" s="1080"/>
      <c r="QZO482" s="1080"/>
      <c r="QZP482" s="1080"/>
      <c r="QZQ482" s="1080"/>
      <c r="QZR482" s="1080"/>
      <c r="QZS482" s="1080"/>
      <c r="QZT482" s="1080"/>
      <c r="QZU482" s="1080"/>
      <c r="QZV482" s="1080"/>
      <c r="QZW482" s="1080"/>
      <c r="QZX482" s="1080"/>
      <c r="QZY482" s="1080"/>
      <c r="QZZ482" s="1080"/>
      <c r="RAA482" s="1080"/>
      <c r="RAB482" s="1080"/>
      <c r="RAC482" s="1080"/>
      <c r="RAD482" s="1080"/>
      <c r="RAE482" s="1080"/>
      <c r="RAF482" s="1080"/>
      <c r="RAG482" s="1080"/>
      <c r="RAH482" s="1080"/>
      <c r="RAI482" s="1080"/>
      <c r="RAJ482" s="1080"/>
      <c r="RAK482" s="1080"/>
      <c r="RAL482" s="1080"/>
      <c r="RAM482" s="1080"/>
      <c r="RAN482" s="1080"/>
      <c r="RAO482" s="1080"/>
      <c r="RAP482" s="1080"/>
      <c r="RAQ482" s="1080"/>
      <c r="RAR482" s="1080"/>
      <c r="RAS482" s="1080"/>
      <c r="RAT482" s="1080"/>
      <c r="RAU482" s="1080"/>
      <c r="RAV482" s="1080"/>
      <c r="RAW482" s="1080"/>
      <c r="RAX482" s="1080"/>
      <c r="RAY482" s="1080"/>
      <c r="RAZ482" s="1080"/>
      <c r="RBA482" s="1080"/>
      <c r="RBB482" s="1080"/>
      <c r="RBC482" s="1080"/>
      <c r="RBD482" s="1080"/>
      <c r="RBE482" s="1080"/>
      <c r="RBF482" s="1080"/>
      <c r="RBG482" s="1080"/>
      <c r="RBH482" s="1080"/>
      <c r="RBI482" s="1080"/>
      <c r="RBJ482" s="1080"/>
      <c r="RBK482" s="1080"/>
      <c r="RBL482" s="1080"/>
      <c r="RBM482" s="1080"/>
      <c r="RBN482" s="1080"/>
      <c r="RBO482" s="1080"/>
      <c r="RBP482" s="1080"/>
      <c r="RBQ482" s="1080"/>
      <c r="RBR482" s="1080"/>
      <c r="RBS482" s="1080"/>
      <c r="RBT482" s="1080"/>
      <c r="RBU482" s="1080"/>
      <c r="RBV482" s="1080"/>
      <c r="RBW482" s="1080"/>
      <c r="RBX482" s="1080"/>
      <c r="RBY482" s="1080"/>
      <c r="RBZ482" s="1080"/>
      <c r="RCA482" s="1080"/>
      <c r="RCB482" s="1080"/>
      <c r="RCC482" s="1080"/>
      <c r="RCD482" s="1080"/>
      <c r="RCE482" s="1080"/>
      <c r="RCF482" s="1080"/>
      <c r="RCG482" s="1080"/>
      <c r="RCH482" s="1080"/>
      <c r="RCI482" s="1080"/>
      <c r="RCJ482" s="1080"/>
      <c r="RCK482" s="1080"/>
      <c r="RCL482" s="1080"/>
      <c r="RCM482" s="1080"/>
      <c r="RCN482" s="1080"/>
      <c r="RCO482" s="1080"/>
      <c r="RCP482" s="1080"/>
      <c r="RCQ482" s="1080"/>
      <c r="RCR482" s="1080"/>
      <c r="RCS482" s="1080"/>
      <c r="RCT482" s="1080"/>
      <c r="RCU482" s="1080"/>
      <c r="RCV482" s="1080"/>
      <c r="RCW482" s="1080"/>
      <c r="RCX482" s="1080"/>
      <c r="RCY482" s="1080"/>
      <c r="RCZ482" s="1080"/>
      <c r="RDA482" s="1080"/>
      <c r="RDB482" s="1080"/>
      <c r="RDC482" s="1080"/>
      <c r="RDD482" s="1080"/>
      <c r="RDE482" s="1080"/>
      <c r="RDF482" s="1080"/>
      <c r="RDG482" s="1080"/>
      <c r="RDH482" s="1080"/>
      <c r="RDI482" s="1080"/>
      <c r="RDJ482" s="1080"/>
      <c r="RDK482" s="1080"/>
      <c r="RDL482" s="1080"/>
      <c r="RDM482" s="1080"/>
      <c r="RDN482" s="1080"/>
      <c r="RDO482" s="1080"/>
      <c r="RDP482" s="1080"/>
      <c r="RDQ482" s="1080"/>
      <c r="RDR482" s="1080"/>
      <c r="RDS482" s="1080"/>
      <c r="RDT482" s="1080"/>
      <c r="RDU482" s="1080"/>
      <c r="RDV482" s="1080"/>
      <c r="RDW482" s="1080"/>
      <c r="RDX482" s="1080"/>
      <c r="RDY482" s="1080"/>
      <c r="RDZ482" s="1080"/>
      <c r="REA482" s="1080"/>
      <c r="REB482" s="1080"/>
      <c r="REC482" s="1080"/>
      <c r="RED482" s="1080"/>
      <c r="REE482" s="1080"/>
      <c r="REF482" s="1080"/>
      <c r="REG482" s="1080"/>
      <c r="REH482" s="1080"/>
      <c r="REI482" s="1080"/>
      <c r="REJ482" s="1080"/>
      <c r="REK482" s="1080"/>
      <c r="REL482" s="1080"/>
      <c r="REM482" s="1080"/>
      <c r="REN482" s="1080"/>
      <c r="REO482" s="1080"/>
      <c r="REP482" s="1080"/>
      <c r="REQ482" s="1080"/>
      <c r="RER482" s="1080"/>
      <c r="RES482" s="1080"/>
      <c r="RET482" s="1080"/>
      <c r="REU482" s="1080"/>
      <c r="REV482" s="1080"/>
      <c r="REW482" s="1080"/>
      <c r="REX482" s="1080"/>
      <c r="REY482" s="1080"/>
      <c r="REZ482" s="1080"/>
      <c r="RFA482" s="1080"/>
      <c r="RFB482" s="1080"/>
      <c r="RFC482" s="1080"/>
      <c r="RFD482" s="1080"/>
      <c r="RFE482" s="1080"/>
      <c r="RFF482" s="1080"/>
      <c r="RFG482" s="1080"/>
      <c r="RFH482" s="1080"/>
      <c r="RFI482" s="1080"/>
      <c r="RFJ482" s="1080"/>
      <c r="RFK482" s="1080"/>
      <c r="RFL482" s="1080"/>
      <c r="RFM482" s="1080"/>
      <c r="RFN482" s="1080"/>
      <c r="RFO482" s="1080"/>
      <c r="RFP482" s="1080"/>
      <c r="RFQ482" s="1080"/>
      <c r="RFR482" s="1080"/>
      <c r="RFS482" s="1080"/>
      <c r="RFT482" s="1080"/>
      <c r="RFU482" s="1080"/>
      <c r="RFV482" s="1080"/>
      <c r="RFW482" s="1080"/>
      <c r="RFX482" s="1080"/>
      <c r="RFY482" s="1080"/>
      <c r="RFZ482" s="1080"/>
      <c r="RGA482" s="1080"/>
      <c r="RGB482" s="1080"/>
      <c r="RGC482" s="1080"/>
      <c r="RGD482" s="1080"/>
      <c r="RGE482" s="1080"/>
      <c r="RGF482" s="1080"/>
      <c r="RGG482" s="1080"/>
      <c r="RGH482" s="1080"/>
      <c r="RGI482" s="1080"/>
      <c r="RGJ482" s="1080"/>
      <c r="RGK482" s="1080"/>
      <c r="RGL482" s="1080"/>
      <c r="RGM482" s="1080"/>
      <c r="RGN482" s="1080"/>
      <c r="RGO482" s="1080"/>
      <c r="RGP482" s="1080"/>
      <c r="RGQ482" s="1080"/>
      <c r="RGR482" s="1080"/>
      <c r="RGS482" s="1080"/>
      <c r="RGT482" s="1080"/>
      <c r="RGU482" s="1080"/>
      <c r="RGV482" s="1080"/>
      <c r="RGW482" s="1080"/>
      <c r="RGX482" s="1080"/>
      <c r="RGY482" s="1080"/>
      <c r="RGZ482" s="1080"/>
      <c r="RHA482" s="1080"/>
      <c r="RHB482" s="1080"/>
      <c r="RHC482" s="1080"/>
      <c r="RHD482" s="1080"/>
      <c r="RHE482" s="1080"/>
      <c r="RHF482" s="1080"/>
      <c r="RHG482" s="1080"/>
      <c r="RHH482" s="1080"/>
      <c r="RHI482" s="1080"/>
      <c r="RHJ482" s="1080"/>
      <c r="RHK482" s="1080"/>
      <c r="RHL482" s="1080"/>
      <c r="RHM482" s="1080"/>
      <c r="RHN482" s="1080"/>
      <c r="RHO482" s="1080"/>
      <c r="RHP482" s="1080"/>
      <c r="RHQ482" s="1080"/>
      <c r="RHR482" s="1080"/>
      <c r="RHS482" s="1080"/>
      <c r="RHT482" s="1080"/>
      <c r="RHU482" s="1080"/>
      <c r="RHV482" s="1080"/>
      <c r="RHW482" s="1080"/>
      <c r="RHX482" s="1080"/>
      <c r="RHY482" s="1080"/>
      <c r="RHZ482" s="1080"/>
      <c r="RIA482" s="1080"/>
      <c r="RIB482" s="1080"/>
      <c r="RIC482" s="1080"/>
      <c r="RID482" s="1080"/>
      <c r="RIE482" s="1080"/>
      <c r="RIF482" s="1080"/>
      <c r="RIG482" s="1080"/>
      <c r="RIH482" s="1080"/>
      <c r="RII482" s="1080"/>
      <c r="RIJ482" s="1080"/>
      <c r="RIK482" s="1080"/>
      <c r="RIL482" s="1080"/>
      <c r="RIM482" s="1080"/>
      <c r="RIN482" s="1080"/>
      <c r="RIO482" s="1080"/>
      <c r="RIP482" s="1080"/>
      <c r="RIQ482" s="1080"/>
      <c r="RIR482" s="1080"/>
      <c r="RIS482" s="1080"/>
      <c r="RIT482" s="1080"/>
      <c r="RIU482" s="1080"/>
      <c r="RIV482" s="1080"/>
      <c r="RIW482" s="1080"/>
      <c r="RIX482" s="1080"/>
      <c r="RIY482" s="1080"/>
      <c r="RIZ482" s="1080"/>
      <c r="RJA482" s="1080"/>
      <c r="RJB482" s="1080"/>
      <c r="RJC482" s="1080"/>
      <c r="RJD482" s="1080"/>
      <c r="RJE482" s="1080"/>
      <c r="RJF482" s="1080"/>
      <c r="RJG482" s="1080"/>
      <c r="RJH482" s="1080"/>
      <c r="RJI482" s="1080"/>
      <c r="RJJ482" s="1080"/>
      <c r="RJK482" s="1080"/>
      <c r="RJL482" s="1080"/>
      <c r="RJM482" s="1080"/>
      <c r="RJN482" s="1080"/>
      <c r="RJO482" s="1080"/>
      <c r="RJP482" s="1080"/>
      <c r="RJQ482" s="1080"/>
      <c r="RJR482" s="1080"/>
      <c r="RJS482" s="1080"/>
      <c r="RJT482" s="1080"/>
      <c r="RJU482" s="1080"/>
      <c r="RJV482" s="1080"/>
      <c r="RJW482" s="1080"/>
      <c r="RJX482" s="1080"/>
      <c r="RJY482" s="1080"/>
      <c r="RJZ482" s="1080"/>
      <c r="RKA482" s="1080"/>
      <c r="RKB482" s="1080"/>
      <c r="RKC482" s="1080"/>
      <c r="RKD482" s="1080"/>
      <c r="RKE482" s="1080"/>
      <c r="RKF482" s="1080"/>
      <c r="RKG482" s="1080"/>
      <c r="RKH482" s="1080"/>
      <c r="RKI482" s="1080"/>
      <c r="RKJ482" s="1080"/>
      <c r="RKK482" s="1080"/>
      <c r="RKL482" s="1080"/>
      <c r="RKM482" s="1080"/>
      <c r="RKN482" s="1080"/>
      <c r="RKO482" s="1080"/>
      <c r="RKP482" s="1080"/>
      <c r="RKQ482" s="1080"/>
      <c r="RKR482" s="1080"/>
      <c r="RKS482" s="1080"/>
      <c r="RKT482" s="1080"/>
      <c r="RKU482" s="1080"/>
      <c r="RKV482" s="1080"/>
      <c r="RKW482" s="1080"/>
      <c r="RKX482" s="1080"/>
      <c r="RKY482" s="1080"/>
      <c r="RKZ482" s="1080"/>
      <c r="RLA482" s="1080"/>
      <c r="RLB482" s="1080"/>
      <c r="RLC482" s="1080"/>
      <c r="RLD482" s="1080"/>
      <c r="RLE482" s="1080"/>
      <c r="RLF482" s="1080"/>
      <c r="RLG482" s="1080"/>
      <c r="RLH482" s="1080"/>
      <c r="RLI482" s="1080"/>
      <c r="RLJ482" s="1080"/>
      <c r="RLK482" s="1080"/>
      <c r="RLL482" s="1080"/>
      <c r="RLM482" s="1080"/>
      <c r="RLN482" s="1080"/>
      <c r="RLO482" s="1080"/>
      <c r="RLP482" s="1080"/>
      <c r="RLQ482" s="1080"/>
      <c r="RLR482" s="1080"/>
      <c r="RLS482" s="1080"/>
      <c r="RLT482" s="1080"/>
      <c r="RLU482" s="1080"/>
      <c r="RLV482" s="1080"/>
      <c r="RLW482" s="1080"/>
      <c r="RLX482" s="1080"/>
      <c r="RLY482" s="1080"/>
      <c r="RLZ482" s="1080"/>
      <c r="RMA482" s="1080"/>
      <c r="RMB482" s="1080"/>
      <c r="RMC482" s="1080"/>
      <c r="RMD482" s="1080"/>
      <c r="RME482" s="1080"/>
      <c r="RMF482" s="1080"/>
      <c r="RMG482" s="1080"/>
      <c r="RMH482" s="1080"/>
      <c r="RMI482" s="1080"/>
      <c r="RMJ482" s="1080"/>
      <c r="RMK482" s="1080"/>
      <c r="RML482" s="1080"/>
      <c r="RMM482" s="1080"/>
      <c r="RMN482" s="1080"/>
      <c r="RMO482" s="1080"/>
      <c r="RMP482" s="1080"/>
      <c r="RMQ482" s="1080"/>
      <c r="RMR482" s="1080"/>
      <c r="RMS482" s="1080"/>
      <c r="RMT482" s="1080"/>
      <c r="RMU482" s="1080"/>
      <c r="RMV482" s="1080"/>
      <c r="RMW482" s="1080"/>
      <c r="RMX482" s="1080"/>
      <c r="RMY482" s="1080"/>
      <c r="RMZ482" s="1080"/>
      <c r="RNA482" s="1080"/>
      <c r="RNB482" s="1080"/>
      <c r="RNC482" s="1080"/>
      <c r="RND482" s="1080"/>
      <c r="RNE482" s="1080"/>
      <c r="RNF482" s="1080"/>
      <c r="RNG482" s="1080"/>
      <c r="RNH482" s="1080"/>
      <c r="RNI482" s="1080"/>
      <c r="RNJ482" s="1080"/>
      <c r="RNK482" s="1080"/>
      <c r="RNL482" s="1080"/>
      <c r="RNM482" s="1080"/>
      <c r="RNN482" s="1080"/>
      <c r="RNO482" s="1080"/>
      <c r="RNP482" s="1080"/>
      <c r="RNQ482" s="1080"/>
      <c r="RNR482" s="1080"/>
      <c r="RNS482" s="1080"/>
      <c r="RNT482" s="1080"/>
      <c r="RNU482" s="1080"/>
      <c r="RNV482" s="1080"/>
      <c r="RNW482" s="1080"/>
      <c r="RNX482" s="1080"/>
      <c r="RNY482" s="1080"/>
      <c r="RNZ482" s="1080"/>
      <c r="ROA482" s="1080"/>
      <c r="ROB482" s="1080"/>
      <c r="ROC482" s="1080"/>
      <c r="ROD482" s="1080"/>
      <c r="ROE482" s="1080"/>
      <c r="ROF482" s="1080"/>
      <c r="ROG482" s="1080"/>
      <c r="ROH482" s="1080"/>
      <c r="ROI482" s="1080"/>
      <c r="ROJ482" s="1080"/>
      <c r="ROK482" s="1080"/>
      <c r="ROL482" s="1080"/>
      <c r="ROM482" s="1080"/>
      <c r="RON482" s="1080"/>
      <c r="ROO482" s="1080"/>
      <c r="ROP482" s="1080"/>
      <c r="ROQ482" s="1080"/>
      <c r="ROR482" s="1080"/>
      <c r="ROS482" s="1080"/>
      <c r="ROT482" s="1080"/>
      <c r="ROU482" s="1080"/>
      <c r="ROV482" s="1080"/>
      <c r="ROW482" s="1080"/>
      <c r="ROX482" s="1080"/>
      <c r="ROY482" s="1080"/>
      <c r="ROZ482" s="1080"/>
      <c r="RPA482" s="1080"/>
      <c r="RPB482" s="1080"/>
      <c r="RPC482" s="1080"/>
      <c r="RPD482" s="1080"/>
      <c r="RPE482" s="1080"/>
      <c r="RPF482" s="1080"/>
      <c r="RPG482" s="1080"/>
      <c r="RPH482" s="1080"/>
      <c r="RPI482" s="1080"/>
      <c r="RPJ482" s="1080"/>
      <c r="RPK482" s="1080"/>
      <c r="RPL482" s="1080"/>
      <c r="RPM482" s="1080"/>
      <c r="RPN482" s="1080"/>
      <c r="RPO482" s="1080"/>
      <c r="RPP482" s="1080"/>
      <c r="RPQ482" s="1080"/>
      <c r="RPR482" s="1080"/>
      <c r="RPS482" s="1080"/>
      <c r="RPT482" s="1080"/>
      <c r="RPU482" s="1080"/>
      <c r="RPV482" s="1080"/>
      <c r="RPW482" s="1080"/>
      <c r="RPX482" s="1080"/>
      <c r="RPY482" s="1080"/>
      <c r="RPZ482" s="1080"/>
      <c r="RQA482" s="1080"/>
      <c r="RQB482" s="1080"/>
      <c r="RQC482" s="1080"/>
      <c r="RQD482" s="1080"/>
      <c r="RQE482" s="1080"/>
      <c r="RQF482" s="1080"/>
      <c r="RQG482" s="1080"/>
      <c r="RQH482" s="1080"/>
      <c r="RQI482" s="1080"/>
      <c r="RQJ482" s="1080"/>
      <c r="RQK482" s="1080"/>
      <c r="RQL482" s="1080"/>
      <c r="RQM482" s="1080"/>
      <c r="RQN482" s="1080"/>
      <c r="RQO482" s="1080"/>
      <c r="RQP482" s="1080"/>
      <c r="RQQ482" s="1080"/>
      <c r="RQR482" s="1080"/>
      <c r="RQS482" s="1080"/>
      <c r="RQT482" s="1080"/>
      <c r="RQU482" s="1080"/>
      <c r="RQV482" s="1080"/>
      <c r="RQW482" s="1080"/>
      <c r="RQX482" s="1080"/>
      <c r="RQY482" s="1080"/>
      <c r="RQZ482" s="1080"/>
      <c r="RRA482" s="1080"/>
      <c r="RRB482" s="1080"/>
      <c r="RRC482" s="1080"/>
      <c r="RRD482" s="1080"/>
      <c r="RRE482" s="1080"/>
      <c r="RRF482" s="1080"/>
      <c r="RRG482" s="1080"/>
      <c r="RRH482" s="1080"/>
      <c r="RRI482" s="1080"/>
      <c r="RRJ482" s="1080"/>
      <c r="RRK482" s="1080"/>
      <c r="RRL482" s="1080"/>
      <c r="RRM482" s="1080"/>
      <c r="RRN482" s="1080"/>
      <c r="RRO482" s="1080"/>
      <c r="RRP482" s="1080"/>
      <c r="RRQ482" s="1080"/>
      <c r="RRR482" s="1080"/>
      <c r="RRS482" s="1080"/>
      <c r="RRT482" s="1080"/>
      <c r="RRU482" s="1080"/>
      <c r="RRV482" s="1080"/>
      <c r="RRW482" s="1080"/>
      <c r="RRX482" s="1080"/>
      <c r="RRY482" s="1080"/>
      <c r="RRZ482" s="1080"/>
      <c r="RSA482" s="1080"/>
      <c r="RSB482" s="1080"/>
      <c r="RSC482" s="1080"/>
      <c r="RSD482" s="1080"/>
      <c r="RSE482" s="1080"/>
      <c r="RSF482" s="1080"/>
      <c r="RSG482" s="1080"/>
      <c r="RSH482" s="1080"/>
      <c r="RSI482" s="1080"/>
      <c r="RSJ482" s="1080"/>
      <c r="RSK482" s="1080"/>
      <c r="RSL482" s="1080"/>
      <c r="RSM482" s="1080"/>
      <c r="RSN482" s="1080"/>
      <c r="RSO482" s="1080"/>
      <c r="RSP482" s="1080"/>
      <c r="RSQ482" s="1080"/>
      <c r="RSR482" s="1080"/>
      <c r="RSS482" s="1080"/>
      <c r="RST482" s="1080"/>
      <c r="RSU482" s="1080"/>
      <c r="RSV482" s="1080"/>
      <c r="RSW482" s="1080"/>
      <c r="RSX482" s="1080"/>
      <c r="RSY482" s="1080"/>
      <c r="RSZ482" s="1080"/>
      <c r="RTA482" s="1080"/>
      <c r="RTB482" s="1080"/>
      <c r="RTC482" s="1080"/>
      <c r="RTD482" s="1080"/>
      <c r="RTE482" s="1080"/>
      <c r="RTF482" s="1080"/>
      <c r="RTG482" s="1080"/>
      <c r="RTH482" s="1080"/>
      <c r="RTI482" s="1080"/>
      <c r="RTJ482" s="1080"/>
      <c r="RTK482" s="1080"/>
      <c r="RTL482" s="1080"/>
      <c r="RTM482" s="1080"/>
      <c r="RTN482" s="1080"/>
      <c r="RTO482" s="1080"/>
      <c r="RTP482" s="1080"/>
      <c r="RTQ482" s="1080"/>
      <c r="RTR482" s="1080"/>
      <c r="RTS482" s="1080"/>
      <c r="RTT482" s="1080"/>
      <c r="RTU482" s="1080"/>
      <c r="RTV482" s="1080"/>
      <c r="RTW482" s="1080"/>
      <c r="RTX482" s="1080"/>
      <c r="RTY482" s="1080"/>
      <c r="RTZ482" s="1080"/>
      <c r="RUA482" s="1080"/>
      <c r="RUB482" s="1080"/>
      <c r="RUC482" s="1080"/>
      <c r="RUD482" s="1080"/>
      <c r="RUE482" s="1080"/>
      <c r="RUF482" s="1080"/>
      <c r="RUG482" s="1080"/>
      <c r="RUH482" s="1080"/>
      <c r="RUI482" s="1080"/>
      <c r="RUJ482" s="1080"/>
      <c r="RUK482" s="1080"/>
      <c r="RUL482" s="1080"/>
      <c r="RUM482" s="1080"/>
      <c r="RUN482" s="1080"/>
      <c r="RUO482" s="1080"/>
      <c r="RUP482" s="1080"/>
      <c r="RUQ482" s="1080"/>
      <c r="RUR482" s="1080"/>
      <c r="RUS482" s="1080"/>
      <c r="RUT482" s="1080"/>
      <c r="RUU482" s="1080"/>
      <c r="RUV482" s="1080"/>
      <c r="RUW482" s="1080"/>
      <c r="RUX482" s="1080"/>
      <c r="RUY482" s="1080"/>
      <c r="RUZ482" s="1080"/>
      <c r="RVA482" s="1080"/>
      <c r="RVB482" s="1080"/>
      <c r="RVC482" s="1080"/>
      <c r="RVD482" s="1080"/>
      <c r="RVE482" s="1080"/>
      <c r="RVF482" s="1080"/>
      <c r="RVG482" s="1080"/>
      <c r="RVH482" s="1080"/>
      <c r="RVI482" s="1080"/>
      <c r="RVJ482" s="1080"/>
      <c r="RVK482" s="1080"/>
      <c r="RVL482" s="1080"/>
      <c r="RVM482" s="1080"/>
      <c r="RVN482" s="1080"/>
      <c r="RVO482" s="1080"/>
      <c r="RVP482" s="1080"/>
      <c r="RVQ482" s="1080"/>
      <c r="RVR482" s="1080"/>
      <c r="RVS482" s="1080"/>
      <c r="RVT482" s="1080"/>
      <c r="RVU482" s="1080"/>
      <c r="RVV482" s="1080"/>
      <c r="RVW482" s="1080"/>
      <c r="RVX482" s="1080"/>
      <c r="RVY482" s="1080"/>
      <c r="RVZ482" s="1080"/>
      <c r="RWA482" s="1080"/>
      <c r="RWB482" s="1080"/>
      <c r="RWC482" s="1080"/>
      <c r="RWD482" s="1080"/>
      <c r="RWE482" s="1080"/>
      <c r="RWF482" s="1080"/>
      <c r="RWG482" s="1080"/>
      <c r="RWH482" s="1080"/>
      <c r="RWI482" s="1080"/>
      <c r="RWJ482" s="1080"/>
      <c r="RWK482" s="1080"/>
      <c r="RWL482" s="1080"/>
      <c r="RWM482" s="1080"/>
      <c r="RWN482" s="1080"/>
      <c r="RWO482" s="1080"/>
      <c r="RWP482" s="1080"/>
      <c r="RWQ482" s="1080"/>
      <c r="RWR482" s="1080"/>
      <c r="RWS482" s="1080"/>
      <c r="RWT482" s="1080"/>
      <c r="RWU482" s="1080"/>
      <c r="RWV482" s="1080"/>
      <c r="RWW482" s="1080"/>
      <c r="RWX482" s="1080"/>
      <c r="RWY482" s="1080"/>
      <c r="RWZ482" s="1080"/>
      <c r="RXA482" s="1080"/>
      <c r="RXB482" s="1080"/>
      <c r="RXC482" s="1080"/>
      <c r="RXD482" s="1080"/>
      <c r="RXE482" s="1080"/>
      <c r="RXF482" s="1080"/>
      <c r="RXG482" s="1080"/>
      <c r="RXH482" s="1080"/>
      <c r="RXI482" s="1080"/>
      <c r="RXJ482" s="1080"/>
      <c r="RXK482" s="1080"/>
      <c r="RXL482" s="1080"/>
      <c r="RXM482" s="1080"/>
      <c r="RXN482" s="1080"/>
      <c r="RXO482" s="1080"/>
      <c r="RXP482" s="1080"/>
      <c r="RXQ482" s="1080"/>
      <c r="RXR482" s="1080"/>
      <c r="RXS482" s="1080"/>
      <c r="RXT482" s="1080"/>
      <c r="RXU482" s="1080"/>
      <c r="RXV482" s="1080"/>
      <c r="RXW482" s="1080"/>
      <c r="RXX482" s="1080"/>
      <c r="RXY482" s="1080"/>
      <c r="RXZ482" s="1080"/>
      <c r="RYA482" s="1080"/>
      <c r="RYB482" s="1080"/>
      <c r="RYC482" s="1080"/>
      <c r="RYD482" s="1080"/>
      <c r="RYE482" s="1080"/>
      <c r="RYF482" s="1080"/>
      <c r="RYG482" s="1080"/>
      <c r="RYH482" s="1080"/>
      <c r="RYI482" s="1080"/>
      <c r="RYJ482" s="1080"/>
      <c r="RYK482" s="1080"/>
      <c r="RYL482" s="1080"/>
      <c r="RYM482" s="1080"/>
      <c r="RYN482" s="1080"/>
      <c r="RYO482" s="1080"/>
      <c r="RYP482" s="1080"/>
      <c r="RYQ482" s="1080"/>
      <c r="RYR482" s="1080"/>
      <c r="RYS482" s="1080"/>
      <c r="RYT482" s="1080"/>
      <c r="RYU482" s="1080"/>
      <c r="RYV482" s="1080"/>
      <c r="RYW482" s="1080"/>
      <c r="RYX482" s="1080"/>
      <c r="RYY482" s="1080"/>
      <c r="RYZ482" s="1080"/>
      <c r="RZA482" s="1080"/>
      <c r="RZB482" s="1080"/>
      <c r="RZC482" s="1080"/>
      <c r="RZD482" s="1080"/>
      <c r="RZE482" s="1080"/>
      <c r="RZF482" s="1080"/>
      <c r="RZG482" s="1080"/>
      <c r="RZH482" s="1080"/>
      <c r="RZI482" s="1080"/>
      <c r="RZJ482" s="1080"/>
      <c r="RZK482" s="1080"/>
      <c r="RZL482" s="1080"/>
      <c r="RZM482" s="1080"/>
      <c r="RZN482" s="1080"/>
      <c r="RZO482" s="1080"/>
      <c r="RZP482" s="1080"/>
      <c r="RZQ482" s="1080"/>
      <c r="RZR482" s="1080"/>
      <c r="RZS482" s="1080"/>
      <c r="RZT482" s="1080"/>
      <c r="RZU482" s="1080"/>
      <c r="RZV482" s="1080"/>
      <c r="RZW482" s="1080"/>
      <c r="RZX482" s="1080"/>
      <c r="RZY482" s="1080"/>
      <c r="RZZ482" s="1080"/>
      <c r="SAA482" s="1080"/>
      <c r="SAB482" s="1080"/>
      <c r="SAC482" s="1080"/>
      <c r="SAD482" s="1080"/>
      <c r="SAE482" s="1080"/>
      <c r="SAF482" s="1080"/>
      <c r="SAG482" s="1080"/>
      <c r="SAH482" s="1080"/>
      <c r="SAI482" s="1080"/>
      <c r="SAJ482" s="1080"/>
      <c r="SAK482" s="1080"/>
      <c r="SAL482" s="1080"/>
      <c r="SAM482" s="1080"/>
      <c r="SAN482" s="1080"/>
      <c r="SAO482" s="1080"/>
      <c r="SAP482" s="1080"/>
      <c r="SAQ482" s="1080"/>
      <c r="SAR482" s="1080"/>
      <c r="SAS482" s="1080"/>
      <c r="SAT482" s="1080"/>
      <c r="SAU482" s="1080"/>
      <c r="SAV482" s="1080"/>
      <c r="SAW482" s="1080"/>
      <c r="SAX482" s="1080"/>
      <c r="SAY482" s="1080"/>
      <c r="SAZ482" s="1080"/>
      <c r="SBA482" s="1080"/>
      <c r="SBB482" s="1080"/>
      <c r="SBC482" s="1080"/>
      <c r="SBD482" s="1080"/>
      <c r="SBE482" s="1080"/>
      <c r="SBF482" s="1080"/>
      <c r="SBG482" s="1080"/>
      <c r="SBH482" s="1080"/>
      <c r="SBI482" s="1080"/>
      <c r="SBJ482" s="1080"/>
      <c r="SBK482" s="1080"/>
      <c r="SBL482" s="1080"/>
      <c r="SBM482" s="1080"/>
      <c r="SBN482" s="1080"/>
      <c r="SBO482" s="1080"/>
      <c r="SBP482" s="1080"/>
      <c r="SBQ482" s="1080"/>
      <c r="SBR482" s="1080"/>
      <c r="SBS482" s="1080"/>
      <c r="SBT482" s="1080"/>
      <c r="SBU482" s="1080"/>
      <c r="SBV482" s="1080"/>
      <c r="SBW482" s="1080"/>
      <c r="SBX482" s="1080"/>
      <c r="SBY482" s="1080"/>
      <c r="SBZ482" s="1080"/>
      <c r="SCA482" s="1080"/>
      <c r="SCB482" s="1080"/>
      <c r="SCC482" s="1080"/>
      <c r="SCD482" s="1080"/>
      <c r="SCE482" s="1080"/>
      <c r="SCF482" s="1080"/>
      <c r="SCG482" s="1080"/>
      <c r="SCH482" s="1080"/>
      <c r="SCI482" s="1080"/>
      <c r="SCJ482" s="1080"/>
      <c r="SCK482" s="1080"/>
      <c r="SCL482" s="1080"/>
      <c r="SCM482" s="1080"/>
      <c r="SCN482" s="1080"/>
      <c r="SCO482" s="1080"/>
      <c r="SCP482" s="1080"/>
      <c r="SCQ482" s="1080"/>
      <c r="SCR482" s="1080"/>
      <c r="SCS482" s="1080"/>
      <c r="SCT482" s="1080"/>
      <c r="SCU482" s="1080"/>
      <c r="SCV482" s="1080"/>
      <c r="SCW482" s="1080"/>
      <c r="SCX482" s="1080"/>
      <c r="SCY482" s="1080"/>
      <c r="SCZ482" s="1080"/>
      <c r="SDA482" s="1080"/>
      <c r="SDB482" s="1080"/>
      <c r="SDC482" s="1080"/>
      <c r="SDD482" s="1080"/>
      <c r="SDE482" s="1080"/>
      <c r="SDF482" s="1080"/>
      <c r="SDG482" s="1080"/>
      <c r="SDH482" s="1080"/>
      <c r="SDI482" s="1080"/>
      <c r="SDJ482" s="1080"/>
      <c r="SDK482" s="1080"/>
      <c r="SDL482" s="1080"/>
      <c r="SDM482" s="1080"/>
      <c r="SDN482" s="1080"/>
      <c r="SDO482" s="1080"/>
      <c r="SDP482" s="1080"/>
      <c r="SDQ482" s="1080"/>
      <c r="SDR482" s="1080"/>
      <c r="SDS482" s="1080"/>
      <c r="SDT482" s="1080"/>
      <c r="SDU482" s="1080"/>
      <c r="SDV482" s="1080"/>
      <c r="SDW482" s="1080"/>
      <c r="SDX482" s="1080"/>
      <c r="SDY482" s="1080"/>
      <c r="SDZ482" s="1080"/>
      <c r="SEA482" s="1080"/>
      <c r="SEB482" s="1080"/>
      <c r="SEC482" s="1080"/>
      <c r="SED482" s="1080"/>
      <c r="SEE482" s="1080"/>
      <c r="SEF482" s="1080"/>
      <c r="SEG482" s="1080"/>
      <c r="SEH482" s="1080"/>
      <c r="SEI482" s="1080"/>
      <c r="SEJ482" s="1080"/>
      <c r="SEK482" s="1080"/>
      <c r="SEL482" s="1080"/>
      <c r="SEM482" s="1080"/>
      <c r="SEN482" s="1080"/>
      <c r="SEO482" s="1080"/>
      <c r="SEP482" s="1080"/>
      <c r="SEQ482" s="1080"/>
      <c r="SER482" s="1080"/>
      <c r="SES482" s="1080"/>
      <c r="SET482" s="1080"/>
      <c r="SEU482" s="1080"/>
      <c r="SEV482" s="1080"/>
      <c r="SEW482" s="1080"/>
      <c r="SEX482" s="1080"/>
      <c r="SEY482" s="1080"/>
      <c r="SEZ482" s="1080"/>
      <c r="SFA482" s="1080"/>
      <c r="SFB482" s="1080"/>
      <c r="SFC482" s="1080"/>
      <c r="SFD482" s="1080"/>
      <c r="SFE482" s="1080"/>
      <c r="SFF482" s="1080"/>
      <c r="SFG482" s="1080"/>
      <c r="SFH482" s="1080"/>
      <c r="SFI482" s="1080"/>
      <c r="SFJ482" s="1080"/>
      <c r="SFK482" s="1080"/>
      <c r="SFL482" s="1080"/>
      <c r="SFM482" s="1080"/>
      <c r="SFN482" s="1080"/>
      <c r="SFO482" s="1080"/>
      <c r="SFP482" s="1080"/>
      <c r="SFQ482" s="1080"/>
      <c r="SFR482" s="1080"/>
      <c r="SFS482" s="1080"/>
      <c r="SFT482" s="1080"/>
      <c r="SFU482" s="1080"/>
      <c r="SFV482" s="1080"/>
      <c r="SFW482" s="1080"/>
      <c r="SFX482" s="1080"/>
      <c r="SFY482" s="1080"/>
      <c r="SFZ482" s="1080"/>
      <c r="SGA482" s="1080"/>
      <c r="SGB482" s="1080"/>
      <c r="SGC482" s="1080"/>
      <c r="SGD482" s="1080"/>
      <c r="SGE482" s="1080"/>
      <c r="SGF482" s="1080"/>
      <c r="SGG482" s="1080"/>
      <c r="SGH482" s="1080"/>
      <c r="SGI482" s="1080"/>
      <c r="SGJ482" s="1080"/>
      <c r="SGK482" s="1080"/>
      <c r="SGL482" s="1080"/>
      <c r="SGM482" s="1080"/>
      <c r="SGN482" s="1080"/>
      <c r="SGO482" s="1080"/>
      <c r="SGP482" s="1080"/>
      <c r="SGQ482" s="1080"/>
      <c r="SGR482" s="1080"/>
      <c r="SGS482" s="1080"/>
      <c r="SGT482" s="1080"/>
      <c r="SGU482" s="1080"/>
      <c r="SGV482" s="1080"/>
      <c r="SGW482" s="1080"/>
      <c r="SGX482" s="1080"/>
      <c r="SGY482" s="1080"/>
      <c r="SGZ482" s="1080"/>
      <c r="SHA482" s="1080"/>
      <c r="SHB482" s="1080"/>
      <c r="SHC482" s="1080"/>
      <c r="SHD482" s="1080"/>
      <c r="SHE482" s="1080"/>
      <c r="SHF482" s="1080"/>
      <c r="SHG482" s="1080"/>
      <c r="SHH482" s="1080"/>
      <c r="SHI482" s="1080"/>
      <c r="SHJ482" s="1080"/>
      <c r="SHK482" s="1080"/>
      <c r="SHL482" s="1080"/>
      <c r="SHM482" s="1080"/>
      <c r="SHN482" s="1080"/>
      <c r="SHO482" s="1080"/>
      <c r="SHP482" s="1080"/>
      <c r="SHQ482" s="1080"/>
      <c r="SHR482" s="1080"/>
      <c r="SHS482" s="1080"/>
      <c r="SHT482" s="1080"/>
      <c r="SHU482" s="1080"/>
      <c r="SHV482" s="1080"/>
      <c r="SHW482" s="1080"/>
      <c r="SHX482" s="1080"/>
      <c r="SHY482" s="1080"/>
      <c r="SHZ482" s="1080"/>
      <c r="SIA482" s="1080"/>
      <c r="SIB482" s="1080"/>
      <c r="SIC482" s="1080"/>
      <c r="SID482" s="1080"/>
      <c r="SIE482" s="1080"/>
      <c r="SIF482" s="1080"/>
      <c r="SIG482" s="1080"/>
      <c r="SIH482" s="1080"/>
      <c r="SII482" s="1080"/>
      <c r="SIJ482" s="1080"/>
      <c r="SIK482" s="1080"/>
      <c r="SIL482" s="1080"/>
      <c r="SIM482" s="1080"/>
      <c r="SIN482" s="1080"/>
      <c r="SIO482" s="1080"/>
      <c r="SIP482" s="1080"/>
      <c r="SIQ482" s="1080"/>
      <c r="SIR482" s="1080"/>
      <c r="SIS482" s="1080"/>
      <c r="SIT482" s="1080"/>
      <c r="SIU482" s="1080"/>
      <c r="SIV482" s="1080"/>
      <c r="SIW482" s="1080"/>
      <c r="SIX482" s="1080"/>
      <c r="SIY482" s="1080"/>
      <c r="SIZ482" s="1080"/>
      <c r="SJA482" s="1080"/>
      <c r="SJB482" s="1080"/>
      <c r="SJC482" s="1080"/>
      <c r="SJD482" s="1080"/>
      <c r="SJE482" s="1080"/>
      <c r="SJF482" s="1080"/>
      <c r="SJG482" s="1080"/>
      <c r="SJH482" s="1080"/>
      <c r="SJI482" s="1080"/>
      <c r="SJJ482" s="1080"/>
      <c r="SJK482" s="1080"/>
      <c r="SJL482" s="1080"/>
      <c r="SJM482" s="1080"/>
      <c r="SJN482" s="1080"/>
      <c r="SJO482" s="1080"/>
      <c r="SJP482" s="1080"/>
      <c r="SJQ482" s="1080"/>
      <c r="SJR482" s="1080"/>
      <c r="SJS482" s="1080"/>
      <c r="SJT482" s="1080"/>
      <c r="SJU482" s="1080"/>
      <c r="SJV482" s="1080"/>
      <c r="SJW482" s="1080"/>
      <c r="SJX482" s="1080"/>
      <c r="SJY482" s="1080"/>
      <c r="SJZ482" s="1080"/>
      <c r="SKA482" s="1080"/>
      <c r="SKB482" s="1080"/>
      <c r="SKC482" s="1080"/>
      <c r="SKD482" s="1080"/>
      <c r="SKE482" s="1080"/>
      <c r="SKF482" s="1080"/>
      <c r="SKG482" s="1080"/>
      <c r="SKH482" s="1080"/>
      <c r="SKI482" s="1080"/>
      <c r="SKJ482" s="1080"/>
      <c r="SKK482" s="1080"/>
      <c r="SKL482" s="1080"/>
      <c r="SKM482" s="1080"/>
      <c r="SKN482" s="1080"/>
      <c r="SKO482" s="1080"/>
      <c r="SKP482" s="1080"/>
      <c r="SKQ482" s="1080"/>
      <c r="SKR482" s="1080"/>
      <c r="SKS482" s="1080"/>
      <c r="SKT482" s="1080"/>
      <c r="SKU482" s="1080"/>
      <c r="SKV482" s="1080"/>
      <c r="SKW482" s="1080"/>
      <c r="SKX482" s="1080"/>
      <c r="SKY482" s="1080"/>
      <c r="SKZ482" s="1080"/>
      <c r="SLA482" s="1080"/>
      <c r="SLB482" s="1080"/>
      <c r="SLC482" s="1080"/>
      <c r="SLD482" s="1080"/>
      <c r="SLE482" s="1080"/>
      <c r="SLF482" s="1080"/>
      <c r="SLG482" s="1080"/>
      <c r="SLH482" s="1080"/>
      <c r="SLI482" s="1080"/>
      <c r="SLJ482" s="1080"/>
      <c r="SLK482" s="1080"/>
      <c r="SLL482" s="1080"/>
      <c r="SLM482" s="1080"/>
      <c r="SLN482" s="1080"/>
      <c r="SLO482" s="1080"/>
      <c r="SLP482" s="1080"/>
      <c r="SLQ482" s="1080"/>
      <c r="SLR482" s="1080"/>
      <c r="SLS482" s="1080"/>
      <c r="SLT482" s="1080"/>
      <c r="SLU482" s="1080"/>
      <c r="SLV482" s="1080"/>
      <c r="SLW482" s="1080"/>
      <c r="SLX482" s="1080"/>
      <c r="SLY482" s="1080"/>
      <c r="SLZ482" s="1080"/>
      <c r="SMA482" s="1080"/>
      <c r="SMB482" s="1080"/>
      <c r="SMC482" s="1080"/>
      <c r="SMD482" s="1080"/>
      <c r="SME482" s="1080"/>
      <c r="SMF482" s="1080"/>
      <c r="SMG482" s="1080"/>
      <c r="SMH482" s="1080"/>
      <c r="SMI482" s="1080"/>
      <c r="SMJ482" s="1080"/>
      <c r="SMK482" s="1080"/>
      <c r="SML482" s="1080"/>
      <c r="SMM482" s="1080"/>
      <c r="SMN482" s="1080"/>
      <c r="SMO482" s="1080"/>
      <c r="SMP482" s="1080"/>
      <c r="SMQ482" s="1080"/>
      <c r="SMR482" s="1080"/>
      <c r="SMS482" s="1080"/>
      <c r="SMT482" s="1080"/>
      <c r="SMU482" s="1080"/>
      <c r="SMV482" s="1080"/>
      <c r="SMW482" s="1080"/>
      <c r="SMX482" s="1080"/>
      <c r="SMY482" s="1080"/>
      <c r="SMZ482" s="1080"/>
      <c r="SNA482" s="1080"/>
      <c r="SNB482" s="1080"/>
      <c r="SNC482" s="1080"/>
      <c r="SND482" s="1080"/>
      <c r="SNE482" s="1080"/>
      <c r="SNF482" s="1080"/>
      <c r="SNG482" s="1080"/>
      <c r="SNH482" s="1080"/>
      <c r="SNI482" s="1080"/>
      <c r="SNJ482" s="1080"/>
      <c r="SNK482" s="1080"/>
      <c r="SNL482" s="1080"/>
      <c r="SNM482" s="1080"/>
      <c r="SNN482" s="1080"/>
      <c r="SNO482" s="1080"/>
      <c r="SNP482" s="1080"/>
      <c r="SNQ482" s="1080"/>
      <c r="SNR482" s="1080"/>
      <c r="SNS482" s="1080"/>
      <c r="SNT482" s="1080"/>
      <c r="SNU482" s="1080"/>
      <c r="SNV482" s="1080"/>
      <c r="SNW482" s="1080"/>
      <c r="SNX482" s="1080"/>
      <c r="SNY482" s="1080"/>
      <c r="SNZ482" s="1080"/>
      <c r="SOA482" s="1080"/>
      <c r="SOB482" s="1080"/>
      <c r="SOC482" s="1080"/>
      <c r="SOD482" s="1080"/>
      <c r="SOE482" s="1080"/>
      <c r="SOF482" s="1080"/>
      <c r="SOG482" s="1080"/>
      <c r="SOH482" s="1080"/>
      <c r="SOI482" s="1080"/>
      <c r="SOJ482" s="1080"/>
      <c r="SOK482" s="1080"/>
      <c r="SOL482" s="1080"/>
      <c r="SOM482" s="1080"/>
      <c r="SON482" s="1080"/>
      <c r="SOO482" s="1080"/>
      <c r="SOP482" s="1080"/>
      <c r="SOQ482" s="1080"/>
      <c r="SOR482" s="1080"/>
      <c r="SOS482" s="1080"/>
      <c r="SOT482" s="1080"/>
      <c r="SOU482" s="1080"/>
      <c r="SOV482" s="1080"/>
      <c r="SOW482" s="1080"/>
      <c r="SOX482" s="1080"/>
      <c r="SOY482" s="1080"/>
      <c r="SOZ482" s="1080"/>
      <c r="SPA482" s="1080"/>
      <c r="SPB482" s="1080"/>
      <c r="SPC482" s="1080"/>
      <c r="SPD482" s="1080"/>
      <c r="SPE482" s="1080"/>
      <c r="SPF482" s="1080"/>
      <c r="SPG482" s="1080"/>
      <c r="SPH482" s="1080"/>
      <c r="SPI482" s="1080"/>
      <c r="SPJ482" s="1080"/>
      <c r="SPK482" s="1080"/>
      <c r="SPL482" s="1080"/>
      <c r="SPM482" s="1080"/>
      <c r="SPN482" s="1080"/>
      <c r="SPO482" s="1080"/>
      <c r="SPP482" s="1080"/>
      <c r="SPQ482" s="1080"/>
      <c r="SPR482" s="1080"/>
      <c r="SPS482" s="1080"/>
      <c r="SPT482" s="1080"/>
      <c r="SPU482" s="1080"/>
      <c r="SPV482" s="1080"/>
      <c r="SPW482" s="1080"/>
      <c r="SPX482" s="1080"/>
      <c r="SPY482" s="1080"/>
      <c r="SPZ482" s="1080"/>
      <c r="SQA482" s="1080"/>
      <c r="SQB482" s="1080"/>
      <c r="SQC482" s="1080"/>
      <c r="SQD482" s="1080"/>
      <c r="SQE482" s="1080"/>
      <c r="SQF482" s="1080"/>
      <c r="SQG482" s="1080"/>
      <c r="SQH482" s="1080"/>
      <c r="SQI482" s="1080"/>
      <c r="SQJ482" s="1080"/>
      <c r="SQK482" s="1080"/>
      <c r="SQL482" s="1080"/>
      <c r="SQM482" s="1080"/>
      <c r="SQN482" s="1080"/>
      <c r="SQO482" s="1080"/>
      <c r="SQP482" s="1080"/>
      <c r="SQQ482" s="1080"/>
      <c r="SQR482" s="1080"/>
      <c r="SQS482" s="1080"/>
      <c r="SQT482" s="1080"/>
      <c r="SQU482" s="1080"/>
      <c r="SQV482" s="1080"/>
      <c r="SQW482" s="1080"/>
      <c r="SQX482" s="1080"/>
      <c r="SQY482" s="1080"/>
      <c r="SQZ482" s="1080"/>
      <c r="SRA482" s="1080"/>
      <c r="SRB482" s="1080"/>
      <c r="SRC482" s="1080"/>
      <c r="SRD482" s="1080"/>
      <c r="SRE482" s="1080"/>
      <c r="SRF482" s="1080"/>
      <c r="SRG482" s="1080"/>
      <c r="SRH482" s="1080"/>
      <c r="SRI482" s="1080"/>
      <c r="SRJ482" s="1080"/>
      <c r="SRK482" s="1080"/>
      <c r="SRL482" s="1080"/>
      <c r="SRM482" s="1080"/>
      <c r="SRN482" s="1080"/>
      <c r="SRO482" s="1080"/>
      <c r="SRP482" s="1080"/>
      <c r="SRQ482" s="1080"/>
      <c r="SRR482" s="1080"/>
      <c r="SRS482" s="1080"/>
      <c r="SRT482" s="1080"/>
      <c r="SRU482" s="1080"/>
      <c r="SRV482" s="1080"/>
      <c r="SRW482" s="1080"/>
      <c r="SRX482" s="1080"/>
      <c r="SRY482" s="1080"/>
      <c r="SRZ482" s="1080"/>
      <c r="SSA482" s="1080"/>
      <c r="SSB482" s="1080"/>
      <c r="SSC482" s="1080"/>
      <c r="SSD482" s="1080"/>
      <c r="SSE482" s="1080"/>
      <c r="SSF482" s="1080"/>
      <c r="SSG482" s="1080"/>
      <c r="SSH482" s="1080"/>
      <c r="SSI482" s="1080"/>
      <c r="SSJ482" s="1080"/>
      <c r="SSK482" s="1080"/>
      <c r="SSL482" s="1080"/>
      <c r="SSM482" s="1080"/>
      <c r="SSN482" s="1080"/>
      <c r="SSO482" s="1080"/>
      <c r="SSP482" s="1080"/>
      <c r="SSQ482" s="1080"/>
      <c r="SSR482" s="1080"/>
      <c r="SSS482" s="1080"/>
      <c r="SST482" s="1080"/>
      <c r="SSU482" s="1080"/>
      <c r="SSV482" s="1080"/>
      <c r="SSW482" s="1080"/>
      <c r="SSX482" s="1080"/>
      <c r="SSY482" s="1080"/>
      <c r="SSZ482" s="1080"/>
      <c r="STA482" s="1080"/>
      <c r="STB482" s="1080"/>
      <c r="STC482" s="1080"/>
      <c r="STD482" s="1080"/>
      <c r="STE482" s="1080"/>
      <c r="STF482" s="1080"/>
      <c r="STG482" s="1080"/>
      <c r="STH482" s="1080"/>
      <c r="STI482" s="1080"/>
      <c r="STJ482" s="1080"/>
      <c r="STK482" s="1080"/>
      <c r="STL482" s="1080"/>
      <c r="STM482" s="1080"/>
      <c r="STN482" s="1080"/>
      <c r="STO482" s="1080"/>
      <c r="STP482" s="1080"/>
      <c r="STQ482" s="1080"/>
      <c r="STR482" s="1080"/>
      <c r="STS482" s="1080"/>
      <c r="STT482" s="1080"/>
      <c r="STU482" s="1080"/>
      <c r="STV482" s="1080"/>
      <c r="STW482" s="1080"/>
      <c r="STX482" s="1080"/>
      <c r="STY482" s="1080"/>
      <c r="STZ482" s="1080"/>
      <c r="SUA482" s="1080"/>
      <c r="SUB482" s="1080"/>
      <c r="SUC482" s="1080"/>
      <c r="SUD482" s="1080"/>
      <c r="SUE482" s="1080"/>
      <c r="SUF482" s="1080"/>
      <c r="SUG482" s="1080"/>
      <c r="SUH482" s="1080"/>
      <c r="SUI482" s="1080"/>
      <c r="SUJ482" s="1080"/>
      <c r="SUK482" s="1080"/>
      <c r="SUL482" s="1080"/>
      <c r="SUM482" s="1080"/>
      <c r="SUN482" s="1080"/>
      <c r="SUO482" s="1080"/>
      <c r="SUP482" s="1080"/>
      <c r="SUQ482" s="1080"/>
      <c r="SUR482" s="1080"/>
      <c r="SUS482" s="1080"/>
      <c r="SUT482" s="1080"/>
      <c r="SUU482" s="1080"/>
      <c r="SUV482" s="1080"/>
      <c r="SUW482" s="1080"/>
      <c r="SUX482" s="1080"/>
      <c r="SUY482" s="1080"/>
      <c r="SUZ482" s="1080"/>
      <c r="SVA482" s="1080"/>
      <c r="SVB482" s="1080"/>
      <c r="SVC482" s="1080"/>
      <c r="SVD482" s="1080"/>
      <c r="SVE482" s="1080"/>
      <c r="SVF482" s="1080"/>
      <c r="SVG482" s="1080"/>
      <c r="SVH482" s="1080"/>
      <c r="SVI482" s="1080"/>
      <c r="SVJ482" s="1080"/>
      <c r="SVK482" s="1080"/>
      <c r="SVL482" s="1080"/>
      <c r="SVM482" s="1080"/>
      <c r="SVN482" s="1080"/>
      <c r="SVO482" s="1080"/>
      <c r="SVP482" s="1080"/>
      <c r="SVQ482" s="1080"/>
      <c r="SVR482" s="1080"/>
      <c r="SVS482" s="1080"/>
      <c r="SVT482" s="1080"/>
      <c r="SVU482" s="1080"/>
      <c r="SVV482" s="1080"/>
      <c r="SVW482" s="1080"/>
      <c r="SVX482" s="1080"/>
      <c r="SVY482" s="1080"/>
      <c r="SVZ482" s="1080"/>
      <c r="SWA482" s="1080"/>
      <c r="SWB482" s="1080"/>
      <c r="SWC482" s="1080"/>
      <c r="SWD482" s="1080"/>
      <c r="SWE482" s="1080"/>
      <c r="SWF482" s="1080"/>
      <c r="SWG482" s="1080"/>
      <c r="SWH482" s="1080"/>
      <c r="SWI482" s="1080"/>
      <c r="SWJ482" s="1080"/>
      <c r="SWK482" s="1080"/>
      <c r="SWL482" s="1080"/>
      <c r="SWM482" s="1080"/>
      <c r="SWN482" s="1080"/>
      <c r="SWO482" s="1080"/>
      <c r="SWP482" s="1080"/>
      <c r="SWQ482" s="1080"/>
      <c r="SWR482" s="1080"/>
      <c r="SWS482" s="1080"/>
      <c r="SWT482" s="1080"/>
      <c r="SWU482" s="1080"/>
      <c r="SWV482" s="1080"/>
      <c r="SWW482" s="1080"/>
      <c r="SWX482" s="1080"/>
      <c r="SWY482" s="1080"/>
      <c r="SWZ482" s="1080"/>
      <c r="SXA482" s="1080"/>
      <c r="SXB482" s="1080"/>
      <c r="SXC482" s="1080"/>
      <c r="SXD482" s="1080"/>
      <c r="SXE482" s="1080"/>
      <c r="SXF482" s="1080"/>
      <c r="SXG482" s="1080"/>
      <c r="SXH482" s="1080"/>
      <c r="SXI482" s="1080"/>
      <c r="SXJ482" s="1080"/>
      <c r="SXK482" s="1080"/>
      <c r="SXL482" s="1080"/>
      <c r="SXM482" s="1080"/>
      <c r="SXN482" s="1080"/>
      <c r="SXO482" s="1080"/>
      <c r="SXP482" s="1080"/>
      <c r="SXQ482" s="1080"/>
      <c r="SXR482" s="1080"/>
      <c r="SXS482" s="1080"/>
      <c r="SXT482" s="1080"/>
      <c r="SXU482" s="1080"/>
      <c r="SXV482" s="1080"/>
      <c r="SXW482" s="1080"/>
      <c r="SXX482" s="1080"/>
      <c r="SXY482" s="1080"/>
      <c r="SXZ482" s="1080"/>
      <c r="SYA482" s="1080"/>
      <c r="SYB482" s="1080"/>
      <c r="SYC482" s="1080"/>
      <c r="SYD482" s="1080"/>
      <c r="SYE482" s="1080"/>
      <c r="SYF482" s="1080"/>
      <c r="SYG482" s="1080"/>
      <c r="SYH482" s="1080"/>
      <c r="SYI482" s="1080"/>
      <c r="SYJ482" s="1080"/>
      <c r="SYK482" s="1080"/>
      <c r="SYL482" s="1080"/>
      <c r="SYM482" s="1080"/>
      <c r="SYN482" s="1080"/>
      <c r="SYO482" s="1080"/>
      <c r="SYP482" s="1080"/>
      <c r="SYQ482" s="1080"/>
      <c r="SYR482" s="1080"/>
      <c r="SYS482" s="1080"/>
      <c r="SYT482" s="1080"/>
      <c r="SYU482" s="1080"/>
      <c r="SYV482" s="1080"/>
      <c r="SYW482" s="1080"/>
      <c r="SYX482" s="1080"/>
      <c r="SYY482" s="1080"/>
      <c r="SYZ482" s="1080"/>
      <c r="SZA482" s="1080"/>
      <c r="SZB482" s="1080"/>
      <c r="SZC482" s="1080"/>
      <c r="SZD482" s="1080"/>
      <c r="SZE482" s="1080"/>
      <c r="SZF482" s="1080"/>
      <c r="SZG482" s="1080"/>
      <c r="SZH482" s="1080"/>
      <c r="SZI482" s="1080"/>
      <c r="SZJ482" s="1080"/>
      <c r="SZK482" s="1080"/>
      <c r="SZL482" s="1080"/>
      <c r="SZM482" s="1080"/>
      <c r="SZN482" s="1080"/>
      <c r="SZO482" s="1080"/>
      <c r="SZP482" s="1080"/>
      <c r="SZQ482" s="1080"/>
      <c r="SZR482" s="1080"/>
      <c r="SZS482" s="1080"/>
      <c r="SZT482" s="1080"/>
      <c r="SZU482" s="1080"/>
      <c r="SZV482" s="1080"/>
      <c r="SZW482" s="1080"/>
      <c r="SZX482" s="1080"/>
      <c r="SZY482" s="1080"/>
      <c r="SZZ482" s="1080"/>
      <c r="TAA482" s="1080"/>
      <c r="TAB482" s="1080"/>
      <c r="TAC482" s="1080"/>
      <c r="TAD482" s="1080"/>
      <c r="TAE482" s="1080"/>
      <c r="TAF482" s="1080"/>
      <c r="TAG482" s="1080"/>
      <c r="TAH482" s="1080"/>
      <c r="TAI482" s="1080"/>
      <c r="TAJ482" s="1080"/>
      <c r="TAK482" s="1080"/>
      <c r="TAL482" s="1080"/>
      <c r="TAM482" s="1080"/>
      <c r="TAN482" s="1080"/>
      <c r="TAO482" s="1080"/>
      <c r="TAP482" s="1080"/>
      <c r="TAQ482" s="1080"/>
      <c r="TAR482" s="1080"/>
      <c r="TAS482" s="1080"/>
      <c r="TAT482" s="1080"/>
      <c r="TAU482" s="1080"/>
      <c r="TAV482" s="1080"/>
      <c r="TAW482" s="1080"/>
      <c r="TAX482" s="1080"/>
      <c r="TAY482" s="1080"/>
      <c r="TAZ482" s="1080"/>
      <c r="TBA482" s="1080"/>
      <c r="TBB482" s="1080"/>
      <c r="TBC482" s="1080"/>
      <c r="TBD482" s="1080"/>
      <c r="TBE482" s="1080"/>
      <c r="TBF482" s="1080"/>
      <c r="TBG482" s="1080"/>
      <c r="TBH482" s="1080"/>
      <c r="TBI482" s="1080"/>
      <c r="TBJ482" s="1080"/>
      <c r="TBK482" s="1080"/>
      <c r="TBL482" s="1080"/>
      <c r="TBM482" s="1080"/>
      <c r="TBN482" s="1080"/>
      <c r="TBO482" s="1080"/>
      <c r="TBP482" s="1080"/>
      <c r="TBQ482" s="1080"/>
      <c r="TBR482" s="1080"/>
      <c r="TBS482" s="1080"/>
      <c r="TBT482" s="1080"/>
      <c r="TBU482" s="1080"/>
      <c r="TBV482" s="1080"/>
      <c r="TBW482" s="1080"/>
      <c r="TBX482" s="1080"/>
      <c r="TBY482" s="1080"/>
      <c r="TBZ482" s="1080"/>
      <c r="TCA482" s="1080"/>
      <c r="TCB482" s="1080"/>
      <c r="TCC482" s="1080"/>
      <c r="TCD482" s="1080"/>
      <c r="TCE482" s="1080"/>
      <c r="TCF482" s="1080"/>
      <c r="TCG482" s="1080"/>
      <c r="TCH482" s="1080"/>
      <c r="TCI482" s="1080"/>
      <c r="TCJ482" s="1080"/>
      <c r="TCK482" s="1080"/>
      <c r="TCL482" s="1080"/>
      <c r="TCM482" s="1080"/>
      <c r="TCN482" s="1080"/>
      <c r="TCO482" s="1080"/>
      <c r="TCP482" s="1080"/>
      <c r="TCQ482" s="1080"/>
      <c r="TCR482" s="1080"/>
      <c r="TCS482" s="1080"/>
      <c r="TCT482" s="1080"/>
      <c r="TCU482" s="1080"/>
      <c r="TCV482" s="1080"/>
      <c r="TCW482" s="1080"/>
      <c r="TCX482" s="1080"/>
      <c r="TCY482" s="1080"/>
      <c r="TCZ482" s="1080"/>
      <c r="TDA482" s="1080"/>
      <c r="TDB482" s="1080"/>
      <c r="TDC482" s="1080"/>
      <c r="TDD482" s="1080"/>
      <c r="TDE482" s="1080"/>
      <c r="TDF482" s="1080"/>
      <c r="TDG482" s="1080"/>
      <c r="TDH482" s="1080"/>
      <c r="TDI482" s="1080"/>
      <c r="TDJ482" s="1080"/>
      <c r="TDK482" s="1080"/>
      <c r="TDL482" s="1080"/>
      <c r="TDM482" s="1080"/>
      <c r="TDN482" s="1080"/>
      <c r="TDO482" s="1080"/>
      <c r="TDP482" s="1080"/>
      <c r="TDQ482" s="1080"/>
      <c r="TDR482" s="1080"/>
      <c r="TDS482" s="1080"/>
      <c r="TDT482" s="1080"/>
      <c r="TDU482" s="1080"/>
      <c r="TDV482" s="1080"/>
      <c r="TDW482" s="1080"/>
      <c r="TDX482" s="1080"/>
      <c r="TDY482" s="1080"/>
      <c r="TDZ482" s="1080"/>
      <c r="TEA482" s="1080"/>
      <c r="TEB482" s="1080"/>
      <c r="TEC482" s="1080"/>
      <c r="TED482" s="1080"/>
      <c r="TEE482" s="1080"/>
      <c r="TEF482" s="1080"/>
      <c r="TEG482" s="1080"/>
      <c r="TEH482" s="1080"/>
      <c r="TEI482" s="1080"/>
      <c r="TEJ482" s="1080"/>
      <c r="TEK482" s="1080"/>
      <c r="TEL482" s="1080"/>
      <c r="TEM482" s="1080"/>
      <c r="TEN482" s="1080"/>
      <c r="TEO482" s="1080"/>
      <c r="TEP482" s="1080"/>
      <c r="TEQ482" s="1080"/>
      <c r="TER482" s="1080"/>
      <c r="TES482" s="1080"/>
      <c r="TET482" s="1080"/>
      <c r="TEU482" s="1080"/>
      <c r="TEV482" s="1080"/>
      <c r="TEW482" s="1080"/>
      <c r="TEX482" s="1080"/>
      <c r="TEY482" s="1080"/>
      <c r="TEZ482" s="1080"/>
      <c r="TFA482" s="1080"/>
      <c r="TFB482" s="1080"/>
      <c r="TFC482" s="1080"/>
      <c r="TFD482" s="1080"/>
      <c r="TFE482" s="1080"/>
      <c r="TFF482" s="1080"/>
      <c r="TFG482" s="1080"/>
      <c r="TFH482" s="1080"/>
      <c r="TFI482" s="1080"/>
      <c r="TFJ482" s="1080"/>
      <c r="TFK482" s="1080"/>
      <c r="TFL482" s="1080"/>
      <c r="TFM482" s="1080"/>
      <c r="TFN482" s="1080"/>
      <c r="TFO482" s="1080"/>
      <c r="TFP482" s="1080"/>
      <c r="TFQ482" s="1080"/>
      <c r="TFR482" s="1080"/>
      <c r="TFS482" s="1080"/>
      <c r="TFT482" s="1080"/>
      <c r="TFU482" s="1080"/>
      <c r="TFV482" s="1080"/>
      <c r="TFW482" s="1080"/>
      <c r="TFX482" s="1080"/>
      <c r="TFY482" s="1080"/>
      <c r="TFZ482" s="1080"/>
      <c r="TGA482" s="1080"/>
      <c r="TGB482" s="1080"/>
      <c r="TGC482" s="1080"/>
      <c r="TGD482" s="1080"/>
      <c r="TGE482" s="1080"/>
      <c r="TGF482" s="1080"/>
      <c r="TGG482" s="1080"/>
      <c r="TGH482" s="1080"/>
      <c r="TGI482" s="1080"/>
      <c r="TGJ482" s="1080"/>
      <c r="TGK482" s="1080"/>
      <c r="TGL482" s="1080"/>
      <c r="TGM482" s="1080"/>
      <c r="TGN482" s="1080"/>
      <c r="TGO482" s="1080"/>
      <c r="TGP482" s="1080"/>
      <c r="TGQ482" s="1080"/>
      <c r="TGR482" s="1080"/>
      <c r="TGS482" s="1080"/>
      <c r="TGT482" s="1080"/>
      <c r="TGU482" s="1080"/>
      <c r="TGV482" s="1080"/>
      <c r="TGW482" s="1080"/>
      <c r="TGX482" s="1080"/>
      <c r="TGY482" s="1080"/>
      <c r="TGZ482" s="1080"/>
      <c r="THA482" s="1080"/>
      <c r="THB482" s="1080"/>
      <c r="THC482" s="1080"/>
      <c r="THD482" s="1080"/>
      <c r="THE482" s="1080"/>
      <c r="THF482" s="1080"/>
      <c r="THG482" s="1080"/>
      <c r="THH482" s="1080"/>
      <c r="THI482" s="1080"/>
      <c r="THJ482" s="1080"/>
      <c r="THK482" s="1080"/>
      <c r="THL482" s="1080"/>
      <c r="THM482" s="1080"/>
      <c r="THN482" s="1080"/>
      <c r="THO482" s="1080"/>
      <c r="THP482" s="1080"/>
      <c r="THQ482" s="1080"/>
      <c r="THR482" s="1080"/>
      <c r="THS482" s="1080"/>
      <c r="THT482" s="1080"/>
      <c r="THU482" s="1080"/>
      <c r="THV482" s="1080"/>
      <c r="THW482" s="1080"/>
      <c r="THX482" s="1080"/>
      <c r="THY482" s="1080"/>
      <c r="THZ482" s="1080"/>
      <c r="TIA482" s="1080"/>
      <c r="TIB482" s="1080"/>
      <c r="TIC482" s="1080"/>
      <c r="TID482" s="1080"/>
      <c r="TIE482" s="1080"/>
      <c r="TIF482" s="1080"/>
      <c r="TIG482" s="1080"/>
      <c r="TIH482" s="1080"/>
      <c r="TII482" s="1080"/>
      <c r="TIJ482" s="1080"/>
      <c r="TIK482" s="1080"/>
      <c r="TIL482" s="1080"/>
      <c r="TIM482" s="1080"/>
      <c r="TIN482" s="1080"/>
      <c r="TIO482" s="1080"/>
      <c r="TIP482" s="1080"/>
      <c r="TIQ482" s="1080"/>
      <c r="TIR482" s="1080"/>
      <c r="TIS482" s="1080"/>
      <c r="TIT482" s="1080"/>
      <c r="TIU482" s="1080"/>
      <c r="TIV482" s="1080"/>
      <c r="TIW482" s="1080"/>
      <c r="TIX482" s="1080"/>
      <c r="TIY482" s="1080"/>
      <c r="TIZ482" s="1080"/>
      <c r="TJA482" s="1080"/>
      <c r="TJB482" s="1080"/>
      <c r="TJC482" s="1080"/>
      <c r="TJD482" s="1080"/>
      <c r="TJE482" s="1080"/>
      <c r="TJF482" s="1080"/>
      <c r="TJG482" s="1080"/>
      <c r="TJH482" s="1080"/>
      <c r="TJI482" s="1080"/>
      <c r="TJJ482" s="1080"/>
      <c r="TJK482" s="1080"/>
      <c r="TJL482" s="1080"/>
      <c r="TJM482" s="1080"/>
      <c r="TJN482" s="1080"/>
      <c r="TJO482" s="1080"/>
      <c r="TJP482" s="1080"/>
      <c r="TJQ482" s="1080"/>
      <c r="TJR482" s="1080"/>
      <c r="TJS482" s="1080"/>
      <c r="TJT482" s="1080"/>
      <c r="TJU482" s="1080"/>
      <c r="TJV482" s="1080"/>
      <c r="TJW482" s="1080"/>
      <c r="TJX482" s="1080"/>
      <c r="TJY482" s="1080"/>
      <c r="TJZ482" s="1080"/>
      <c r="TKA482" s="1080"/>
      <c r="TKB482" s="1080"/>
      <c r="TKC482" s="1080"/>
      <c r="TKD482" s="1080"/>
      <c r="TKE482" s="1080"/>
      <c r="TKF482" s="1080"/>
      <c r="TKG482" s="1080"/>
      <c r="TKH482" s="1080"/>
      <c r="TKI482" s="1080"/>
      <c r="TKJ482" s="1080"/>
      <c r="TKK482" s="1080"/>
      <c r="TKL482" s="1080"/>
      <c r="TKM482" s="1080"/>
      <c r="TKN482" s="1080"/>
      <c r="TKO482" s="1080"/>
      <c r="TKP482" s="1080"/>
      <c r="TKQ482" s="1080"/>
      <c r="TKR482" s="1080"/>
      <c r="TKS482" s="1080"/>
      <c r="TKT482" s="1080"/>
      <c r="TKU482" s="1080"/>
      <c r="TKV482" s="1080"/>
      <c r="TKW482" s="1080"/>
      <c r="TKX482" s="1080"/>
      <c r="TKY482" s="1080"/>
      <c r="TKZ482" s="1080"/>
      <c r="TLA482" s="1080"/>
      <c r="TLB482" s="1080"/>
      <c r="TLC482" s="1080"/>
      <c r="TLD482" s="1080"/>
      <c r="TLE482" s="1080"/>
      <c r="TLF482" s="1080"/>
      <c r="TLG482" s="1080"/>
      <c r="TLH482" s="1080"/>
      <c r="TLI482" s="1080"/>
      <c r="TLJ482" s="1080"/>
      <c r="TLK482" s="1080"/>
      <c r="TLL482" s="1080"/>
      <c r="TLM482" s="1080"/>
      <c r="TLN482" s="1080"/>
      <c r="TLO482" s="1080"/>
      <c r="TLP482" s="1080"/>
      <c r="TLQ482" s="1080"/>
      <c r="TLR482" s="1080"/>
      <c r="TLS482" s="1080"/>
      <c r="TLT482" s="1080"/>
      <c r="TLU482" s="1080"/>
      <c r="TLV482" s="1080"/>
      <c r="TLW482" s="1080"/>
      <c r="TLX482" s="1080"/>
      <c r="TLY482" s="1080"/>
      <c r="TLZ482" s="1080"/>
      <c r="TMA482" s="1080"/>
      <c r="TMB482" s="1080"/>
      <c r="TMC482" s="1080"/>
      <c r="TMD482" s="1080"/>
      <c r="TME482" s="1080"/>
      <c r="TMF482" s="1080"/>
      <c r="TMG482" s="1080"/>
      <c r="TMH482" s="1080"/>
      <c r="TMI482" s="1080"/>
      <c r="TMJ482" s="1080"/>
      <c r="TMK482" s="1080"/>
      <c r="TML482" s="1080"/>
      <c r="TMM482" s="1080"/>
      <c r="TMN482" s="1080"/>
      <c r="TMO482" s="1080"/>
      <c r="TMP482" s="1080"/>
      <c r="TMQ482" s="1080"/>
      <c r="TMR482" s="1080"/>
      <c r="TMS482" s="1080"/>
      <c r="TMT482" s="1080"/>
      <c r="TMU482" s="1080"/>
      <c r="TMV482" s="1080"/>
      <c r="TMW482" s="1080"/>
      <c r="TMX482" s="1080"/>
      <c r="TMY482" s="1080"/>
      <c r="TMZ482" s="1080"/>
      <c r="TNA482" s="1080"/>
      <c r="TNB482" s="1080"/>
      <c r="TNC482" s="1080"/>
      <c r="TND482" s="1080"/>
      <c r="TNE482" s="1080"/>
      <c r="TNF482" s="1080"/>
      <c r="TNG482" s="1080"/>
      <c r="TNH482" s="1080"/>
      <c r="TNI482" s="1080"/>
      <c r="TNJ482" s="1080"/>
      <c r="TNK482" s="1080"/>
      <c r="TNL482" s="1080"/>
      <c r="TNM482" s="1080"/>
      <c r="TNN482" s="1080"/>
      <c r="TNO482" s="1080"/>
      <c r="TNP482" s="1080"/>
      <c r="TNQ482" s="1080"/>
      <c r="TNR482" s="1080"/>
      <c r="TNS482" s="1080"/>
      <c r="TNT482" s="1080"/>
      <c r="TNU482" s="1080"/>
      <c r="TNV482" s="1080"/>
      <c r="TNW482" s="1080"/>
      <c r="TNX482" s="1080"/>
      <c r="TNY482" s="1080"/>
      <c r="TNZ482" s="1080"/>
      <c r="TOA482" s="1080"/>
      <c r="TOB482" s="1080"/>
      <c r="TOC482" s="1080"/>
      <c r="TOD482" s="1080"/>
      <c r="TOE482" s="1080"/>
      <c r="TOF482" s="1080"/>
      <c r="TOG482" s="1080"/>
      <c r="TOH482" s="1080"/>
      <c r="TOI482" s="1080"/>
      <c r="TOJ482" s="1080"/>
      <c r="TOK482" s="1080"/>
      <c r="TOL482" s="1080"/>
      <c r="TOM482" s="1080"/>
      <c r="TON482" s="1080"/>
      <c r="TOO482" s="1080"/>
      <c r="TOP482" s="1080"/>
      <c r="TOQ482" s="1080"/>
      <c r="TOR482" s="1080"/>
      <c r="TOS482" s="1080"/>
      <c r="TOT482" s="1080"/>
      <c r="TOU482" s="1080"/>
      <c r="TOV482" s="1080"/>
      <c r="TOW482" s="1080"/>
      <c r="TOX482" s="1080"/>
      <c r="TOY482" s="1080"/>
      <c r="TOZ482" s="1080"/>
      <c r="TPA482" s="1080"/>
      <c r="TPB482" s="1080"/>
      <c r="TPC482" s="1080"/>
      <c r="TPD482" s="1080"/>
      <c r="TPE482" s="1080"/>
      <c r="TPF482" s="1080"/>
      <c r="TPG482" s="1080"/>
      <c r="TPH482" s="1080"/>
      <c r="TPI482" s="1080"/>
      <c r="TPJ482" s="1080"/>
      <c r="TPK482" s="1080"/>
      <c r="TPL482" s="1080"/>
      <c r="TPM482" s="1080"/>
      <c r="TPN482" s="1080"/>
      <c r="TPO482" s="1080"/>
      <c r="TPP482" s="1080"/>
      <c r="TPQ482" s="1080"/>
      <c r="TPR482" s="1080"/>
      <c r="TPS482" s="1080"/>
      <c r="TPT482" s="1080"/>
      <c r="TPU482" s="1080"/>
      <c r="TPV482" s="1080"/>
      <c r="TPW482" s="1080"/>
      <c r="TPX482" s="1080"/>
      <c r="TPY482" s="1080"/>
      <c r="TPZ482" s="1080"/>
      <c r="TQA482" s="1080"/>
      <c r="TQB482" s="1080"/>
      <c r="TQC482" s="1080"/>
      <c r="TQD482" s="1080"/>
      <c r="TQE482" s="1080"/>
      <c r="TQF482" s="1080"/>
      <c r="TQG482" s="1080"/>
      <c r="TQH482" s="1080"/>
      <c r="TQI482" s="1080"/>
      <c r="TQJ482" s="1080"/>
      <c r="TQK482" s="1080"/>
      <c r="TQL482" s="1080"/>
      <c r="TQM482" s="1080"/>
      <c r="TQN482" s="1080"/>
      <c r="TQO482" s="1080"/>
      <c r="TQP482" s="1080"/>
      <c r="TQQ482" s="1080"/>
      <c r="TQR482" s="1080"/>
      <c r="TQS482" s="1080"/>
      <c r="TQT482" s="1080"/>
      <c r="TQU482" s="1080"/>
      <c r="TQV482" s="1080"/>
      <c r="TQW482" s="1080"/>
      <c r="TQX482" s="1080"/>
      <c r="TQY482" s="1080"/>
      <c r="TQZ482" s="1080"/>
      <c r="TRA482" s="1080"/>
      <c r="TRB482" s="1080"/>
      <c r="TRC482" s="1080"/>
      <c r="TRD482" s="1080"/>
      <c r="TRE482" s="1080"/>
      <c r="TRF482" s="1080"/>
      <c r="TRG482" s="1080"/>
      <c r="TRH482" s="1080"/>
      <c r="TRI482" s="1080"/>
      <c r="TRJ482" s="1080"/>
      <c r="TRK482" s="1080"/>
      <c r="TRL482" s="1080"/>
      <c r="TRM482" s="1080"/>
      <c r="TRN482" s="1080"/>
      <c r="TRO482" s="1080"/>
      <c r="TRP482" s="1080"/>
      <c r="TRQ482" s="1080"/>
      <c r="TRR482" s="1080"/>
      <c r="TRS482" s="1080"/>
      <c r="TRT482" s="1080"/>
      <c r="TRU482" s="1080"/>
      <c r="TRV482" s="1080"/>
      <c r="TRW482" s="1080"/>
      <c r="TRX482" s="1080"/>
      <c r="TRY482" s="1080"/>
      <c r="TRZ482" s="1080"/>
      <c r="TSA482" s="1080"/>
      <c r="TSB482" s="1080"/>
      <c r="TSC482" s="1080"/>
      <c r="TSD482" s="1080"/>
      <c r="TSE482" s="1080"/>
      <c r="TSF482" s="1080"/>
      <c r="TSG482" s="1080"/>
      <c r="TSH482" s="1080"/>
      <c r="TSI482" s="1080"/>
      <c r="TSJ482" s="1080"/>
      <c r="TSK482" s="1080"/>
      <c r="TSL482" s="1080"/>
      <c r="TSM482" s="1080"/>
      <c r="TSN482" s="1080"/>
      <c r="TSO482" s="1080"/>
      <c r="TSP482" s="1080"/>
      <c r="TSQ482" s="1080"/>
      <c r="TSR482" s="1080"/>
      <c r="TSS482" s="1080"/>
      <c r="TST482" s="1080"/>
      <c r="TSU482" s="1080"/>
      <c r="TSV482" s="1080"/>
      <c r="TSW482" s="1080"/>
      <c r="TSX482" s="1080"/>
      <c r="TSY482" s="1080"/>
      <c r="TSZ482" s="1080"/>
      <c r="TTA482" s="1080"/>
      <c r="TTB482" s="1080"/>
      <c r="TTC482" s="1080"/>
      <c r="TTD482" s="1080"/>
      <c r="TTE482" s="1080"/>
      <c r="TTF482" s="1080"/>
      <c r="TTG482" s="1080"/>
      <c r="TTH482" s="1080"/>
      <c r="TTI482" s="1080"/>
      <c r="TTJ482" s="1080"/>
      <c r="TTK482" s="1080"/>
      <c r="TTL482" s="1080"/>
      <c r="TTM482" s="1080"/>
      <c r="TTN482" s="1080"/>
      <c r="TTO482" s="1080"/>
      <c r="TTP482" s="1080"/>
      <c r="TTQ482" s="1080"/>
      <c r="TTR482" s="1080"/>
      <c r="TTS482" s="1080"/>
      <c r="TTT482" s="1080"/>
      <c r="TTU482" s="1080"/>
      <c r="TTV482" s="1080"/>
      <c r="TTW482" s="1080"/>
      <c r="TTX482" s="1080"/>
      <c r="TTY482" s="1080"/>
      <c r="TTZ482" s="1080"/>
      <c r="TUA482" s="1080"/>
      <c r="TUB482" s="1080"/>
      <c r="TUC482" s="1080"/>
      <c r="TUD482" s="1080"/>
      <c r="TUE482" s="1080"/>
      <c r="TUF482" s="1080"/>
      <c r="TUG482" s="1080"/>
      <c r="TUH482" s="1080"/>
      <c r="TUI482" s="1080"/>
      <c r="TUJ482" s="1080"/>
      <c r="TUK482" s="1080"/>
      <c r="TUL482" s="1080"/>
      <c r="TUM482" s="1080"/>
      <c r="TUN482" s="1080"/>
      <c r="TUO482" s="1080"/>
      <c r="TUP482" s="1080"/>
      <c r="TUQ482" s="1080"/>
      <c r="TUR482" s="1080"/>
      <c r="TUS482" s="1080"/>
      <c r="TUT482" s="1080"/>
      <c r="TUU482" s="1080"/>
      <c r="TUV482" s="1080"/>
      <c r="TUW482" s="1080"/>
      <c r="TUX482" s="1080"/>
      <c r="TUY482" s="1080"/>
      <c r="TUZ482" s="1080"/>
      <c r="TVA482" s="1080"/>
      <c r="TVB482" s="1080"/>
      <c r="TVC482" s="1080"/>
      <c r="TVD482" s="1080"/>
      <c r="TVE482" s="1080"/>
      <c r="TVF482" s="1080"/>
      <c r="TVG482" s="1080"/>
      <c r="TVH482" s="1080"/>
      <c r="TVI482" s="1080"/>
      <c r="TVJ482" s="1080"/>
      <c r="TVK482" s="1080"/>
      <c r="TVL482" s="1080"/>
      <c r="TVM482" s="1080"/>
      <c r="TVN482" s="1080"/>
      <c r="TVO482" s="1080"/>
      <c r="TVP482" s="1080"/>
      <c r="TVQ482" s="1080"/>
      <c r="TVR482" s="1080"/>
      <c r="TVS482" s="1080"/>
      <c r="TVT482" s="1080"/>
      <c r="TVU482" s="1080"/>
      <c r="TVV482" s="1080"/>
      <c r="TVW482" s="1080"/>
      <c r="TVX482" s="1080"/>
      <c r="TVY482" s="1080"/>
      <c r="TVZ482" s="1080"/>
      <c r="TWA482" s="1080"/>
      <c r="TWB482" s="1080"/>
      <c r="TWC482" s="1080"/>
      <c r="TWD482" s="1080"/>
      <c r="TWE482" s="1080"/>
      <c r="TWF482" s="1080"/>
      <c r="TWG482" s="1080"/>
      <c r="TWH482" s="1080"/>
      <c r="TWI482" s="1080"/>
      <c r="TWJ482" s="1080"/>
      <c r="TWK482" s="1080"/>
      <c r="TWL482" s="1080"/>
      <c r="TWM482" s="1080"/>
      <c r="TWN482" s="1080"/>
      <c r="TWO482" s="1080"/>
      <c r="TWP482" s="1080"/>
      <c r="TWQ482" s="1080"/>
      <c r="TWR482" s="1080"/>
      <c r="TWS482" s="1080"/>
      <c r="TWT482" s="1080"/>
      <c r="TWU482" s="1080"/>
      <c r="TWV482" s="1080"/>
      <c r="TWW482" s="1080"/>
      <c r="TWX482" s="1080"/>
      <c r="TWY482" s="1080"/>
      <c r="TWZ482" s="1080"/>
      <c r="TXA482" s="1080"/>
      <c r="TXB482" s="1080"/>
      <c r="TXC482" s="1080"/>
      <c r="TXD482" s="1080"/>
      <c r="TXE482" s="1080"/>
      <c r="TXF482" s="1080"/>
      <c r="TXG482" s="1080"/>
      <c r="TXH482" s="1080"/>
      <c r="TXI482" s="1080"/>
      <c r="TXJ482" s="1080"/>
      <c r="TXK482" s="1080"/>
      <c r="TXL482" s="1080"/>
      <c r="TXM482" s="1080"/>
      <c r="TXN482" s="1080"/>
      <c r="TXO482" s="1080"/>
      <c r="TXP482" s="1080"/>
      <c r="TXQ482" s="1080"/>
      <c r="TXR482" s="1080"/>
      <c r="TXS482" s="1080"/>
      <c r="TXT482" s="1080"/>
      <c r="TXU482" s="1080"/>
      <c r="TXV482" s="1080"/>
      <c r="TXW482" s="1080"/>
      <c r="TXX482" s="1080"/>
      <c r="TXY482" s="1080"/>
      <c r="TXZ482" s="1080"/>
      <c r="TYA482" s="1080"/>
      <c r="TYB482" s="1080"/>
      <c r="TYC482" s="1080"/>
      <c r="TYD482" s="1080"/>
      <c r="TYE482" s="1080"/>
      <c r="TYF482" s="1080"/>
      <c r="TYG482" s="1080"/>
      <c r="TYH482" s="1080"/>
      <c r="TYI482" s="1080"/>
      <c r="TYJ482" s="1080"/>
      <c r="TYK482" s="1080"/>
      <c r="TYL482" s="1080"/>
      <c r="TYM482" s="1080"/>
      <c r="TYN482" s="1080"/>
      <c r="TYO482" s="1080"/>
      <c r="TYP482" s="1080"/>
      <c r="TYQ482" s="1080"/>
      <c r="TYR482" s="1080"/>
      <c r="TYS482" s="1080"/>
      <c r="TYT482" s="1080"/>
      <c r="TYU482" s="1080"/>
      <c r="TYV482" s="1080"/>
      <c r="TYW482" s="1080"/>
      <c r="TYX482" s="1080"/>
      <c r="TYY482" s="1080"/>
      <c r="TYZ482" s="1080"/>
      <c r="TZA482" s="1080"/>
      <c r="TZB482" s="1080"/>
      <c r="TZC482" s="1080"/>
      <c r="TZD482" s="1080"/>
      <c r="TZE482" s="1080"/>
      <c r="TZF482" s="1080"/>
      <c r="TZG482" s="1080"/>
      <c r="TZH482" s="1080"/>
      <c r="TZI482" s="1080"/>
      <c r="TZJ482" s="1080"/>
      <c r="TZK482" s="1080"/>
      <c r="TZL482" s="1080"/>
      <c r="TZM482" s="1080"/>
      <c r="TZN482" s="1080"/>
      <c r="TZO482" s="1080"/>
      <c r="TZP482" s="1080"/>
      <c r="TZQ482" s="1080"/>
      <c r="TZR482" s="1080"/>
      <c r="TZS482" s="1080"/>
      <c r="TZT482" s="1080"/>
      <c r="TZU482" s="1080"/>
      <c r="TZV482" s="1080"/>
      <c r="TZW482" s="1080"/>
      <c r="TZX482" s="1080"/>
      <c r="TZY482" s="1080"/>
      <c r="TZZ482" s="1080"/>
      <c r="UAA482" s="1080"/>
      <c r="UAB482" s="1080"/>
      <c r="UAC482" s="1080"/>
      <c r="UAD482" s="1080"/>
      <c r="UAE482" s="1080"/>
      <c r="UAF482" s="1080"/>
      <c r="UAG482" s="1080"/>
      <c r="UAH482" s="1080"/>
      <c r="UAI482" s="1080"/>
      <c r="UAJ482" s="1080"/>
      <c r="UAK482" s="1080"/>
      <c r="UAL482" s="1080"/>
      <c r="UAM482" s="1080"/>
      <c r="UAN482" s="1080"/>
      <c r="UAO482" s="1080"/>
      <c r="UAP482" s="1080"/>
      <c r="UAQ482" s="1080"/>
      <c r="UAR482" s="1080"/>
      <c r="UAS482" s="1080"/>
      <c r="UAT482" s="1080"/>
      <c r="UAU482" s="1080"/>
      <c r="UAV482" s="1080"/>
      <c r="UAW482" s="1080"/>
      <c r="UAX482" s="1080"/>
      <c r="UAY482" s="1080"/>
      <c r="UAZ482" s="1080"/>
      <c r="UBA482" s="1080"/>
      <c r="UBB482" s="1080"/>
      <c r="UBC482" s="1080"/>
      <c r="UBD482" s="1080"/>
      <c r="UBE482" s="1080"/>
      <c r="UBF482" s="1080"/>
      <c r="UBG482" s="1080"/>
      <c r="UBH482" s="1080"/>
      <c r="UBI482" s="1080"/>
      <c r="UBJ482" s="1080"/>
      <c r="UBK482" s="1080"/>
      <c r="UBL482" s="1080"/>
      <c r="UBM482" s="1080"/>
      <c r="UBN482" s="1080"/>
      <c r="UBO482" s="1080"/>
      <c r="UBP482" s="1080"/>
      <c r="UBQ482" s="1080"/>
      <c r="UBR482" s="1080"/>
      <c r="UBS482" s="1080"/>
      <c r="UBT482" s="1080"/>
      <c r="UBU482" s="1080"/>
      <c r="UBV482" s="1080"/>
      <c r="UBW482" s="1080"/>
      <c r="UBX482" s="1080"/>
      <c r="UBY482" s="1080"/>
      <c r="UBZ482" s="1080"/>
      <c r="UCA482" s="1080"/>
      <c r="UCB482" s="1080"/>
      <c r="UCC482" s="1080"/>
      <c r="UCD482" s="1080"/>
      <c r="UCE482" s="1080"/>
      <c r="UCF482" s="1080"/>
      <c r="UCG482" s="1080"/>
      <c r="UCH482" s="1080"/>
      <c r="UCI482" s="1080"/>
      <c r="UCJ482" s="1080"/>
      <c r="UCK482" s="1080"/>
      <c r="UCL482" s="1080"/>
      <c r="UCM482" s="1080"/>
      <c r="UCN482" s="1080"/>
      <c r="UCO482" s="1080"/>
      <c r="UCP482" s="1080"/>
      <c r="UCQ482" s="1080"/>
      <c r="UCR482" s="1080"/>
      <c r="UCS482" s="1080"/>
      <c r="UCT482" s="1080"/>
      <c r="UCU482" s="1080"/>
      <c r="UCV482" s="1080"/>
      <c r="UCW482" s="1080"/>
      <c r="UCX482" s="1080"/>
      <c r="UCY482" s="1080"/>
      <c r="UCZ482" s="1080"/>
      <c r="UDA482" s="1080"/>
      <c r="UDB482" s="1080"/>
      <c r="UDC482" s="1080"/>
      <c r="UDD482" s="1080"/>
      <c r="UDE482" s="1080"/>
      <c r="UDF482" s="1080"/>
      <c r="UDG482" s="1080"/>
      <c r="UDH482" s="1080"/>
      <c r="UDI482" s="1080"/>
      <c r="UDJ482" s="1080"/>
      <c r="UDK482" s="1080"/>
      <c r="UDL482" s="1080"/>
      <c r="UDM482" s="1080"/>
      <c r="UDN482" s="1080"/>
      <c r="UDO482" s="1080"/>
      <c r="UDP482" s="1080"/>
      <c r="UDQ482" s="1080"/>
      <c r="UDR482" s="1080"/>
      <c r="UDS482" s="1080"/>
      <c r="UDT482" s="1080"/>
      <c r="UDU482" s="1080"/>
      <c r="UDV482" s="1080"/>
      <c r="UDW482" s="1080"/>
      <c r="UDX482" s="1080"/>
      <c r="UDY482" s="1080"/>
      <c r="UDZ482" s="1080"/>
      <c r="UEA482" s="1080"/>
      <c r="UEB482" s="1080"/>
      <c r="UEC482" s="1080"/>
      <c r="UED482" s="1080"/>
      <c r="UEE482" s="1080"/>
      <c r="UEF482" s="1080"/>
      <c r="UEG482" s="1080"/>
      <c r="UEH482" s="1080"/>
      <c r="UEI482" s="1080"/>
      <c r="UEJ482" s="1080"/>
      <c r="UEK482" s="1080"/>
      <c r="UEL482" s="1080"/>
      <c r="UEM482" s="1080"/>
      <c r="UEN482" s="1080"/>
      <c r="UEO482" s="1080"/>
      <c r="UEP482" s="1080"/>
      <c r="UEQ482" s="1080"/>
      <c r="UER482" s="1080"/>
      <c r="UES482" s="1080"/>
      <c r="UET482" s="1080"/>
      <c r="UEU482" s="1080"/>
      <c r="UEV482" s="1080"/>
      <c r="UEW482" s="1080"/>
      <c r="UEX482" s="1080"/>
      <c r="UEY482" s="1080"/>
      <c r="UEZ482" s="1080"/>
      <c r="UFA482" s="1080"/>
      <c r="UFB482" s="1080"/>
      <c r="UFC482" s="1080"/>
      <c r="UFD482" s="1080"/>
      <c r="UFE482" s="1080"/>
      <c r="UFF482" s="1080"/>
      <c r="UFG482" s="1080"/>
      <c r="UFH482" s="1080"/>
      <c r="UFI482" s="1080"/>
      <c r="UFJ482" s="1080"/>
      <c r="UFK482" s="1080"/>
      <c r="UFL482" s="1080"/>
      <c r="UFM482" s="1080"/>
      <c r="UFN482" s="1080"/>
      <c r="UFO482" s="1080"/>
      <c r="UFP482" s="1080"/>
      <c r="UFQ482" s="1080"/>
      <c r="UFR482" s="1080"/>
      <c r="UFS482" s="1080"/>
      <c r="UFT482" s="1080"/>
      <c r="UFU482" s="1080"/>
      <c r="UFV482" s="1080"/>
      <c r="UFW482" s="1080"/>
      <c r="UFX482" s="1080"/>
      <c r="UFY482" s="1080"/>
      <c r="UFZ482" s="1080"/>
      <c r="UGA482" s="1080"/>
      <c r="UGB482" s="1080"/>
      <c r="UGC482" s="1080"/>
      <c r="UGD482" s="1080"/>
      <c r="UGE482" s="1080"/>
      <c r="UGF482" s="1080"/>
      <c r="UGG482" s="1080"/>
      <c r="UGH482" s="1080"/>
      <c r="UGI482" s="1080"/>
      <c r="UGJ482" s="1080"/>
      <c r="UGK482" s="1080"/>
      <c r="UGL482" s="1080"/>
      <c r="UGM482" s="1080"/>
      <c r="UGN482" s="1080"/>
      <c r="UGO482" s="1080"/>
      <c r="UGP482" s="1080"/>
      <c r="UGQ482" s="1080"/>
      <c r="UGR482" s="1080"/>
      <c r="UGS482" s="1080"/>
      <c r="UGT482" s="1080"/>
      <c r="UGU482" s="1080"/>
      <c r="UGV482" s="1080"/>
      <c r="UGW482" s="1080"/>
      <c r="UGX482" s="1080"/>
      <c r="UGY482" s="1080"/>
      <c r="UGZ482" s="1080"/>
      <c r="UHA482" s="1080"/>
      <c r="UHB482" s="1080"/>
      <c r="UHC482" s="1080"/>
      <c r="UHD482" s="1080"/>
      <c r="UHE482" s="1080"/>
      <c r="UHF482" s="1080"/>
      <c r="UHG482" s="1080"/>
      <c r="UHH482" s="1080"/>
      <c r="UHI482" s="1080"/>
      <c r="UHJ482" s="1080"/>
      <c r="UHK482" s="1080"/>
      <c r="UHL482" s="1080"/>
      <c r="UHM482" s="1080"/>
      <c r="UHN482" s="1080"/>
      <c r="UHO482" s="1080"/>
      <c r="UHP482" s="1080"/>
      <c r="UHQ482" s="1080"/>
      <c r="UHR482" s="1080"/>
      <c r="UHS482" s="1080"/>
      <c r="UHT482" s="1080"/>
      <c r="UHU482" s="1080"/>
      <c r="UHV482" s="1080"/>
      <c r="UHW482" s="1080"/>
      <c r="UHX482" s="1080"/>
      <c r="UHY482" s="1080"/>
      <c r="UHZ482" s="1080"/>
      <c r="UIA482" s="1080"/>
      <c r="UIB482" s="1080"/>
      <c r="UIC482" s="1080"/>
      <c r="UID482" s="1080"/>
      <c r="UIE482" s="1080"/>
      <c r="UIF482" s="1080"/>
      <c r="UIG482" s="1080"/>
      <c r="UIH482" s="1080"/>
      <c r="UII482" s="1080"/>
      <c r="UIJ482" s="1080"/>
      <c r="UIK482" s="1080"/>
      <c r="UIL482" s="1080"/>
      <c r="UIM482" s="1080"/>
      <c r="UIN482" s="1080"/>
      <c r="UIO482" s="1080"/>
      <c r="UIP482" s="1080"/>
      <c r="UIQ482" s="1080"/>
      <c r="UIR482" s="1080"/>
      <c r="UIS482" s="1080"/>
      <c r="UIT482" s="1080"/>
      <c r="UIU482" s="1080"/>
      <c r="UIV482" s="1080"/>
      <c r="UIW482" s="1080"/>
      <c r="UIX482" s="1080"/>
      <c r="UIY482" s="1080"/>
      <c r="UIZ482" s="1080"/>
      <c r="UJA482" s="1080"/>
      <c r="UJB482" s="1080"/>
      <c r="UJC482" s="1080"/>
      <c r="UJD482" s="1080"/>
      <c r="UJE482" s="1080"/>
      <c r="UJF482" s="1080"/>
      <c r="UJG482" s="1080"/>
      <c r="UJH482" s="1080"/>
      <c r="UJI482" s="1080"/>
      <c r="UJJ482" s="1080"/>
      <c r="UJK482" s="1080"/>
      <c r="UJL482" s="1080"/>
      <c r="UJM482" s="1080"/>
      <c r="UJN482" s="1080"/>
      <c r="UJO482" s="1080"/>
      <c r="UJP482" s="1080"/>
      <c r="UJQ482" s="1080"/>
      <c r="UJR482" s="1080"/>
      <c r="UJS482" s="1080"/>
      <c r="UJT482" s="1080"/>
      <c r="UJU482" s="1080"/>
      <c r="UJV482" s="1080"/>
      <c r="UJW482" s="1080"/>
      <c r="UJX482" s="1080"/>
      <c r="UJY482" s="1080"/>
      <c r="UJZ482" s="1080"/>
      <c r="UKA482" s="1080"/>
      <c r="UKB482" s="1080"/>
      <c r="UKC482" s="1080"/>
      <c r="UKD482" s="1080"/>
      <c r="UKE482" s="1080"/>
      <c r="UKF482" s="1080"/>
      <c r="UKG482" s="1080"/>
      <c r="UKH482" s="1080"/>
      <c r="UKI482" s="1080"/>
      <c r="UKJ482" s="1080"/>
      <c r="UKK482" s="1080"/>
      <c r="UKL482" s="1080"/>
      <c r="UKM482" s="1080"/>
      <c r="UKN482" s="1080"/>
      <c r="UKO482" s="1080"/>
      <c r="UKP482" s="1080"/>
      <c r="UKQ482" s="1080"/>
      <c r="UKR482" s="1080"/>
      <c r="UKS482" s="1080"/>
      <c r="UKT482" s="1080"/>
      <c r="UKU482" s="1080"/>
      <c r="UKV482" s="1080"/>
      <c r="UKW482" s="1080"/>
      <c r="UKX482" s="1080"/>
      <c r="UKY482" s="1080"/>
      <c r="UKZ482" s="1080"/>
      <c r="ULA482" s="1080"/>
      <c r="ULB482" s="1080"/>
      <c r="ULC482" s="1080"/>
      <c r="ULD482" s="1080"/>
      <c r="ULE482" s="1080"/>
      <c r="ULF482" s="1080"/>
      <c r="ULG482" s="1080"/>
      <c r="ULH482" s="1080"/>
      <c r="ULI482" s="1080"/>
      <c r="ULJ482" s="1080"/>
      <c r="ULK482" s="1080"/>
      <c r="ULL482" s="1080"/>
      <c r="ULM482" s="1080"/>
      <c r="ULN482" s="1080"/>
      <c r="ULO482" s="1080"/>
      <c r="ULP482" s="1080"/>
      <c r="ULQ482" s="1080"/>
      <c r="ULR482" s="1080"/>
      <c r="ULS482" s="1080"/>
      <c r="ULT482" s="1080"/>
      <c r="ULU482" s="1080"/>
      <c r="ULV482" s="1080"/>
      <c r="ULW482" s="1080"/>
      <c r="ULX482" s="1080"/>
      <c r="ULY482" s="1080"/>
      <c r="ULZ482" s="1080"/>
      <c r="UMA482" s="1080"/>
      <c r="UMB482" s="1080"/>
      <c r="UMC482" s="1080"/>
      <c r="UMD482" s="1080"/>
      <c r="UME482" s="1080"/>
      <c r="UMF482" s="1080"/>
      <c r="UMG482" s="1080"/>
      <c r="UMH482" s="1080"/>
      <c r="UMI482" s="1080"/>
      <c r="UMJ482" s="1080"/>
      <c r="UMK482" s="1080"/>
      <c r="UML482" s="1080"/>
      <c r="UMM482" s="1080"/>
      <c r="UMN482" s="1080"/>
      <c r="UMO482" s="1080"/>
      <c r="UMP482" s="1080"/>
      <c r="UMQ482" s="1080"/>
      <c r="UMR482" s="1080"/>
      <c r="UMS482" s="1080"/>
      <c r="UMT482" s="1080"/>
      <c r="UMU482" s="1080"/>
      <c r="UMV482" s="1080"/>
      <c r="UMW482" s="1080"/>
      <c r="UMX482" s="1080"/>
      <c r="UMY482" s="1080"/>
      <c r="UMZ482" s="1080"/>
      <c r="UNA482" s="1080"/>
      <c r="UNB482" s="1080"/>
      <c r="UNC482" s="1080"/>
      <c r="UND482" s="1080"/>
      <c r="UNE482" s="1080"/>
      <c r="UNF482" s="1080"/>
      <c r="UNG482" s="1080"/>
      <c r="UNH482" s="1080"/>
      <c r="UNI482" s="1080"/>
      <c r="UNJ482" s="1080"/>
      <c r="UNK482" s="1080"/>
      <c r="UNL482" s="1080"/>
      <c r="UNM482" s="1080"/>
      <c r="UNN482" s="1080"/>
      <c r="UNO482" s="1080"/>
      <c r="UNP482" s="1080"/>
      <c r="UNQ482" s="1080"/>
      <c r="UNR482" s="1080"/>
      <c r="UNS482" s="1080"/>
      <c r="UNT482" s="1080"/>
      <c r="UNU482" s="1080"/>
      <c r="UNV482" s="1080"/>
      <c r="UNW482" s="1080"/>
      <c r="UNX482" s="1080"/>
      <c r="UNY482" s="1080"/>
      <c r="UNZ482" s="1080"/>
      <c r="UOA482" s="1080"/>
      <c r="UOB482" s="1080"/>
      <c r="UOC482" s="1080"/>
      <c r="UOD482" s="1080"/>
      <c r="UOE482" s="1080"/>
      <c r="UOF482" s="1080"/>
      <c r="UOG482" s="1080"/>
      <c r="UOH482" s="1080"/>
      <c r="UOI482" s="1080"/>
      <c r="UOJ482" s="1080"/>
      <c r="UOK482" s="1080"/>
      <c r="UOL482" s="1080"/>
      <c r="UOM482" s="1080"/>
      <c r="UON482" s="1080"/>
      <c r="UOO482" s="1080"/>
      <c r="UOP482" s="1080"/>
      <c r="UOQ482" s="1080"/>
      <c r="UOR482" s="1080"/>
      <c r="UOS482" s="1080"/>
      <c r="UOT482" s="1080"/>
      <c r="UOU482" s="1080"/>
      <c r="UOV482" s="1080"/>
      <c r="UOW482" s="1080"/>
      <c r="UOX482" s="1080"/>
      <c r="UOY482" s="1080"/>
      <c r="UOZ482" s="1080"/>
      <c r="UPA482" s="1080"/>
      <c r="UPB482" s="1080"/>
      <c r="UPC482" s="1080"/>
      <c r="UPD482" s="1080"/>
      <c r="UPE482" s="1080"/>
      <c r="UPF482" s="1080"/>
      <c r="UPG482" s="1080"/>
      <c r="UPH482" s="1080"/>
      <c r="UPI482" s="1080"/>
      <c r="UPJ482" s="1080"/>
      <c r="UPK482" s="1080"/>
      <c r="UPL482" s="1080"/>
      <c r="UPM482" s="1080"/>
      <c r="UPN482" s="1080"/>
      <c r="UPO482" s="1080"/>
      <c r="UPP482" s="1080"/>
      <c r="UPQ482" s="1080"/>
      <c r="UPR482" s="1080"/>
      <c r="UPS482" s="1080"/>
      <c r="UPT482" s="1080"/>
      <c r="UPU482" s="1080"/>
      <c r="UPV482" s="1080"/>
      <c r="UPW482" s="1080"/>
      <c r="UPX482" s="1080"/>
      <c r="UPY482" s="1080"/>
      <c r="UPZ482" s="1080"/>
      <c r="UQA482" s="1080"/>
      <c r="UQB482" s="1080"/>
      <c r="UQC482" s="1080"/>
      <c r="UQD482" s="1080"/>
      <c r="UQE482" s="1080"/>
      <c r="UQF482" s="1080"/>
      <c r="UQG482" s="1080"/>
      <c r="UQH482" s="1080"/>
      <c r="UQI482" s="1080"/>
      <c r="UQJ482" s="1080"/>
      <c r="UQK482" s="1080"/>
      <c r="UQL482" s="1080"/>
      <c r="UQM482" s="1080"/>
      <c r="UQN482" s="1080"/>
      <c r="UQO482" s="1080"/>
      <c r="UQP482" s="1080"/>
      <c r="UQQ482" s="1080"/>
      <c r="UQR482" s="1080"/>
      <c r="UQS482" s="1080"/>
      <c r="UQT482" s="1080"/>
      <c r="UQU482" s="1080"/>
      <c r="UQV482" s="1080"/>
      <c r="UQW482" s="1080"/>
      <c r="UQX482" s="1080"/>
      <c r="UQY482" s="1080"/>
      <c r="UQZ482" s="1080"/>
      <c r="URA482" s="1080"/>
      <c r="URB482" s="1080"/>
      <c r="URC482" s="1080"/>
      <c r="URD482" s="1080"/>
      <c r="URE482" s="1080"/>
      <c r="URF482" s="1080"/>
      <c r="URG482" s="1080"/>
      <c r="URH482" s="1080"/>
      <c r="URI482" s="1080"/>
      <c r="URJ482" s="1080"/>
      <c r="URK482" s="1080"/>
      <c r="URL482" s="1080"/>
      <c r="URM482" s="1080"/>
      <c r="URN482" s="1080"/>
      <c r="URO482" s="1080"/>
      <c r="URP482" s="1080"/>
      <c r="URQ482" s="1080"/>
      <c r="URR482" s="1080"/>
      <c r="URS482" s="1080"/>
      <c r="URT482" s="1080"/>
      <c r="URU482" s="1080"/>
      <c r="URV482" s="1080"/>
      <c r="URW482" s="1080"/>
      <c r="URX482" s="1080"/>
      <c r="URY482" s="1080"/>
      <c r="URZ482" s="1080"/>
      <c r="USA482" s="1080"/>
      <c r="USB482" s="1080"/>
      <c r="USC482" s="1080"/>
      <c r="USD482" s="1080"/>
      <c r="USE482" s="1080"/>
      <c r="USF482" s="1080"/>
      <c r="USG482" s="1080"/>
      <c r="USH482" s="1080"/>
      <c r="USI482" s="1080"/>
      <c r="USJ482" s="1080"/>
      <c r="USK482" s="1080"/>
      <c r="USL482" s="1080"/>
      <c r="USM482" s="1080"/>
      <c r="USN482" s="1080"/>
      <c r="USO482" s="1080"/>
      <c r="USP482" s="1080"/>
      <c r="USQ482" s="1080"/>
      <c r="USR482" s="1080"/>
      <c r="USS482" s="1080"/>
      <c r="UST482" s="1080"/>
      <c r="USU482" s="1080"/>
      <c r="USV482" s="1080"/>
      <c r="USW482" s="1080"/>
      <c r="USX482" s="1080"/>
      <c r="USY482" s="1080"/>
      <c r="USZ482" s="1080"/>
      <c r="UTA482" s="1080"/>
      <c r="UTB482" s="1080"/>
      <c r="UTC482" s="1080"/>
      <c r="UTD482" s="1080"/>
      <c r="UTE482" s="1080"/>
      <c r="UTF482" s="1080"/>
      <c r="UTG482" s="1080"/>
      <c r="UTH482" s="1080"/>
      <c r="UTI482" s="1080"/>
      <c r="UTJ482" s="1080"/>
      <c r="UTK482" s="1080"/>
      <c r="UTL482" s="1080"/>
      <c r="UTM482" s="1080"/>
      <c r="UTN482" s="1080"/>
      <c r="UTO482" s="1080"/>
      <c r="UTP482" s="1080"/>
      <c r="UTQ482" s="1080"/>
      <c r="UTR482" s="1080"/>
      <c r="UTS482" s="1080"/>
      <c r="UTT482" s="1080"/>
      <c r="UTU482" s="1080"/>
      <c r="UTV482" s="1080"/>
      <c r="UTW482" s="1080"/>
      <c r="UTX482" s="1080"/>
      <c r="UTY482" s="1080"/>
      <c r="UTZ482" s="1080"/>
      <c r="UUA482" s="1080"/>
      <c r="UUB482" s="1080"/>
      <c r="UUC482" s="1080"/>
      <c r="UUD482" s="1080"/>
      <c r="UUE482" s="1080"/>
      <c r="UUF482" s="1080"/>
      <c r="UUG482" s="1080"/>
      <c r="UUH482" s="1080"/>
      <c r="UUI482" s="1080"/>
      <c r="UUJ482" s="1080"/>
      <c r="UUK482" s="1080"/>
      <c r="UUL482" s="1080"/>
      <c r="UUM482" s="1080"/>
      <c r="UUN482" s="1080"/>
      <c r="UUO482" s="1080"/>
      <c r="UUP482" s="1080"/>
      <c r="UUQ482" s="1080"/>
      <c r="UUR482" s="1080"/>
      <c r="UUS482" s="1080"/>
      <c r="UUT482" s="1080"/>
      <c r="UUU482" s="1080"/>
      <c r="UUV482" s="1080"/>
      <c r="UUW482" s="1080"/>
      <c r="UUX482" s="1080"/>
      <c r="UUY482" s="1080"/>
      <c r="UUZ482" s="1080"/>
      <c r="UVA482" s="1080"/>
      <c r="UVB482" s="1080"/>
      <c r="UVC482" s="1080"/>
      <c r="UVD482" s="1080"/>
      <c r="UVE482" s="1080"/>
      <c r="UVF482" s="1080"/>
      <c r="UVG482" s="1080"/>
      <c r="UVH482" s="1080"/>
      <c r="UVI482" s="1080"/>
      <c r="UVJ482" s="1080"/>
      <c r="UVK482" s="1080"/>
      <c r="UVL482" s="1080"/>
      <c r="UVM482" s="1080"/>
      <c r="UVN482" s="1080"/>
      <c r="UVO482" s="1080"/>
      <c r="UVP482" s="1080"/>
      <c r="UVQ482" s="1080"/>
      <c r="UVR482" s="1080"/>
      <c r="UVS482" s="1080"/>
      <c r="UVT482" s="1080"/>
      <c r="UVU482" s="1080"/>
      <c r="UVV482" s="1080"/>
      <c r="UVW482" s="1080"/>
      <c r="UVX482" s="1080"/>
      <c r="UVY482" s="1080"/>
      <c r="UVZ482" s="1080"/>
      <c r="UWA482" s="1080"/>
      <c r="UWB482" s="1080"/>
      <c r="UWC482" s="1080"/>
      <c r="UWD482" s="1080"/>
      <c r="UWE482" s="1080"/>
      <c r="UWF482" s="1080"/>
      <c r="UWG482" s="1080"/>
      <c r="UWH482" s="1080"/>
      <c r="UWI482" s="1080"/>
      <c r="UWJ482" s="1080"/>
      <c r="UWK482" s="1080"/>
      <c r="UWL482" s="1080"/>
      <c r="UWM482" s="1080"/>
      <c r="UWN482" s="1080"/>
      <c r="UWO482" s="1080"/>
      <c r="UWP482" s="1080"/>
      <c r="UWQ482" s="1080"/>
      <c r="UWR482" s="1080"/>
      <c r="UWS482" s="1080"/>
      <c r="UWT482" s="1080"/>
      <c r="UWU482" s="1080"/>
      <c r="UWV482" s="1080"/>
      <c r="UWW482" s="1080"/>
      <c r="UWX482" s="1080"/>
      <c r="UWY482" s="1080"/>
      <c r="UWZ482" s="1080"/>
      <c r="UXA482" s="1080"/>
      <c r="UXB482" s="1080"/>
      <c r="UXC482" s="1080"/>
      <c r="UXD482" s="1080"/>
      <c r="UXE482" s="1080"/>
      <c r="UXF482" s="1080"/>
      <c r="UXG482" s="1080"/>
      <c r="UXH482" s="1080"/>
      <c r="UXI482" s="1080"/>
      <c r="UXJ482" s="1080"/>
      <c r="UXK482" s="1080"/>
      <c r="UXL482" s="1080"/>
      <c r="UXM482" s="1080"/>
      <c r="UXN482" s="1080"/>
      <c r="UXO482" s="1080"/>
      <c r="UXP482" s="1080"/>
      <c r="UXQ482" s="1080"/>
      <c r="UXR482" s="1080"/>
      <c r="UXS482" s="1080"/>
      <c r="UXT482" s="1080"/>
      <c r="UXU482" s="1080"/>
      <c r="UXV482" s="1080"/>
      <c r="UXW482" s="1080"/>
      <c r="UXX482" s="1080"/>
      <c r="UXY482" s="1080"/>
      <c r="UXZ482" s="1080"/>
      <c r="UYA482" s="1080"/>
      <c r="UYB482" s="1080"/>
      <c r="UYC482" s="1080"/>
      <c r="UYD482" s="1080"/>
      <c r="UYE482" s="1080"/>
      <c r="UYF482" s="1080"/>
      <c r="UYG482" s="1080"/>
      <c r="UYH482" s="1080"/>
      <c r="UYI482" s="1080"/>
      <c r="UYJ482" s="1080"/>
      <c r="UYK482" s="1080"/>
      <c r="UYL482" s="1080"/>
      <c r="UYM482" s="1080"/>
      <c r="UYN482" s="1080"/>
      <c r="UYO482" s="1080"/>
      <c r="UYP482" s="1080"/>
      <c r="UYQ482" s="1080"/>
      <c r="UYR482" s="1080"/>
      <c r="UYS482" s="1080"/>
      <c r="UYT482" s="1080"/>
      <c r="UYU482" s="1080"/>
      <c r="UYV482" s="1080"/>
      <c r="UYW482" s="1080"/>
      <c r="UYX482" s="1080"/>
      <c r="UYY482" s="1080"/>
      <c r="UYZ482" s="1080"/>
      <c r="UZA482" s="1080"/>
      <c r="UZB482" s="1080"/>
      <c r="UZC482" s="1080"/>
      <c r="UZD482" s="1080"/>
      <c r="UZE482" s="1080"/>
      <c r="UZF482" s="1080"/>
      <c r="UZG482" s="1080"/>
      <c r="UZH482" s="1080"/>
      <c r="UZI482" s="1080"/>
      <c r="UZJ482" s="1080"/>
      <c r="UZK482" s="1080"/>
      <c r="UZL482" s="1080"/>
      <c r="UZM482" s="1080"/>
      <c r="UZN482" s="1080"/>
      <c r="UZO482" s="1080"/>
      <c r="UZP482" s="1080"/>
      <c r="UZQ482" s="1080"/>
      <c r="UZR482" s="1080"/>
      <c r="UZS482" s="1080"/>
      <c r="UZT482" s="1080"/>
      <c r="UZU482" s="1080"/>
      <c r="UZV482" s="1080"/>
      <c r="UZW482" s="1080"/>
      <c r="UZX482" s="1080"/>
      <c r="UZY482" s="1080"/>
      <c r="UZZ482" s="1080"/>
      <c r="VAA482" s="1080"/>
      <c r="VAB482" s="1080"/>
      <c r="VAC482" s="1080"/>
      <c r="VAD482" s="1080"/>
      <c r="VAE482" s="1080"/>
      <c r="VAF482" s="1080"/>
      <c r="VAG482" s="1080"/>
      <c r="VAH482" s="1080"/>
      <c r="VAI482" s="1080"/>
      <c r="VAJ482" s="1080"/>
      <c r="VAK482" s="1080"/>
      <c r="VAL482" s="1080"/>
      <c r="VAM482" s="1080"/>
      <c r="VAN482" s="1080"/>
      <c r="VAO482" s="1080"/>
      <c r="VAP482" s="1080"/>
      <c r="VAQ482" s="1080"/>
      <c r="VAR482" s="1080"/>
      <c r="VAS482" s="1080"/>
      <c r="VAT482" s="1080"/>
      <c r="VAU482" s="1080"/>
      <c r="VAV482" s="1080"/>
      <c r="VAW482" s="1080"/>
      <c r="VAX482" s="1080"/>
      <c r="VAY482" s="1080"/>
      <c r="VAZ482" s="1080"/>
      <c r="VBA482" s="1080"/>
      <c r="VBB482" s="1080"/>
      <c r="VBC482" s="1080"/>
      <c r="VBD482" s="1080"/>
      <c r="VBE482" s="1080"/>
      <c r="VBF482" s="1080"/>
      <c r="VBG482" s="1080"/>
      <c r="VBH482" s="1080"/>
      <c r="VBI482" s="1080"/>
      <c r="VBJ482" s="1080"/>
      <c r="VBK482" s="1080"/>
      <c r="VBL482" s="1080"/>
      <c r="VBM482" s="1080"/>
      <c r="VBN482" s="1080"/>
      <c r="VBO482" s="1080"/>
      <c r="VBP482" s="1080"/>
      <c r="VBQ482" s="1080"/>
      <c r="VBR482" s="1080"/>
      <c r="VBS482" s="1080"/>
      <c r="VBT482" s="1080"/>
      <c r="VBU482" s="1080"/>
      <c r="VBV482" s="1080"/>
      <c r="VBW482" s="1080"/>
      <c r="VBX482" s="1080"/>
      <c r="VBY482" s="1080"/>
      <c r="VBZ482" s="1080"/>
      <c r="VCA482" s="1080"/>
      <c r="VCB482" s="1080"/>
      <c r="VCC482" s="1080"/>
      <c r="VCD482" s="1080"/>
      <c r="VCE482" s="1080"/>
      <c r="VCF482" s="1080"/>
      <c r="VCG482" s="1080"/>
      <c r="VCH482" s="1080"/>
      <c r="VCI482" s="1080"/>
      <c r="VCJ482" s="1080"/>
      <c r="VCK482" s="1080"/>
      <c r="VCL482" s="1080"/>
      <c r="VCM482" s="1080"/>
      <c r="VCN482" s="1080"/>
      <c r="VCO482" s="1080"/>
      <c r="VCP482" s="1080"/>
      <c r="VCQ482" s="1080"/>
      <c r="VCR482" s="1080"/>
      <c r="VCS482" s="1080"/>
      <c r="VCT482" s="1080"/>
      <c r="VCU482" s="1080"/>
      <c r="VCV482" s="1080"/>
      <c r="VCW482" s="1080"/>
      <c r="VCX482" s="1080"/>
      <c r="VCY482" s="1080"/>
      <c r="VCZ482" s="1080"/>
      <c r="VDA482" s="1080"/>
      <c r="VDB482" s="1080"/>
      <c r="VDC482" s="1080"/>
      <c r="VDD482" s="1080"/>
      <c r="VDE482" s="1080"/>
      <c r="VDF482" s="1080"/>
      <c r="VDG482" s="1080"/>
      <c r="VDH482" s="1080"/>
      <c r="VDI482" s="1080"/>
      <c r="VDJ482" s="1080"/>
      <c r="VDK482" s="1080"/>
      <c r="VDL482" s="1080"/>
      <c r="VDM482" s="1080"/>
      <c r="VDN482" s="1080"/>
      <c r="VDO482" s="1080"/>
      <c r="VDP482" s="1080"/>
      <c r="VDQ482" s="1080"/>
      <c r="VDR482" s="1080"/>
      <c r="VDS482" s="1080"/>
      <c r="VDT482" s="1080"/>
      <c r="VDU482" s="1080"/>
      <c r="VDV482" s="1080"/>
      <c r="VDW482" s="1080"/>
      <c r="VDX482" s="1080"/>
      <c r="VDY482" s="1080"/>
      <c r="VDZ482" s="1080"/>
      <c r="VEA482" s="1080"/>
      <c r="VEB482" s="1080"/>
      <c r="VEC482" s="1080"/>
      <c r="VED482" s="1080"/>
      <c r="VEE482" s="1080"/>
      <c r="VEF482" s="1080"/>
      <c r="VEG482" s="1080"/>
      <c r="VEH482" s="1080"/>
      <c r="VEI482" s="1080"/>
      <c r="VEJ482" s="1080"/>
      <c r="VEK482" s="1080"/>
      <c r="VEL482" s="1080"/>
      <c r="VEM482" s="1080"/>
      <c r="VEN482" s="1080"/>
      <c r="VEO482" s="1080"/>
      <c r="VEP482" s="1080"/>
      <c r="VEQ482" s="1080"/>
      <c r="VER482" s="1080"/>
      <c r="VES482" s="1080"/>
      <c r="VET482" s="1080"/>
      <c r="VEU482" s="1080"/>
      <c r="VEV482" s="1080"/>
      <c r="VEW482" s="1080"/>
      <c r="VEX482" s="1080"/>
      <c r="VEY482" s="1080"/>
      <c r="VEZ482" s="1080"/>
      <c r="VFA482" s="1080"/>
      <c r="VFB482" s="1080"/>
      <c r="VFC482" s="1080"/>
      <c r="VFD482" s="1080"/>
      <c r="VFE482" s="1080"/>
      <c r="VFF482" s="1080"/>
      <c r="VFG482" s="1080"/>
      <c r="VFH482" s="1080"/>
      <c r="VFI482" s="1080"/>
      <c r="VFJ482" s="1080"/>
      <c r="VFK482" s="1080"/>
      <c r="VFL482" s="1080"/>
      <c r="VFM482" s="1080"/>
      <c r="VFN482" s="1080"/>
      <c r="VFO482" s="1080"/>
      <c r="VFP482" s="1080"/>
      <c r="VFQ482" s="1080"/>
      <c r="VFR482" s="1080"/>
      <c r="VFS482" s="1080"/>
      <c r="VFT482" s="1080"/>
      <c r="VFU482" s="1080"/>
      <c r="VFV482" s="1080"/>
      <c r="VFW482" s="1080"/>
      <c r="VFX482" s="1080"/>
      <c r="VFY482" s="1080"/>
      <c r="VFZ482" s="1080"/>
      <c r="VGA482" s="1080"/>
      <c r="VGB482" s="1080"/>
      <c r="VGC482" s="1080"/>
      <c r="VGD482" s="1080"/>
      <c r="VGE482" s="1080"/>
      <c r="VGF482" s="1080"/>
      <c r="VGG482" s="1080"/>
      <c r="VGH482" s="1080"/>
      <c r="VGI482" s="1080"/>
      <c r="VGJ482" s="1080"/>
      <c r="VGK482" s="1080"/>
      <c r="VGL482" s="1080"/>
      <c r="VGM482" s="1080"/>
      <c r="VGN482" s="1080"/>
      <c r="VGO482" s="1080"/>
      <c r="VGP482" s="1080"/>
      <c r="VGQ482" s="1080"/>
      <c r="VGR482" s="1080"/>
      <c r="VGS482" s="1080"/>
      <c r="VGT482" s="1080"/>
      <c r="VGU482" s="1080"/>
      <c r="VGV482" s="1080"/>
      <c r="VGW482" s="1080"/>
      <c r="VGX482" s="1080"/>
      <c r="VGY482" s="1080"/>
      <c r="VGZ482" s="1080"/>
      <c r="VHA482" s="1080"/>
      <c r="VHB482" s="1080"/>
      <c r="VHC482" s="1080"/>
      <c r="VHD482" s="1080"/>
      <c r="VHE482" s="1080"/>
      <c r="VHF482" s="1080"/>
      <c r="VHG482" s="1080"/>
      <c r="VHH482" s="1080"/>
      <c r="VHI482" s="1080"/>
      <c r="VHJ482" s="1080"/>
      <c r="VHK482" s="1080"/>
      <c r="VHL482" s="1080"/>
      <c r="VHM482" s="1080"/>
      <c r="VHN482" s="1080"/>
      <c r="VHO482" s="1080"/>
      <c r="VHP482" s="1080"/>
      <c r="VHQ482" s="1080"/>
      <c r="VHR482" s="1080"/>
      <c r="VHS482" s="1080"/>
      <c r="VHT482" s="1080"/>
      <c r="VHU482" s="1080"/>
      <c r="VHV482" s="1080"/>
      <c r="VHW482" s="1080"/>
      <c r="VHX482" s="1080"/>
      <c r="VHY482" s="1080"/>
      <c r="VHZ482" s="1080"/>
      <c r="VIA482" s="1080"/>
      <c r="VIB482" s="1080"/>
      <c r="VIC482" s="1080"/>
      <c r="VID482" s="1080"/>
      <c r="VIE482" s="1080"/>
      <c r="VIF482" s="1080"/>
      <c r="VIG482" s="1080"/>
      <c r="VIH482" s="1080"/>
      <c r="VII482" s="1080"/>
      <c r="VIJ482" s="1080"/>
      <c r="VIK482" s="1080"/>
      <c r="VIL482" s="1080"/>
      <c r="VIM482" s="1080"/>
      <c r="VIN482" s="1080"/>
      <c r="VIO482" s="1080"/>
      <c r="VIP482" s="1080"/>
      <c r="VIQ482" s="1080"/>
      <c r="VIR482" s="1080"/>
      <c r="VIS482" s="1080"/>
      <c r="VIT482" s="1080"/>
      <c r="VIU482" s="1080"/>
      <c r="VIV482" s="1080"/>
      <c r="VIW482" s="1080"/>
      <c r="VIX482" s="1080"/>
      <c r="VIY482" s="1080"/>
      <c r="VIZ482" s="1080"/>
      <c r="VJA482" s="1080"/>
      <c r="VJB482" s="1080"/>
      <c r="VJC482" s="1080"/>
      <c r="VJD482" s="1080"/>
      <c r="VJE482" s="1080"/>
      <c r="VJF482" s="1080"/>
      <c r="VJG482" s="1080"/>
      <c r="VJH482" s="1080"/>
      <c r="VJI482" s="1080"/>
      <c r="VJJ482" s="1080"/>
      <c r="VJK482" s="1080"/>
      <c r="VJL482" s="1080"/>
      <c r="VJM482" s="1080"/>
      <c r="VJN482" s="1080"/>
      <c r="VJO482" s="1080"/>
      <c r="VJP482" s="1080"/>
      <c r="VJQ482" s="1080"/>
      <c r="VJR482" s="1080"/>
      <c r="VJS482" s="1080"/>
      <c r="VJT482" s="1080"/>
      <c r="VJU482" s="1080"/>
      <c r="VJV482" s="1080"/>
      <c r="VJW482" s="1080"/>
      <c r="VJX482" s="1080"/>
      <c r="VJY482" s="1080"/>
      <c r="VJZ482" s="1080"/>
      <c r="VKA482" s="1080"/>
      <c r="VKB482" s="1080"/>
      <c r="VKC482" s="1080"/>
      <c r="VKD482" s="1080"/>
      <c r="VKE482" s="1080"/>
      <c r="VKF482" s="1080"/>
      <c r="VKG482" s="1080"/>
      <c r="VKH482" s="1080"/>
      <c r="VKI482" s="1080"/>
      <c r="VKJ482" s="1080"/>
      <c r="VKK482" s="1080"/>
      <c r="VKL482" s="1080"/>
      <c r="VKM482" s="1080"/>
      <c r="VKN482" s="1080"/>
      <c r="VKO482" s="1080"/>
      <c r="VKP482" s="1080"/>
      <c r="VKQ482" s="1080"/>
      <c r="VKR482" s="1080"/>
      <c r="VKS482" s="1080"/>
      <c r="VKT482" s="1080"/>
      <c r="VKU482" s="1080"/>
      <c r="VKV482" s="1080"/>
      <c r="VKW482" s="1080"/>
      <c r="VKX482" s="1080"/>
      <c r="VKY482" s="1080"/>
      <c r="VKZ482" s="1080"/>
      <c r="VLA482" s="1080"/>
      <c r="VLB482" s="1080"/>
      <c r="VLC482" s="1080"/>
      <c r="VLD482" s="1080"/>
      <c r="VLE482" s="1080"/>
      <c r="VLF482" s="1080"/>
      <c r="VLG482" s="1080"/>
      <c r="VLH482" s="1080"/>
      <c r="VLI482" s="1080"/>
      <c r="VLJ482" s="1080"/>
      <c r="VLK482" s="1080"/>
      <c r="VLL482" s="1080"/>
      <c r="VLM482" s="1080"/>
      <c r="VLN482" s="1080"/>
      <c r="VLO482" s="1080"/>
      <c r="VLP482" s="1080"/>
      <c r="VLQ482" s="1080"/>
      <c r="VLR482" s="1080"/>
      <c r="VLS482" s="1080"/>
      <c r="VLT482" s="1080"/>
      <c r="VLU482" s="1080"/>
      <c r="VLV482" s="1080"/>
      <c r="VLW482" s="1080"/>
      <c r="VLX482" s="1080"/>
      <c r="VLY482" s="1080"/>
      <c r="VLZ482" s="1080"/>
      <c r="VMA482" s="1080"/>
      <c r="VMB482" s="1080"/>
      <c r="VMC482" s="1080"/>
      <c r="VMD482" s="1080"/>
      <c r="VME482" s="1080"/>
      <c r="VMF482" s="1080"/>
      <c r="VMG482" s="1080"/>
      <c r="VMH482" s="1080"/>
      <c r="VMI482" s="1080"/>
      <c r="VMJ482" s="1080"/>
      <c r="VMK482" s="1080"/>
      <c r="VML482" s="1080"/>
      <c r="VMM482" s="1080"/>
      <c r="VMN482" s="1080"/>
      <c r="VMO482" s="1080"/>
      <c r="VMP482" s="1080"/>
      <c r="VMQ482" s="1080"/>
      <c r="VMR482" s="1080"/>
      <c r="VMS482" s="1080"/>
      <c r="VMT482" s="1080"/>
      <c r="VMU482" s="1080"/>
      <c r="VMV482" s="1080"/>
      <c r="VMW482" s="1080"/>
      <c r="VMX482" s="1080"/>
      <c r="VMY482" s="1080"/>
      <c r="VMZ482" s="1080"/>
      <c r="VNA482" s="1080"/>
      <c r="VNB482" s="1080"/>
      <c r="VNC482" s="1080"/>
      <c r="VND482" s="1080"/>
      <c r="VNE482" s="1080"/>
      <c r="VNF482" s="1080"/>
      <c r="VNG482" s="1080"/>
      <c r="VNH482" s="1080"/>
      <c r="VNI482" s="1080"/>
      <c r="VNJ482" s="1080"/>
      <c r="VNK482" s="1080"/>
      <c r="VNL482" s="1080"/>
      <c r="VNM482" s="1080"/>
      <c r="VNN482" s="1080"/>
      <c r="VNO482" s="1080"/>
      <c r="VNP482" s="1080"/>
      <c r="VNQ482" s="1080"/>
      <c r="VNR482" s="1080"/>
      <c r="VNS482" s="1080"/>
      <c r="VNT482" s="1080"/>
      <c r="VNU482" s="1080"/>
      <c r="VNV482" s="1080"/>
      <c r="VNW482" s="1080"/>
      <c r="VNX482" s="1080"/>
      <c r="VNY482" s="1080"/>
      <c r="VNZ482" s="1080"/>
      <c r="VOA482" s="1080"/>
      <c r="VOB482" s="1080"/>
      <c r="VOC482" s="1080"/>
      <c r="VOD482" s="1080"/>
      <c r="VOE482" s="1080"/>
      <c r="VOF482" s="1080"/>
      <c r="VOG482" s="1080"/>
      <c r="VOH482" s="1080"/>
      <c r="VOI482" s="1080"/>
      <c r="VOJ482" s="1080"/>
      <c r="VOK482" s="1080"/>
      <c r="VOL482" s="1080"/>
      <c r="VOM482" s="1080"/>
      <c r="VON482" s="1080"/>
      <c r="VOO482" s="1080"/>
      <c r="VOP482" s="1080"/>
      <c r="VOQ482" s="1080"/>
      <c r="VOR482" s="1080"/>
      <c r="VOS482" s="1080"/>
      <c r="VOT482" s="1080"/>
      <c r="VOU482" s="1080"/>
      <c r="VOV482" s="1080"/>
      <c r="VOW482" s="1080"/>
      <c r="VOX482" s="1080"/>
      <c r="VOY482" s="1080"/>
      <c r="VOZ482" s="1080"/>
      <c r="VPA482" s="1080"/>
      <c r="VPB482" s="1080"/>
      <c r="VPC482" s="1080"/>
      <c r="VPD482" s="1080"/>
      <c r="VPE482" s="1080"/>
      <c r="VPF482" s="1080"/>
      <c r="VPG482" s="1080"/>
      <c r="VPH482" s="1080"/>
      <c r="VPI482" s="1080"/>
      <c r="VPJ482" s="1080"/>
      <c r="VPK482" s="1080"/>
      <c r="VPL482" s="1080"/>
      <c r="VPM482" s="1080"/>
      <c r="VPN482" s="1080"/>
      <c r="VPO482" s="1080"/>
      <c r="VPP482" s="1080"/>
      <c r="VPQ482" s="1080"/>
      <c r="VPR482" s="1080"/>
      <c r="VPS482" s="1080"/>
      <c r="VPT482" s="1080"/>
      <c r="VPU482" s="1080"/>
      <c r="VPV482" s="1080"/>
      <c r="VPW482" s="1080"/>
      <c r="VPX482" s="1080"/>
      <c r="VPY482" s="1080"/>
      <c r="VPZ482" s="1080"/>
      <c r="VQA482" s="1080"/>
      <c r="VQB482" s="1080"/>
      <c r="VQC482" s="1080"/>
      <c r="VQD482" s="1080"/>
      <c r="VQE482" s="1080"/>
      <c r="VQF482" s="1080"/>
      <c r="VQG482" s="1080"/>
      <c r="VQH482" s="1080"/>
      <c r="VQI482" s="1080"/>
      <c r="VQJ482" s="1080"/>
      <c r="VQK482" s="1080"/>
      <c r="VQL482" s="1080"/>
      <c r="VQM482" s="1080"/>
      <c r="VQN482" s="1080"/>
      <c r="VQO482" s="1080"/>
      <c r="VQP482" s="1080"/>
      <c r="VQQ482" s="1080"/>
      <c r="VQR482" s="1080"/>
      <c r="VQS482" s="1080"/>
      <c r="VQT482" s="1080"/>
      <c r="VQU482" s="1080"/>
      <c r="VQV482" s="1080"/>
      <c r="VQW482" s="1080"/>
      <c r="VQX482" s="1080"/>
      <c r="VQY482" s="1080"/>
      <c r="VQZ482" s="1080"/>
      <c r="VRA482" s="1080"/>
      <c r="VRB482" s="1080"/>
      <c r="VRC482" s="1080"/>
      <c r="VRD482" s="1080"/>
      <c r="VRE482" s="1080"/>
      <c r="VRF482" s="1080"/>
      <c r="VRG482" s="1080"/>
      <c r="VRH482" s="1080"/>
      <c r="VRI482" s="1080"/>
      <c r="VRJ482" s="1080"/>
      <c r="VRK482" s="1080"/>
      <c r="VRL482" s="1080"/>
      <c r="VRM482" s="1080"/>
      <c r="VRN482" s="1080"/>
      <c r="VRO482" s="1080"/>
      <c r="VRP482" s="1080"/>
      <c r="VRQ482" s="1080"/>
      <c r="VRR482" s="1080"/>
      <c r="VRS482" s="1080"/>
      <c r="VRT482" s="1080"/>
      <c r="VRU482" s="1080"/>
      <c r="VRV482" s="1080"/>
      <c r="VRW482" s="1080"/>
      <c r="VRX482" s="1080"/>
      <c r="VRY482" s="1080"/>
      <c r="VRZ482" s="1080"/>
      <c r="VSA482" s="1080"/>
      <c r="VSB482" s="1080"/>
      <c r="VSC482" s="1080"/>
      <c r="VSD482" s="1080"/>
      <c r="VSE482" s="1080"/>
      <c r="VSF482" s="1080"/>
      <c r="VSG482" s="1080"/>
      <c r="VSH482" s="1080"/>
      <c r="VSI482" s="1080"/>
      <c r="VSJ482" s="1080"/>
      <c r="VSK482" s="1080"/>
      <c r="VSL482" s="1080"/>
      <c r="VSM482" s="1080"/>
      <c r="VSN482" s="1080"/>
      <c r="VSO482" s="1080"/>
      <c r="VSP482" s="1080"/>
      <c r="VSQ482" s="1080"/>
      <c r="VSR482" s="1080"/>
      <c r="VSS482" s="1080"/>
      <c r="VST482" s="1080"/>
      <c r="VSU482" s="1080"/>
      <c r="VSV482" s="1080"/>
      <c r="VSW482" s="1080"/>
      <c r="VSX482" s="1080"/>
      <c r="VSY482" s="1080"/>
      <c r="VSZ482" s="1080"/>
      <c r="VTA482" s="1080"/>
      <c r="VTB482" s="1080"/>
      <c r="VTC482" s="1080"/>
      <c r="VTD482" s="1080"/>
      <c r="VTE482" s="1080"/>
      <c r="VTF482" s="1080"/>
      <c r="VTG482" s="1080"/>
      <c r="VTH482" s="1080"/>
      <c r="VTI482" s="1080"/>
      <c r="VTJ482" s="1080"/>
      <c r="VTK482" s="1080"/>
      <c r="VTL482" s="1080"/>
      <c r="VTM482" s="1080"/>
      <c r="VTN482" s="1080"/>
      <c r="VTO482" s="1080"/>
      <c r="VTP482" s="1080"/>
      <c r="VTQ482" s="1080"/>
      <c r="VTR482" s="1080"/>
      <c r="VTS482" s="1080"/>
      <c r="VTT482" s="1080"/>
      <c r="VTU482" s="1080"/>
      <c r="VTV482" s="1080"/>
      <c r="VTW482" s="1080"/>
      <c r="VTX482" s="1080"/>
      <c r="VTY482" s="1080"/>
      <c r="VTZ482" s="1080"/>
      <c r="VUA482" s="1080"/>
      <c r="VUB482" s="1080"/>
      <c r="VUC482" s="1080"/>
      <c r="VUD482" s="1080"/>
      <c r="VUE482" s="1080"/>
      <c r="VUF482" s="1080"/>
      <c r="VUG482" s="1080"/>
      <c r="VUH482" s="1080"/>
      <c r="VUI482" s="1080"/>
      <c r="VUJ482" s="1080"/>
      <c r="VUK482" s="1080"/>
      <c r="VUL482" s="1080"/>
      <c r="VUM482" s="1080"/>
      <c r="VUN482" s="1080"/>
      <c r="VUO482" s="1080"/>
      <c r="VUP482" s="1080"/>
      <c r="VUQ482" s="1080"/>
      <c r="VUR482" s="1080"/>
      <c r="VUS482" s="1080"/>
      <c r="VUT482" s="1080"/>
      <c r="VUU482" s="1080"/>
      <c r="VUV482" s="1080"/>
      <c r="VUW482" s="1080"/>
      <c r="VUX482" s="1080"/>
      <c r="VUY482" s="1080"/>
      <c r="VUZ482" s="1080"/>
      <c r="VVA482" s="1080"/>
      <c r="VVB482" s="1080"/>
      <c r="VVC482" s="1080"/>
      <c r="VVD482" s="1080"/>
      <c r="VVE482" s="1080"/>
      <c r="VVF482" s="1080"/>
      <c r="VVG482" s="1080"/>
      <c r="VVH482" s="1080"/>
      <c r="VVI482" s="1080"/>
      <c r="VVJ482" s="1080"/>
      <c r="VVK482" s="1080"/>
      <c r="VVL482" s="1080"/>
      <c r="VVM482" s="1080"/>
      <c r="VVN482" s="1080"/>
      <c r="VVO482" s="1080"/>
      <c r="VVP482" s="1080"/>
      <c r="VVQ482" s="1080"/>
      <c r="VVR482" s="1080"/>
      <c r="VVS482" s="1080"/>
      <c r="VVT482" s="1080"/>
      <c r="VVU482" s="1080"/>
      <c r="VVV482" s="1080"/>
      <c r="VVW482" s="1080"/>
      <c r="VVX482" s="1080"/>
      <c r="VVY482" s="1080"/>
      <c r="VVZ482" s="1080"/>
      <c r="VWA482" s="1080"/>
      <c r="VWB482" s="1080"/>
      <c r="VWC482" s="1080"/>
      <c r="VWD482" s="1080"/>
      <c r="VWE482" s="1080"/>
      <c r="VWF482" s="1080"/>
      <c r="VWG482" s="1080"/>
      <c r="VWH482" s="1080"/>
      <c r="VWI482" s="1080"/>
      <c r="VWJ482" s="1080"/>
      <c r="VWK482" s="1080"/>
      <c r="VWL482" s="1080"/>
      <c r="VWM482" s="1080"/>
      <c r="VWN482" s="1080"/>
      <c r="VWO482" s="1080"/>
      <c r="VWP482" s="1080"/>
      <c r="VWQ482" s="1080"/>
      <c r="VWR482" s="1080"/>
      <c r="VWS482" s="1080"/>
      <c r="VWT482" s="1080"/>
      <c r="VWU482" s="1080"/>
      <c r="VWV482" s="1080"/>
      <c r="VWW482" s="1080"/>
      <c r="VWX482" s="1080"/>
      <c r="VWY482" s="1080"/>
      <c r="VWZ482" s="1080"/>
      <c r="VXA482" s="1080"/>
      <c r="VXB482" s="1080"/>
      <c r="VXC482" s="1080"/>
      <c r="VXD482" s="1080"/>
      <c r="VXE482" s="1080"/>
      <c r="VXF482" s="1080"/>
      <c r="VXG482" s="1080"/>
      <c r="VXH482" s="1080"/>
      <c r="VXI482" s="1080"/>
      <c r="VXJ482" s="1080"/>
      <c r="VXK482" s="1080"/>
      <c r="VXL482" s="1080"/>
      <c r="VXM482" s="1080"/>
      <c r="VXN482" s="1080"/>
      <c r="VXO482" s="1080"/>
      <c r="VXP482" s="1080"/>
      <c r="VXQ482" s="1080"/>
      <c r="VXR482" s="1080"/>
      <c r="VXS482" s="1080"/>
      <c r="VXT482" s="1080"/>
      <c r="VXU482" s="1080"/>
      <c r="VXV482" s="1080"/>
      <c r="VXW482" s="1080"/>
      <c r="VXX482" s="1080"/>
      <c r="VXY482" s="1080"/>
      <c r="VXZ482" s="1080"/>
      <c r="VYA482" s="1080"/>
      <c r="VYB482" s="1080"/>
      <c r="VYC482" s="1080"/>
      <c r="VYD482" s="1080"/>
      <c r="VYE482" s="1080"/>
      <c r="VYF482" s="1080"/>
      <c r="VYG482" s="1080"/>
      <c r="VYH482" s="1080"/>
      <c r="VYI482" s="1080"/>
      <c r="VYJ482" s="1080"/>
      <c r="VYK482" s="1080"/>
      <c r="VYL482" s="1080"/>
      <c r="VYM482" s="1080"/>
      <c r="VYN482" s="1080"/>
      <c r="VYO482" s="1080"/>
      <c r="VYP482" s="1080"/>
      <c r="VYQ482" s="1080"/>
      <c r="VYR482" s="1080"/>
      <c r="VYS482" s="1080"/>
      <c r="VYT482" s="1080"/>
      <c r="VYU482" s="1080"/>
      <c r="VYV482" s="1080"/>
      <c r="VYW482" s="1080"/>
      <c r="VYX482" s="1080"/>
      <c r="VYY482" s="1080"/>
      <c r="VYZ482" s="1080"/>
      <c r="VZA482" s="1080"/>
      <c r="VZB482" s="1080"/>
      <c r="VZC482" s="1080"/>
      <c r="VZD482" s="1080"/>
      <c r="VZE482" s="1080"/>
      <c r="VZF482" s="1080"/>
      <c r="VZG482" s="1080"/>
      <c r="VZH482" s="1080"/>
      <c r="VZI482" s="1080"/>
      <c r="VZJ482" s="1080"/>
      <c r="VZK482" s="1080"/>
      <c r="VZL482" s="1080"/>
      <c r="VZM482" s="1080"/>
      <c r="VZN482" s="1080"/>
      <c r="VZO482" s="1080"/>
      <c r="VZP482" s="1080"/>
      <c r="VZQ482" s="1080"/>
      <c r="VZR482" s="1080"/>
      <c r="VZS482" s="1080"/>
      <c r="VZT482" s="1080"/>
      <c r="VZU482" s="1080"/>
      <c r="VZV482" s="1080"/>
      <c r="VZW482" s="1080"/>
      <c r="VZX482" s="1080"/>
      <c r="VZY482" s="1080"/>
      <c r="VZZ482" s="1080"/>
      <c r="WAA482" s="1080"/>
      <c r="WAB482" s="1080"/>
      <c r="WAC482" s="1080"/>
      <c r="WAD482" s="1080"/>
      <c r="WAE482" s="1080"/>
      <c r="WAF482" s="1080"/>
      <c r="WAG482" s="1080"/>
      <c r="WAH482" s="1080"/>
      <c r="WAI482" s="1080"/>
      <c r="WAJ482" s="1080"/>
      <c r="WAK482" s="1080"/>
      <c r="WAL482" s="1080"/>
      <c r="WAM482" s="1080"/>
      <c r="WAN482" s="1080"/>
      <c r="WAO482" s="1080"/>
      <c r="WAP482" s="1080"/>
      <c r="WAQ482" s="1080"/>
      <c r="WAR482" s="1080"/>
      <c r="WAS482" s="1080"/>
      <c r="WAT482" s="1080"/>
      <c r="WAU482" s="1080"/>
      <c r="WAV482" s="1080"/>
      <c r="WAW482" s="1080"/>
      <c r="WAX482" s="1080"/>
      <c r="WAY482" s="1080"/>
      <c r="WAZ482" s="1080"/>
      <c r="WBA482" s="1080"/>
      <c r="WBB482" s="1080"/>
      <c r="WBC482" s="1080"/>
      <c r="WBD482" s="1080"/>
      <c r="WBE482" s="1080"/>
      <c r="WBF482" s="1080"/>
      <c r="WBG482" s="1080"/>
      <c r="WBH482" s="1080"/>
      <c r="WBI482" s="1080"/>
      <c r="WBJ482" s="1080"/>
      <c r="WBK482" s="1080"/>
      <c r="WBL482" s="1080"/>
      <c r="WBM482" s="1080"/>
      <c r="WBN482" s="1080"/>
      <c r="WBO482" s="1080"/>
      <c r="WBP482" s="1080"/>
      <c r="WBQ482" s="1080"/>
      <c r="WBR482" s="1080"/>
      <c r="WBS482" s="1080"/>
      <c r="WBT482" s="1080"/>
      <c r="WBU482" s="1080"/>
      <c r="WBV482" s="1080"/>
      <c r="WBW482" s="1080"/>
      <c r="WBX482" s="1080"/>
      <c r="WBY482" s="1080"/>
      <c r="WBZ482" s="1080"/>
      <c r="WCA482" s="1080"/>
      <c r="WCB482" s="1080"/>
      <c r="WCC482" s="1080"/>
      <c r="WCD482" s="1080"/>
      <c r="WCE482" s="1080"/>
      <c r="WCF482" s="1080"/>
      <c r="WCG482" s="1080"/>
      <c r="WCH482" s="1080"/>
      <c r="WCI482" s="1080"/>
      <c r="WCJ482" s="1080"/>
      <c r="WCK482" s="1080"/>
      <c r="WCL482" s="1080"/>
      <c r="WCM482" s="1080"/>
      <c r="WCN482" s="1080"/>
      <c r="WCO482" s="1080"/>
      <c r="WCP482" s="1080"/>
      <c r="WCQ482" s="1080"/>
      <c r="WCR482" s="1080"/>
      <c r="WCS482" s="1080"/>
      <c r="WCT482" s="1080"/>
      <c r="WCU482" s="1080"/>
      <c r="WCV482" s="1080"/>
      <c r="WCW482" s="1080"/>
      <c r="WCX482" s="1080"/>
      <c r="WCY482" s="1080"/>
      <c r="WCZ482" s="1080"/>
      <c r="WDA482" s="1080"/>
      <c r="WDB482" s="1080"/>
      <c r="WDC482" s="1080"/>
      <c r="WDD482" s="1080"/>
      <c r="WDE482" s="1080"/>
      <c r="WDF482" s="1080"/>
      <c r="WDG482" s="1080"/>
      <c r="WDH482" s="1080"/>
      <c r="WDI482" s="1080"/>
      <c r="WDJ482" s="1080"/>
      <c r="WDK482" s="1080"/>
      <c r="WDL482" s="1080"/>
      <c r="WDM482" s="1080"/>
      <c r="WDN482" s="1080"/>
      <c r="WDO482" s="1080"/>
      <c r="WDP482" s="1080"/>
      <c r="WDQ482" s="1080"/>
      <c r="WDR482" s="1080"/>
      <c r="WDS482" s="1080"/>
      <c r="WDT482" s="1080"/>
      <c r="WDU482" s="1080"/>
      <c r="WDV482" s="1080"/>
      <c r="WDW482" s="1080"/>
      <c r="WDX482" s="1080"/>
      <c r="WDY482" s="1080"/>
      <c r="WDZ482" s="1080"/>
      <c r="WEA482" s="1080"/>
      <c r="WEB482" s="1080"/>
      <c r="WEC482" s="1080"/>
      <c r="WED482" s="1080"/>
      <c r="WEE482" s="1080"/>
      <c r="WEF482" s="1080"/>
      <c r="WEG482" s="1080"/>
      <c r="WEH482" s="1080"/>
      <c r="WEI482" s="1080"/>
      <c r="WEJ482" s="1080"/>
      <c r="WEK482" s="1080"/>
      <c r="WEL482" s="1080"/>
      <c r="WEM482" s="1080"/>
      <c r="WEN482" s="1080"/>
      <c r="WEO482" s="1080"/>
      <c r="WEP482" s="1080"/>
      <c r="WEQ482" s="1080"/>
      <c r="WER482" s="1080"/>
      <c r="WES482" s="1080"/>
      <c r="WET482" s="1080"/>
      <c r="WEU482" s="1080"/>
      <c r="WEV482" s="1080"/>
      <c r="WEW482" s="1080"/>
      <c r="WEX482" s="1080"/>
      <c r="WEY482" s="1080"/>
      <c r="WEZ482" s="1080"/>
      <c r="WFA482" s="1080"/>
      <c r="WFB482" s="1080"/>
      <c r="WFC482" s="1080"/>
      <c r="WFD482" s="1080"/>
      <c r="WFE482" s="1080"/>
      <c r="WFF482" s="1080"/>
      <c r="WFG482" s="1080"/>
      <c r="WFH482" s="1080"/>
      <c r="WFI482" s="1080"/>
      <c r="WFJ482" s="1080"/>
      <c r="WFK482" s="1080"/>
      <c r="WFL482" s="1080"/>
      <c r="WFM482" s="1080"/>
      <c r="WFN482" s="1080"/>
      <c r="WFO482" s="1080"/>
      <c r="WFP482" s="1080"/>
      <c r="WFQ482" s="1080"/>
      <c r="WFR482" s="1080"/>
      <c r="WFS482" s="1080"/>
      <c r="WFT482" s="1080"/>
      <c r="WFU482" s="1080"/>
      <c r="WFV482" s="1080"/>
      <c r="WFW482" s="1080"/>
      <c r="WFX482" s="1080"/>
      <c r="WFY482" s="1080"/>
      <c r="WFZ482" s="1080"/>
      <c r="WGA482" s="1080"/>
      <c r="WGB482" s="1080"/>
      <c r="WGC482" s="1080"/>
      <c r="WGD482" s="1080"/>
      <c r="WGE482" s="1080"/>
      <c r="WGF482" s="1080"/>
      <c r="WGG482" s="1080"/>
      <c r="WGH482" s="1080"/>
      <c r="WGI482" s="1080"/>
      <c r="WGJ482" s="1080"/>
      <c r="WGK482" s="1080"/>
      <c r="WGL482" s="1080"/>
      <c r="WGM482" s="1080"/>
      <c r="WGN482" s="1080"/>
      <c r="WGO482" s="1080"/>
      <c r="WGP482" s="1080"/>
      <c r="WGQ482" s="1080"/>
      <c r="WGR482" s="1080"/>
      <c r="WGS482" s="1080"/>
      <c r="WGT482" s="1080"/>
      <c r="WGU482" s="1080"/>
      <c r="WGV482" s="1080"/>
      <c r="WGW482" s="1080"/>
      <c r="WGX482" s="1080"/>
      <c r="WGY482" s="1080"/>
      <c r="WGZ482" s="1080"/>
      <c r="WHA482" s="1080"/>
      <c r="WHB482" s="1080"/>
      <c r="WHC482" s="1080"/>
      <c r="WHD482" s="1080"/>
      <c r="WHE482" s="1080"/>
      <c r="WHF482" s="1080"/>
      <c r="WHG482" s="1080"/>
      <c r="WHH482" s="1080"/>
      <c r="WHI482" s="1080"/>
      <c r="WHJ482" s="1080"/>
      <c r="WHK482" s="1080"/>
      <c r="WHL482" s="1080"/>
      <c r="WHM482" s="1080"/>
      <c r="WHN482" s="1080"/>
      <c r="WHO482" s="1080"/>
      <c r="WHP482" s="1080"/>
      <c r="WHQ482" s="1080"/>
      <c r="WHR482" s="1080"/>
      <c r="WHS482" s="1080"/>
      <c r="WHT482" s="1080"/>
      <c r="WHU482" s="1080"/>
      <c r="WHV482" s="1080"/>
      <c r="WHW482" s="1080"/>
      <c r="WHX482" s="1080"/>
      <c r="WHY482" s="1080"/>
      <c r="WHZ482" s="1080"/>
      <c r="WIA482" s="1080"/>
      <c r="WIB482" s="1080"/>
      <c r="WIC482" s="1080"/>
      <c r="WID482" s="1080"/>
      <c r="WIE482" s="1080"/>
      <c r="WIF482" s="1080"/>
      <c r="WIG482" s="1080"/>
      <c r="WIH482" s="1080"/>
      <c r="WII482" s="1080"/>
      <c r="WIJ482" s="1080"/>
      <c r="WIK482" s="1080"/>
      <c r="WIL482" s="1080"/>
      <c r="WIM482" s="1080"/>
      <c r="WIN482" s="1080"/>
      <c r="WIO482" s="1080"/>
      <c r="WIP482" s="1080"/>
      <c r="WIQ482" s="1080"/>
      <c r="WIR482" s="1080"/>
      <c r="WIS482" s="1080"/>
      <c r="WIT482" s="1080"/>
      <c r="WIU482" s="1080"/>
      <c r="WIV482" s="1080"/>
      <c r="WIW482" s="1080"/>
      <c r="WIX482" s="1080"/>
      <c r="WIY482" s="1080"/>
      <c r="WIZ482" s="1080"/>
      <c r="WJA482" s="1080"/>
      <c r="WJB482" s="1080"/>
      <c r="WJC482" s="1080"/>
      <c r="WJD482" s="1080"/>
      <c r="WJE482" s="1080"/>
      <c r="WJF482" s="1080"/>
      <c r="WJG482" s="1080"/>
      <c r="WJH482" s="1080"/>
      <c r="WJI482" s="1080"/>
      <c r="WJJ482" s="1080"/>
      <c r="WJK482" s="1080"/>
      <c r="WJL482" s="1080"/>
      <c r="WJM482" s="1080"/>
      <c r="WJN482" s="1080"/>
      <c r="WJO482" s="1080"/>
      <c r="WJP482" s="1080"/>
      <c r="WJQ482" s="1080"/>
      <c r="WJR482" s="1080"/>
      <c r="WJS482" s="1080"/>
      <c r="WJT482" s="1080"/>
      <c r="WJU482" s="1080"/>
      <c r="WJV482" s="1080"/>
      <c r="WJW482" s="1080"/>
      <c r="WJX482" s="1080"/>
      <c r="WJY482" s="1080"/>
      <c r="WJZ482" s="1080"/>
      <c r="WKA482" s="1080"/>
      <c r="WKB482" s="1080"/>
      <c r="WKC482" s="1080"/>
      <c r="WKD482" s="1080"/>
      <c r="WKE482" s="1080"/>
      <c r="WKF482" s="1080"/>
      <c r="WKG482" s="1080"/>
      <c r="WKH482" s="1080"/>
      <c r="WKI482" s="1080"/>
      <c r="WKJ482" s="1080"/>
      <c r="WKK482" s="1080"/>
      <c r="WKL482" s="1080"/>
      <c r="WKM482" s="1080"/>
      <c r="WKN482" s="1080"/>
      <c r="WKO482" s="1080"/>
      <c r="WKP482" s="1080"/>
      <c r="WKQ482" s="1080"/>
      <c r="WKR482" s="1080"/>
      <c r="WKS482" s="1080"/>
      <c r="WKT482" s="1080"/>
      <c r="WKU482" s="1080"/>
      <c r="WKV482" s="1080"/>
      <c r="WKW482" s="1080"/>
      <c r="WKX482" s="1080"/>
      <c r="WKY482" s="1080"/>
      <c r="WKZ482" s="1080"/>
      <c r="WLA482" s="1080"/>
      <c r="WLB482" s="1080"/>
      <c r="WLC482" s="1080"/>
      <c r="WLD482" s="1080"/>
      <c r="WLE482" s="1080"/>
      <c r="WLF482" s="1080"/>
      <c r="WLG482" s="1080"/>
      <c r="WLH482" s="1080"/>
      <c r="WLI482" s="1080"/>
      <c r="WLJ482" s="1080"/>
      <c r="WLK482" s="1080"/>
      <c r="WLL482" s="1080"/>
      <c r="WLM482" s="1080"/>
      <c r="WLN482" s="1080"/>
      <c r="WLO482" s="1080"/>
      <c r="WLP482" s="1080"/>
      <c r="WLQ482" s="1080"/>
      <c r="WLR482" s="1080"/>
      <c r="WLS482" s="1080"/>
      <c r="WLT482" s="1080"/>
      <c r="WLU482" s="1080"/>
      <c r="WLV482" s="1080"/>
      <c r="WLW482" s="1080"/>
      <c r="WLX482" s="1080"/>
      <c r="WLY482" s="1080"/>
      <c r="WLZ482" s="1080"/>
      <c r="WMA482" s="1080"/>
      <c r="WMB482" s="1080"/>
      <c r="WMC482" s="1080"/>
      <c r="WMD482" s="1080"/>
      <c r="WME482" s="1080"/>
      <c r="WMF482" s="1080"/>
      <c r="WMG482" s="1080"/>
      <c r="WMH482" s="1080"/>
      <c r="WMI482" s="1080"/>
      <c r="WMJ482" s="1080"/>
      <c r="WMK482" s="1080"/>
      <c r="WML482" s="1080"/>
      <c r="WMM482" s="1080"/>
      <c r="WMN482" s="1080"/>
      <c r="WMO482" s="1080"/>
      <c r="WMP482" s="1080"/>
      <c r="WMQ482" s="1080"/>
      <c r="WMR482" s="1080"/>
      <c r="WMS482" s="1080"/>
      <c r="WMT482" s="1080"/>
      <c r="WMU482" s="1080"/>
      <c r="WMV482" s="1080"/>
      <c r="WMW482" s="1080"/>
      <c r="WMX482" s="1080"/>
      <c r="WMY482" s="1080"/>
      <c r="WMZ482" s="1080"/>
      <c r="WNA482" s="1080"/>
      <c r="WNB482" s="1080"/>
      <c r="WNC482" s="1080"/>
      <c r="WND482" s="1080"/>
      <c r="WNE482" s="1080"/>
      <c r="WNF482" s="1080"/>
      <c r="WNG482" s="1080"/>
      <c r="WNH482" s="1080"/>
      <c r="WNI482" s="1080"/>
      <c r="WNJ482" s="1080"/>
      <c r="WNK482" s="1080"/>
      <c r="WNL482" s="1080"/>
      <c r="WNM482" s="1080"/>
      <c r="WNN482" s="1080"/>
      <c r="WNO482" s="1080"/>
      <c r="WNP482" s="1080"/>
      <c r="WNQ482" s="1080"/>
      <c r="WNR482" s="1080"/>
      <c r="WNS482" s="1080"/>
      <c r="WNT482" s="1080"/>
      <c r="WNU482" s="1080"/>
      <c r="WNV482" s="1080"/>
      <c r="WNW482" s="1080"/>
      <c r="WNX482" s="1080"/>
      <c r="WNY482" s="1080"/>
      <c r="WNZ482" s="1080"/>
      <c r="WOA482" s="1080"/>
      <c r="WOB482" s="1080"/>
      <c r="WOC482" s="1080"/>
      <c r="WOD482" s="1080"/>
      <c r="WOE482" s="1080"/>
      <c r="WOF482" s="1080"/>
      <c r="WOG482" s="1080"/>
      <c r="WOH482" s="1080"/>
      <c r="WOI482" s="1080"/>
      <c r="WOJ482" s="1080"/>
      <c r="WOK482" s="1080"/>
      <c r="WOL482" s="1080"/>
      <c r="WOM482" s="1080"/>
      <c r="WON482" s="1080"/>
      <c r="WOO482" s="1080"/>
      <c r="WOP482" s="1080"/>
      <c r="WOQ482" s="1080"/>
      <c r="WOR482" s="1080"/>
      <c r="WOS482" s="1080"/>
      <c r="WOT482" s="1080"/>
      <c r="WOU482" s="1080"/>
      <c r="WOV482" s="1080"/>
      <c r="WOW482" s="1080"/>
      <c r="WOX482" s="1080"/>
      <c r="WOY482" s="1080"/>
      <c r="WOZ482" s="1080"/>
      <c r="WPA482" s="1080"/>
      <c r="WPB482" s="1080"/>
      <c r="WPC482" s="1080"/>
      <c r="WPD482" s="1080"/>
      <c r="WPE482" s="1080"/>
      <c r="WPF482" s="1080"/>
      <c r="WPG482" s="1080"/>
      <c r="WPH482" s="1080"/>
      <c r="WPI482" s="1080"/>
      <c r="WPJ482" s="1080"/>
      <c r="WPK482" s="1080"/>
      <c r="WPL482" s="1080"/>
      <c r="WPM482" s="1080"/>
      <c r="WPN482" s="1080"/>
      <c r="WPO482" s="1080"/>
      <c r="WPP482" s="1080"/>
      <c r="WPQ482" s="1080"/>
      <c r="WPR482" s="1080"/>
      <c r="WPS482" s="1080"/>
      <c r="WPT482" s="1080"/>
      <c r="WPU482" s="1080"/>
      <c r="WPV482" s="1080"/>
      <c r="WPW482" s="1080"/>
      <c r="WPX482" s="1080"/>
      <c r="WPY482" s="1080"/>
      <c r="WPZ482" s="1080"/>
      <c r="WQA482" s="1080"/>
      <c r="WQB482" s="1080"/>
      <c r="WQC482" s="1080"/>
      <c r="WQD482" s="1080"/>
      <c r="WQE482" s="1080"/>
      <c r="WQF482" s="1080"/>
      <c r="WQG482" s="1080"/>
      <c r="WQH482" s="1080"/>
      <c r="WQI482" s="1080"/>
      <c r="WQJ482" s="1080"/>
      <c r="WQK482" s="1080"/>
      <c r="WQL482" s="1080"/>
      <c r="WQM482" s="1080"/>
      <c r="WQN482" s="1080"/>
      <c r="WQO482" s="1080"/>
      <c r="WQP482" s="1080"/>
      <c r="WQQ482" s="1080"/>
      <c r="WQR482" s="1080"/>
      <c r="WQS482" s="1080"/>
      <c r="WQT482" s="1080"/>
      <c r="WQU482" s="1080"/>
      <c r="WQV482" s="1080"/>
      <c r="WQW482" s="1080"/>
      <c r="WQX482" s="1080"/>
      <c r="WQY482" s="1080"/>
      <c r="WQZ482" s="1080"/>
      <c r="WRA482" s="1080"/>
      <c r="WRB482" s="1080"/>
      <c r="WRC482" s="1080"/>
      <c r="WRD482" s="1080"/>
      <c r="WRE482" s="1080"/>
      <c r="WRF482" s="1080"/>
      <c r="WRG482" s="1080"/>
      <c r="WRH482" s="1080"/>
      <c r="WRI482" s="1080"/>
      <c r="WRJ482" s="1080"/>
      <c r="WRK482" s="1080"/>
      <c r="WRL482" s="1080"/>
      <c r="WRM482" s="1080"/>
      <c r="WRN482" s="1080"/>
      <c r="WRO482" s="1080"/>
      <c r="WRP482" s="1080"/>
      <c r="WRQ482" s="1080"/>
      <c r="WRR482" s="1080"/>
      <c r="WRS482" s="1080"/>
      <c r="WRT482" s="1080"/>
      <c r="WRU482" s="1080"/>
      <c r="WRV482" s="1080"/>
      <c r="WRW482" s="1080"/>
      <c r="WRX482" s="1080"/>
      <c r="WRY482" s="1080"/>
      <c r="WRZ482" s="1080"/>
      <c r="WSA482" s="1080"/>
      <c r="WSB482" s="1080"/>
      <c r="WSC482" s="1080"/>
      <c r="WSD482" s="1080"/>
      <c r="WSE482" s="1080"/>
      <c r="WSF482" s="1080"/>
      <c r="WSG482" s="1080"/>
      <c r="WSH482" s="1080"/>
      <c r="WSI482" s="1080"/>
      <c r="WSJ482" s="1080"/>
      <c r="WSK482" s="1080"/>
      <c r="WSL482" s="1080"/>
      <c r="WSM482" s="1080"/>
      <c r="WSN482" s="1080"/>
      <c r="WSO482" s="1080"/>
      <c r="WSP482" s="1080"/>
      <c r="WSQ482" s="1080"/>
      <c r="WSR482" s="1080"/>
      <c r="WSS482" s="1080"/>
      <c r="WST482" s="1080"/>
      <c r="WSU482" s="1080"/>
      <c r="WSV482" s="1080"/>
      <c r="WSW482" s="1080"/>
      <c r="WSX482" s="1080"/>
      <c r="WSY482" s="1080"/>
      <c r="WSZ482" s="1080"/>
      <c r="WTA482" s="1080"/>
      <c r="WTB482" s="1080"/>
      <c r="WTC482" s="1080"/>
      <c r="WTD482" s="1080"/>
      <c r="WTE482" s="1080"/>
      <c r="WTF482" s="1080"/>
      <c r="WTG482" s="1080"/>
      <c r="WTH482" s="1080"/>
      <c r="WTI482" s="1080"/>
      <c r="WTJ482" s="1080"/>
      <c r="WTK482" s="1080"/>
      <c r="WTL482" s="1080"/>
      <c r="WTM482" s="1080"/>
      <c r="WTN482" s="1080"/>
      <c r="WTO482" s="1080"/>
      <c r="WTP482" s="1080"/>
      <c r="WTQ482" s="1080"/>
      <c r="WTR482" s="1080"/>
      <c r="WTS482" s="1080"/>
      <c r="WTT482" s="1080"/>
      <c r="WTU482" s="1080"/>
      <c r="WTV482" s="1080"/>
      <c r="WTW482" s="1080"/>
      <c r="WTX482" s="1080"/>
      <c r="WTY482" s="1080"/>
      <c r="WTZ482" s="1080"/>
      <c r="WUA482" s="1080"/>
      <c r="WUB482" s="1080"/>
      <c r="WUC482" s="1080"/>
      <c r="WUD482" s="1080"/>
      <c r="WUE482" s="1080"/>
      <c r="WUF482" s="1080"/>
      <c r="WUG482" s="1080"/>
      <c r="WUH482" s="1080"/>
      <c r="WUI482" s="1080"/>
      <c r="WUJ482" s="1080"/>
      <c r="WUK482" s="1080"/>
      <c r="WUL482" s="1080"/>
      <c r="WUM482" s="1080"/>
      <c r="WUN482" s="1080"/>
      <c r="WUO482" s="1080"/>
      <c r="WUP482" s="1080"/>
      <c r="WUQ482" s="1080"/>
      <c r="WUR482" s="1080"/>
      <c r="WUS482" s="1080"/>
      <c r="WUT482" s="1080"/>
      <c r="WUU482" s="1080"/>
      <c r="WUV482" s="1080"/>
      <c r="WUW482" s="1080"/>
      <c r="WUX482" s="1080"/>
      <c r="WUY482" s="1080"/>
      <c r="WUZ482" s="1080"/>
      <c r="WVA482" s="1080"/>
      <c r="WVB482" s="1080"/>
      <c r="WVC482" s="1080"/>
      <c r="WVD482" s="1080"/>
      <c r="WVE482" s="1080"/>
      <c r="WVF482" s="1080"/>
      <c r="WVG482" s="1080"/>
      <c r="WVH482" s="1080"/>
      <c r="WVI482" s="1080"/>
      <c r="WVJ482" s="1080"/>
      <c r="WVK482" s="1080"/>
      <c r="WVL482" s="1080"/>
      <c r="WVM482" s="1080"/>
      <c r="WVN482" s="1080"/>
      <c r="WVO482" s="1080"/>
      <c r="WVP482" s="1080"/>
      <c r="WVQ482" s="1080"/>
      <c r="WVR482" s="1080"/>
      <c r="WVS482" s="1080"/>
      <c r="WVT482" s="1080"/>
      <c r="WVU482" s="1080"/>
      <c r="WVV482" s="1080"/>
      <c r="WVW482" s="1080"/>
      <c r="WVX482" s="1080"/>
      <c r="WVY482" s="1080"/>
      <c r="WVZ482" s="1080"/>
      <c r="WWA482" s="1080"/>
      <c r="WWB482" s="1080"/>
      <c r="WWC482" s="1080"/>
      <c r="WWD482" s="1080"/>
      <c r="WWE482" s="1080"/>
      <c r="WWF482" s="1080"/>
      <c r="WWG482" s="1080"/>
      <c r="WWH482" s="1080"/>
      <c r="WWI482" s="1080"/>
      <c r="WWJ482" s="1080"/>
      <c r="WWK482" s="1080"/>
      <c r="WWL482" s="1080"/>
      <c r="WWM482" s="1080"/>
      <c r="WWN482" s="1080"/>
      <c r="WWO482" s="1080"/>
      <c r="WWP482" s="1080"/>
      <c r="WWQ482" s="1080"/>
      <c r="WWR482" s="1080"/>
      <c r="WWS482" s="1080"/>
      <c r="WWT482" s="1080"/>
      <c r="WWU482" s="1080"/>
      <c r="WWV482" s="1080"/>
      <c r="WWW482" s="1080"/>
      <c r="WWX482" s="1080"/>
      <c r="WWY482" s="1080"/>
      <c r="WWZ482" s="1080"/>
      <c r="WXA482" s="1080"/>
      <c r="WXB482" s="1080"/>
      <c r="WXC482" s="1080"/>
      <c r="WXD482" s="1080"/>
      <c r="WXE482" s="1080"/>
      <c r="WXF482" s="1080"/>
      <c r="WXG482" s="1080"/>
      <c r="WXH482" s="1080"/>
      <c r="WXI482" s="1080"/>
      <c r="WXJ482" s="1080"/>
      <c r="WXK482" s="1080"/>
      <c r="WXL482" s="1080"/>
      <c r="WXM482" s="1080"/>
      <c r="WXN482" s="1080"/>
      <c r="WXO482" s="1080"/>
      <c r="WXP482" s="1080"/>
      <c r="WXQ482" s="1080"/>
      <c r="WXR482" s="1080"/>
      <c r="WXS482" s="1080"/>
      <c r="WXT482" s="1080"/>
      <c r="WXU482" s="1080"/>
      <c r="WXV482" s="1080"/>
      <c r="WXW482" s="1080"/>
      <c r="WXX482" s="1080"/>
      <c r="WXY482" s="1080"/>
      <c r="WXZ482" s="1080"/>
      <c r="WYA482" s="1080"/>
      <c r="WYB482" s="1080"/>
      <c r="WYC482" s="1080"/>
      <c r="WYD482" s="1080"/>
      <c r="WYE482" s="1080"/>
      <c r="WYF482" s="1080"/>
      <c r="WYG482" s="1080"/>
      <c r="WYH482" s="1080"/>
      <c r="WYI482" s="1080"/>
      <c r="WYJ482" s="1080"/>
      <c r="WYK482" s="1080"/>
      <c r="WYL482" s="1080"/>
      <c r="WYM482" s="1080"/>
      <c r="WYN482" s="1080"/>
      <c r="WYO482" s="1080"/>
      <c r="WYP482" s="1080"/>
      <c r="WYQ482" s="1080"/>
      <c r="WYR482" s="1080"/>
      <c r="WYS482" s="1080"/>
      <c r="WYT482" s="1080"/>
      <c r="WYU482" s="1080"/>
      <c r="WYV482" s="1080"/>
      <c r="WYW482" s="1080"/>
      <c r="WYX482" s="1080"/>
      <c r="WYY482" s="1080"/>
      <c r="WYZ482" s="1080"/>
      <c r="WZA482" s="1080"/>
      <c r="WZB482" s="1080"/>
      <c r="WZC482" s="1080"/>
      <c r="WZD482" s="1080"/>
      <c r="WZE482" s="1080"/>
      <c r="WZF482" s="1080"/>
      <c r="WZG482" s="1080"/>
      <c r="WZH482" s="1080"/>
      <c r="WZI482" s="1080"/>
      <c r="WZJ482" s="1080"/>
      <c r="WZK482" s="1080"/>
      <c r="WZL482" s="1080"/>
      <c r="WZM482" s="1080"/>
      <c r="WZN482" s="1080"/>
      <c r="WZO482" s="1080"/>
      <c r="WZP482" s="1080"/>
      <c r="WZQ482" s="1080"/>
      <c r="WZR482" s="1080"/>
      <c r="WZS482" s="1080"/>
      <c r="WZT482" s="1080"/>
      <c r="WZU482" s="1080"/>
      <c r="WZV482" s="1080"/>
      <c r="WZW482" s="1080"/>
      <c r="WZX482" s="1080"/>
      <c r="WZY482" s="1080"/>
      <c r="WZZ482" s="1080"/>
      <c r="XAA482" s="1080"/>
      <c r="XAB482" s="1080"/>
      <c r="XAC482" s="1080"/>
      <c r="XAD482" s="1080"/>
      <c r="XAE482" s="1080"/>
      <c r="XAF482" s="1080"/>
      <c r="XAG482" s="1080"/>
      <c r="XAH482" s="1080"/>
      <c r="XAI482" s="1080"/>
      <c r="XAJ482" s="1080"/>
      <c r="XAK482" s="1080"/>
      <c r="XAL482" s="1080"/>
      <c r="XAM482" s="1080"/>
      <c r="XAN482" s="1080"/>
      <c r="XAO482" s="1080"/>
      <c r="XAP482" s="1080"/>
      <c r="XAQ482" s="1080"/>
      <c r="XAR482" s="1080"/>
      <c r="XAS482" s="1080"/>
      <c r="XAT482" s="1080"/>
      <c r="XAU482" s="1080"/>
      <c r="XAV482" s="1080"/>
      <c r="XAW482" s="1080"/>
      <c r="XAX482" s="1080"/>
      <c r="XAY482" s="1080"/>
      <c r="XAZ482" s="1080"/>
      <c r="XBA482" s="1080"/>
      <c r="XBB482" s="1080"/>
      <c r="XBC482" s="1080"/>
      <c r="XBD482" s="1080"/>
      <c r="XBE482" s="1080"/>
      <c r="XBF482" s="1080"/>
      <c r="XBG482" s="1080"/>
      <c r="XBH482" s="1080"/>
      <c r="XBI482" s="1080"/>
      <c r="XBJ482" s="1080"/>
      <c r="XBK482" s="1080"/>
      <c r="XBL482" s="1080"/>
      <c r="XBM482" s="1080"/>
      <c r="XBN482" s="1080"/>
      <c r="XBO482" s="1080"/>
      <c r="XBP482" s="1080"/>
      <c r="XBQ482" s="1080"/>
      <c r="XBR482" s="1080"/>
      <c r="XBS482" s="1080"/>
      <c r="XBT482" s="1080"/>
      <c r="XBU482" s="1080"/>
      <c r="XBV482" s="1080"/>
      <c r="XBW482" s="1080"/>
      <c r="XBX482" s="1080"/>
      <c r="XBY482" s="1080"/>
      <c r="XBZ482" s="1080"/>
      <c r="XCA482" s="1080"/>
      <c r="XCB482" s="1080"/>
      <c r="XCC482" s="1080"/>
      <c r="XCD482" s="1080"/>
      <c r="XCE482" s="1080"/>
      <c r="XCF482" s="1080"/>
      <c r="XCG482" s="1080"/>
      <c r="XCH482" s="1080"/>
      <c r="XCI482" s="1080"/>
      <c r="XCJ482" s="1080"/>
      <c r="XCK482" s="1080"/>
      <c r="XCL482" s="1080"/>
      <c r="XCM482" s="1080"/>
      <c r="XCN482" s="1080"/>
      <c r="XCO482" s="1080"/>
      <c r="XCP482" s="1080"/>
      <c r="XCQ482" s="1080"/>
      <c r="XCR482" s="1080"/>
      <c r="XCS482" s="1080"/>
      <c r="XCT482" s="1080"/>
      <c r="XCU482" s="1080"/>
      <c r="XCV482" s="1080"/>
      <c r="XCW482" s="1080"/>
      <c r="XCX482" s="1080"/>
      <c r="XCY482" s="1080"/>
      <c r="XCZ482" s="1080"/>
      <c r="XDA482" s="1080"/>
      <c r="XDB482" s="1080"/>
      <c r="XDC482" s="1080"/>
      <c r="XDD482" s="1080"/>
      <c r="XDE482" s="1080"/>
      <c r="XDF482" s="1080"/>
      <c r="XDG482" s="1080"/>
      <c r="XDH482" s="1080"/>
      <c r="XDI482" s="1080"/>
      <c r="XDJ482" s="1080"/>
      <c r="XDK482" s="1080"/>
      <c r="XDL482" s="1080"/>
      <c r="XDM482" s="1080"/>
      <c r="XDN482" s="1080"/>
      <c r="XDO482" s="1080"/>
      <c r="XDP482" s="1080"/>
      <c r="XDQ482" s="1080"/>
      <c r="XDR482" s="1080"/>
      <c r="XDS482" s="1080"/>
      <c r="XDT482" s="1080"/>
      <c r="XDU482" s="1080"/>
      <c r="XDV482" s="1080"/>
      <c r="XDW482" s="1080"/>
      <c r="XDX482" s="1080"/>
      <c r="XDY482" s="1080"/>
      <c r="XDZ482" s="1080"/>
      <c r="XEA482" s="1080"/>
      <c r="XEB482" s="1080"/>
      <c r="XEC482" s="1080"/>
      <c r="XED482" s="1080"/>
      <c r="XEE482" s="1080"/>
      <c r="XEF482" s="1080"/>
      <c r="XEG482" s="1080"/>
      <c r="XEH482" s="1080"/>
      <c r="XEI482" s="1080"/>
      <c r="XEJ482" s="1080"/>
      <c r="XEK482" s="1080"/>
      <c r="XEL482" s="1080"/>
      <c r="XEM482" s="1080"/>
      <c r="XEN482" s="1080"/>
      <c r="XEO482" s="1080"/>
      <c r="XEP482" s="1080"/>
      <c r="XEQ482" s="1080"/>
      <c r="XER482" s="1080"/>
      <c r="XES482" s="1080"/>
      <c r="XET482" s="1080"/>
      <c r="XEU482" s="1080"/>
      <c r="XEV482" s="1080"/>
      <c r="XEW482" s="1080"/>
      <c r="XEX482" s="1080"/>
      <c r="XEY482" s="1080"/>
      <c r="XEZ482" s="1080"/>
      <c r="XFA482" s="1080"/>
      <c r="XFB482" s="1080"/>
      <c r="XFC482" s="1080"/>
    </row>
    <row r="483" spans="1:16383">
      <c r="A483" s="920">
        <v>2019200495</v>
      </c>
      <c r="B483" s="998">
        <v>44392</v>
      </c>
      <c r="C483" s="998" t="s">
        <v>138</v>
      </c>
      <c r="D483" s="1127" t="str">
        <f>IFERROR(VLOOKUP(G483,PosAggregate!$B$13:$B$93,1,FALSE),"")</f>
        <v>6752 JP</v>
      </c>
      <c r="E483" s="1139" t="e">
        <f ca="1">_xll.BDP(G483  &amp; " Equity", "ID_ISIN", "Fill", "")</f>
        <v>#NAME?</v>
      </c>
      <c r="F483" s="1132" t="str">
        <f t="shared" si="122"/>
        <v>YES</v>
      </c>
      <c r="G483" s="701" t="s">
        <v>12889</v>
      </c>
      <c r="I483" s="950" t="s">
        <v>1122</v>
      </c>
      <c r="J483" s="950" t="s">
        <v>125</v>
      </c>
      <c r="K483" s="1055">
        <v>1311.59</v>
      </c>
      <c r="L483" s="1055"/>
      <c r="M483" s="1055">
        <v>-5000</v>
      </c>
      <c r="N483" s="1135">
        <f t="shared" si="119"/>
        <v>6557950</v>
      </c>
      <c r="O483" s="1002">
        <v>-3935</v>
      </c>
      <c r="R483" s="1100">
        <f t="shared" si="112"/>
        <v>6554015</v>
      </c>
      <c r="S483" s="995">
        <v>129.88</v>
      </c>
      <c r="T483" s="1121">
        <f t="shared" si="114"/>
        <v>50462.080381890977</v>
      </c>
      <c r="U483" s="827">
        <v>44396</v>
      </c>
      <c r="V483" s="701" t="s">
        <v>1725</v>
      </c>
      <c r="W483" s="1031">
        <v>44392.727456712964</v>
      </c>
      <c r="X483" s="1089">
        <f t="shared" si="105"/>
        <v>-6.0003507193558958E-2</v>
      </c>
      <c r="Y483" s="690" t="s">
        <v>1763</v>
      </c>
      <c r="Z483" s="1111" t="e">
        <f ca="1">VLOOKUP(AA483,'place of settlement'!A:C,2,FALSE)</f>
        <v>#NAME?</v>
      </c>
      <c r="AA483" s="1111" t="e">
        <f t="shared" ca="1" si="120"/>
        <v>#NAME?</v>
      </c>
      <c r="AB483" s="1111" t="e">
        <f t="shared" ca="1" si="121"/>
        <v>#NAME?</v>
      </c>
      <c r="AC483" s="1111" t="e">
        <f ca="1">VLOOKUP(AB483,sample!$1:$1048576,2,FALSE)</f>
        <v>#NAME?</v>
      </c>
      <c r="AD483" s="1111" t="e">
        <f ca="1">VLOOKUP($AB483,sample!$1:$1048576,3,FALSE)</f>
        <v>#NAME?</v>
      </c>
      <c r="AE483" s="1104" t="e">
        <f ca="1">VLOOKUP($AB483,sample!$1:$1048576,4,FALSE)</f>
        <v>#NAME?</v>
      </c>
      <c r="AF483" s="1111" t="e">
        <f ca="1">VLOOKUP($AB483,sample!$1:$1048576,5,FALSE)</f>
        <v>#NAME?</v>
      </c>
      <c r="AL483" s="1104" t="e">
        <f ca="1">VLOOKUP($AB483,sample!$1:$1048576,11,FALSE)</f>
        <v>#NAME?</v>
      </c>
      <c r="AM483" s="1104" t="e">
        <f ca="1">VLOOKUP($AB483,sample!$1:$1048576,12,FALSE)</f>
        <v>#NAME?</v>
      </c>
      <c r="AN483" s="1104" t="e">
        <f ca="1">VLOOKUP($AB483,sample!$1:$1048576,13,FALSE)</f>
        <v>#NAME?</v>
      </c>
      <c r="AP483" s="1111"/>
    </row>
    <row r="484" spans="1:16383">
      <c r="A484" s="920">
        <v>2019200494</v>
      </c>
      <c r="B484" s="998">
        <v>44392</v>
      </c>
      <c r="C484" s="998" t="s">
        <v>137</v>
      </c>
      <c r="D484" s="701" t="s">
        <v>12953</v>
      </c>
      <c r="E484" s="1139" t="e">
        <f ca="1">_xll.BDP(G484  &amp; " Equity", "ID_ISIN", "Fill", "")</f>
        <v>#NAME?</v>
      </c>
      <c r="F484" s="1132" t="str">
        <f t="shared" si="122"/>
        <v>YES</v>
      </c>
      <c r="G484" s="701" t="s">
        <v>12953</v>
      </c>
      <c r="I484" s="950" t="s">
        <v>12794</v>
      </c>
      <c r="J484" s="950" t="s">
        <v>123</v>
      </c>
      <c r="K484" s="1055">
        <v>41464.202400000002</v>
      </c>
      <c r="L484" s="1055"/>
      <c r="M484" s="1055">
        <v>4200</v>
      </c>
      <c r="N484" s="1135">
        <f t="shared" si="119"/>
        <v>-174149650.08000001</v>
      </c>
      <c r="O484" s="1002">
        <v>-261224</v>
      </c>
      <c r="R484" s="1100">
        <f t="shared" si="112"/>
        <v>-174410874.08000001</v>
      </c>
      <c r="S484" s="995">
        <v>1350.73</v>
      </c>
      <c r="T484" s="1121">
        <f t="shared" si="114"/>
        <v>-129123.41776668913</v>
      </c>
      <c r="U484" s="827">
        <v>44396</v>
      </c>
      <c r="V484" s="701" t="s">
        <v>1156</v>
      </c>
      <c r="W484" s="1031">
        <v>44392.73100104167</v>
      </c>
      <c r="X484" s="1089">
        <f t="shared" si="105"/>
        <v>0.14999972717717217</v>
      </c>
      <c r="Y484" s="690" t="s">
        <v>1763</v>
      </c>
      <c r="Z484" s="1111" t="e">
        <f ca="1">VLOOKUP(AA484,'place of settlement'!A:C,2,FALSE)</f>
        <v>#NAME?</v>
      </c>
      <c r="AA484" s="1111" t="e">
        <f t="shared" ca="1" si="120"/>
        <v>#NAME?</v>
      </c>
      <c r="AB484" s="1111" t="e">
        <f t="shared" ca="1" si="121"/>
        <v>#NAME?</v>
      </c>
      <c r="AC484" s="1111" t="e">
        <f ca="1">VLOOKUP(AB484,sample!$1:$1048576,2,FALSE)</f>
        <v>#NAME?</v>
      </c>
      <c r="AD484" s="1111" t="e">
        <f ca="1">VLOOKUP($AB484,sample!$1:$1048576,3,FALSE)</f>
        <v>#NAME?</v>
      </c>
      <c r="AE484" s="1104" t="e">
        <f ca="1">VLOOKUP($AB484,sample!$1:$1048576,4,FALSE)</f>
        <v>#NAME?</v>
      </c>
      <c r="AF484" s="1111" t="e">
        <f ca="1">VLOOKUP($AB484,sample!$1:$1048576,5,FALSE)</f>
        <v>#NAME?</v>
      </c>
      <c r="AL484" s="1104" t="e">
        <f ca="1">VLOOKUP($AB484,sample!$1:$1048576,11,FALSE)</f>
        <v>#NAME?</v>
      </c>
      <c r="AM484" s="1104" t="e">
        <f ca="1">VLOOKUP($AB484,sample!$1:$1048576,12,FALSE)</f>
        <v>#NAME?</v>
      </c>
      <c r="AN484" s="1104" t="e">
        <f ca="1">VLOOKUP($AB484,sample!$1:$1048576,13,FALSE)</f>
        <v>#NAME?</v>
      </c>
      <c r="AP484" s="1111"/>
    </row>
    <row r="485" spans="1:16383">
      <c r="A485" s="920">
        <v>2019200497</v>
      </c>
      <c r="B485" s="998">
        <v>44396</v>
      </c>
      <c r="C485" s="998" t="s">
        <v>137</v>
      </c>
      <c r="D485" s="1140" t="str">
        <f>IFERROR(VLOOKUP(G485,PosAggregate!$B$13:$B$93,1,FALSE),"")</f>
        <v>FR FP</v>
      </c>
      <c r="E485" s="1139" t="e">
        <f ca="1">_xll.BDP(G485  &amp; " Equity", "ID_ISIN", "Fill", "")</f>
        <v>#NAME?</v>
      </c>
      <c r="F485" s="1132" t="str">
        <f t="shared" si="122"/>
        <v>YES</v>
      </c>
      <c r="G485" s="701" t="s">
        <v>12899</v>
      </c>
      <c r="I485" s="950" t="s">
        <v>12811</v>
      </c>
      <c r="J485" s="950" t="s">
        <v>2</v>
      </c>
      <c r="K485" s="1072">
        <v>23.174900000000001</v>
      </c>
      <c r="L485" s="1072"/>
      <c r="M485" s="1072">
        <v>4200</v>
      </c>
      <c r="N485" s="1135">
        <f t="shared" si="119"/>
        <v>-97334.58</v>
      </c>
      <c r="O485" s="1002">
        <v>-58.4</v>
      </c>
      <c r="R485" s="1100">
        <f t="shared" si="112"/>
        <v>-97392.98</v>
      </c>
      <c r="S485" s="1073">
        <v>1</v>
      </c>
      <c r="T485" s="1121">
        <f t="shared" si="114"/>
        <v>-97392.98</v>
      </c>
      <c r="U485" s="827">
        <v>44398</v>
      </c>
      <c r="V485" s="701" t="s">
        <v>1153</v>
      </c>
      <c r="W485" s="1031">
        <v>44397.387824074074</v>
      </c>
      <c r="X485" s="1138">
        <f t="shared" si="105"/>
        <v>5.999923151669221E-2</v>
      </c>
      <c r="Y485" s="827" t="s">
        <v>1763</v>
      </c>
      <c r="Z485" s="1111" t="e">
        <f ca="1">VLOOKUP(AA485,'place of settlement'!A:C,2,FALSE)</f>
        <v>#NAME?</v>
      </c>
      <c r="AA485" s="1111" t="e">
        <f t="shared" ca="1" si="120"/>
        <v>#NAME?</v>
      </c>
      <c r="AB485" s="1111" t="e">
        <f t="shared" ca="1" si="121"/>
        <v>#NAME?</v>
      </c>
      <c r="AC485" s="1111" t="e">
        <f ca="1">VLOOKUP(AB485,sample!$1:$1048576,2,FALSE)</f>
        <v>#NAME?</v>
      </c>
      <c r="AD485" s="1111" t="e">
        <f ca="1">VLOOKUP($AB485,sample!$1:$1048576,3,FALSE)</f>
        <v>#NAME?</v>
      </c>
      <c r="AE485" s="1104" t="e">
        <f ca="1">VLOOKUP($AB485,sample!$1:$1048576,4,FALSE)</f>
        <v>#NAME?</v>
      </c>
      <c r="AF485" s="1111" t="e">
        <f ca="1">VLOOKUP($AB485,sample!$1:$1048576,5,FALSE)</f>
        <v>#NAME?</v>
      </c>
      <c r="AL485" s="1104" t="e">
        <f ca="1">VLOOKUP($AB485,sample!$1:$1048576,11,FALSE)</f>
        <v>#NAME?</v>
      </c>
      <c r="AM485" s="1104" t="e">
        <f ca="1">VLOOKUP($AB485,sample!$1:$1048576,12,FALSE)</f>
        <v>#NAME?</v>
      </c>
      <c r="AN485" s="1104" t="e">
        <f ca="1">VLOOKUP($AB485,sample!$1:$1048576,13,FALSE)</f>
        <v>#NAME?</v>
      </c>
      <c r="AP485" s="1111"/>
    </row>
    <row r="486" spans="1:16383">
      <c r="A486" s="827" t="s">
        <v>1777</v>
      </c>
      <c r="B486" s="998">
        <v>44403</v>
      </c>
      <c r="D486" s="1140" t="str">
        <f>IFERROR(VLOOKUP(G486,PosAggregate!$B$13:$B$93,1,FALSE),"")</f>
        <v>ALELIO SS</v>
      </c>
      <c r="E486" s="1139" t="e">
        <f ca="1">_xll.BDP(G486  &amp; " Equity", "ID_ISIN", "Fill", "")</f>
        <v>#NAME?</v>
      </c>
      <c r="F486" s="1132" t="str">
        <f t="shared" si="122"/>
        <v>YES</v>
      </c>
      <c r="G486" s="701" t="s">
        <v>12921</v>
      </c>
      <c r="I486" s="950" t="s">
        <v>1278</v>
      </c>
      <c r="J486" s="950" t="s">
        <v>1102</v>
      </c>
      <c r="K486" s="1072"/>
      <c r="L486" s="1072"/>
      <c r="M486" s="1072">
        <v>31026</v>
      </c>
      <c r="N486" s="1135">
        <f t="shared" si="119"/>
        <v>0</v>
      </c>
      <c r="R486" s="1100">
        <f t="shared" si="112"/>
        <v>0</v>
      </c>
      <c r="S486" s="1073"/>
      <c r="T486" s="1051">
        <v>0</v>
      </c>
      <c r="X486" s="1138" t="e">
        <f t="shared" si="105"/>
        <v>#DIV/0!</v>
      </c>
      <c r="Y486" s="827" t="s">
        <v>1763</v>
      </c>
      <c r="Z486" s="1111" t="e">
        <f ca="1">VLOOKUP(AA486,'place of settlement'!A:C,2,FALSE)</f>
        <v>#NAME?</v>
      </c>
      <c r="AA486" s="1111" t="e">
        <f t="shared" ca="1" si="120"/>
        <v>#NAME?</v>
      </c>
      <c r="AB486" s="1111" t="e">
        <f t="shared" ca="1" si="121"/>
        <v>#NAME?</v>
      </c>
      <c r="AC486" s="1111" t="e">
        <f ca="1">VLOOKUP(AB486,sample!$1:$1048576,2,FALSE)</f>
        <v>#NAME?</v>
      </c>
      <c r="AD486" s="1111" t="e">
        <f ca="1">VLOOKUP($AB486,sample!$1:$1048576,3,FALSE)</f>
        <v>#NAME?</v>
      </c>
      <c r="AE486" s="1104" t="e">
        <f ca="1">VLOOKUP($AB486,sample!$1:$1048576,4,FALSE)</f>
        <v>#NAME?</v>
      </c>
      <c r="AF486" s="1111" t="e">
        <f ca="1">VLOOKUP($AB486,sample!$1:$1048576,5,FALSE)</f>
        <v>#NAME?</v>
      </c>
      <c r="AL486" s="1104" t="e">
        <f ca="1">VLOOKUP($AB486,sample!$1:$1048576,11,FALSE)</f>
        <v>#NAME?</v>
      </c>
      <c r="AM486" s="1104" t="e">
        <f ca="1">VLOOKUP($AB486,sample!$1:$1048576,12,FALSE)</f>
        <v>#NAME?</v>
      </c>
      <c r="AN486" s="1104" t="e">
        <f ca="1">VLOOKUP($AB486,sample!$1:$1048576,13,FALSE)</f>
        <v>#NAME?</v>
      </c>
      <c r="AP486" s="1111"/>
    </row>
    <row r="487" spans="1:16383">
      <c r="A487" s="920">
        <v>2019200498</v>
      </c>
      <c r="B487" s="998">
        <v>44410</v>
      </c>
      <c r="C487" s="998" t="s">
        <v>138</v>
      </c>
      <c r="D487" s="1127" t="str">
        <f>IFERROR(VLOOKUP(G487,PosAggregate!$B$13:$B$93,1,FALSE),"")</f>
        <v/>
      </c>
      <c r="E487" s="1139" t="e">
        <f ca="1">_xll.BDP(G487  &amp; " Equity", "ID_ISIN", "Fill", "")</f>
        <v>#NAME?</v>
      </c>
      <c r="F487" s="948"/>
      <c r="G487" s="701" t="s">
        <v>12910</v>
      </c>
      <c r="I487" s="950" t="s">
        <v>12798</v>
      </c>
      <c r="J487" s="1133" t="e">
        <f ca="1">_xll.BDP(G487 &amp; " Equity","Crncy")</f>
        <v>#NAME?</v>
      </c>
      <c r="K487" s="1055">
        <v>9.4742999999999995</v>
      </c>
      <c r="L487" s="1055"/>
      <c r="M487" s="1055">
        <v>-11000</v>
      </c>
      <c r="N487" s="1135">
        <f t="shared" si="119"/>
        <v>104217.29999999999</v>
      </c>
      <c r="O487" s="1002">
        <v>-62.53</v>
      </c>
      <c r="R487" s="1100">
        <f t="shared" si="112"/>
        <v>104154.76999999999</v>
      </c>
      <c r="S487" s="995">
        <v>1.61598</v>
      </c>
      <c r="T487" s="1121">
        <f t="shared" si="114"/>
        <v>64453.006844144104</v>
      </c>
      <c r="U487" s="827">
        <v>44412</v>
      </c>
      <c r="V487" s="701" t="s">
        <v>1725</v>
      </c>
      <c r="W487" s="1031">
        <v>44410.417314120372</v>
      </c>
      <c r="X487" s="1089">
        <f t="shared" si="105"/>
        <v>-5.9999635377235842E-2</v>
      </c>
      <c r="Y487" s="690" t="s">
        <v>1763</v>
      </c>
      <c r="Z487" s="1111" t="e">
        <f ca="1">VLOOKUP(AA487,'place of settlement'!A:C,2,FALSE)</f>
        <v>#NAME?</v>
      </c>
      <c r="AA487" s="1111" t="e">
        <f t="shared" ca="1" si="120"/>
        <v>#NAME?</v>
      </c>
      <c r="AB487" s="1111" t="e">
        <f t="shared" ca="1" si="121"/>
        <v>#NAME?</v>
      </c>
      <c r="AC487" s="1111" t="e">
        <f ca="1">VLOOKUP(AB487,sample!$1:$1048576,2,FALSE)</f>
        <v>#NAME?</v>
      </c>
      <c r="AD487" s="1111" t="e">
        <f ca="1">VLOOKUP($AB487,sample!$1:$1048576,3,FALSE)</f>
        <v>#NAME?</v>
      </c>
      <c r="AE487" s="1104" t="e">
        <f ca="1">VLOOKUP($AB487,sample!$1:$1048576,4,FALSE)</f>
        <v>#NAME?</v>
      </c>
      <c r="AF487" s="1111" t="e">
        <f ca="1">VLOOKUP($AB487,sample!$1:$1048576,5,FALSE)</f>
        <v>#NAME?</v>
      </c>
      <c r="AL487" s="1104" t="e">
        <f ca="1">VLOOKUP($AB487,sample!$1:$1048576,11,FALSE)</f>
        <v>#NAME?</v>
      </c>
      <c r="AM487" s="1104" t="e">
        <f ca="1">VLOOKUP($AB487,sample!$1:$1048576,12,FALSE)</f>
        <v>#NAME?</v>
      </c>
      <c r="AN487" s="1104" t="e">
        <f ca="1">VLOOKUP($AB487,sample!$1:$1048576,13,FALSE)</f>
        <v>#NAME?</v>
      </c>
      <c r="AP487" s="1111"/>
    </row>
    <row r="488" spans="1:16383">
      <c r="A488" s="920">
        <v>2019200499</v>
      </c>
      <c r="B488" s="998">
        <v>44413</v>
      </c>
      <c r="C488" s="998" t="s">
        <v>138</v>
      </c>
      <c r="D488" s="1127" t="str">
        <f>IFERROR(VLOOKUP(G488,PosAggregate!$B$13:$B$93,1,FALSE),"")</f>
        <v>6752 JP</v>
      </c>
      <c r="E488" s="1139" t="e">
        <f ca="1">_xll.BDP(G488  &amp; " Equity", "ID_ISIN", "Fill", "")</f>
        <v>#NAME?</v>
      </c>
      <c r="F488" s="1132" t="str">
        <f t="shared" si="122"/>
        <v>YES</v>
      </c>
      <c r="G488" s="701" t="s">
        <v>12889</v>
      </c>
      <c r="I488" s="950" t="s">
        <v>1122</v>
      </c>
      <c r="J488" s="1133" t="e">
        <f ca="1">_xll.BDP(G488 &amp; " Equity","Crncy")</f>
        <v>#NAME?</v>
      </c>
      <c r="K488" s="1055">
        <v>1351.78125</v>
      </c>
      <c r="L488" s="1055"/>
      <c r="M488" s="1055">
        <v>-4000</v>
      </c>
      <c r="N488" s="1135">
        <f t="shared" si="119"/>
        <v>5407125</v>
      </c>
      <c r="O488" s="1002">
        <v>-3244</v>
      </c>
      <c r="R488" s="1100">
        <f t="shared" si="112"/>
        <v>5403881</v>
      </c>
      <c r="S488" s="995">
        <v>129.6</v>
      </c>
      <c r="T488" s="1121">
        <f t="shared" si="114"/>
        <v>41696.61265432099</v>
      </c>
      <c r="U488" s="827">
        <v>44418</v>
      </c>
      <c r="V488" s="701" t="s">
        <v>1725</v>
      </c>
      <c r="W488" s="1031">
        <v>44413.326128472225</v>
      </c>
      <c r="X488" s="1089">
        <f t="shared" si="105"/>
        <v>-5.9994914117946226E-2</v>
      </c>
      <c r="Y488" s="690" t="s">
        <v>1763</v>
      </c>
      <c r="Z488" s="1111" t="e">
        <f ca="1">VLOOKUP(AA488,'place of settlement'!A:C,2,FALSE)</f>
        <v>#NAME?</v>
      </c>
      <c r="AA488" s="1111" t="e">
        <f t="shared" ca="1" si="120"/>
        <v>#NAME?</v>
      </c>
      <c r="AB488" s="1111" t="e">
        <f t="shared" ca="1" si="121"/>
        <v>#NAME?</v>
      </c>
      <c r="AC488" s="1111" t="e">
        <f ca="1">VLOOKUP(AB488,sample!$1:$1048576,2,FALSE)</f>
        <v>#NAME?</v>
      </c>
      <c r="AD488" s="1111" t="e">
        <f ca="1">VLOOKUP($AB488,sample!$1:$1048576,3,FALSE)</f>
        <v>#NAME?</v>
      </c>
      <c r="AE488" s="1104" t="e">
        <f ca="1">VLOOKUP($AB488,sample!$1:$1048576,4,FALSE)</f>
        <v>#NAME?</v>
      </c>
      <c r="AF488" s="1111" t="e">
        <f ca="1">VLOOKUP($AB488,sample!$1:$1048576,5,FALSE)</f>
        <v>#NAME?</v>
      </c>
      <c r="AK488" s="827" t="s">
        <v>12974</v>
      </c>
      <c r="AL488" s="1104" t="e">
        <f ca="1">VLOOKUP($AB488,sample!$1:$1048576,11,FALSE)</f>
        <v>#NAME?</v>
      </c>
      <c r="AM488" s="1104" t="e">
        <f ca="1">VLOOKUP($AB488,sample!$1:$1048576,12,FALSE)</f>
        <v>#NAME?</v>
      </c>
      <c r="AN488" s="1104" t="e">
        <f ca="1">VLOOKUP($AB488,sample!$1:$1048576,13,FALSE)</f>
        <v>#NAME?</v>
      </c>
      <c r="AP488" s="1111"/>
    </row>
    <row r="489" spans="1:16383">
      <c r="A489" s="920">
        <v>2019200500</v>
      </c>
      <c r="B489" s="998">
        <v>44414</v>
      </c>
      <c r="C489" s="998" t="s">
        <v>138</v>
      </c>
      <c r="D489" s="1127" t="str">
        <f>IFERROR(VLOOKUP(G489,PosAggregate!$B$13:$B$93,1,FALSE),"")</f>
        <v>SYR AU</v>
      </c>
      <c r="E489" s="1139" t="e">
        <f ca="1">_xll.BDP(G489  &amp; " Equity", "ID_ISIN", "Fill", "")</f>
        <v>#NAME?</v>
      </c>
      <c r="F489" s="1132" t="str">
        <f t="shared" si="122"/>
        <v>YES</v>
      </c>
      <c r="G489" s="701" t="s">
        <v>12902</v>
      </c>
      <c r="I489" s="950" t="s">
        <v>1133</v>
      </c>
      <c r="J489" s="1133" t="e">
        <f ca="1">_xll.BDP(G489 &amp; " Equity","Crncy")</f>
        <v>#NAME?</v>
      </c>
      <c r="K489" s="1055">
        <v>1.537307</v>
      </c>
      <c r="L489" s="1055"/>
      <c r="M489" s="1055">
        <v>-71520</v>
      </c>
      <c r="N489" s="1135">
        <f t="shared" si="119"/>
        <v>109948.19663999999</v>
      </c>
      <c r="O489" s="1002">
        <v>-65.97</v>
      </c>
      <c r="R489" s="1100">
        <f>SUM(N489:Q489)</f>
        <v>109882.22663999999</v>
      </c>
      <c r="S489" s="995">
        <v>1.5989899999999999</v>
      </c>
      <c r="T489" s="1121">
        <f>+R489/S489</f>
        <v>68719.771005447183</v>
      </c>
      <c r="U489" s="827">
        <v>44418</v>
      </c>
      <c r="V489" s="701" t="s">
        <v>1725</v>
      </c>
      <c r="W489" s="1031">
        <v>44414.373979050928</v>
      </c>
      <c r="X489" s="1089">
        <f t="shared" ref="X489:X551" si="123">+O489/N489*100</f>
        <v>-6.000098411436755E-2</v>
      </c>
      <c r="Y489" s="690" t="s">
        <v>1763</v>
      </c>
      <c r="Z489" s="1111" t="e">
        <f ca="1">VLOOKUP(AA489,'place of settlement'!A:C,2,FALSE)</f>
        <v>#NAME?</v>
      </c>
      <c r="AA489" s="1111" t="e">
        <f t="shared" ca="1" si="120"/>
        <v>#NAME?</v>
      </c>
      <c r="AB489" s="1111" t="e">
        <f t="shared" ca="1" si="121"/>
        <v>#NAME?</v>
      </c>
      <c r="AC489" s="1111" t="e">
        <f ca="1">VLOOKUP(AB489,sample!$1:$1048576,2,FALSE)</f>
        <v>#NAME?</v>
      </c>
      <c r="AD489" s="1111" t="e">
        <f ca="1">VLOOKUP($AB489,sample!$1:$1048576,3,FALSE)</f>
        <v>#NAME?</v>
      </c>
      <c r="AE489" s="1104" t="e">
        <f ca="1">VLOOKUP($AB489,sample!$1:$1048576,4,FALSE)</f>
        <v>#NAME?</v>
      </c>
      <c r="AF489" s="1111" t="e">
        <f ca="1">VLOOKUP($AB489,sample!$1:$1048576,5,FALSE)</f>
        <v>#NAME?</v>
      </c>
      <c r="AL489" s="1104" t="e">
        <f ca="1">VLOOKUP($AB489,sample!$1:$1048576,11,FALSE)</f>
        <v>#NAME?</v>
      </c>
      <c r="AM489" s="1104" t="e">
        <f ca="1">VLOOKUP($AB489,sample!$1:$1048576,12,FALSE)</f>
        <v>#NAME?</v>
      </c>
      <c r="AN489" s="1104" t="e">
        <f ca="1">VLOOKUP($AB489,sample!$1:$1048576,13,FALSE)</f>
        <v>#NAME?</v>
      </c>
      <c r="AP489" s="1111"/>
    </row>
    <row r="490" spans="1:16383">
      <c r="A490" s="920">
        <v>2019200501</v>
      </c>
      <c r="B490" s="998">
        <v>44418</v>
      </c>
      <c r="C490" s="998" t="s">
        <v>137</v>
      </c>
      <c r="D490" s="1127" t="str">
        <f>IFERROR(VLOOKUP(G490,PosAggregate!$B$13:$B$93,1,FALSE),"")</f>
        <v>5713 JP</v>
      </c>
      <c r="E490" s="1139" t="e">
        <f ca="1">_xll.BDP(G490  &amp; " Equity", "ID_ISIN", "Fill", "")</f>
        <v>#NAME?</v>
      </c>
      <c r="F490" s="1132" t="str">
        <f t="shared" si="122"/>
        <v>YES</v>
      </c>
      <c r="G490" s="701" t="s">
        <v>12890</v>
      </c>
      <c r="I490" s="950" t="s">
        <v>1131</v>
      </c>
      <c r="J490" s="1133" t="e">
        <f ca="1">_xll.BDP(G490 &amp; " Equity","Crncy")</f>
        <v>#NAME?</v>
      </c>
      <c r="K490" s="1055">
        <v>4190.3048779999999</v>
      </c>
      <c r="L490" s="1055"/>
      <c r="M490" s="1055">
        <v>4100</v>
      </c>
      <c r="N490" s="1135">
        <f t="shared" si="119"/>
        <v>-17180249.9998</v>
      </c>
      <c r="O490" s="1002">
        <v>-10308</v>
      </c>
      <c r="P490" s="1002"/>
      <c r="R490" s="1100">
        <f t="shared" ref="R490:R553" si="124">SUM(N490:Q490)</f>
        <v>-17190557.9998</v>
      </c>
      <c r="S490" s="995">
        <v>129.57</v>
      </c>
      <c r="T490" s="1121">
        <f t="shared" si="114"/>
        <v>-132673.90599521494</v>
      </c>
      <c r="U490" s="827">
        <v>44420</v>
      </c>
      <c r="V490" s="701" t="s">
        <v>1725</v>
      </c>
      <c r="W490" s="1031">
        <v>44418.372908217592</v>
      </c>
      <c r="X490" s="1089">
        <f t="shared" si="123"/>
        <v>5.9999126905138159E-2</v>
      </c>
      <c r="Y490" s="690" t="s">
        <v>1763</v>
      </c>
      <c r="Z490" s="1111" t="e">
        <f ca="1">VLOOKUP(AA490,'place of settlement'!A:C,2,FALSE)</f>
        <v>#NAME?</v>
      </c>
      <c r="AA490" s="1111" t="e">
        <f t="shared" ca="1" si="120"/>
        <v>#NAME?</v>
      </c>
      <c r="AB490" s="1111" t="e">
        <f t="shared" ca="1" si="121"/>
        <v>#NAME?</v>
      </c>
      <c r="AC490" s="1111" t="e">
        <f ca="1">VLOOKUP(AB490,sample!$1:$1048576,2,FALSE)</f>
        <v>#NAME?</v>
      </c>
      <c r="AD490" s="1111" t="e">
        <f ca="1">VLOOKUP($AB490,sample!$1:$1048576,3,FALSE)</f>
        <v>#NAME?</v>
      </c>
      <c r="AE490" s="1104" t="e">
        <f ca="1">VLOOKUP($AB490,sample!$1:$1048576,4,FALSE)</f>
        <v>#NAME?</v>
      </c>
      <c r="AF490" s="1111" t="e">
        <f ca="1">VLOOKUP($AB490,sample!$1:$1048576,5,FALSE)</f>
        <v>#NAME?</v>
      </c>
      <c r="AL490" s="1104" t="e">
        <f ca="1">VLOOKUP($AB490,sample!$1:$1048576,11,FALSE)</f>
        <v>#NAME?</v>
      </c>
      <c r="AM490" s="1104" t="e">
        <f ca="1">VLOOKUP($AB490,sample!$1:$1048576,12,FALSE)</f>
        <v>#NAME?</v>
      </c>
      <c r="AN490" s="1104" t="e">
        <f ca="1">VLOOKUP($AB490,sample!$1:$1048576,13,FALSE)</f>
        <v>#NAME?</v>
      </c>
      <c r="AP490" s="1111"/>
    </row>
    <row r="491" spans="1:16383">
      <c r="A491" s="920">
        <v>2019200502</v>
      </c>
      <c r="B491" s="998">
        <v>44418</v>
      </c>
      <c r="C491" s="998" t="s">
        <v>138</v>
      </c>
      <c r="D491" s="1127" t="str">
        <f>IFERROR(VLOOKUP(G491,PosAggregate!$B$13:$B$93,1,FALSE),"")</f>
        <v/>
      </c>
      <c r="E491" s="1139" t="e">
        <f ca="1">_xll.BDP(G491  &amp; " Equity", "ID_ISIN", "Fill", "")</f>
        <v>#NAME?</v>
      </c>
      <c r="F491" s="948"/>
      <c r="G491" s="701" t="s">
        <v>12910</v>
      </c>
      <c r="I491" s="950" t="s">
        <v>12798</v>
      </c>
      <c r="J491" s="1133" t="e">
        <f ca="1">_xll.BDP(G491 &amp; " Equity","Crncy")</f>
        <v>#NAME?</v>
      </c>
      <c r="K491" s="1055">
        <v>9.7878279999999993</v>
      </c>
      <c r="L491" s="1055"/>
      <c r="M491" s="1055">
        <v>-22000</v>
      </c>
      <c r="N491" s="1135">
        <f t="shared" si="119"/>
        <v>215332.21599999999</v>
      </c>
      <c r="O491" s="1002">
        <v>-129.19999999999999</v>
      </c>
      <c r="P491" s="1002"/>
      <c r="R491" s="1100">
        <f t="shared" si="124"/>
        <v>215203.01599999997</v>
      </c>
      <c r="S491" s="995">
        <v>1.5991299999999999</v>
      </c>
      <c r="T491" s="1121">
        <f t="shared" si="114"/>
        <v>134575.06018897775</v>
      </c>
      <c r="U491" s="827">
        <v>44420</v>
      </c>
      <c r="V491" s="701" t="s">
        <v>1725</v>
      </c>
      <c r="W491" s="1031">
        <v>44418.373842476853</v>
      </c>
      <c r="X491" s="1089">
        <f t="shared" si="123"/>
        <v>-6.0000311332884818E-2</v>
      </c>
      <c r="Y491" s="690" t="s">
        <v>1763</v>
      </c>
      <c r="Z491" s="1111" t="e">
        <f ca="1">VLOOKUP(AA491,'place of settlement'!A:C,2,FALSE)</f>
        <v>#NAME?</v>
      </c>
      <c r="AA491" s="1111" t="e">
        <f t="shared" ca="1" si="120"/>
        <v>#NAME?</v>
      </c>
      <c r="AB491" s="1111" t="e">
        <f t="shared" ca="1" si="121"/>
        <v>#NAME?</v>
      </c>
      <c r="AC491" s="1111" t="e">
        <f ca="1">VLOOKUP(AB491,sample!$1:$1048576,2,FALSE)</f>
        <v>#NAME?</v>
      </c>
      <c r="AD491" s="1111" t="e">
        <f ca="1">VLOOKUP($AB491,sample!$1:$1048576,3,FALSE)</f>
        <v>#NAME?</v>
      </c>
      <c r="AE491" s="1104" t="e">
        <f ca="1">VLOOKUP($AB491,sample!$1:$1048576,4,FALSE)</f>
        <v>#NAME?</v>
      </c>
      <c r="AF491" s="1111" t="e">
        <f ca="1">VLOOKUP($AB491,sample!$1:$1048576,5,FALSE)</f>
        <v>#NAME?</v>
      </c>
      <c r="AL491" s="1104" t="e">
        <f ca="1">VLOOKUP($AB491,sample!$1:$1048576,11,FALSE)</f>
        <v>#NAME?</v>
      </c>
      <c r="AM491" s="1104" t="e">
        <f ca="1">VLOOKUP($AB491,sample!$1:$1048576,12,FALSE)</f>
        <v>#NAME?</v>
      </c>
      <c r="AN491" s="1104" t="e">
        <f ca="1">VLOOKUP($AB491,sample!$1:$1048576,13,FALSE)</f>
        <v>#NAME?</v>
      </c>
      <c r="AP491" s="1111"/>
    </row>
    <row r="492" spans="1:16383">
      <c r="A492" s="1091">
        <f>(A491+1)</f>
        <v>2019200503</v>
      </c>
      <c r="B492" s="998">
        <v>44427</v>
      </c>
      <c r="C492" s="998" t="s">
        <v>138</v>
      </c>
      <c r="D492" s="1127" t="str">
        <f>IFERROR(VLOOKUP(G492,PosAggregate!$B$13:$B$93,1,FALSE),"")</f>
        <v/>
      </c>
      <c r="E492" s="1139" t="e">
        <f ca="1">_xll.BDP(G492  &amp; " Equity", "ID_ISIN", "Fill", "")</f>
        <v>#NAME?</v>
      </c>
      <c r="F492" s="948"/>
      <c r="G492" s="701" t="s">
        <v>12922</v>
      </c>
      <c r="I492" s="950" t="s">
        <v>12978</v>
      </c>
      <c r="J492" s="1133" t="e">
        <f ca="1">_xll.BDP(G492 &amp; " Equity","Crncy")</f>
        <v>#NAME?</v>
      </c>
      <c r="K492" s="1055">
        <v>19067.8822</v>
      </c>
      <c r="L492" s="1055"/>
      <c r="M492" s="1055">
        <v>-16371</v>
      </c>
      <c r="N492" s="1135">
        <f t="shared" si="119"/>
        <v>312160299.49620003</v>
      </c>
      <c r="O492" s="1002">
        <v>-468240</v>
      </c>
      <c r="P492" s="1002">
        <v>-717967</v>
      </c>
      <c r="R492" s="1100">
        <f t="shared" si="124"/>
        <v>310974092.49620003</v>
      </c>
      <c r="S492" s="995">
        <v>1372.37</v>
      </c>
      <c r="T492" s="1121">
        <f t="shared" si="114"/>
        <v>226596.39346255022</v>
      </c>
      <c r="U492" s="827">
        <v>44431</v>
      </c>
      <c r="V492" s="701" t="s">
        <v>1156</v>
      </c>
      <c r="W492" s="1031">
        <v>44427.385445254629</v>
      </c>
      <c r="X492" s="1089">
        <f t="shared" si="123"/>
        <v>-0.1499998560853828</v>
      </c>
      <c r="Y492" s="690" t="s">
        <v>1763</v>
      </c>
      <c r="Z492" s="1111" t="e">
        <f ca="1">VLOOKUP(AA492,'place of settlement'!A:C,2,FALSE)</f>
        <v>#NAME?</v>
      </c>
      <c r="AA492" s="1111" t="e">
        <f t="shared" ca="1" si="120"/>
        <v>#NAME?</v>
      </c>
      <c r="AB492" s="1111" t="e">
        <f t="shared" ca="1" si="121"/>
        <v>#NAME?</v>
      </c>
      <c r="AC492" s="1111" t="e">
        <f ca="1">VLOOKUP(AB492,sample!$1:$1048576,2,FALSE)</f>
        <v>#NAME?</v>
      </c>
      <c r="AD492" s="1111" t="e">
        <f ca="1">VLOOKUP($AB492,sample!$1:$1048576,3,FALSE)</f>
        <v>#NAME?</v>
      </c>
      <c r="AE492" s="1104" t="e">
        <f ca="1">VLOOKUP($AB492,sample!$1:$1048576,4,FALSE)</f>
        <v>#NAME?</v>
      </c>
      <c r="AF492" s="1111" t="e">
        <f ca="1">VLOOKUP($AB492,sample!$1:$1048576,5,FALSE)</f>
        <v>#NAME?</v>
      </c>
      <c r="AL492" s="1104" t="e">
        <f ca="1">VLOOKUP($AB492,sample!$1:$1048576,11,FALSE)</f>
        <v>#NAME?</v>
      </c>
      <c r="AM492" s="1104" t="e">
        <f ca="1">VLOOKUP($AB492,sample!$1:$1048576,12,FALSE)</f>
        <v>#NAME?</v>
      </c>
      <c r="AN492" s="1104" t="e">
        <f ca="1">VLOOKUP($AB492,sample!$1:$1048576,13,FALSE)</f>
        <v>#NAME?</v>
      </c>
      <c r="AP492" s="1111"/>
    </row>
    <row r="493" spans="1:16383">
      <c r="A493" s="1091">
        <f t="shared" ref="A493:A505" si="125">(A492+1)</f>
        <v>2019200504</v>
      </c>
      <c r="B493" s="998">
        <v>44427</v>
      </c>
      <c r="C493" s="998" t="s">
        <v>137</v>
      </c>
      <c r="D493" s="1127" t="str">
        <f>IFERROR(VLOOKUP(G493,PosAggregate!$B$13:$B$93,1,FALSE),"")</f>
        <v>056190 KS</v>
      </c>
      <c r="E493" s="1139" t="e">
        <f ca="1">_xll.BDP(G493  &amp; " Equity", "ID_ISIN", "Fill", "")</f>
        <v>#NAME?</v>
      </c>
      <c r="F493" s="1132" t="str">
        <f t="shared" si="122"/>
        <v>YES</v>
      </c>
      <c r="G493" s="701" t="s">
        <v>12976</v>
      </c>
      <c r="I493" s="950" t="s">
        <v>12977</v>
      </c>
      <c r="J493" s="1133" t="e">
        <f ca="1">_xll.BDP(G493 &amp; " Equity","Crncy")</f>
        <v>#NAME?</v>
      </c>
      <c r="K493" s="1055">
        <v>36883.068399999996</v>
      </c>
      <c r="L493" s="1055"/>
      <c r="M493" s="1055">
        <v>6730</v>
      </c>
      <c r="N493" s="1135">
        <f t="shared" si="119"/>
        <v>-248223050.33199999</v>
      </c>
      <c r="O493" s="1002">
        <v>-372335</v>
      </c>
      <c r="R493" s="1100">
        <f t="shared" si="124"/>
        <v>-248595385.33199999</v>
      </c>
      <c r="S493" s="995">
        <v>1372.37</v>
      </c>
      <c r="T493" s="1121">
        <f t="shared" si="114"/>
        <v>-181143.12126613085</v>
      </c>
      <c r="U493" s="827">
        <v>44431</v>
      </c>
      <c r="V493" s="701" t="s">
        <v>1156</v>
      </c>
      <c r="W493" s="1031">
        <v>44427.385445370368</v>
      </c>
      <c r="X493" s="1089">
        <f t="shared" si="123"/>
        <v>0.15000017101634977</v>
      </c>
      <c r="Y493" s="690" t="s">
        <v>1763</v>
      </c>
      <c r="Z493" s="1111" t="e">
        <f ca="1">VLOOKUP(AA493,'place of settlement'!A:C,2,FALSE)</f>
        <v>#NAME?</v>
      </c>
      <c r="AA493" s="1111" t="e">
        <f t="shared" ca="1" si="120"/>
        <v>#NAME?</v>
      </c>
      <c r="AB493" s="1111" t="e">
        <f t="shared" ca="1" si="121"/>
        <v>#NAME?</v>
      </c>
      <c r="AC493" s="1111" t="e">
        <f ca="1">VLOOKUP(AB493,sample!$1:$1048576,2,FALSE)</f>
        <v>#NAME?</v>
      </c>
      <c r="AD493" s="1111" t="e">
        <f ca="1">VLOOKUP($AB493,sample!$1:$1048576,3,FALSE)</f>
        <v>#NAME?</v>
      </c>
      <c r="AE493" s="1104" t="e">
        <f ca="1">VLOOKUP($AB493,sample!$1:$1048576,4,FALSE)</f>
        <v>#NAME?</v>
      </c>
      <c r="AF493" s="1111" t="e">
        <f ca="1">VLOOKUP($AB493,sample!$1:$1048576,5,FALSE)</f>
        <v>#NAME?</v>
      </c>
      <c r="AL493" s="1104" t="e">
        <f ca="1">VLOOKUP($AB493,sample!$1:$1048576,11,FALSE)</f>
        <v>#NAME?</v>
      </c>
      <c r="AM493" s="1104" t="e">
        <f ca="1">VLOOKUP($AB493,sample!$1:$1048576,12,FALSE)</f>
        <v>#NAME?</v>
      </c>
      <c r="AN493" s="1104" t="e">
        <f ca="1">VLOOKUP($AB493,sample!$1:$1048576,13,FALSE)</f>
        <v>#NAME?</v>
      </c>
      <c r="AP493" s="1111"/>
    </row>
    <row r="494" spans="1:16383">
      <c r="A494" s="1091">
        <f t="shared" si="125"/>
        <v>2019200505</v>
      </c>
      <c r="B494" s="998">
        <v>44427</v>
      </c>
      <c r="C494" s="998" t="s">
        <v>137</v>
      </c>
      <c r="D494" s="1127" t="str">
        <f>IFERROR(VLOOKUP(G494,PosAggregate!$B$13:$B$93,1,FALSE),"")</f>
        <v>064960 KS</v>
      </c>
      <c r="E494" s="1139" t="e">
        <f ca="1">_xll.BDP(G494  &amp; " Equity", "ID_ISIN", "Fill", "")</f>
        <v>#NAME?</v>
      </c>
      <c r="F494" s="1132" t="str">
        <f t="shared" si="122"/>
        <v>YES</v>
      </c>
      <c r="G494" s="701" t="s">
        <v>12927</v>
      </c>
      <c r="I494" s="950" t="s">
        <v>12979</v>
      </c>
      <c r="J494" s="1133" t="e">
        <f ca="1">_xll.BDP(G494 &amp; " Equity","Crncy")</f>
        <v>#NAME?</v>
      </c>
      <c r="K494" s="1055">
        <v>54258.148099999999</v>
      </c>
      <c r="L494" s="1055"/>
      <c r="M494" s="1055">
        <v>2700</v>
      </c>
      <c r="N494" s="1135">
        <f t="shared" si="119"/>
        <v>-146496999.87</v>
      </c>
      <c r="O494" s="1002">
        <v>-219746</v>
      </c>
      <c r="R494" s="1100">
        <f t="shared" si="124"/>
        <v>-146716745.87</v>
      </c>
      <c r="S494" s="995">
        <v>1372.37</v>
      </c>
      <c r="T494" s="1121">
        <f t="shared" si="114"/>
        <v>-106907.57293587008</v>
      </c>
      <c r="U494" s="827">
        <v>44431</v>
      </c>
      <c r="V494" s="701" t="s">
        <v>1156</v>
      </c>
      <c r="W494" s="1031">
        <v>44427.385445370368</v>
      </c>
      <c r="X494" s="1089">
        <f t="shared" si="123"/>
        <v>0.15000034143702631</v>
      </c>
      <c r="Y494" s="690" t="s">
        <v>1763</v>
      </c>
      <c r="Z494" s="1111" t="e">
        <f ca="1">VLOOKUP(AA494,'place of settlement'!A:C,2,FALSE)</f>
        <v>#NAME?</v>
      </c>
      <c r="AA494" s="1111" t="e">
        <f t="shared" ca="1" si="120"/>
        <v>#NAME?</v>
      </c>
      <c r="AB494" s="1111" t="e">
        <f t="shared" ca="1" si="121"/>
        <v>#NAME?</v>
      </c>
      <c r="AC494" s="1111" t="e">
        <f ca="1">VLOOKUP(AB494,sample!$1:$1048576,2,FALSE)</f>
        <v>#NAME?</v>
      </c>
      <c r="AD494" s="1111" t="e">
        <f ca="1">VLOOKUP($AB494,sample!$1:$1048576,3,FALSE)</f>
        <v>#NAME?</v>
      </c>
      <c r="AE494" s="1104" t="e">
        <f ca="1">VLOOKUP($AB494,sample!$1:$1048576,4,FALSE)</f>
        <v>#NAME?</v>
      </c>
      <c r="AF494" s="1111" t="e">
        <f ca="1">VLOOKUP($AB494,sample!$1:$1048576,5,FALSE)</f>
        <v>#NAME?</v>
      </c>
      <c r="AL494" s="1104" t="e">
        <f ca="1">VLOOKUP($AB494,sample!$1:$1048576,11,FALSE)</f>
        <v>#NAME?</v>
      </c>
      <c r="AM494" s="1104" t="e">
        <f ca="1">VLOOKUP($AB494,sample!$1:$1048576,12,FALSE)</f>
        <v>#NAME?</v>
      </c>
      <c r="AN494" s="1104" t="e">
        <f ca="1">VLOOKUP($AB494,sample!$1:$1048576,13,FALSE)</f>
        <v>#NAME?</v>
      </c>
      <c r="AP494" s="1111"/>
    </row>
    <row r="495" spans="1:16383">
      <c r="A495" s="1091">
        <f t="shared" si="125"/>
        <v>2019200506</v>
      </c>
      <c r="B495" s="998">
        <v>44428</v>
      </c>
      <c r="C495" s="998" t="s">
        <v>138</v>
      </c>
      <c r="D495" s="1127" t="str">
        <f>IFERROR(VLOOKUP(G495,PosAggregate!$B$13:$B$93,1,FALSE),"")</f>
        <v>WSA AU</v>
      </c>
      <c r="E495" s="1139" t="e">
        <f ca="1">_xll.BDP(G495  &amp; " Equity", "ID_ISIN", "Fill", "")</f>
        <v>#NAME?</v>
      </c>
      <c r="F495" s="1132" t="str">
        <f t="shared" si="122"/>
        <v>YES</v>
      </c>
      <c r="G495" s="701" t="s">
        <v>12906</v>
      </c>
      <c r="I495" s="1133" t="e">
        <f ca="1">_xll.BDP(E495 &amp; " Equity","SECURITY_NAME")</f>
        <v>#NAME?</v>
      </c>
      <c r="J495" s="1133" t="e">
        <f ca="1">_xll.BDP(G495 &amp; " Equity","Crncy")</f>
        <v>#NAME?</v>
      </c>
      <c r="K495" s="1055">
        <v>2.9866999999999999</v>
      </c>
      <c r="L495" s="1055"/>
      <c r="M495" s="1055">
        <v>-250000</v>
      </c>
      <c r="N495" s="1135">
        <f>-K495*M495</f>
        <v>746675</v>
      </c>
      <c r="O495" s="1002">
        <v>-448.01</v>
      </c>
      <c r="R495" s="1100">
        <f t="shared" si="124"/>
        <v>746226.99</v>
      </c>
      <c r="S495" s="995">
        <v>1.63273</v>
      </c>
      <c r="T495" s="1121">
        <f>+R495/S495</f>
        <v>457042.49324750568</v>
      </c>
      <c r="U495" s="827">
        <v>44432</v>
      </c>
      <c r="V495" s="701" t="s">
        <v>1725</v>
      </c>
      <c r="W495" s="1031">
        <v>44427.385445254629</v>
      </c>
      <c r="X495" s="1089">
        <f t="shared" si="123"/>
        <v>-6.000066963538353E-2</v>
      </c>
      <c r="Y495" s="690" t="s">
        <v>1763</v>
      </c>
      <c r="Z495" s="1111" t="e">
        <f ca="1">VLOOKUP(AA495,'place of settlement'!A:C,2,FALSE)</f>
        <v>#NAME?</v>
      </c>
      <c r="AA495" s="1111" t="e">
        <f t="shared" ca="1" si="120"/>
        <v>#NAME?</v>
      </c>
      <c r="AB495" s="1111" t="e">
        <f t="shared" ca="1" si="121"/>
        <v>#NAME?</v>
      </c>
      <c r="AC495" s="1111" t="e">
        <f ca="1">VLOOKUP(AB495,sample!$1:$1048576,2,FALSE)</f>
        <v>#NAME?</v>
      </c>
      <c r="AD495" s="1111" t="e">
        <f ca="1">VLOOKUP($AB495,sample!$1:$1048576,3,FALSE)</f>
        <v>#NAME?</v>
      </c>
      <c r="AE495" s="1104" t="e">
        <f ca="1">VLOOKUP($AB495,sample!$1:$1048576,4,FALSE)</f>
        <v>#NAME?</v>
      </c>
      <c r="AF495" s="1111" t="e">
        <f ca="1">VLOOKUP($AB495,sample!$1:$1048576,5,FALSE)</f>
        <v>#NAME?</v>
      </c>
      <c r="AL495" s="1104" t="e">
        <f ca="1">VLOOKUP($AB495,sample!$1:$1048576,11,FALSE)</f>
        <v>#NAME?</v>
      </c>
      <c r="AM495" s="1104" t="e">
        <f ca="1">VLOOKUP($AB495,sample!$1:$1048576,12,FALSE)</f>
        <v>#NAME?</v>
      </c>
      <c r="AN495" s="1104" t="e">
        <f ca="1">VLOOKUP($AB495,sample!$1:$1048576,13,FALSE)</f>
        <v>#NAME?</v>
      </c>
      <c r="AP495" s="1111"/>
    </row>
    <row r="496" spans="1:16383">
      <c r="A496" s="1091">
        <f t="shared" si="125"/>
        <v>2019200507</v>
      </c>
      <c r="B496" s="998">
        <v>44428</v>
      </c>
      <c r="C496" s="998" t="s">
        <v>137</v>
      </c>
      <c r="D496" s="1127" t="str">
        <f>IFERROR(VLOOKUP(G496,PosAggregate!$B$13:$B$93,1,FALSE),"")</f>
        <v>5713 JP</v>
      </c>
      <c r="E496" s="1139" t="e">
        <f ca="1">_xll.BDP(G496  &amp; " Equity", "ID_ISIN", "Fill", "")</f>
        <v>#NAME?</v>
      </c>
      <c r="F496" s="1132" t="str">
        <f t="shared" si="122"/>
        <v>YES</v>
      </c>
      <c r="G496" s="701" t="s">
        <v>12890</v>
      </c>
      <c r="I496" s="1133" t="e">
        <f ca="1">_xll.BDP(E496 &amp; " Equity","SECURITY_NAME")</f>
        <v>#NAME?</v>
      </c>
      <c r="J496" s="1133" t="e">
        <f ca="1">_xll.BDP(G496 &amp; " Equity","Crncy")</f>
        <v>#NAME?</v>
      </c>
      <c r="K496" s="1055">
        <v>3974.2976189999999</v>
      </c>
      <c r="L496" s="1055"/>
      <c r="M496" s="1055">
        <v>4200</v>
      </c>
      <c r="N496" s="1135">
        <f t="shared" si="119"/>
        <v>-16692049.9998</v>
      </c>
      <c r="O496" s="1002">
        <v>-10015</v>
      </c>
      <c r="R496" s="1100">
        <f t="shared" si="124"/>
        <v>-16702064.9998</v>
      </c>
      <c r="S496" s="995">
        <v>128.24674999999999</v>
      </c>
      <c r="T496" s="1121">
        <f t="shared" si="114"/>
        <v>-130233.82658663866</v>
      </c>
      <c r="U496" s="827">
        <v>44432</v>
      </c>
      <c r="V496" s="701" t="s">
        <v>1725</v>
      </c>
      <c r="W496" s="1031">
        <v>44427.385445370368</v>
      </c>
      <c r="X496" s="1089">
        <f t="shared" si="123"/>
        <v>5.9998622099262801E-2</v>
      </c>
      <c r="Y496" s="690" t="s">
        <v>1763</v>
      </c>
      <c r="Z496" s="1111" t="e">
        <f ca="1">VLOOKUP(AA496,'place of settlement'!A:C,2,FALSE)</f>
        <v>#NAME?</v>
      </c>
      <c r="AA496" s="1111" t="e">
        <f t="shared" ca="1" si="120"/>
        <v>#NAME?</v>
      </c>
      <c r="AB496" s="1111" t="e">
        <f t="shared" ca="1" si="121"/>
        <v>#NAME?</v>
      </c>
      <c r="AC496" s="1111" t="e">
        <f ca="1">VLOOKUP(AB496,sample!$1:$1048576,2,FALSE)</f>
        <v>#NAME?</v>
      </c>
      <c r="AD496" s="1111" t="e">
        <f ca="1">VLOOKUP($AB496,sample!$1:$1048576,3,FALSE)</f>
        <v>#NAME?</v>
      </c>
      <c r="AE496" s="1104" t="e">
        <f ca="1">VLOOKUP($AB496,sample!$1:$1048576,4,FALSE)</f>
        <v>#NAME?</v>
      </c>
      <c r="AF496" s="1111" t="e">
        <f ca="1">VLOOKUP($AB496,sample!$1:$1048576,5,FALSE)</f>
        <v>#NAME?</v>
      </c>
      <c r="AL496" s="1104" t="e">
        <f ca="1">VLOOKUP($AB496,sample!$1:$1048576,11,FALSE)</f>
        <v>#NAME?</v>
      </c>
      <c r="AM496" s="1104" t="e">
        <f ca="1">VLOOKUP($AB496,sample!$1:$1048576,12,FALSE)</f>
        <v>#NAME?</v>
      </c>
      <c r="AN496" s="1104" t="e">
        <f ca="1">VLOOKUP($AB496,sample!$1:$1048576,13,FALSE)</f>
        <v>#NAME?</v>
      </c>
      <c r="AP496" s="1111"/>
    </row>
    <row r="497" spans="1:42">
      <c r="A497" s="1091">
        <f t="shared" si="125"/>
        <v>2019200508</v>
      </c>
      <c r="B497" s="998">
        <v>44447</v>
      </c>
      <c r="C497" s="998" t="s">
        <v>138</v>
      </c>
      <c r="D497" s="1127" t="str">
        <f>IFERROR(VLOOKUP(G497,PosAggregate!$B$13:$B$93,1,FALSE),"")</f>
        <v>6752 JP</v>
      </c>
      <c r="E497" s="1139" t="e">
        <f ca="1">_xll.BDP(G497  &amp; " Equity", "ID_ISIN", "Fill", "")</f>
        <v>#NAME?</v>
      </c>
      <c r="F497" s="1132" t="str">
        <f t="shared" si="122"/>
        <v>YES</v>
      </c>
      <c r="G497" s="701" t="s">
        <v>12889</v>
      </c>
      <c r="I497" s="1133" t="e">
        <f ca="1">_xll.BDP(E497 &amp; " Equity","SECURITY_NAME")</f>
        <v>#NAME?</v>
      </c>
      <c r="J497" s="1133" t="e">
        <f ca="1">_xll.BDP(G497 &amp; " Equity","Crncy")</f>
        <v>#NAME?</v>
      </c>
      <c r="K497" s="1055">
        <v>1446</v>
      </c>
      <c r="L497" s="1055"/>
      <c r="M497" s="1055">
        <v>-3500</v>
      </c>
      <c r="N497" s="1135">
        <f t="shared" si="119"/>
        <v>5061000</v>
      </c>
      <c r="R497" s="1100">
        <f t="shared" si="124"/>
        <v>5061000</v>
      </c>
      <c r="S497" s="995">
        <v>129.88</v>
      </c>
      <c r="T497" s="1121">
        <f t="shared" si="114"/>
        <v>38966.738527871887</v>
      </c>
      <c r="U497" s="827">
        <v>44449</v>
      </c>
      <c r="V497" s="701" t="s">
        <v>1725</v>
      </c>
      <c r="W497" s="1031">
        <v>44452.852227314812</v>
      </c>
      <c r="X497" s="1089">
        <f t="shared" si="123"/>
        <v>0</v>
      </c>
      <c r="Y497" s="690" t="s">
        <v>1763</v>
      </c>
      <c r="Z497" s="1111" t="e">
        <f ca="1">VLOOKUP(AA497,'place of settlement'!A:C,2,FALSE)</f>
        <v>#NAME?</v>
      </c>
      <c r="AA497" s="1111" t="e">
        <f t="shared" ca="1" si="120"/>
        <v>#NAME?</v>
      </c>
      <c r="AB497" s="1111" t="e">
        <f t="shared" ca="1" si="121"/>
        <v>#NAME?</v>
      </c>
      <c r="AC497" s="1111" t="e">
        <f ca="1">VLOOKUP(AB497,sample!$1:$1048576,2,FALSE)</f>
        <v>#NAME?</v>
      </c>
      <c r="AD497" s="1111" t="e">
        <f ca="1">VLOOKUP($AB497,sample!$1:$1048576,3,FALSE)</f>
        <v>#NAME?</v>
      </c>
      <c r="AE497" s="1104" t="e">
        <f ca="1">VLOOKUP($AB497,sample!$1:$1048576,4,FALSE)</f>
        <v>#NAME?</v>
      </c>
      <c r="AF497" s="1111" t="e">
        <f ca="1">VLOOKUP($AB497,sample!$1:$1048576,5,FALSE)</f>
        <v>#NAME?</v>
      </c>
      <c r="AL497" s="1104" t="e">
        <f ca="1">VLOOKUP($AB497,sample!$1:$1048576,11,FALSE)</f>
        <v>#NAME?</v>
      </c>
      <c r="AM497" s="1104" t="e">
        <f ca="1">VLOOKUP($AB497,sample!$1:$1048576,12,FALSE)</f>
        <v>#NAME?</v>
      </c>
      <c r="AN497" s="1104" t="e">
        <f ca="1">VLOOKUP($AB497,sample!$1:$1048576,13,FALSE)</f>
        <v>#NAME?</v>
      </c>
      <c r="AP497" s="1111"/>
    </row>
    <row r="498" spans="1:42">
      <c r="A498" s="920">
        <v>2019200511</v>
      </c>
      <c r="B498" s="998">
        <v>44453</v>
      </c>
      <c r="C498" s="998" t="s">
        <v>137</v>
      </c>
      <c r="D498" s="1127" t="str">
        <f>IFERROR(VLOOKUP(G498,PosAggregate!$B$13:$B$93,1,FALSE),"")</f>
        <v>5713 JP</v>
      </c>
      <c r="E498" s="1139" t="e">
        <f ca="1">_xll.BDP(G498  &amp; " Equity", "ID_ISIN", "Fill", "")</f>
        <v>#NAME?</v>
      </c>
      <c r="F498" s="1132" t="str">
        <f t="shared" si="122"/>
        <v>YES</v>
      </c>
      <c r="G498" s="701" t="s">
        <v>12890</v>
      </c>
      <c r="I498" s="1133" t="e">
        <f ca="1">_xll.BDP(E498 &amp; " Equity","SECURITY_NAME")</f>
        <v>#NAME?</v>
      </c>
      <c r="J498" s="1133" t="e">
        <f ca="1">_xll.BDP(G498 &amp; " Equity","Crncy")</f>
        <v>#NAME?</v>
      </c>
      <c r="K498" s="1055">
        <v>4429.9637679999996</v>
      </c>
      <c r="L498" s="1055"/>
      <c r="M498" s="1055">
        <v>6900</v>
      </c>
      <c r="N498" s="1135">
        <f t="shared" si="119"/>
        <v>-30566749.999199998</v>
      </c>
      <c r="O498" s="1002">
        <v>-18340</v>
      </c>
      <c r="R498" s="1100">
        <f t="shared" si="124"/>
        <v>-30585089.999199998</v>
      </c>
      <c r="S498" s="995">
        <v>130.09</v>
      </c>
      <c r="T498" s="1121">
        <f t="shared" si="114"/>
        <v>-235107.15657775383</v>
      </c>
      <c r="U498" s="827">
        <v>44455</v>
      </c>
      <c r="V498" s="701" t="s">
        <v>1725</v>
      </c>
      <c r="W498" s="1031">
        <v>44453.475909490742</v>
      </c>
      <c r="X498" s="1089">
        <f t="shared" si="123"/>
        <v>5.9999836425135157E-2</v>
      </c>
      <c r="Y498" s="690" t="s">
        <v>1763</v>
      </c>
      <c r="Z498" s="1111" t="e">
        <f ca="1">VLOOKUP(AA498,'place of settlement'!A:C,2,FALSE)</f>
        <v>#NAME?</v>
      </c>
      <c r="AA498" s="1111" t="e">
        <f t="shared" ca="1" si="120"/>
        <v>#NAME?</v>
      </c>
      <c r="AB498" s="1111" t="e">
        <f t="shared" ca="1" si="121"/>
        <v>#NAME?</v>
      </c>
      <c r="AC498" s="1111" t="e">
        <f ca="1">VLOOKUP(AB498,sample!$1:$1048576,2,FALSE)</f>
        <v>#NAME?</v>
      </c>
      <c r="AD498" s="1111" t="e">
        <f ca="1">VLOOKUP($AB498,sample!$1:$1048576,3,FALSE)</f>
        <v>#NAME?</v>
      </c>
      <c r="AE498" s="1104" t="e">
        <f ca="1">VLOOKUP($AB498,sample!$1:$1048576,4,FALSE)</f>
        <v>#NAME?</v>
      </c>
      <c r="AF498" s="1111" t="e">
        <f ca="1">VLOOKUP($AB498,sample!$1:$1048576,5,FALSE)</f>
        <v>#NAME?</v>
      </c>
      <c r="AL498" s="1104" t="e">
        <f ca="1">VLOOKUP($AB498,sample!$1:$1048576,11,FALSE)</f>
        <v>#NAME?</v>
      </c>
      <c r="AM498" s="1104" t="e">
        <f ca="1">VLOOKUP($AB498,sample!$1:$1048576,12,FALSE)</f>
        <v>#NAME?</v>
      </c>
      <c r="AN498" s="1104" t="e">
        <f ca="1">VLOOKUP($AB498,sample!$1:$1048576,13,FALSE)</f>
        <v>#NAME?</v>
      </c>
      <c r="AP498" s="1111"/>
    </row>
    <row r="499" spans="1:42">
      <c r="A499" s="1091">
        <f t="shared" si="125"/>
        <v>2019200512</v>
      </c>
      <c r="B499" s="998">
        <v>44453</v>
      </c>
      <c r="C499" s="998" t="s">
        <v>138</v>
      </c>
      <c r="D499" s="1127" t="str">
        <f>IFERROR(VLOOKUP(G499,PosAggregate!$B$13:$B$93,1,FALSE),"")</f>
        <v>4005 JP</v>
      </c>
      <c r="E499" s="1139" t="e">
        <f ca="1">_xll.BDP(G499  &amp; " Equity", "ID_ISIN", "Fill", "")</f>
        <v>#NAME?</v>
      </c>
      <c r="F499" s="1132" t="str">
        <f t="shared" si="122"/>
        <v>YES</v>
      </c>
      <c r="G499" s="701" t="s">
        <v>12892</v>
      </c>
      <c r="I499" s="1133" t="e">
        <f ca="1">_xll.BDP(E499 &amp; " Equity","SECURITY_NAME")</f>
        <v>#NAME?</v>
      </c>
      <c r="J499" s="1133" t="e">
        <f ca="1">_xll.BDP(G499 &amp; " Equity","Crncy")</f>
        <v>#NAME?</v>
      </c>
      <c r="K499" s="1055">
        <v>606.26722199999995</v>
      </c>
      <c r="L499" s="1055"/>
      <c r="M499" s="1055">
        <v>-36000</v>
      </c>
      <c r="N499" s="1135">
        <f t="shared" si="119"/>
        <v>21825619.991999999</v>
      </c>
      <c r="O499" s="1002">
        <v>-13095</v>
      </c>
      <c r="R499" s="1100">
        <f t="shared" si="124"/>
        <v>21812524.991999999</v>
      </c>
      <c r="S499" s="995">
        <v>130.09</v>
      </c>
      <c r="T499" s="1121">
        <f t="shared" si="114"/>
        <v>167672.5727726958</v>
      </c>
      <c r="U499" s="827">
        <v>44455</v>
      </c>
      <c r="V499" s="701" t="s">
        <v>1725</v>
      </c>
      <c r="W499" s="1031">
        <v>44453.476382407411</v>
      </c>
      <c r="X499" s="1089">
        <f t="shared" si="123"/>
        <v>-5.9998295603056695E-2</v>
      </c>
      <c r="Y499" s="690" t="s">
        <v>1763</v>
      </c>
      <c r="Z499" s="1111" t="e">
        <f ca="1">VLOOKUP(AA499,'place of settlement'!A:C,2,FALSE)</f>
        <v>#NAME?</v>
      </c>
      <c r="AA499" s="1111" t="e">
        <f t="shared" ca="1" si="120"/>
        <v>#NAME?</v>
      </c>
      <c r="AB499" s="1111" t="e">
        <f t="shared" ca="1" si="121"/>
        <v>#NAME?</v>
      </c>
      <c r="AC499" s="1111" t="e">
        <f ca="1">VLOOKUP(AB499,sample!$1:$1048576,2,FALSE)</f>
        <v>#NAME?</v>
      </c>
      <c r="AD499" s="1111" t="e">
        <f ca="1">VLOOKUP($AB499,sample!$1:$1048576,3,FALSE)</f>
        <v>#NAME?</v>
      </c>
      <c r="AE499" s="1104" t="e">
        <f ca="1">VLOOKUP($AB499,sample!$1:$1048576,4,FALSE)</f>
        <v>#NAME?</v>
      </c>
      <c r="AF499" s="1111" t="e">
        <f ca="1">VLOOKUP($AB499,sample!$1:$1048576,5,FALSE)</f>
        <v>#NAME?</v>
      </c>
      <c r="AL499" s="1104" t="e">
        <f ca="1">VLOOKUP($AB499,sample!$1:$1048576,11,FALSE)</f>
        <v>#NAME?</v>
      </c>
      <c r="AM499" s="1104" t="e">
        <f ca="1">VLOOKUP($AB499,sample!$1:$1048576,12,FALSE)</f>
        <v>#NAME?</v>
      </c>
      <c r="AN499" s="1104" t="e">
        <f ca="1">VLOOKUP($AB499,sample!$1:$1048576,13,FALSE)</f>
        <v>#NAME?</v>
      </c>
      <c r="AP499" s="1111"/>
    </row>
    <row r="500" spans="1:42">
      <c r="A500" s="1091">
        <f t="shared" si="125"/>
        <v>2019200513</v>
      </c>
      <c r="B500" s="998">
        <v>44456</v>
      </c>
      <c r="C500" s="998" t="s">
        <v>137</v>
      </c>
      <c r="D500" s="1127" t="str">
        <f>IFERROR(VLOOKUP(G500,PosAggregate!$B$13:$B$93,1,FALSE),"")</f>
        <v>FR FP</v>
      </c>
      <c r="E500" s="1139" t="e">
        <f ca="1">_xll.BDP(G500  &amp; " Equity", "ID_ISIN", "Fill", "")</f>
        <v>#NAME?</v>
      </c>
      <c r="F500" s="1132" t="str">
        <f t="shared" si="122"/>
        <v>YES</v>
      </c>
      <c r="G500" s="701" t="s">
        <v>12899</v>
      </c>
      <c r="I500" s="1133" t="e">
        <f ca="1">_xll.BDP(E500 &amp; " Equity","SECURITY_NAME")</f>
        <v>#NAME?</v>
      </c>
      <c r="J500" s="1133" t="e">
        <f ca="1">_xll.BDP(G500 &amp; " Equity","Crncy")</f>
        <v>#NAME?</v>
      </c>
      <c r="K500" s="1055">
        <v>21.306699999999999</v>
      </c>
      <c r="L500" s="1055"/>
      <c r="M500" s="1055">
        <v>11000</v>
      </c>
      <c r="N500" s="1135">
        <f t="shared" si="119"/>
        <v>-234373.69999999998</v>
      </c>
      <c r="O500" s="1002">
        <v>-140.62</v>
      </c>
      <c r="P500" s="1002">
        <v>-703.12</v>
      </c>
      <c r="R500" s="1100">
        <f t="shared" si="124"/>
        <v>-235217.43999999997</v>
      </c>
      <c r="S500" s="995">
        <v>1</v>
      </c>
      <c r="T500" s="1121">
        <f t="shared" si="114"/>
        <v>-235217.43999999997</v>
      </c>
      <c r="U500" s="827">
        <v>44460</v>
      </c>
      <c r="V500" s="701" t="s">
        <v>1153</v>
      </c>
      <c r="W500" s="1031">
        <v>44457.411546759256</v>
      </c>
      <c r="X500" s="1089">
        <f t="shared" si="123"/>
        <v>5.9998199456679661E-2</v>
      </c>
      <c r="Y500" s="690" t="s">
        <v>1763</v>
      </c>
      <c r="Z500" s="1111" t="e">
        <f ca="1">VLOOKUP(AA500,'place of settlement'!A:C,2,FALSE)</f>
        <v>#NAME?</v>
      </c>
      <c r="AA500" s="1111" t="e">
        <f t="shared" ca="1" si="120"/>
        <v>#NAME?</v>
      </c>
      <c r="AB500" s="1111" t="e">
        <f t="shared" ca="1" si="121"/>
        <v>#NAME?</v>
      </c>
      <c r="AC500" s="1111" t="e">
        <f ca="1">VLOOKUP(AB500,sample!$1:$1048576,2,FALSE)</f>
        <v>#NAME?</v>
      </c>
      <c r="AD500" s="1111" t="e">
        <f ca="1">VLOOKUP($AB500,sample!$1:$1048576,3,FALSE)</f>
        <v>#NAME?</v>
      </c>
      <c r="AE500" s="1104" t="e">
        <f ca="1">VLOOKUP($AB500,sample!$1:$1048576,4,FALSE)</f>
        <v>#NAME?</v>
      </c>
      <c r="AF500" s="1111" t="e">
        <f ca="1">VLOOKUP($AB500,sample!$1:$1048576,5,FALSE)</f>
        <v>#NAME?</v>
      </c>
      <c r="AL500" s="1104" t="e">
        <f ca="1">VLOOKUP($AB500,sample!$1:$1048576,11,FALSE)</f>
        <v>#NAME?</v>
      </c>
      <c r="AM500" s="1104" t="e">
        <f ca="1">VLOOKUP($AB500,sample!$1:$1048576,12,FALSE)</f>
        <v>#NAME?</v>
      </c>
      <c r="AN500" s="1104" t="e">
        <f ca="1">VLOOKUP($AB500,sample!$1:$1048576,13,FALSE)</f>
        <v>#NAME?</v>
      </c>
      <c r="AP500" s="1111"/>
    </row>
    <row r="501" spans="1:42">
      <c r="A501" s="1091">
        <f t="shared" si="125"/>
        <v>2019200514</v>
      </c>
      <c r="B501" s="998">
        <v>44468</v>
      </c>
      <c r="C501" s="998" t="s">
        <v>137</v>
      </c>
      <c r="D501" s="1127" t="str">
        <f>IFERROR(VLOOKUP(G501,PosAggregate!$B$13:$B$93,1,FALSE),"")</f>
        <v>6762 JP</v>
      </c>
      <c r="E501" s="1139" t="e">
        <f ca="1">_xll.BDP(G501  &amp; " Equity", "ID_ISIN", "Fill", "")</f>
        <v>#NAME?</v>
      </c>
      <c r="F501" s="1132" t="str">
        <f t="shared" si="122"/>
        <v>YES</v>
      </c>
      <c r="G501" s="701" t="s">
        <v>13047</v>
      </c>
      <c r="I501" s="1133" t="e">
        <f ca="1">_xll.BDP(E501 &amp; " Equity","SECURITY_NAME")</f>
        <v>#NAME?</v>
      </c>
      <c r="J501" s="1133" t="e">
        <f ca="1">_xll.BDP(G501 &amp; " Equity","Crncy")</f>
        <v>#NAME?</v>
      </c>
      <c r="K501" s="1055">
        <v>4090.677612</v>
      </c>
      <c r="L501" s="1055"/>
      <c r="M501" s="1055">
        <v>6700</v>
      </c>
      <c r="N501" s="1135">
        <f t="shared" si="119"/>
        <v>-27407540.000399999</v>
      </c>
      <c r="O501" s="1002">
        <v>-16445</v>
      </c>
      <c r="P501" s="1002"/>
      <c r="R501" s="1100">
        <f t="shared" si="124"/>
        <v>-27423985.000399999</v>
      </c>
      <c r="S501" s="995">
        <v>2</v>
      </c>
      <c r="T501" s="1121">
        <f t="shared" si="114"/>
        <v>-13711992.5002</v>
      </c>
      <c r="U501" s="827">
        <v>44470</v>
      </c>
      <c r="V501" s="701" t="s">
        <v>1725</v>
      </c>
      <c r="W501" s="1031">
        <v>44468.351708217589</v>
      </c>
      <c r="X501" s="1089">
        <f t="shared" si="123"/>
        <v>6.0001736747478954E-2</v>
      </c>
      <c r="Y501" s="690" t="s">
        <v>1763</v>
      </c>
      <c r="Z501" s="1111" t="e">
        <f ca="1">VLOOKUP(AA501,'place of settlement'!A:C,2,FALSE)</f>
        <v>#NAME?</v>
      </c>
      <c r="AA501" s="1111" t="e">
        <f t="shared" ca="1" si="120"/>
        <v>#NAME?</v>
      </c>
      <c r="AB501" s="1111" t="e">
        <f t="shared" ca="1" si="121"/>
        <v>#NAME?</v>
      </c>
      <c r="AC501" s="1111" t="e">
        <f ca="1">VLOOKUP(AB501,sample!$1:$1048576,2,FALSE)</f>
        <v>#NAME?</v>
      </c>
      <c r="AD501" s="1111" t="e">
        <f ca="1">VLOOKUP($AB501,sample!$1:$1048576,3,FALSE)</f>
        <v>#NAME?</v>
      </c>
      <c r="AE501" s="1104" t="e">
        <f ca="1">VLOOKUP($AB501,sample!$1:$1048576,4,FALSE)</f>
        <v>#NAME?</v>
      </c>
      <c r="AF501" s="1111" t="e">
        <f ca="1">VLOOKUP($AB501,sample!$1:$1048576,5,FALSE)</f>
        <v>#NAME?</v>
      </c>
      <c r="AL501" s="1104" t="e">
        <f ca="1">VLOOKUP($AB501,sample!$1:$1048576,11,FALSE)</f>
        <v>#NAME?</v>
      </c>
      <c r="AM501" s="1104" t="e">
        <f ca="1">VLOOKUP($AB501,sample!$1:$1048576,12,FALSE)</f>
        <v>#NAME?</v>
      </c>
      <c r="AN501" s="1104" t="e">
        <f ca="1">VLOOKUP($AB501,sample!$1:$1048576,13,FALSE)</f>
        <v>#NAME?</v>
      </c>
      <c r="AP501" s="1111"/>
    </row>
    <row r="502" spans="1:42">
      <c r="A502" s="1091">
        <f t="shared" si="125"/>
        <v>2019200515</v>
      </c>
      <c r="B502" s="998">
        <v>44468</v>
      </c>
      <c r="C502" s="998" t="s">
        <v>137</v>
      </c>
      <c r="D502" s="1127" t="str">
        <f>IFERROR(VLOOKUP(G502,PosAggregate!$B$13:$B$93,1,FALSE),"")</f>
        <v>VTSC GR</v>
      </c>
      <c r="E502" s="1139" t="e">
        <f ca="1">_xll.BDP(G502  &amp; " Equity", "ID_ISIN", "Fill", "")</f>
        <v>#NAME?</v>
      </c>
      <c r="F502" s="1132" t="str">
        <f t="shared" si="122"/>
        <v>YES</v>
      </c>
      <c r="G502" s="701" t="s">
        <v>13049</v>
      </c>
      <c r="I502" s="1133" t="e">
        <f ca="1">_xll.BDP(E502 &amp; " Equity","SECURITY_NAME")</f>
        <v>#NAME?</v>
      </c>
      <c r="J502" s="1133" t="e">
        <f ca="1">_xll.BDP(G502 &amp; " Equity","Crncy")</f>
        <v>#NAME?</v>
      </c>
      <c r="K502" s="1055">
        <v>52.720300000000002</v>
      </c>
      <c r="L502" s="1055"/>
      <c r="M502" s="1055">
        <v>3540</v>
      </c>
      <c r="N502" s="1135">
        <f t="shared" si="119"/>
        <v>-186629.86199999999</v>
      </c>
      <c r="O502" s="1002">
        <v>-111.98</v>
      </c>
      <c r="R502" s="1100">
        <f t="shared" si="124"/>
        <v>-186741.842</v>
      </c>
      <c r="S502" s="995">
        <v>1</v>
      </c>
      <c r="T502" s="1121">
        <f t="shared" si="114"/>
        <v>-186741.842</v>
      </c>
      <c r="U502" s="827">
        <v>44470</v>
      </c>
      <c r="V502" s="701" t="s">
        <v>1229</v>
      </c>
      <c r="W502" s="1031">
        <v>44469.437924189813</v>
      </c>
      <c r="X502" s="1089">
        <f t="shared" si="123"/>
        <v>6.0001116005754751E-2</v>
      </c>
      <c r="Y502" s="690" t="s">
        <v>1763</v>
      </c>
      <c r="Z502" s="1111" t="e">
        <f ca="1">VLOOKUP(AA502,'place of settlement'!A:C,2,FALSE)</f>
        <v>#NAME?</v>
      </c>
      <c r="AA502" s="1111" t="e">
        <f t="shared" ca="1" si="120"/>
        <v>#NAME?</v>
      </c>
      <c r="AB502" s="1111" t="e">
        <f ca="1">CONCATENATE(V502,AA502)</f>
        <v>#NAME?</v>
      </c>
      <c r="AC502" s="1111" t="e">
        <f ca="1">VLOOKUP(AB502,sample!$1:$1048576,2,FALSE)</f>
        <v>#NAME?</v>
      </c>
      <c r="AD502" s="1111" t="e">
        <f ca="1">VLOOKUP($AB502,sample!$1:$1048576,3,FALSE)</f>
        <v>#NAME?</v>
      </c>
      <c r="AE502" s="1104" t="e">
        <f ca="1">VLOOKUP($AB502,sample!$1:$1048576,4,FALSE)</f>
        <v>#NAME?</v>
      </c>
      <c r="AF502" s="1111" t="e">
        <f ca="1">VLOOKUP($AB502,sample!$1:$1048576,5,FALSE)</f>
        <v>#NAME?</v>
      </c>
      <c r="AL502" s="1104" t="e">
        <f ca="1">VLOOKUP($AB502,sample!$1:$1048576,11,FALSE)</f>
        <v>#NAME?</v>
      </c>
      <c r="AM502" s="1104" t="e">
        <f ca="1">VLOOKUP($AB502,sample!$1:$1048576,12,FALSE)</f>
        <v>#NAME?</v>
      </c>
      <c r="AN502" s="1104" t="e">
        <f ca="1">VLOOKUP($AB502,sample!$1:$1048576,13,FALSE)</f>
        <v>#NAME?</v>
      </c>
      <c r="AP502" s="1111"/>
    </row>
    <row r="503" spans="1:42">
      <c r="A503" s="1091">
        <f t="shared" si="125"/>
        <v>2019200516</v>
      </c>
      <c r="B503" s="998">
        <v>44469</v>
      </c>
      <c r="C503" s="998" t="s">
        <v>137</v>
      </c>
      <c r="D503" s="1127" t="str">
        <f>IFERROR(VLOOKUP(G503,PosAggregate!$B$13:$B$93,1,FALSE),"")</f>
        <v>7013 JP</v>
      </c>
      <c r="E503" s="1139" t="e">
        <f ca="1">_xll.BDP(G503  &amp; " Equity", "ID_ISIN", "Fill", "")</f>
        <v>#NAME?</v>
      </c>
      <c r="F503" s="1132" t="str">
        <f t="shared" si="122"/>
        <v>YES</v>
      </c>
      <c r="G503" s="701" t="s">
        <v>13089</v>
      </c>
      <c r="I503" s="1133" t="e">
        <f ca="1">_xll.BDP(E503 &amp; " Equity","SECURITY_NAME")</f>
        <v>#NAME?</v>
      </c>
      <c r="J503" s="1133" t="e">
        <f ca="1">_xll.BDP(G503 &amp; " Equity","Crncy")</f>
        <v>#NAME?</v>
      </c>
      <c r="K503" s="1055">
        <v>2839.28</v>
      </c>
      <c r="L503" s="1055"/>
      <c r="M503" s="1055">
        <v>22000</v>
      </c>
      <c r="N503" s="1135">
        <f t="shared" si="119"/>
        <v>-62464160.000000007</v>
      </c>
      <c r="O503" s="1002">
        <v>-37478</v>
      </c>
      <c r="R503" s="1100">
        <f t="shared" si="124"/>
        <v>-62501638.000000007</v>
      </c>
      <c r="S503" s="995">
        <v>129.59</v>
      </c>
      <c r="T503" s="1121">
        <f t="shared" si="114"/>
        <v>-482302.94004166994</v>
      </c>
      <c r="U503" s="827">
        <v>44473</v>
      </c>
      <c r="V503" s="701" t="s">
        <v>1725</v>
      </c>
      <c r="W503" s="1031">
        <v>44469.51668148148</v>
      </c>
      <c r="X503" s="1089">
        <f t="shared" si="123"/>
        <v>5.9999205944656901E-2</v>
      </c>
      <c r="Y503" s="690" t="s">
        <v>1763</v>
      </c>
      <c r="Z503" s="1111" t="e">
        <f ca="1">VLOOKUP(AA503,'place of settlement'!A:C,2,FALSE)</f>
        <v>#NAME?</v>
      </c>
      <c r="AA503" s="1111" t="e">
        <f t="shared" ca="1" si="120"/>
        <v>#NAME?</v>
      </c>
      <c r="AB503" s="1111" t="e">
        <f t="shared" ca="1" si="121"/>
        <v>#NAME?</v>
      </c>
      <c r="AC503" s="1111" t="e">
        <f ca="1">VLOOKUP(AB503,sample!$1:$1048576,2,FALSE)</f>
        <v>#NAME?</v>
      </c>
      <c r="AD503" s="1111" t="e">
        <f ca="1">VLOOKUP($AB503,sample!$1:$1048576,3,FALSE)</f>
        <v>#NAME?</v>
      </c>
      <c r="AE503" s="1104" t="e">
        <f ca="1">VLOOKUP($AB503,sample!$1:$1048576,4,FALSE)</f>
        <v>#NAME?</v>
      </c>
      <c r="AF503" s="1111" t="e">
        <f ca="1">VLOOKUP($AB503,sample!$1:$1048576,5,FALSE)</f>
        <v>#NAME?</v>
      </c>
      <c r="AL503" s="1104" t="e">
        <f ca="1">VLOOKUP($AB503,sample!$1:$1048576,11,FALSE)</f>
        <v>#NAME?</v>
      </c>
      <c r="AM503" s="1104" t="e">
        <f ca="1">VLOOKUP($AB503,sample!$1:$1048576,12,FALSE)</f>
        <v>#NAME?</v>
      </c>
      <c r="AN503" s="1104" t="e">
        <f ca="1">VLOOKUP($AB503,sample!$1:$1048576,13,FALSE)</f>
        <v>#NAME?</v>
      </c>
      <c r="AP503" s="1111"/>
    </row>
    <row r="504" spans="1:42">
      <c r="A504" s="1091">
        <f t="shared" si="125"/>
        <v>2019200517</v>
      </c>
      <c r="B504" s="998">
        <v>44473</v>
      </c>
      <c r="C504" s="998" t="s">
        <v>138</v>
      </c>
      <c r="D504" s="1127" t="str">
        <f>IFERROR(VLOOKUP(G504,PosAggregate!$B$13:$B$93,1,FALSE),"")</f>
        <v>WSA AU</v>
      </c>
      <c r="E504" s="1139" t="e">
        <f ca="1">_xll.BDP(G504  &amp; " Equity", "ID_ISIN", "Fill", "")</f>
        <v>#NAME?</v>
      </c>
      <c r="F504" s="1132" t="str">
        <f t="shared" si="122"/>
        <v>YES</v>
      </c>
      <c r="G504" s="701" t="s">
        <v>12906</v>
      </c>
      <c r="I504" s="1133" t="e">
        <f ca="1">_xll.BDP(E504 &amp; " Equity","SECURITY_NAME")</f>
        <v>#NAME?</v>
      </c>
      <c r="J504" s="1133" t="e">
        <f ca="1">_xll.BDP(G504 &amp; " Equity","Crncy")</f>
        <v>#NAME?</v>
      </c>
      <c r="K504" s="1055">
        <v>2.9624540000000001</v>
      </c>
      <c r="L504" s="1055"/>
      <c r="M504" s="1055">
        <v>-42586</v>
      </c>
      <c r="N504" s="1135">
        <f t="shared" si="119"/>
        <v>126159.06604400001</v>
      </c>
      <c r="O504" s="1002">
        <v>75.7</v>
      </c>
      <c r="R504" s="1100">
        <f t="shared" si="124"/>
        <v>126234.766044</v>
      </c>
      <c r="S504" s="995">
        <v>1.5967800000000001</v>
      </c>
      <c r="T504" s="1121">
        <f t="shared" si="114"/>
        <v>79055.828632623146</v>
      </c>
      <c r="U504" s="827">
        <v>44475</v>
      </c>
      <c r="V504" s="701" t="s">
        <v>1725</v>
      </c>
      <c r="W504" s="1031">
        <v>44473.529774189818</v>
      </c>
      <c r="X504" s="1089">
        <f t="shared" si="123"/>
        <v>6.0003614780723261E-2</v>
      </c>
      <c r="Y504" s="690" t="s">
        <v>1763</v>
      </c>
      <c r="Z504" s="1111" t="e">
        <f ca="1">VLOOKUP(AA504,'place of settlement'!A:C,2,FALSE)</f>
        <v>#NAME?</v>
      </c>
      <c r="AA504" s="1111" t="e">
        <f t="shared" ca="1" si="120"/>
        <v>#NAME?</v>
      </c>
      <c r="AB504" s="1111" t="e">
        <f t="shared" ca="1" si="121"/>
        <v>#NAME?</v>
      </c>
      <c r="AC504" s="1111" t="e">
        <f ca="1">VLOOKUP(AB504,sample!$1:$1048576,2,FALSE)</f>
        <v>#NAME?</v>
      </c>
      <c r="AD504" s="1111" t="e">
        <f ca="1">VLOOKUP($AB504,sample!$1:$1048576,3,FALSE)</f>
        <v>#NAME?</v>
      </c>
      <c r="AE504" s="1104" t="e">
        <f ca="1">VLOOKUP($AB504,sample!$1:$1048576,4,FALSE)</f>
        <v>#NAME?</v>
      </c>
      <c r="AF504" s="1111" t="e">
        <f ca="1">VLOOKUP($AB504,sample!$1:$1048576,5,FALSE)</f>
        <v>#NAME?</v>
      </c>
      <c r="AL504" s="1104" t="e">
        <f ca="1">VLOOKUP($AB504,sample!$1:$1048576,11,FALSE)</f>
        <v>#NAME?</v>
      </c>
      <c r="AM504" s="1104" t="e">
        <f ca="1">VLOOKUP($AB504,sample!$1:$1048576,12,FALSE)</f>
        <v>#NAME?</v>
      </c>
      <c r="AN504" s="1104" t="e">
        <f ca="1">VLOOKUP($AB504,sample!$1:$1048576,13,FALSE)</f>
        <v>#NAME?</v>
      </c>
      <c r="AP504" s="1111"/>
    </row>
    <row r="505" spans="1:42">
      <c r="A505" s="1091">
        <f t="shared" si="125"/>
        <v>2019200518</v>
      </c>
      <c r="B505" s="998">
        <v>44473</v>
      </c>
      <c r="C505" s="998" t="s">
        <v>137</v>
      </c>
      <c r="D505" s="1127" t="str">
        <f>IFERROR(VLOOKUP(G505,PosAggregate!$B$13:$B$93,1,FALSE),"")</f>
        <v>5713 JP</v>
      </c>
      <c r="E505" s="1139" t="e">
        <f ca="1">_xll.BDP(G505  &amp; " Equity", "ID_ISIN", "Fill", "")</f>
        <v>#NAME?</v>
      </c>
      <c r="F505" s="1132" t="str">
        <f t="shared" si="122"/>
        <v>YES</v>
      </c>
      <c r="G505" s="701" t="s">
        <v>12890</v>
      </c>
      <c r="I505" s="1133" t="e">
        <f ca="1">_xll.BDP(E505 &amp; " Equity","SECURITY_NAME")</f>
        <v>#NAME?</v>
      </c>
      <c r="J505" s="1133" t="e">
        <f ca="1">_xll.BDP(G505 &amp; " Equity","Crncy")</f>
        <v>#NAME?</v>
      </c>
      <c r="K505" s="1055">
        <v>3924.9719100000002</v>
      </c>
      <c r="M505" s="1055">
        <v>8900</v>
      </c>
      <c r="N505" s="1135">
        <f t="shared" si="119"/>
        <v>-34932249.999000005</v>
      </c>
      <c r="O505" s="1002">
        <v>-20959</v>
      </c>
      <c r="R505" s="1100">
        <f t="shared" si="124"/>
        <v>-34953208.999000005</v>
      </c>
      <c r="S505" s="995">
        <v>129.27000000000001</v>
      </c>
      <c r="T505" s="1121">
        <f t="shared" si="114"/>
        <v>-270389.17768237024</v>
      </c>
      <c r="U505" s="827">
        <v>44475</v>
      </c>
      <c r="V505" s="701" t="s">
        <v>1725</v>
      </c>
      <c r="W505" s="1031">
        <v>44473.621874652781</v>
      </c>
      <c r="X505" s="1089">
        <f t="shared" si="123"/>
        <v>5.999899806224903E-2</v>
      </c>
      <c r="Y505" s="690" t="s">
        <v>1763</v>
      </c>
      <c r="Z505" s="1111" t="e">
        <f ca="1">VLOOKUP(AA505,'place of settlement'!A:C,2,FALSE)</f>
        <v>#NAME?</v>
      </c>
      <c r="AA505" s="1111" t="e">
        <f t="shared" ca="1" si="120"/>
        <v>#NAME?</v>
      </c>
      <c r="AB505" s="1111" t="e">
        <f t="shared" ca="1" si="121"/>
        <v>#NAME?</v>
      </c>
      <c r="AC505" s="1111" t="e">
        <f ca="1">VLOOKUP(AB505,sample!$1:$1048576,2,FALSE)</f>
        <v>#NAME?</v>
      </c>
      <c r="AD505" s="1111" t="e">
        <f ca="1">VLOOKUP($AB505,sample!$1:$1048576,3,FALSE)</f>
        <v>#NAME?</v>
      </c>
      <c r="AE505" s="1104" t="e">
        <f ca="1">VLOOKUP($AB505,sample!$1:$1048576,4,FALSE)</f>
        <v>#NAME?</v>
      </c>
      <c r="AF505" s="1111" t="e">
        <f ca="1">VLOOKUP($AB505,sample!$1:$1048576,5,FALSE)</f>
        <v>#NAME?</v>
      </c>
      <c r="AL505" s="1104" t="e">
        <f ca="1">VLOOKUP($AB505,sample!$1:$1048576,11,FALSE)</f>
        <v>#NAME?</v>
      </c>
      <c r="AM505" s="1104" t="e">
        <f ca="1">VLOOKUP($AB505,sample!$1:$1048576,12,FALSE)</f>
        <v>#NAME?</v>
      </c>
      <c r="AN505" s="1104" t="e">
        <f ca="1">VLOOKUP($AB505,sample!$1:$1048576,13,FALSE)</f>
        <v>#NAME?</v>
      </c>
      <c r="AP505" s="1111"/>
    </row>
    <row r="506" spans="1:42">
      <c r="A506" s="920">
        <v>2019200520</v>
      </c>
      <c r="B506" s="998">
        <v>44475</v>
      </c>
      <c r="C506" s="998" t="s">
        <v>138</v>
      </c>
      <c r="D506" s="1127" t="str">
        <f>IFERROR(VLOOKUP(G506,PosAggregate!$B$13:$B$93,1,FALSE),"")</f>
        <v>WSA AU</v>
      </c>
      <c r="E506" s="1139" t="e">
        <f ca="1">_xll.BDP(G506  &amp; " Equity", "ID_ISIN", "Fill", "")</f>
        <v>#NAME?</v>
      </c>
      <c r="F506" s="1132" t="str">
        <f t="shared" si="122"/>
        <v>YES</v>
      </c>
      <c r="G506" s="701" t="s">
        <v>12906</v>
      </c>
      <c r="I506" s="1133" t="e">
        <f ca="1">_xll.BDP(E506 &amp; " Equity","SECURITY_NAME")</f>
        <v>#NAME?</v>
      </c>
      <c r="J506" s="1133" t="e">
        <f ca="1">_xll.BDP(G506 &amp; " Equity","Crncy")</f>
        <v>#NAME?</v>
      </c>
      <c r="K506" s="1055">
        <v>2.931238</v>
      </c>
      <c r="M506" s="1055">
        <v>-42000</v>
      </c>
      <c r="N506" s="1135">
        <f t="shared" si="119"/>
        <v>123111.996</v>
      </c>
      <c r="O506" s="1002">
        <v>-73.87</v>
      </c>
      <c r="R506" s="1100">
        <f t="shared" si="124"/>
        <v>123038.126</v>
      </c>
      <c r="S506" s="995">
        <v>1.5966499999999999</v>
      </c>
      <c r="T506" s="1121">
        <f t="shared" si="114"/>
        <v>77060.173488241009</v>
      </c>
      <c r="U506" s="827">
        <v>44477</v>
      </c>
      <c r="V506" s="701" t="s">
        <v>1725</v>
      </c>
      <c r="W506" s="1031">
        <v>44475.446541203703</v>
      </c>
      <c r="X506" s="1089">
        <f t="shared" si="123"/>
        <v>-6.0002276301328109E-2</v>
      </c>
      <c r="Y506" s="690" t="s">
        <v>1763</v>
      </c>
      <c r="Z506" s="1111" t="e">
        <f ca="1">VLOOKUP(AA506,'place of settlement'!A:C,2,FALSE)</f>
        <v>#NAME?</v>
      </c>
      <c r="AA506" s="1111" t="e">
        <f t="shared" ca="1" si="120"/>
        <v>#NAME?</v>
      </c>
      <c r="AB506" s="1111" t="e">
        <f t="shared" ca="1" si="121"/>
        <v>#NAME?</v>
      </c>
      <c r="AC506" s="1111" t="e">
        <f ca="1">VLOOKUP(AB506,sample!$1:$1048576,2,FALSE)</f>
        <v>#NAME?</v>
      </c>
      <c r="AD506" s="1111" t="e">
        <f ca="1">VLOOKUP($AB506,sample!$1:$1048576,3,FALSE)</f>
        <v>#NAME?</v>
      </c>
      <c r="AE506" s="1104" t="e">
        <f ca="1">VLOOKUP($AB506,sample!$1:$1048576,4,FALSE)</f>
        <v>#NAME?</v>
      </c>
      <c r="AF506" s="1111" t="e">
        <f ca="1">VLOOKUP($AB506,sample!$1:$1048576,5,FALSE)</f>
        <v>#NAME?</v>
      </c>
      <c r="AL506" s="1104" t="e">
        <f ca="1">VLOOKUP($AB506,sample!$1:$1048576,11,FALSE)</f>
        <v>#NAME?</v>
      </c>
      <c r="AM506" s="1104" t="e">
        <f ca="1">VLOOKUP($AB506,sample!$1:$1048576,12,FALSE)</f>
        <v>#NAME?</v>
      </c>
      <c r="AN506" s="1104" t="e">
        <f ca="1">VLOOKUP($AB506,sample!$1:$1048576,13,FALSE)</f>
        <v>#NAME?</v>
      </c>
      <c r="AP506" s="1111"/>
    </row>
    <row r="507" spans="1:42">
      <c r="A507" s="827" t="s">
        <v>1777</v>
      </c>
      <c r="B507" s="998">
        <v>44475</v>
      </c>
      <c r="C507" s="998" t="s">
        <v>13060</v>
      </c>
      <c r="D507" s="1127" t="str">
        <f>IFERROR(VLOOKUP(G507,PosAggregate!$B$13:$B$93,1,FALSE),"")</f>
        <v>VTSC GR</v>
      </c>
      <c r="E507" s="1139" t="e">
        <f ca="1">_xll.BDP(G507  &amp; " Equity", "ID_ISIN", "Fill", "")</f>
        <v>#NAME?</v>
      </c>
      <c r="F507" s="1132" t="str">
        <f t="shared" si="122"/>
        <v>YES</v>
      </c>
      <c r="G507" s="701" t="s">
        <v>13049</v>
      </c>
      <c r="I507" s="1133" t="e">
        <f ca="1">_xll.BDP(E507 &amp; " Equity","SECURITY_NAME")</f>
        <v>#NAME?</v>
      </c>
      <c r="J507" s="1133" t="e">
        <f ca="1">_xll.BDP(G507 &amp; " Equity","Crncy")</f>
        <v>#NAME?</v>
      </c>
      <c r="M507" s="1055">
        <v>660</v>
      </c>
      <c r="N507" s="1135">
        <f t="shared" si="119"/>
        <v>0</v>
      </c>
      <c r="R507" s="1100">
        <f t="shared" si="124"/>
        <v>0</v>
      </c>
      <c r="T507" s="1121" t="e">
        <f t="shared" si="114"/>
        <v>#DIV/0!</v>
      </c>
      <c r="X507" s="1089" t="e">
        <f t="shared" si="123"/>
        <v>#DIV/0!</v>
      </c>
      <c r="Y507" s="690" t="s">
        <v>1763</v>
      </c>
      <c r="Z507" s="1111" t="e">
        <f ca="1">VLOOKUP(AA507,'place of settlement'!A:C,2,FALSE)</f>
        <v>#NAME?</v>
      </c>
      <c r="AA507" s="1111" t="e">
        <f t="shared" ca="1" si="120"/>
        <v>#NAME?</v>
      </c>
      <c r="AB507" s="1111" t="e">
        <f t="shared" ca="1" si="121"/>
        <v>#NAME?</v>
      </c>
      <c r="AC507" s="1111" t="e">
        <f ca="1">VLOOKUP(AB507,sample!$1:$1048576,2,FALSE)</f>
        <v>#NAME?</v>
      </c>
      <c r="AD507" s="1111" t="e">
        <f ca="1">VLOOKUP($AB507,sample!$1:$1048576,3,FALSE)</f>
        <v>#NAME?</v>
      </c>
      <c r="AE507" s="1104" t="e">
        <f ca="1">VLOOKUP($AB507,sample!$1:$1048576,4,FALSE)</f>
        <v>#NAME?</v>
      </c>
      <c r="AF507" s="1111" t="e">
        <f ca="1">VLOOKUP($AB507,sample!$1:$1048576,5,FALSE)</f>
        <v>#NAME?</v>
      </c>
      <c r="AL507" s="1104" t="e">
        <f ca="1">VLOOKUP($AB507,sample!$1:$1048576,11,FALSE)</f>
        <v>#NAME?</v>
      </c>
      <c r="AM507" s="1104" t="e">
        <f ca="1">VLOOKUP($AB507,sample!$1:$1048576,12,FALSE)</f>
        <v>#NAME?</v>
      </c>
      <c r="AN507" s="1104" t="e">
        <f ca="1">VLOOKUP($AB507,sample!$1:$1048576,13,FALSE)</f>
        <v>#NAME?</v>
      </c>
      <c r="AP507" s="1111"/>
    </row>
    <row r="508" spans="1:42">
      <c r="A508" s="827" t="s">
        <v>2166</v>
      </c>
      <c r="B508" s="998">
        <v>44481</v>
      </c>
      <c r="C508" s="998" t="s">
        <v>13061</v>
      </c>
      <c r="D508" s="1127" t="str">
        <f>IFERROR(VLOOKUP(G508,PosAggregate!$B$13:$B$93,1,FALSE),"")</f>
        <v>SFR AU</v>
      </c>
      <c r="E508" s="1139" t="e">
        <f ca="1">_xll.BDP(G508  &amp; " Equity", "ID_ISIN", "Fill", "")</f>
        <v>#NAME?</v>
      </c>
      <c r="F508" s="1132" t="str">
        <f t="shared" si="122"/>
        <v>YES</v>
      </c>
      <c r="G508" s="701" t="s">
        <v>12937</v>
      </c>
      <c r="I508" s="1133" t="e">
        <f ca="1">_xll.BDP(E508 &amp; " Equity","SECURITY_NAME")</f>
        <v>#NAME?</v>
      </c>
      <c r="J508" s="1133" t="e">
        <f ca="1">_xll.BDP(G508 &amp; " Equity","Crncy")</f>
        <v>#NAME?</v>
      </c>
      <c r="M508" s="1055">
        <v>42000</v>
      </c>
      <c r="N508" s="1135">
        <f t="shared" si="119"/>
        <v>0</v>
      </c>
      <c r="R508" s="1100">
        <f t="shared" si="124"/>
        <v>0</v>
      </c>
      <c r="T508" s="1121" t="e">
        <f t="shared" ref="T508:T571" si="126">+R508/S508</f>
        <v>#DIV/0!</v>
      </c>
      <c r="X508" s="1089" t="e">
        <f t="shared" si="123"/>
        <v>#DIV/0!</v>
      </c>
      <c r="Y508" s="690" t="s">
        <v>1763</v>
      </c>
      <c r="Z508" s="1111" t="e">
        <f ca="1">VLOOKUP(AA508,'place of settlement'!A:C,2,FALSE)</f>
        <v>#NAME?</v>
      </c>
      <c r="AA508" s="1111" t="e">
        <f t="shared" ca="1" si="120"/>
        <v>#NAME?</v>
      </c>
      <c r="AB508" s="1111" t="e">
        <f t="shared" ca="1" si="121"/>
        <v>#NAME?</v>
      </c>
      <c r="AC508" s="1111" t="e">
        <f ca="1">VLOOKUP(AB508,sample!$1:$1048576,2,FALSE)</f>
        <v>#NAME?</v>
      </c>
      <c r="AD508" s="1111" t="e">
        <f ca="1">VLOOKUP($AB508,sample!$1:$1048576,3,FALSE)</f>
        <v>#NAME?</v>
      </c>
      <c r="AE508" s="1104" t="e">
        <f ca="1">VLOOKUP($AB508,sample!$1:$1048576,4,FALSE)</f>
        <v>#NAME?</v>
      </c>
      <c r="AF508" s="1111" t="e">
        <f ca="1">VLOOKUP($AB508,sample!$1:$1048576,5,FALSE)</f>
        <v>#NAME?</v>
      </c>
      <c r="AL508" s="1104" t="e">
        <f ca="1">VLOOKUP($AB508,sample!$1:$1048576,11,FALSE)</f>
        <v>#NAME?</v>
      </c>
      <c r="AM508" s="1104" t="e">
        <f ca="1">VLOOKUP($AB508,sample!$1:$1048576,12,FALSE)</f>
        <v>#NAME?</v>
      </c>
      <c r="AN508" s="1104" t="e">
        <f ca="1">VLOOKUP($AB508,sample!$1:$1048576,13,FALSE)</f>
        <v>#NAME?</v>
      </c>
      <c r="AP508" s="1111"/>
    </row>
    <row r="509" spans="1:42">
      <c r="A509" s="920">
        <v>2019200522</v>
      </c>
      <c r="B509" s="998">
        <v>44495</v>
      </c>
      <c r="C509" s="998" t="s">
        <v>138</v>
      </c>
      <c r="D509" s="1127" t="str">
        <f>IFERROR(VLOOKUP(G509,PosAggregate!$B$13:$B$93,1,FALSE),"")</f>
        <v>6752 JP</v>
      </c>
      <c r="E509" s="1139" t="e">
        <f ca="1">_xll.BDP(G509  &amp; " Equity", "ID_ISIN", "Fill", "")</f>
        <v>#NAME?</v>
      </c>
      <c r="F509" s="1132" t="str">
        <f t="shared" si="122"/>
        <v>YES</v>
      </c>
      <c r="G509" s="701" t="s">
        <v>12889</v>
      </c>
      <c r="I509" s="1133" t="e">
        <f ca="1">_xll.BDP(E509 &amp; " Equity","SECURITY_NAME")</f>
        <v>#NAME?</v>
      </c>
      <c r="J509" s="1133" t="e">
        <f ca="1">_xll.BDP(G509 &amp; " Equity","Crncy")</f>
        <v>#NAME?</v>
      </c>
      <c r="K509" s="1055">
        <v>1525.4571000000001</v>
      </c>
      <c r="M509" s="1055">
        <v>-7000</v>
      </c>
      <c r="N509" s="1135">
        <f t="shared" si="119"/>
        <v>10678199.700000001</v>
      </c>
      <c r="O509" s="1002">
        <v>-6407</v>
      </c>
      <c r="P509" s="1002"/>
      <c r="R509" s="1100">
        <f t="shared" si="124"/>
        <v>10671792.700000001</v>
      </c>
      <c r="S509" s="995">
        <v>132.02000000000001</v>
      </c>
      <c r="T509" s="1121">
        <f t="shared" si="126"/>
        <v>80834.666717164073</v>
      </c>
      <c r="U509" s="827">
        <v>44497</v>
      </c>
      <c r="V509" s="701" t="s">
        <v>1725</v>
      </c>
      <c r="W509" s="1031">
        <v>44495.296559722221</v>
      </c>
      <c r="X509" s="1089">
        <f t="shared" si="123"/>
        <v>-6.0000750875636825E-2</v>
      </c>
      <c r="Y509" s="690" t="s">
        <v>1763</v>
      </c>
      <c r="Z509" s="1111" t="e">
        <f ca="1">VLOOKUP(AA509,'place of settlement'!A:C,2,FALSE)</f>
        <v>#NAME?</v>
      </c>
      <c r="AA509" s="1111" t="e">
        <f t="shared" ca="1" si="120"/>
        <v>#NAME?</v>
      </c>
      <c r="AB509" s="1111" t="e">
        <f t="shared" ca="1" si="121"/>
        <v>#NAME?</v>
      </c>
      <c r="AC509" s="1111" t="e">
        <f ca="1">VLOOKUP(AB509,sample!$1:$1048576,2,FALSE)</f>
        <v>#NAME?</v>
      </c>
      <c r="AD509" s="1111" t="e">
        <f ca="1">VLOOKUP($AB509,sample!$1:$1048576,3,FALSE)</f>
        <v>#NAME?</v>
      </c>
      <c r="AE509" s="1104" t="e">
        <f ca="1">VLOOKUP($AB509,sample!$1:$1048576,4,FALSE)</f>
        <v>#NAME?</v>
      </c>
      <c r="AF509" s="1111" t="e">
        <f ca="1">VLOOKUP($AB509,sample!$1:$1048576,5,FALSE)</f>
        <v>#NAME?</v>
      </c>
      <c r="AL509" s="1104" t="e">
        <f ca="1">VLOOKUP($AB509,sample!$1:$1048576,11,FALSE)</f>
        <v>#NAME?</v>
      </c>
      <c r="AM509" s="1104" t="e">
        <f ca="1">VLOOKUP($AB509,sample!$1:$1048576,12,FALSE)</f>
        <v>#NAME?</v>
      </c>
      <c r="AN509" s="1104" t="e">
        <f ca="1">VLOOKUP($AB509,sample!$1:$1048576,13,FALSE)</f>
        <v>#NAME?</v>
      </c>
      <c r="AP509" s="1111"/>
    </row>
    <row r="510" spans="1:42">
      <c r="A510" s="1091">
        <f>(A509+1)</f>
        <v>2019200523</v>
      </c>
      <c r="B510" s="998">
        <v>44508</v>
      </c>
      <c r="C510" s="998" t="s">
        <v>138</v>
      </c>
      <c r="D510" s="1021" t="s">
        <v>13064</v>
      </c>
      <c r="E510" s="1139" t="e">
        <f ca="1">_xll.BDP(G510  &amp; " Equity", "ID_ISIN", "Fill", "")</f>
        <v>#NAME?</v>
      </c>
      <c r="F510" s="1132" t="str">
        <f t="shared" si="122"/>
        <v>YES</v>
      </c>
      <c r="G510" s="701" t="s">
        <v>13064</v>
      </c>
      <c r="I510" s="1133" t="e">
        <f ca="1">_xll.BDP(E510 &amp; " Equity","SECURITY_NAME")</f>
        <v>#NAME?</v>
      </c>
      <c r="J510" s="1133" t="e">
        <f ca="1">_xll.BDP(G510 &amp; " Equity","Crncy")</f>
        <v>#NAME?</v>
      </c>
      <c r="K510" s="1055">
        <v>135947.42610000001</v>
      </c>
      <c r="M510" s="1055">
        <v>-1826</v>
      </c>
      <c r="N510" s="1135">
        <f t="shared" si="119"/>
        <v>248240000.05860001</v>
      </c>
      <c r="O510" s="1002">
        <v>-372360</v>
      </c>
      <c r="P510" s="1002">
        <v>-570933</v>
      </c>
      <c r="R510" s="1100">
        <f t="shared" si="124"/>
        <v>247296707.05860001</v>
      </c>
      <c r="S510" s="995">
        <v>1369.23</v>
      </c>
      <c r="T510" s="1121">
        <f t="shared" si="126"/>
        <v>180610.05605968318</v>
      </c>
      <c r="U510" s="827">
        <v>44510</v>
      </c>
      <c r="V510" s="701" t="s">
        <v>1156</v>
      </c>
      <c r="W510" s="1031">
        <v>44507.926837615742</v>
      </c>
      <c r="X510" s="1089">
        <f t="shared" si="123"/>
        <v>-0.14999999996459071</v>
      </c>
      <c r="Y510" s="690" t="s">
        <v>1763</v>
      </c>
      <c r="Z510" s="1111" t="e">
        <f ca="1">VLOOKUP(AA510,'place of settlement'!A:C,2,FALSE)</f>
        <v>#NAME?</v>
      </c>
      <c r="AA510" s="1111" t="e">
        <f t="shared" ca="1" si="120"/>
        <v>#NAME?</v>
      </c>
      <c r="AB510" s="1111" t="e">
        <f t="shared" ca="1" si="121"/>
        <v>#NAME?</v>
      </c>
      <c r="AC510" s="1111" t="e">
        <f ca="1">VLOOKUP(AB510,sample!$1:$1048576,2,FALSE)</f>
        <v>#NAME?</v>
      </c>
      <c r="AD510" s="1111" t="e">
        <f ca="1">VLOOKUP($AB510,sample!$1:$1048576,3,FALSE)</f>
        <v>#NAME?</v>
      </c>
      <c r="AE510" s="1104" t="e">
        <f ca="1">VLOOKUP($AB510,sample!$1:$1048576,4,FALSE)</f>
        <v>#NAME?</v>
      </c>
      <c r="AF510" s="1111" t="e">
        <f ca="1">VLOOKUP($AB510,sample!$1:$1048576,5,FALSE)</f>
        <v>#NAME?</v>
      </c>
      <c r="AL510" s="1104" t="e">
        <f ca="1">VLOOKUP($AB510,sample!$1:$1048576,11,FALSE)</f>
        <v>#NAME?</v>
      </c>
      <c r="AM510" s="1104" t="e">
        <f ca="1">VLOOKUP($AB510,sample!$1:$1048576,12,FALSE)</f>
        <v>#NAME?</v>
      </c>
      <c r="AN510" s="1104" t="e">
        <f ca="1">VLOOKUP($AB510,sample!$1:$1048576,13,FALSE)</f>
        <v>#NAME?</v>
      </c>
      <c r="AP510" s="1111"/>
    </row>
    <row r="511" spans="1:42">
      <c r="A511" s="1091">
        <f t="shared" ref="A511:A549" si="127">(A510+1)</f>
        <v>2019200524</v>
      </c>
      <c r="B511" s="998">
        <v>44508</v>
      </c>
      <c r="C511" s="998" t="s">
        <v>138</v>
      </c>
      <c r="D511" s="1127" t="str">
        <f>IFERROR(VLOOKUP(G511,PosAggregate!$B$13:$B$93,1,FALSE),"")</f>
        <v>6502 JP</v>
      </c>
      <c r="E511" s="1139" t="e">
        <f ca="1">_xll.BDP(G511  &amp; " Equity", "ID_ISIN", "Fill", "")</f>
        <v>#NAME?</v>
      </c>
      <c r="F511" s="1132" t="str">
        <f t="shared" si="122"/>
        <v>YES</v>
      </c>
      <c r="G511" s="701" t="s">
        <v>13063</v>
      </c>
      <c r="I511" s="1133" t="e">
        <f ca="1">_xll.BDP(E511 &amp; " Equity","SECURITY_NAME")</f>
        <v>#NAME?</v>
      </c>
      <c r="J511" s="1133" t="e">
        <f ca="1">_xll.BDP(G511 &amp; " Equity","Crncy")</f>
        <v>#NAME?</v>
      </c>
      <c r="K511" s="1055">
        <v>5063.9090910000004</v>
      </c>
      <c r="M511" s="1055">
        <v>-11000</v>
      </c>
      <c r="N511" s="1135">
        <f t="shared" si="119"/>
        <v>55703000.001000002</v>
      </c>
      <c r="O511" s="1002">
        <v>-33422</v>
      </c>
      <c r="P511" s="1002"/>
      <c r="R511" s="1100">
        <f t="shared" si="124"/>
        <v>55669578.001000002</v>
      </c>
      <c r="S511" s="995">
        <v>131.09</v>
      </c>
      <c r="T511" s="1121">
        <f t="shared" si="126"/>
        <v>424666.85484018613</v>
      </c>
      <c r="U511" s="827">
        <v>44510</v>
      </c>
      <c r="V511" s="701" t="s">
        <v>1725</v>
      </c>
      <c r="W511" s="1031">
        <v>44507.960175578701</v>
      </c>
      <c r="X511" s="1089">
        <f t="shared" si="123"/>
        <v>-6.0000359046011871E-2</v>
      </c>
      <c r="Y511" s="690" t="s">
        <v>1763</v>
      </c>
      <c r="Z511" s="1111" t="e">
        <f ca="1">VLOOKUP(AA511,'place of settlement'!A:C,2,FALSE)</f>
        <v>#NAME?</v>
      </c>
      <c r="AA511" s="1111" t="e">
        <f t="shared" ca="1" si="120"/>
        <v>#NAME?</v>
      </c>
      <c r="AB511" s="1111" t="e">
        <f t="shared" ca="1" si="121"/>
        <v>#NAME?</v>
      </c>
      <c r="AC511" s="1111" t="e">
        <f ca="1">VLOOKUP(AB511,sample!$1:$1048576,2,FALSE)</f>
        <v>#NAME?</v>
      </c>
      <c r="AD511" s="1111" t="e">
        <f ca="1">VLOOKUP($AB511,sample!$1:$1048576,3,FALSE)</f>
        <v>#NAME?</v>
      </c>
      <c r="AE511" s="1104" t="e">
        <f ca="1">VLOOKUP($AB511,sample!$1:$1048576,4,FALSE)</f>
        <v>#NAME?</v>
      </c>
      <c r="AF511" s="1111" t="e">
        <f ca="1">VLOOKUP($AB511,sample!$1:$1048576,5,FALSE)</f>
        <v>#NAME?</v>
      </c>
      <c r="AL511" s="1104" t="e">
        <f ca="1">VLOOKUP($AB511,sample!$1:$1048576,11,FALSE)</f>
        <v>#NAME?</v>
      </c>
      <c r="AM511" s="1104" t="e">
        <f ca="1">VLOOKUP($AB511,sample!$1:$1048576,12,FALSE)</f>
        <v>#NAME?</v>
      </c>
      <c r="AN511" s="1104" t="e">
        <f ca="1">VLOOKUP($AB511,sample!$1:$1048576,13,FALSE)</f>
        <v>#NAME?</v>
      </c>
      <c r="AP511" s="1111"/>
    </row>
    <row r="512" spans="1:42">
      <c r="A512" s="1091">
        <f t="shared" si="127"/>
        <v>2019200525</v>
      </c>
      <c r="B512" s="998">
        <v>44508</v>
      </c>
      <c r="C512" s="998" t="s">
        <v>137</v>
      </c>
      <c r="D512" s="1127" t="str">
        <f>IFERROR(VLOOKUP(G512,PosAggregate!$B$13:$B$93,1,FALSE),"")</f>
        <v>096775 KS</v>
      </c>
      <c r="E512" s="1139" t="e">
        <f ca="1">_xll.BDP(G512  &amp; " Equity", "ID_ISIN", "Fill", "")</f>
        <v>#NAME?</v>
      </c>
      <c r="F512" s="1132" t="str">
        <f t="shared" si="122"/>
        <v>YES</v>
      </c>
      <c r="G512" s="701" t="s">
        <v>12896</v>
      </c>
      <c r="I512" s="1133" t="e">
        <f ca="1">_xll.BDP(E512 &amp; " Equity","SECURITY_NAME")</f>
        <v>#NAME?</v>
      </c>
      <c r="J512" s="1133" t="e">
        <f ca="1">_xll.BDP(G512 &amp; " Equity","Crncy")</f>
        <v>#NAME?</v>
      </c>
      <c r="K512" s="1055">
        <v>143175.78950000001</v>
      </c>
      <c r="M512" s="1055">
        <v>950</v>
      </c>
      <c r="N512" s="1135">
        <f t="shared" si="119"/>
        <v>-136017000.02500001</v>
      </c>
      <c r="O512" s="1002">
        <v>-204026</v>
      </c>
      <c r="P512" s="1002"/>
      <c r="R512" s="1100">
        <f t="shared" si="124"/>
        <v>-136221026.02500001</v>
      </c>
      <c r="S512" s="995">
        <v>1369.23</v>
      </c>
      <c r="T512" s="1121">
        <f t="shared" si="126"/>
        <v>-99487.322089787689</v>
      </c>
      <c r="U512" s="827">
        <v>44510</v>
      </c>
      <c r="V512" s="701" t="s">
        <v>1156</v>
      </c>
      <c r="W512" s="1031">
        <v>44507.976485300926</v>
      </c>
      <c r="X512" s="1089">
        <f t="shared" si="123"/>
        <v>0.15000036757353855</v>
      </c>
      <c r="Y512" s="690" t="s">
        <v>1763</v>
      </c>
      <c r="Z512" s="1111" t="e">
        <f ca="1">VLOOKUP(AA512,'place of settlement'!A:C,2,FALSE)</f>
        <v>#NAME?</v>
      </c>
      <c r="AA512" s="1111" t="e">
        <f t="shared" ca="1" si="120"/>
        <v>#NAME?</v>
      </c>
      <c r="AB512" s="1111" t="e">
        <f t="shared" ca="1" si="121"/>
        <v>#NAME?</v>
      </c>
      <c r="AC512" s="1111" t="e">
        <f ca="1">VLOOKUP(AB512,sample!$1:$1048576,2,FALSE)</f>
        <v>#NAME?</v>
      </c>
      <c r="AD512" s="1111" t="e">
        <f ca="1">VLOOKUP($AB512,sample!$1:$1048576,3,FALSE)</f>
        <v>#NAME?</v>
      </c>
      <c r="AE512" s="1104" t="e">
        <f ca="1">VLOOKUP($AB512,sample!$1:$1048576,4,FALSE)</f>
        <v>#NAME?</v>
      </c>
      <c r="AF512" s="1111" t="e">
        <f ca="1">VLOOKUP($AB512,sample!$1:$1048576,5,FALSE)</f>
        <v>#NAME?</v>
      </c>
      <c r="AL512" s="1104" t="e">
        <f ca="1">VLOOKUP($AB512,sample!$1:$1048576,11,FALSE)</f>
        <v>#NAME?</v>
      </c>
      <c r="AM512" s="1104" t="e">
        <f ca="1">VLOOKUP($AB512,sample!$1:$1048576,12,FALSE)</f>
        <v>#NAME?</v>
      </c>
      <c r="AN512" s="1104" t="e">
        <f ca="1">VLOOKUP($AB512,sample!$1:$1048576,13,FALSE)</f>
        <v>#NAME?</v>
      </c>
      <c r="AP512" s="1111"/>
    </row>
    <row r="513" spans="1:42">
      <c r="A513" s="1091">
        <f t="shared" si="127"/>
        <v>2019200526</v>
      </c>
      <c r="B513" s="998">
        <v>44508</v>
      </c>
      <c r="C513" s="998" t="s">
        <v>137</v>
      </c>
      <c r="D513" s="1127" t="str">
        <f>IFERROR(VLOOKUP(G513,PosAggregate!$B$13:$B$93,1,FALSE),"")</f>
        <v>051915 KS</v>
      </c>
      <c r="E513" s="1139" t="e">
        <f ca="1">_xll.BDP(G513  &amp; " Equity", "ID_ISIN", "Fill", "")</f>
        <v>#NAME?</v>
      </c>
      <c r="F513" s="1132" t="str">
        <f t="shared" si="122"/>
        <v>YES</v>
      </c>
      <c r="G513" s="701" t="s">
        <v>12894</v>
      </c>
      <c r="I513" s="1133" t="e">
        <f ca="1">_xll.BDP(E513 &amp; " Equity","SECURITY_NAME")</f>
        <v>#NAME?</v>
      </c>
      <c r="J513" s="1133" t="e">
        <f ca="1">_xll.BDP(G513 &amp; " Equity","Crncy")</f>
        <v>#NAME?</v>
      </c>
      <c r="K513" s="1055">
        <v>358250</v>
      </c>
      <c r="M513" s="1055">
        <v>600</v>
      </c>
      <c r="N513" s="1135">
        <f t="shared" si="119"/>
        <v>-214950000</v>
      </c>
      <c r="O513" s="1002">
        <v>-322425</v>
      </c>
      <c r="P513" s="1002"/>
      <c r="R513" s="1100">
        <f t="shared" si="124"/>
        <v>-215272425</v>
      </c>
      <c r="S513" s="995">
        <v>1369.23</v>
      </c>
      <c r="T513" s="1121">
        <f t="shared" si="126"/>
        <v>-157221.52231546197</v>
      </c>
      <c r="U513" s="827">
        <v>44510</v>
      </c>
      <c r="V513" s="701" t="s">
        <v>1156</v>
      </c>
      <c r="W513" s="1031">
        <v>44507.978803124999</v>
      </c>
      <c r="X513" s="1089">
        <f t="shared" si="123"/>
        <v>0.15</v>
      </c>
      <c r="Y513" s="690" t="s">
        <v>1763</v>
      </c>
      <c r="Z513" s="1111" t="e">
        <f ca="1">VLOOKUP(AA513,'place of settlement'!A:C,2,FALSE)</f>
        <v>#NAME?</v>
      </c>
      <c r="AA513" s="1111" t="e">
        <f t="shared" ca="1" si="120"/>
        <v>#NAME?</v>
      </c>
      <c r="AB513" s="1111" t="e">
        <f t="shared" ca="1" si="121"/>
        <v>#NAME?</v>
      </c>
      <c r="AC513" s="1111" t="e">
        <f ca="1">VLOOKUP(AB513,sample!$1:$1048576,2,FALSE)</f>
        <v>#NAME?</v>
      </c>
      <c r="AD513" s="1111" t="e">
        <f ca="1">VLOOKUP($AB513,sample!$1:$1048576,3,FALSE)</f>
        <v>#NAME?</v>
      </c>
      <c r="AE513" s="1104" t="e">
        <f ca="1">VLOOKUP($AB513,sample!$1:$1048576,4,FALSE)</f>
        <v>#NAME?</v>
      </c>
      <c r="AF513" s="1111" t="e">
        <f ca="1">VLOOKUP($AB513,sample!$1:$1048576,5,FALSE)</f>
        <v>#NAME?</v>
      </c>
      <c r="AL513" s="1104" t="e">
        <f ca="1">VLOOKUP($AB513,sample!$1:$1048576,11,FALSE)</f>
        <v>#NAME?</v>
      </c>
      <c r="AM513" s="1104" t="e">
        <f ca="1">VLOOKUP($AB513,sample!$1:$1048576,12,FALSE)</f>
        <v>#NAME?</v>
      </c>
      <c r="AN513" s="1104" t="e">
        <f ca="1">VLOOKUP($AB513,sample!$1:$1048576,13,FALSE)</f>
        <v>#NAME?</v>
      </c>
      <c r="AP513" s="1111"/>
    </row>
    <row r="514" spans="1:42">
      <c r="A514" s="1141">
        <f t="shared" si="127"/>
        <v>2019200527</v>
      </c>
      <c r="B514" s="998">
        <v>44509</v>
      </c>
      <c r="C514" s="998" t="s">
        <v>137</v>
      </c>
      <c r="D514" s="1127" t="str">
        <f>IFERROR(VLOOKUP(G514,PosAggregate!$B$13:$B$93,1,FALSE),"")</f>
        <v>096775 KS</v>
      </c>
      <c r="E514" s="1139" t="e">
        <f ca="1">_xll.BDP(G514  &amp; " Equity", "ID_ISIN", "Fill", "")</f>
        <v>#NAME?</v>
      </c>
      <c r="F514" s="1132" t="str">
        <f t="shared" si="122"/>
        <v>YES</v>
      </c>
      <c r="G514" s="701" t="s">
        <v>12896</v>
      </c>
      <c r="I514" s="1133" t="e">
        <f ca="1">_xll.BDP(E514 &amp; " Equity","SECURITY_NAME")</f>
        <v>#NAME?</v>
      </c>
      <c r="J514" s="1133" t="e">
        <f ca="1">_xll.BDP(G514 &amp; " Equity","Crncy")</f>
        <v>#NAME?</v>
      </c>
      <c r="K514" s="1055">
        <v>143166.92310000001</v>
      </c>
      <c r="L514" s="1055"/>
      <c r="M514" s="1055">
        <v>650</v>
      </c>
      <c r="N514" s="1135">
        <f t="shared" si="119"/>
        <v>-93058500.015000015</v>
      </c>
      <c r="O514" s="1002">
        <v>-139588</v>
      </c>
      <c r="R514" s="1100">
        <f t="shared" si="124"/>
        <v>-93198088.015000015</v>
      </c>
      <c r="S514" s="995">
        <v>1366.27</v>
      </c>
      <c r="T514" s="1051">
        <v>-67794.067058487708</v>
      </c>
      <c r="U514" s="827">
        <v>44511</v>
      </c>
      <c r="V514" s="701" t="s">
        <v>1156</v>
      </c>
      <c r="W514" s="1031">
        <v>44509.359861226854</v>
      </c>
      <c r="X514" s="1089">
        <f t="shared" si="123"/>
        <v>0.15000026862403748</v>
      </c>
      <c r="Y514" s="690" t="s">
        <v>1763</v>
      </c>
      <c r="Z514" s="1111" t="e">
        <f ca="1">VLOOKUP(AA514,'place of settlement'!A:C,2,FALSE)</f>
        <v>#NAME?</v>
      </c>
      <c r="AA514" s="1111" t="e">
        <f t="shared" ca="1" si="120"/>
        <v>#NAME?</v>
      </c>
      <c r="AB514" s="1111" t="e">
        <f t="shared" ca="1" si="121"/>
        <v>#NAME?</v>
      </c>
      <c r="AC514" s="1111" t="e">
        <f ca="1">VLOOKUP(AB514,sample!$1:$1048576,2,FALSE)</f>
        <v>#NAME?</v>
      </c>
      <c r="AD514" s="1111" t="e">
        <f ca="1">VLOOKUP($AB514,sample!$1:$1048576,3,FALSE)</f>
        <v>#NAME?</v>
      </c>
      <c r="AE514" s="1104" t="e">
        <f ca="1">VLOOKUP($AB514,sample!$1:$1048576,4,FALSE)</f>
        <v>#NAME?</v>
      </c>
      <c r="AF514" s="1111" t="e">
        <f ca="1">VLOOKUP($AB514,sample!$1:$1048576,5,FALSE)</f>
        <v>#NAME?</v>
      </c>
      <c r="AL514" s="1104" t="e">
        <f ca="1">VLOOKUP($AB514,sample!$1:$1048576,11,FALSE)</f>
        <v>#NAME?</v>
      </c>
      <c r="AM514" s="1104" t="e">
        <f ca="1">VLOOKUP($AB514,sample!$1:$1048576,12,FALSE)</f>
        <v>#NAME?</v>
      </c>
      <c r="AN514" s="1104" t="e">
        <f ca="1">VLOOKUP($AB514,sample!$1:$1048576,13,FALSE)</f>
        <v>#NAME?</v>
      </c>
      <c r="AP514" s="1111"/>
    </row>
    <row r="515" spans="1:42">
      <c r="A515" s="1141">
        <f t="shared" si="127"/>
        <v>2019200528</v>
      </c>
      <c r="B515" s="998">
        <v>44509</v>
      </c>
      <c r="C515" s="998" t="s">
        <v>138</v>
      </c>
      <c r="D515" s="1127" t="str">
        <f>IFERROR(VLOOKUP(G515,PosAggregate!$B$13:$B$93,1,FALSE),"")</f>
        <v>6502 JP</v>
      </c>
      <c r="E515" s="1139" t="e">
        <f ca="1">_xll.BDP(G515  &amp; " Equity", "ID_ISIN", "Fill", "")</f>
        <v>#NAME?</v>
      </c>
      <c r="F515" s="1132" t="str">
        <f t="shared" si="122"/>
        <v>YES</v>
      </c>
      <c r="G515" s="701" t="s">
        <v>13063</v>
      </c>
      <c r="I515" s="1133" t="e">
        <f ca="1">_xll.BDP(E515 &amp; " Equity","SECURITY_NAME")</f>
        <v>#NAME?</v>
      </c>
      <c r="J515" s="1133" t="e">
        <f ca="1">_xll.BDP(G515 &amp; " Equity","Crncy")</f>
        <v>#NAME?</v>
      </c>
      <c r="K515" s="1055">
        <v>5018.9772730000004</v>
      </c>
      <c r="L515" s="1055"/>
      <c r="M515" s="1055">
        <v>-11000</v>
      </c>
      <c r="N515" s="1135">
        <f t="shared" si="119"/>
        <v>55208750.003000006</v>
      </c>
      <c r="O515" s="1002">
        <v>-33125</v>
      </c>
      <c r="R515" s="1100">
        <f t="shared" si="124"/>
        <v>55175625.003000006</v>
      </c>
      <c r="S515" s="995">
        <v>130.86000000000001</v>
      </c>
      <c r="T515" s="1051">
        <v>407267.30857404857</v>
      </c>
      <c r="U515" s="827">
        <v>44511</v>
      </c>
      <c r="V515" s="701" t="s">
        <v>1725</v>
      </c>
      <c r="W515" s="1031">
        <v>44509.360926157409</v>
      </c>
      <c r="X515" s="1089">
        <f t="shared" si="123"/>
        <v>-5.9999547169968546E-2</v>
      </c>
      <c r="Y515" s="690" t="s">
        <v>1763</v>
      </c>
      <c r="Z515" s="1111" t="e">
        <f ca="1">VLOOKUP(AA515,'place of settlement'!A:C,2,FALSE)</f>
        <v>#NAME?</v>
      </c>
      <c r="AA515" s="1111" t="e">
        <f t="shared" ca="1" si="120"/>
        <v>#NAME?</v>
      </c>
      <c r="AB515" s="1111" t="e">
        <f t="shared" ca="1" si="121"/>
        <v>#NAME?</v>
      </c>
      <c r="AC515" s="1111" t="e">
        <f ca="1">VLOOKUP(AB515,sample!$1:$1048576,2,FALSE)</f>
        <v>#NAME?</v>
      </c>
      <c r="AD515" s="1111" t="e">
        <f ca="1">VLOOKUP($AB515,sample!$1:$1048576,3,FALSE)</f>
        <v>#NAME?</v>
      </c>
      <c r="AE515" s="1104" t="e">
        <f ca="1">VLOOKUP($AB515,sample!$1:$1048576,4,FALSE)</f>
        <v>#NAME?</v>
      </c>
      <c r="AF515" s="1111" t="e">
        <f ca="1">VLOOKUP($AB515,sample!$1:$1048576,5,FALSE)</f>
        <v>#NAME?</v>
      </c>
      <c r="AL515" s="1104" t="e">
        <f ca="1">VLOOKUP($AB515,sample!$1:$1048576,11,FALSE)</f>
        <v>#NAME?</v>
      </c>
      <c r="AM515" s="1104" t="e">
        <f ca="1">VLOOKUP($AB515,sample!$1:$1048576,12,FALSE)</f>
        <v>#NAME?</v>
      </c>
      <c r="AN515" s="1104" t="e">
        <f ca="1">VLOOKUP($AB515,sample!$1:$1048576,13,FALSE)</f>
        <v>#NAME?</v>
      </c>
      <c r="AP515" s="1111"/>
    </row>
    <row r="516" spans="1:42">
      <c r="A516" s="1141">
        <f t="shared" si="127"/>
        <v>2019200529</v>
      </c>
      <c r="B516" s="998">
        <v>44509</v>
      </c>
      <c r="C516" s="998" t="s">
        <v>137</v>
      </c>
      <c r="D516" s="1127" t="str">
        <f>IFERROR(VLOOKUP(G516,PosAggregate!$B$13:$B$93,1,FALSE),"")</f>
        <v>051915 KS</v>
      </c>
      <c r="E516" s="1139" t="e">
        <f ca="1">_xll.BDP(G516  &amp; " Equity", "ID_ISIN", "Fill", "")</f>
        <v>#NAME?</v>
      </c>
      <c r="F516" s="1132" t="str">
        <f t="shared" ref="F516:F579" si="128">IF(D516=G516,"YES","NO")</f>
        <v>YES</v>
      </c>
      <c r="G516" s="701" t="s">
        <v>12894</v>
      </c>
      <c r="I516" s="1133" t="e">
        <f ca="1">_xll.BDP(E516 &amp; " Equity","SECURITY_NAME")</f>
        <v>#NAME?</v>
      </c>
      <c r="J516" s="1133" t="e">
        <f ca="1">_xll.BDP(G516 &amp; " Equity","Crncy")</f>
        <v>#NAME?</v>
      </c>
      <c r="K516" s="1055">
        <v>354531</v>
      </c>
      <c r="L516" s="1055"/>
      <c r="M516" s="1055">
        <v>500</v>
      </c>
      <c r="N516" s="1135">
        <f t="shared" si="119"/>
        <v>-177265500</v>
      </c>
      <c r="O516" s="1002">
        <v>-265898</v>
      </c>
      <c r="R516" s="1100">
        <f t="shared" si="124"/>
        <v>-177531398</v>
      </c>
      <c r="S516" s="995">
        <v>1366.27</v>
      </c>
      <c r="T516" s="1051">
        <v>-128268.93659379186</v>
      </c>
      <c r="U516" s="827">
        <v>44511</v>
      </c>
      <c r="V516" s="701" t="s">
        <v>1156</v>
      </c>
      <c r="W516" s="1031">
        <v>44509.361826273147</v>
      </c>
      <c r="X516" s="1089">
        <f t="shared" si="123"/>
        <v>0.14999985896860923</v>
      </c>
      <c r="Y516" s="690" t="s">
        <v>1763</v>
      </c>
      <c r="Z516" s="1111" t="e">
        <f ca="1">VLOOKUP(AA516,'place of settlement'!A:C,2,FALSE)</f>
        <v>#NAME?</v>
      </c>
      <c r="AA516" s="1111" t="e">
        <f t="shared" ca="1" si="120"/>
        <v>#NAME?</v>
      </c>
      <c r="AB516" s="1111" t="e">
        <f t="shared" ca="1" si="121"/>
        <v>#NAME?</v>
      </c>
      <c r="AC516" s="1111" t="e">
        <f ca="1">VLOOKUP(AB516,sample!$1:$1048576,2,FALSE)</f>
        <v>#NAME?</v>
      </c>
      <c r="AD516" s="1111" t="e">
        <f ca="1">VLOOKUP($AB516,sample!$1:$1048576,3,FALSE)</f>
        <v>#NAME?</v>
      </c>
      <c r="AE516" s="1104" t="e">
        <f ca="1">VLOOKUP($AB516,sample!$1:$1048576,4,FALSE)</f>
        <v>#NAME?</v>
      </c>
      <c r="AF516" s="1111" t="e">
        <f ca="1">VLOOKUP($AB516,sample!$1:$1048576,5,FALSE)</f>
        <v>#NAME?</v>
      </c>
      <c r="AL516" s="1104" t="e">
        <f ca="1">VLOOKUP($AB516,sample!$1:$1048576,11,FALSE)</f>
        <v>#NAME?</v>
      </c>
      <c r="AM516" s="1104" t="e">
        <f ca="1">VLOOKUP($AB516,sample!$1:$1048576,12,FALSE)</f>
        <v>#NAME?</v>
      </c>
      <c r="AN516" s="1104" t="e">
        <f ca="1">VLOOKUP($AB516,sample!$1:$1048576,13,FALSE)</f>
        <v>#NAME?</v>
      </c>
      <c r="AP516" s="1111"/>
    </row>
    <row r="517" spans="1:42">
      <c r="A517" s="1141">
        <f t="shared" si="127"/>
        <v>2019200530</v>
      </c>
      <c r="B517" s="998">
        <v>44509</v>
      </c>
      <c r="C517" s="998" t="s">
        <v>137</v>
      </c>
      <c r="D517" s="1127" t="str">
        <f>IFERROR(VLOOKUP(G517,PosAggregate!$B$13:$B$93,1,FALSE),"")</f>
        <v>056190 KS</v>
      </c>
      <c r="E517" s="1139" t="e">
        <f ca="1">_xll.BDP(G517  &amp; " Equity", "ID_ISIN", "Fill", "")</f>
        <v>#NAME?</v>
      </c>
      <c r="F517" s="1132" t="str">
        <f t="shared" si="128"/>
        <v>YES</v>
      </c>
      <c r="G517" s="701" t="s">
        <v>12976</v>
      </c>
      <c r="I517" s="1133" t="e">
        <f ca="1">_xll.BDP(E517 &amp; " Equity","SECURITY_NAME")</f>
        <v>#NAME?</v>
      </c>
      <c r="J517" s="1133" t="e">
        <f ca="1">_xll.BDP(G517 &amp; " Equity","Crncy")</f>
        <v>#NAME?</v>
      </c>
      <c r="K517" s="1055">
        <v>34796.483099999998</v>
      </c>
      <c r="L517" s="1055"/>
      <c r="M517" s="1055">
        <v>8715</v>
      </c>
      <c r="N517" s="1135">
        <f t="shared" si="119"/>
        <v>-303251350.21649998</v>
      </c>
      <c r="O517" s="1002">
        <v>-4548877</v>
      </c>
      <c r="R517" s="1100">
        <f t="shared" si="124"/>
        <v>-307800227.21649998</v>
      </c>
      <c r="S517" s="995">
        <v>1366.27</v>
      </c>
      <c r="T517" s="1051">
        <v>-282191.66050634207</v>
      </c>
      <c r="U517" s="827">
        <v>44511</v>
      </c>
      <c r="V517" s="701" t="s">
        <v>1156</v>
      </c>
      <c r="W517" s="1031">
        <v>44509.362659722225</v>
      </c>
      <c r="X517" s="1089">
        <f t="shared" si="123"/>
        <v>1.5000352007509361</v>
      </c>
      <c r="Y517" s="690" t="s">
        <v>1763</v>
      </c>
      <c r="Z517" s="1111" t="e">
        <f ca="1">VLOOKUP(AA517,'place of settlement'!A:C,2,FALSE)</f>
        <v>#NAME?</v>
      </c>
      <c r="AA517" s="1111" t="e">
        <f t="shared" ca="1" si="120"/>
        <v>#NAME?</v>
      </c>
      <c r="AB517" s="1111" t="e">
        <f t="shared" ca="1" si="121"/>
        <v>#NAME?</v>
      </c>
      <c r="AC517" s="1111" t="e">
        <f ca="1">VLOOKUP(AB517,sample!$1:$1048576,2,FALSE)</f>
        <v>#NAME?</v>
      </c>
      <c r="AD517" s="1111" t="e">
        <f ca="1">VLOOKUP($AB517,sample!$1:$1048576,3,FALSE)</f>
        <v>#NAME?</v>
      </c>
      <c r="AE517" s="1104" t="e">
        <f ca="1">VLOOKUP($AB517,sample!$1:$1048576,4,FALSE)</f>
        <v>#NAME?</v>
      </c>
      <c r="AF517" s="1111" t="e">
        <f ca="1">VLOOKUP($AB517,sample!$1:$1048576,5,FALSE)</f>
        <v>#NAME?</v>
      </c>
      <c r="AL517" s="1104" t="e">
        <f ca="1">VLOOKUP($AB517,sample!$1:$1048576,11,FALSE)</f>
        <v>#NAME?</v>
      </c>
      <c r="AM517" s="1104" t="e">
        <f ca="1">VLOOKUP($AB517,sample!$1:$1048576,12,FALSE)</f>
        <v>#NAME?</v>
      </c>
      <c r="AN517" s="1104" t="e">
        <f ca="1">VLOOKUP($AB517,sample!$1:$1048576,13,FALSE)</f>
        <v>#NAME?</v>
      </c>
      <c r="AP517" s="1111"/>
    </row>
    <row r="518" spans="1:42">
      <c r="A518" s="1141">
        <f t="shared" si="127"/>
        <v>2019200531</v>
      </c>
      <c r="B518" s="998">
        <v>44510</v>
      </c>
      <c r="C518" s="998" t="s">
        <v>138</v>
      </c>
      <c r="D518" s="1127" t="str">
        <f>IFERROR(VLOOKUP(G518,PosAggregate!$B$13:$B$93,1,FALSE),"")</f>
        <v>FR FP</v>
      </c>
      <c r="E518" s="1139" t="e">
        <f ca="1">_xll.BDP(G518  &amp; " Equity", "ID_ISIN", "Fill", "")</f>
        <v>#NAME?</v>
      </c>
      <c r="F518" s="1132" t="str">
        <f t="shared" si="128"/>
        <v>YES</v>
      </c>
      <c r="G518" s="701" t="s">
        <v>12899</v>
      </c>
      <c r="I518" s="1133" t="e">
        <f ca="1">_xll.BDP(E518 &amp; " Equity","SECURITY_NAME")</f>
        <v>#NAME?</v>
      </c>
      <c r="J518" s="1133" t="e">
        <f ca="1">_xll.BDP(G518 &amp; " Equity","Crncy")</f>
        <v>#NAME?</v>
      </c>
      <c r="K518" s="1055">
        <v>27.2486</v>
      </c>
      <c r="L518" s="1055"/>
      <c r="M518" s="1055">
        <v>-6600</v>
      </c>
      <c r="N518" s="1135">
        <f t="shared" si="119"/>
        <v>179840.76</v>
      </c>
      <c r="O518" s="1002">
        <v>-107.9</v>
      </c>
      <c r="R518" s="1100">
        <f t="shared" si="124"/>
        <v>179732.86000000002</v>
      </c>
      <c r="S518" s="995">
        <v>1</v>
      </c>
      <c r="T518" s="1121">
        <f t="shared" si="126"/>
        <v>179732.86000000002</v>
      </c>
      <c r="U518" s="827">
        <v>44512</v>
      </c>
      <c r="V518" s="701" t="s">
        <v>1229</v>
      </c>
      <c r="X518" s="1089">
        <f t="shared" si="123"/>
        <v>-5.9997522252463791E-2</v>
      </c>
      <c r="Y518" s="690" t="s">
        <v>1763</v>
      </c>
      <c r="Z518" s="1111" t="e">
        <f ca="1">VLOOKUP(AA518,'place of settlement'!A:C,2,FALSE)</f>
        <v>#NAME?</v>
      </c>
      <c r="AA518" s="1111" t="e">
        <f t="shared" ca="1" si="120"/>
        <v>#NAME?</v>
      </c>
      <c r="AB518" s="1111" t="e">
        <f t="shared" ca="1" si="121"/>
        <v>#NAME?</v>
      </c>
      <c r="AC518" s="1111" t="e">
        <f ca="1">VLOOKUP(AB518,sample!$1:$1048576,2,FALSE)</f>
        <v>#NAME?</v>
      </c>
      <c r="AD518" s="1111" t="e">
        <f ca="1">VLOOKUP($AB518,sample!$1:$1048576,3,FALSE)</f>
        <v>#NAME?</v>
      </c>
      <c r="AE518" s="1104" t="e">
        <f ca="1">VLOOKUP($AB518,sample!$1:$1048576,4,FALSE)</f>
        <v>#NAME?</v>
      </c>
      <c r="AF518" s="1111" t="e">
        <f ca="1">VLOOKUP($AB518,sample!$1:$1048576,5,FALSE)</f>
        <v>#NAME?</v>
      </c>
      <c r="AL518" s="1104" t="e">
        <f ca="1">VLOOKUP($AB518,sample!$1:$1048576,11,FALSE)</f>
        <v>#NAME?</v>
      </c>
      <c r="AM518" s="1104" t="e">
        <f ca="1">VLOOKUP($AB518,sample!$1:$1048576,12,FALSE)</f>
        <v>#NAME?</v>
      </c>
      <c r="AN518" s="1104" t="e">
        <f ca="1">VLOOKUP($AB518,sample!$1:$1048576,13,FALSE)</f>
        <v>#NAME?</v>
      </c>
      <c r="AP518" s="1111"/>
    </row>
    <row r="519" spans="1:42">
      <c r="A519" s="1141">
        <f t="shared" si="127"/>
        <v>2019200532</v>
      </c>
      <c r="B519" s="998">
        <v>44510</v>
      </c>
      <c r="C519" s="998" t="s">
        <v>138</v>
      </c>
      <c r="D519" s="1127" t="str">
        <f>IFERROR(VLOOKUP(G519,PosAggregate!$B$13:$B$93,1,FALSE),"")</f>
        <v>FR FP</v>
      </c>
      <c r="E519" s="1139" t="e">
        <f ca="1">_xll.BDP(G519  &amp; " Equity", "ID_ISIN", "Fill", "")</f>
        <v>#NAME?</v>
      </c>
      <c r="F519" s="1132" t="str">
        <f t="shared" si="128"/>
        <v>YES</v>
      </c>
      <c r="G519" s="701" t="s">
        <v>12899</v>
      </c>
      <c r="I519" s="1133" t="e">
        <f ca="1">_xll.BDP(E519 &amp; " Equity","SECURITY_NAME")</f>
        <v>#NAME?</v>
      </c>
      <c r="J519" s="1133" t="e">
        <f ca="1">_xll.BDP(G519 &amp; " Equity","Crncy")</f>
        <v>#NAME?</v>
      </c>
      <c r="K519" s="1055">
        <v>27.267099999999999</v>
      </c>
      <c r="L519" s="1055"/>
      <c r="M519" s="1055">
        <v>-8000</v>
      </c>
      <c r="N519" s="1135">
        <f t="shared" si="119"/>
        <v>218136.8</v>
      </c>
      <c r="O519" s="1002">
        <v>-130.88</v>
      </c>
      <c r="R519" s="1100">
        <f t="shared" si="124"/>
        <v>218005.91999999998</v>
      </c>
      <c r="S519" s="995">
        <v>1</v>
      </c>
      <c r="T519" s="1121">
        <f>+R519/S519</f>
        <v>218005.91999999998</v>
      </c>
      <c r="U519" s="827">
        <v>44512</v>
      </c>
      <c r="V519" s="701" t="s">
        <v>1229</v>
      </c>
      <c r="X519" s="1089">
        <f t="shared" si="123"/>
        <v>-5.999904646992163E-2</v>
      </c>
      <c r="Y519" s="690" t="s">
        <v>1763</v>
      </c>
      <c r="Z519" s="1111" t="e">
        <f ca="1">VLOOKUP(AA519,'place of settlement'!A:C,2,FALSE)</f>
        <v>#NAME?</v>
      </c>
      <c r="AA519" s="1111" t="e">
        <f t="shared" ca="1" si="120"/>
        <v>#NAME?</v>
      </c>
      <c r="AB519" s="1111" t="e">
        <f t="shared" ca="1" si="121"/>
        <v>#NAME?</v>
      </c>
      <c r="AC519" s="1111" t="e">
        <f ca="1">VLOOKUP(AB519,sample!$1:$1048576,2,FALSE)</f>
        <v>#NAME?</v>
      </c>
      <c r="AD519" s="1111" t="e">
        <f ca="1">VLOOKUP($AB519,sample!$1:$1048576,3,FALSE)</f>
        <v>#NAME?</v>
      </c>
      <c r="AE519" s="1104" t="e">
        <f ca="1">VLOOKUP($AB519,sample!$1:$1048576,4,FALSE)</f>
        <v>#NAME?</v>
      </c>
      <c r="AF519" s="1111" t="e">
        <f ca="1">VLOOKUP($AB519,sample!$1:$1048576,5,FALSE)</f>
        <v>#NAME?</v>
      </c>
      <c r="AL519" s="1104" t="e">
        <f ca="1">VLOOKUP($AB519,sample!$1:$1048576,11,FALSE)</f>
        <v>#NAME?</v>
      </c>
      <c r="AM519" s="1104" t="e">
        <f ca="1">VLOOKUP($AB519,sample!$1:$1048576,12,FALSE)</f>
        <v>#NAME?</v>
      </c>
      <c r="AN519" s="1104" t="e">
        <f ca="1">VLOOKUP($AB519,sample!$1:$1048576,13,FALSE)</f>
        <v>#NAME?</v>
      </c>
      <c r="AP519" s="1111"/>
    </row>
    <row r="520" spans="1:42">
      <c r="A520" s="1141">
        <f t="shared" si="127"/>
        <v>2019200533</v>
      </c>
      <c r="B520" s="998">
        <v>44511</v>
      </c>
      <c r="C520" s="998" t="s">
        <v>137</v>
      </c>
      <c r="D520" s="1127" t="str">
        <f>IFERROR(VLOOKUP(G520,PosAggregate!$B$13:$B$93,1,FALSE),"")</f>
        <v>3401 JP</v>
      </c>
      <c r="E520" s="1139" t="e">
        <f ca="1">_xll.BDP(G520  &amp; " Equity", "ID_ISIN", "Fill", "")</f>
        <v>#NAME?</v>
      </c>
      <c r="F520" s="1132" t="str">
        <f t="shared" si="128"/>
        <v>YES</v>
      </c>
      <c r="G520" s="701" t="s">
        <v>12893</v>
      </c>
      <c r="I520" s="1133" t="e">
        <f ca="1">_xll.BDP(E520 &amp; " Equity","SECURITY_NAME")</f>
        <v>#NAME?</v>
      </c>
      <c r="J520" s="1133" t="e">
        <f ca="1">_xll.BDP(G520 &amp; " Equity","Crncy")</f>
        <v>#NAME?</v>
      </c>
      <c r="K520" s="1055">
        <v>1439.6609000000001</v>
      </c>
      <c r="L520" s="1055"/>
      <c r="M520" s="1055">
        <v>11000</v>
      </c>
      <c r="N520" s="1135">
        <f t="shared" si="119"/>
        <v>-15836269.9</v>
      </c>
      <c r="O520" s="1002">
        <v>-9502</v>
      </c>
      <c r="R520" s="1100">
        <f t="shared" si="124"/>
        <v>-15845771.9</v>
      </c>
      <c r="S520" s="995">
        <v>130.72</v>
      </c>
      <c r="T520" s="1121">
        <f>+R520/S520</f>
        <v>-121219.18528151776</v>
      </c>
      <c r="U520" s="827">
        <v>44515</v>
      </c>
      <c r="V520" s="701" t="s">
        <v>1725</v>
      </c>
      <c r="W520" s="1031">
        <v>44511.39211828704</v>
      </c>
      <c r="X520" s="1089">
        <f t="shared" si="123"/>
        <v>6.0001503258036798E-2</v>
      </c>
      <c r="Y520" s="690" t="s">
        <v>1763</v>
      </c>
      <c r="Z520" s="1111" t="e">
        <f ca="1">VLOOKUP(AA520,'place of settlement'!A:C,2,FALSE)</f>
        <v>#NAME?</v>
      </c>
      <c r="AA520" s="1111" t="e">
        <f t="shared" ca="1" si="120"/>
        <v>#NAME?</v>
      </c>
      <c r="AB520" s="1111" t="e">
        <f t="shared" ca="1" si="121"/>
        <v>#NAME?</v>
      </c>
      <c r="AC520" s="1111" t="e">
        <f ca="1">VLOOKUP(AB520,sample!$1:$1048576,2,FALSE)</f>
        <v>#NAME?</v>
      </c>
      <c r="AD520" s="1111" t="e">
        <f ca="1">VLOOKUP($AB520,sample!$1:$1048576,3,FALSE)</f>
        <v>#NAME?</v>
      </c>
      <c r="AE520" s="1104" t="e">
        <f ca="1">VLOOKUP($AB520,sample!$1:$1048576,4,FALSE)</f>
        <v>#NAME?</v>
      </c>
      <c r="AF520" s="1111" t="e">
        <f ca="1">VLOOKUP($AB520,sample!$1:$1048576,5,FALSE)</f>
        <v>#NAME?</v>
      </c>
      <c r="AL520" s="1104" t="e">
        <f ca="1">VLOOKUP($AB520,sample!$1:$1048576,11,FALSE)</f>
        <v>#NAME?</v>
      </c>
      <c r="AM520" s="1104" t="e">
        <f ca="1">VLOOKUP($AB520,sample!$1:$1048576,12,FALSE)</f>
        <v>#NAME?</v>
      </c>
      <c r="AN520" s="1104" t="e">
        <f ca="1">VLOOKUP($AB520,sample!$1:$1048576,13,FALSE)</f>
        <v>#NAME?</v>
      </c>
      <c r="AP520" s="1111"/>
    </row>
    <row r="521" spans="1:42">
      <c r="A521" s="1141">
        <f t="shared" si="127"/>
        <v>2019200534</v>
      </c>
      <c r="B521" s="998">
        <v>44511</v>
      </c>
      <c r="C521" s="998" t="s">
        <v>137</v>
      </c>
      <c r="D521" s="1127" t="str">
        <f>IFERROR(VLOOKUP(G521,PosAggregate!$B$13:$B$93,1,FALSE),"")</f>
        <v>4092 JP</v>
      </c>
      <c r="E521" s="1139" t="e">
        <f ca="1">_xll.BDP(G521  &amp; " Equity", "ID_ISIN", "Fill", "")</f>
        <v>#NAME?</v>
      </c>
      <c r="F521" s="1132" t="str">
        <f t="shared" si="128"/>
        <v>YES</v>
      </c>
      <c r="G521" s="701" t="s">
        <v>13065</v>
      </c>
      <c r="I521" s="1133" t="e">
        <f ca="1">_xll.BDP(E521 &amp; " Equity","SECURITY_NAME")</f>
        <v>#NAME?</v>
      </c>
      <c r="J521" s="1133" t="e">
        <f ca="1">_xll.BDP(G521 &amp; " Equity","Crncy")</f>
        <v>#NAME?</v>
      </c>
      <c r="K521" s="1055">
        <v>2775.5360000000001</v>
      </c>
      <c r="L521" s="1055"/>
      <c r="M521" s="1055">
        <v>5000</v>
      </c>
      <c r="N521" s="1135">
        <f t="shared" si="119"/>
        <v>-13877680</v>
      </c>
      <c r="O521" s="1002">
        <v>-8327</v>
      </c>
      <c r="R521" s="1100">
        <f t="shared" si="124"/>
        <v>-13886007</v>
      </c>
      <c r="S521" s="995">
        <v>130.72</v>
      </c>
      <c r="T521" s="1121">
        <f t="shared" si="126"/>
        <v>-106227.10373317014</v>
      </c>
      <c r="U521" s="827">
        <v>44515</v>
      </c>
      <c r="V521" s="701" t="s">
        <v>1725</v>
      </c>
      <c r="W521" s="1031">
        <v>44511.395658449073</v>
      </c>
      <c r="X521" s="1089">
        <f t="shared" si="123"/>
        <v>6.0002824679629453E-2</v>
      </c>
      <c r="Y521" s="690" t="s">
        <v>1763</v>
      </c>
      <c r="Z521" s="1111" t="e">
        <f ca="1">VLOOKUP(AA521,'place of settlement'!A:C,2,FALSE)</f>
        <v>#NAME?</v>
      </c>
      <c r="AA521" s="1111" t="e">
        <f t="shared" ca="1" si="120"/>
        <v>#NAME?</v>
      </c>
      <c r="AB521" s="1111" t="e">
        <f t="shared" ca="1" si="121"/>
        <v>#NAME?</v>
      </c>
      <c r="AC521" s="1111" t="e">
        <f ca="1">VLOOKUP(AB521,sample!$1:$1048576,2,FALSE)</f>
        <v>#NAME?</v>
      </c>
      <c r="AD521" s="1111" t="e">
        <f ca="1">VLOOKUP($AB521,sample!$1:$1048576,3,FALSE)</f>
        <v>#NAME?</v>
      </c>
      <c r="AE521" s="1104" t="e">
        <f ca="1">VLOOKUP($AB521,sample!$1:$1048576,4,FALSE)</f>
        <v>#NAME?</v>
      </c>
      <c r="AF521" s="1111" t="e">
        <f ca="1">VLOOKUP($AB521,sample!$1:$1048576,5,FALSE)</f>
        <v>#NAME?</v>
      </c>
      <c r="AL521" s="1104" t="e">
        <f ca="1">VLOOKUP($AB521,sample!$1:$1048576,11,FALSE)</f>
        <v>#NAME?</v>
      </c>
      <c r="AM521" s="1104" t="e">
        <f ca="1">VLOOKUP($AB521,sample!$1:$1048576,12,FALSE)</f>
        <v>#NAME?</v>
      </c>
      <c r="AN521" s="1104" t="e">
        <f ca="1">VLOOKUP($AB521,sample!$1:$1048576,13,FALSE)</f>
        <v>#NAME?</v>
      </c>
      <c r="AP521" s="1111"/>
    </row>
    <row r="522" spans="1:42">
      <c r="A522" s="1141">
        <f t="shared" si="127"/>
        <v>2019200535</v>
      </c>
      <c r="B522" s="998">
        <v>44518</v>
      </c>
      <c r="C522" s="998" t="s">
        <v>137</v>
      </c>
      <c r="D522" s="1127" t="str">
        <f>IFERROR(VLOOKUP(G522,PosAggregate!$B$13:$B$93,1,FALSE),"")</f>
        <v>3401 JP</v>
      </c>
      <c r="E522" s="1139" t="e">
        <f ca="1">_xll.BDP(G522  &amp; " Equity", "ID_ISIN", "Fill", "")</f>
        <v>#NAME?</v>
      </c>
      <c r="F522" s="1132" t="str">
        <f t="shared" si="128"/>
        <v>YES</v>
      </c>
      <c r="G522" s="701" t="s">
        <v>12893</v>
      </c>
      <c r="I522" s="1133" t="e">
        <f ca="1">_xll.BDP(E522 &amp; " Equity","SECURITY_NAME")</f>
        <v>#NAME?</v>
      </c>
      <c r="J522" s="1133" t="e">
        <f ca="1">_xll.BDP(G522 &amp; " Equity","Crncy")</f>
        <v>#NAME?</v>
      </c>
      <c r="K522" s="1055">
        <v>1398.623636</v>
      </c>
      <c r="L522" s="1055"/>
      <c r="M522" s="1055">
        <v>11000</v>
      </c>
      <c r="N522" s="1135">
        <f t="shared" si="119"/>
        <v>-15384859.996000001</v>
      </c>
      <c r="O522" s="1002">
        <v>-9231</v>
      </c>
      <c r="R522" s="1100">
        <f t="shared" si="124"/>
        <v>-15394090.996000001</v>
      </c>
      <c r="S522" s="995">
        <v>129.43</v>
      </c>
      <c r="T522" s="1121">
        <f t="shared" si="126"/>
        <v>-118937.58012825466</v>
      </c>
      <c r="U522" s="827">
        <v>44522</v>
      </c>
      <c r="V522" s="701" t="s">
        <v>1725</v>
      </c>
      <c r="W522" s="1031">
        <v>44518.37735451389</v>
      </c>
      <c r="X522" s="1089">
        <f t="shared" si="123"/>
        <v>6.000054600691862E-2</v>
      </c>
      <c r="Y522" s="690" t="s">
        <v>1763</v>
      </c>
      <c r="Z522" s="1111" t="e">
        <f ca="1">VLOOKUP(AA522,'place of settlement'!A:C,2,FALSE)</f>
        <v>#NAME?</v>
      </c>
      <c r="AA522" s="1111" t="e">
        <f t="shared" ca="1" si="120"/>
        <v>#NAME?</v>
      </c>
      <c r="AB522" s="1111" t="e">
        <f t="shared" ca="1" si="121"/>
        <v>#NAME?</v>
      </c>
      <c r="AC522" s="1111" t="e">
        <f ca="1">VLOOKUP(AB522,sample!$1:$1048576,2,FALSE)</f>
        <v>#NAME?</v>
      </c>
      <c r="AD522" s="1111" t="e">
        <f ca="1">VLOOKUP($AB522,sample!$1:$1048576,3,FALSE)</f>
        <v>#NAME?</v>
      </c>
      <c r="AE522" s="1104" t="e">
        <f ca="1">VLOOKUP($AB522,sample!$1:$1048576,4,FALSE)</f>
        <v>#NAME?</v>
      </c>
      <c r="AF522" s="1111" t="e">
        <f ca="1">VLOOKUP($AB522,sample!$1:$1048576,5,FALSE)</f>
        <v>#NAME?</v>
      </c>
      <c r="AL522" s="1104" t="e">
        <f ca="1">VLOOKUP($AB522,sample!$1:$1048576,11,FALSE)</f>
        <v>#NAME?</v>
      </c>
      <c r="AM522" s="1104" t="e">
        <f ca="1">VLOOKUP($AB522,sample!$1:$1048576,12,FALSE)</f>
        <v>#NAME?</v>
      </c>
      <c r="AN522" s="1104" t="e">
        <f ca="1">VLOOKUP($AB522,sample!$1:$1048576,13,FALSE)</f>
        <v>#NAME?</v>
      </c>
      <c r="AP522" s="1111"/>
    </row>
    <row r="523" spans="1:42">
      <c r="A523" s="1141">
        <f t="shared" si="127"/>
        <v>2019200536</v>
      </c>
      <c r="B523" s="998">
        <v>44518</v>
      </c>
      <c r="C523" s="998" t="s">
        <v>138</v>
      </c>
      <c r="D523" s="1127" t="str">
        <f>IFERROR(VLOOKUP(G523,PosAggregate!$B$13:$B$93,1,FALSE),"")</f>
        <v>FR FP</v>
      </c>
      <c r="E523" s="1139" t="e">
        <f ca="1">_xll.BDP(G523  &amp; " Equity", "ID_ISIN", "Fill", "")</f>
        <v>#NAME?</v>
      </c>
      <c r="F523" s="1132" t="str">
        <f t="shared" si="128"/>
        <v>YES</v>
      </c>
      <c r="G523" s="701" t="s">
        <v>12899</v>
      </c>
      <c r="I523" s="1133" t="e">
        <f ca="1">_xll.BDP(E523 &amp; " Equity","SECURITY_NAME")</f>
        <v>#NAME?</v>
      </c>
      <c r="J523" s="1133" t="e">
        <f ca="1">_xll.BDP(G523 &amp; " Equity","Crncy")</f>
        <v>#NAME?</v>
      </c>
      <c r="K523" s="1055">
        <v>29.331099999999999</v>
      </c>
      <c r="L523" s="1055"/>
      <c r="M523" s="1055">
        <v>-8000</v>
      </c>
      <c r="N523" s="1135">
        <f t="shared" si="119"/>
        <v>234648.8</v>
      </c>
      <c r="O523" s="1002">
        <v>-140.79</v>
      </c>
      <c r="R523" s="1100">
        <f t="shared" si="124"/>
        <v>234508.00999999998</v>
      </c>
      <c r="S523" s="995">
        <v>1</v>
      </c>
      <c r="T523" s="1121">
        <f t="shared" si="126"/>
        <v>234508.00999999998</v>
      </c>
      <c r="U523" s="827">
        <v>44522</v>
      </c>
      <c r="V523" s="701" t="s">
        <v>1153</v>
      </c>
      <c r="W523" s="1031">
        <v>44518.378434722224</v>
      </c>
      <c r="X523" s="1089">
        <f t="shared" si="123"/>
        <v>-6.0000306841543616E-2</v>
      </c>
      <c r="Y523" s="690" t="s">
        <v>1763</v>
      </c>
      <c r="Z523" s="1111" t="e">
        <f ca="1">VLOOKUP(AA523,'place of settlement'!A:C,2,FALSE)</f>
        <v>#NAME?</v>
      </c>
      <c r="AA523" s="1111" t="e">
        <f t="shared" ca="1" si="120"/>
        <v>#NAME?</v>
      </c>
      <c r="AB523" s="1111" t="s">
        <v>1876</v>
      </c>
      <c r="AC523" s="1111" t="str">
        <f>VLOOKUP(AB523,sample!$1:$1048576,2,FALSE)</f>
        <v>EMSIITM1XXX</v>
      </c>
      <c r="AD523" s="1111" t="str">
        <f>VLOOKUP($AB523,sample!$1:$1048576,3,FALSE)</f>
        <v>SICVFRPPXXX</v>
      </c>
      <c r="AE523" s="1104" t="str">
        <f>VLOOKUP($AB523,sample!$1:$1048576,4,FALSE)</f>
        <v>SICVBCITITMMD00000L10</v>
      </c>
      <c r="AF523" s="1111" t="str">
        <f>VLOOKUP($AB523,sample!$1:$1048576,5,FALSE)</f>
        <v>N</v>
      </c>
      <c r="AL523" s="1104" t="str">
        <f>VLOOKUP($AB523,sample!$1:$1048576,11,FALSE)</f>
        <v xml:space="preserve">        </v>
      </c>
      <c r="AM523" s="1104" t="str">
        <f>VLOOKUP($AB523,sample!$1:$1048576,12,FALSE)</f>
        <v xml:space="preserve">        </v>
      </c>
      <c r="AN523" s="1104" t="str">
        <f>VLOOKUP($AB523,sample!$1:$1048576,13,FALSE)</f>
        <v>BCITITMMD00</v>
      </c>
      <c r="AP523" s="1111"/>
    </row>
    <row r="524" spans="1:42">
      <c r="A524" s="1141">
        <f t="shared" si="127"/>
        <v>2019200537</v>
      </c>
      <c r="B524" s="998">
        <v>44518</v>
      </c>
      <c r="C524" s="998" t="s">
        <v>137</v>
      </c>
      <c r="D524" s="1127" t="str">
        <f>IFERROR(VLOOKUP(G524,PosAggregate!$B$13:$B$93,1,FALSE),"")</f>
        <v>VTSC GR</v>
      </c>
      <c r="E524" s="1139" t="e">
        <f ca="1">_xll.BDP(G524  &amp; " Equity", "ID_ISIN", "Fill", "")</f>
        <v>#NAME?</v>
      </c>
      <c r="F524" s="1132" t="str">
        <f t="shared" si="128"/>
        <v>YES</v>
      </c>
      <c r="G524" s="701" t="s">
        <v>13049</v>
      </c>
      <c r="I524" s="1133" t="e">
        <f ca="1">_xll.BDP(E524 &amp; " Equity","SECURITY_NAME")</f>
        <v>#NAME?</v>
      </c>
      <c r="J524" s="1133" t="e">
        <f ca="1">_xll.BDP(G524 &amp; " Equity","Crncy")</f>
        <v>#NAME?</v>
      </c>
      <c r="K524" s="1055">
        <v>47.944699999999997</v>
      </c>
      <c r="L524" s="1055"/>
      <c r="M524" s="1055">
        <v>6800</v>
      </c>
      <c r="N524" s="1135">
        <f t="shared" si="119"/>
        <v>-326023.95999999996</v>
      </c>
      <c r="O524" s="1002">
        <v>-195.61</v>
      </c>
      <c r="R524" s="1100">
        <f t="shared" si="124"/>
        <v>-326219.56999999995</v>
      </c>
      <c r="S524" s="995">
        <v>1</v>
      </c>
      <c r="T524" s="1121">
        <f t="shared" si="126"/>
        <v>-326219.56999999995</v>
      </c>
      <c r="U524" s="827">
        <v>44522</v>
      </c>
      <c r="V524" s="701" t="s">
        <v>1153</v>
      </c>
      <c r="W524" s="1031">
        <v>44518.379667361114</v>
      </c>
      <c r="X524" s="1089">
        <f t="shared" si="123"/>
        <v>5.9998657767361643E-2</v>
      </c>
      <c r="Y524" s="690" t="s">
        <v>1763</v>
      </c>
      <c r="Z524" s="1111" t="e">
        <f ca="1">VLOOKUP(AA524,'place of settlement'!A:C,2,FALSE)</f>
        <v>#NAME?</v>
      </c>
      <c r="AA524" s="1111" t="e">
        <f t="shared" ca="1" si="120"/>
        <v>#NAME?</v>
      </c>
      <c r="AB524" s="1111" t="s">
        <v>1866</v>
      </c>
      <c r="AC524" s="1111" t="str">
        <f>VLOOKUP(AB524,sample!$1:$1048576,2,FALSE)</f>
        <v>EMSIITM1XXX</v>
      </c>
      <c r="AD524" s="1111" t="str">
        <f>VLOOKUP($AB524,sample!$1:$1048576,3,FALSE)</f>
        <v>DAKVDEFFXXX</v>
      </c>
      <c r="AE524" s="1104" t="str">
        <f>VLOOKUP($AB524,sample!$1:$1048576,4,FALSE)</f>
        <v>DAKV8135000</v>
      </c>
      <c r="AF524" s="1111" t="str">
        <f>VLOOKUP($AB524,sample!$1:$1048576,5,FALSE)</f>
        <v>N</v>
      </c>
      <c r="AL524" s="1104" t="str">
        <f>VLOOKUP($AB524,sample!$1:$1048576,11,FALSE)</f>
        <v xml:space="preserve">        </v>
      </c>
      <c r="AM524" s="1104" t="str">
        <f>VLOOKUP($AB524,sample!$1:$1048576,12,FALSE)</f>
        <v xml:space="preserve">        </v>
      </c>
      <c r="AN524" s="1104" t="str">
        <f>VLOOKUP($AB524,sample!$1:$1048576,13,FALSE)</f>
        <v>BCITITMMD03</v>
      </c>
      <c r="AP524" s="1111"/>
    </row>
    <row r="525" spans="1:42" s="1037" customFormat="1">
      <c r="A525" s="1141">
        <f t="shared" si="127"/>
        <v>2019200538</v>
      </c>
      <c r="B525" s="1034">
        <v>44522</v>
      </c>
      <c r="C525" s="1034" t="s">
        <v>137</v>
      </c>
      <c r="D525" s="1128" t="str">
        <f>IFERROR(VLOOKUP(G525,PosAggregate!$B$13:$B$93,1,FALSE),"")</f>
        <v>4109 JP</v>
      </c>
      <c r="E525" s="1200" t="e">
        <f ca="1">_xll.BDP(G525  &amp; " Equity", "ID_ISIN", "Fill", "")</f>
        <v>#NAME?</v>
      </c>
      <c r="F525" s="1201" t="str">
        <f t="shared" si="128"/>
        <v>YES</v>
      </c>
      <c r="G525" s="1036" t="s">
        <v>12925</v>
      </c>
      <c r="I525" s="1202" t="e">
        <f ca="1">_xll.BDP(E525 &amp; " Equity","SECURITY_NAME")</f>
        <v>#NAME?</v>
      </c>
      <c r="J525" s="1202" t="e">
        <f ca="1">_xll.BDP(G525 &amp; " Equity","Crncy")</f>
        <v>#NAME?</v>
      </c>
      <c r="K525" s="1070">
        <v>2721.7076999999999</v>
      </c>
      <c r="L525" s="1070"/>
      <c r="M525" s="1070">
        <v>3250</v>
      </c>
      <c r="N525" s="1113">
        <f t="shared" si="119"/>
        <v>-8845550.0250000004</v>
      </c>
      <c r="O525" s="1042">
        <v>-5307</v>
      </c>
      <c r="R525" s="1114">
        <f t="shared" si="124"/>
        <v>-8850857.0250000004</v>
      </c>
      <c r="S525" s="1039">
        <v>128.71</v>
      </c>
      <c r="T525" s="1203">
        <f t="shared" si="126"/>
        <v>-68765.884740890368</v>
      </c>
      <c r="U525" s="827">
        <v>44525</v>
      </c>
      <c r="V525" s="1036" t="s">
        <v>1725</v>
      </c>
      <c r="W525" s="1044">
        <v>44521.890818518521</v>
      </c>
      <c r="X525" s="1115">
        <f t="shared" si="123"/>
        <v>5.9996269140991036E-2</v>
      </c>
      <c r="Y525" s="1037" t="s">
        <v>1763</v>
      </c>
      <c r="Z525" s="1112" t="e">
        <f ca="1">VLOOKUP(AA525,'place of settlement'!A:C,2,FALSE)</f>
        <v>#NAME?</v>
      </c>
      <c r="AA525" s="1112" t="e">
        <f t="shared" ca="1" si="120"/>
        <v>#NAME?</v>
      </c>
      <c r="AB525" s="1112" t="e">
        <f t="shared" ca="1" si="121"/>
        <v>#NAME?</v>
      </c>
      <c r="AC525" s="1112" t="e">
        <f ca="1">VLOOKUP(AB525,sample!$1:$1048576,2,FALSE)</f>
        <v>#NAME?</v>
      </c>
      <c r="AD525" s="1112" t="e">
        <f ca="1">VLOOKUP($AB525,sample!$1:$1048576,3,FALSE)</f>
        <v>#NAME?</v>
      </c>
      <c r="AE525" s="1105" t="e">
        <f ca="1">VLOOKUP($AB525,sample!$1:$1048576,4,FALSE)</f>
        <v>#NAME?</v>
      </c>
      <c r="AF525" s="1112" t="e">
        <f ca="1">VLOOKUP($AB525,sample!$1:$1048576,5,FALSE)</f>
        <v>#NAME?</v>
      </c>
      <c r="AL525" s="1104" t="e">
        <f ca="1">VLOOKUP($AB525,sample!$1:$1048576,11,FALSE)</f>
        <v>#NAME?</v>
      </c>
      <c r="AM525" s="1104" t="e">
        <f ca="1">VLOOKUP($AB525,sample!$1:$1048576,12,FALSE)</f>
        <v>#NAME?</v>
      </c>
      <c r="AN525" s="1105" t="e">
        <f ca="1">VLOOKUP($AB525,sample!$1:$1048576,13,FALSE)</f>
        <v>#NAME?</v>
      </c>
      <c r="AP525" s="1112"/>
    </row>
    <row r="526" spans="1:42" s="1037" customFormat="1">
      <c r="A526" s="1141">
        <f t="shared" si="127"/>
        <v>2019200539</v>
      </c>
      <c r="B526" s="1034">
        <v>44522</v>
      </c>
      <c r="C526" s="1034" t="s">
        <v>138</v>
      </c>
      <c r="D526" s="1128" t="str">
        <f>IFERROR(VLOOKUP(G526,PosAggregate!$B$13:$B$93,1,FALSE),"")</f>
        <v>WSA AU</v>
      </c>
      <c r="E526" s="1200" t="e">
        <f ca="1">_xll.BDP(G526  &amp; " Equity", "ID_ISIN", "Fill", "")</f>
        <v>#NAME?</v>
      </c>
      <c r="F526" s="1201" t="str">
        <f t="shared" si="128"/>
        <v>YES</v>
      </c>
      <c r="G526" s="1036" t="s">
        <v>12906</v>
      </c>
      <c r="I526" s="1202" t="e">
        <f ca="1">_xll.BDP(E526 &amp; " Equity","SECURITY_NAME")</f>
        <v>#NAME?</v>
      </c>
      <c r="J526" s="1202" t="e">
        <f ca="1">_xll.BDP(G526 &amp; " Equity","Crncy")</f>
        <v>#NAME?</v>
      </c>
      <c r="K526" s="1070">
        <v>3.2536350000000001</v>
      </c>
      <c r="L526" s="1070"/>
      <c r="M526" s="1070">
        <v>-65414</v>
      </c>
      <c r="N526" s="1113">
        <f t="shared" si="119"/>
        <v>212833.27989000001</v>
      </c>
      <c r="O526" s="1042">
        <v>-127.7</v>
      </c>
      <c r="R526" s="1114">
        <f t="shared" si="124"/>
        <v>212705.57988999999</v>
      </c>
      <c r="S526" s="1039">
        <v>1.5601</v>
      </c>
      <c r="T526" s="1203">
        <f t="shared" si="126"/>
        <v>136340.99089160952</v>
      </c>
      <c r="U526" s="827">
        <v>44524</v>
      </c>
      <c r="V526" s="1036" t="s">
        <v>1725</v>
      </c>
      <c r="W526" s="1044">
        <v>44521.892127199077</v>
      </c>
      <c r="X526" s="1115">
        <f t="shared" si="123"/>
        <v>-6.0000015066252806E-2</v>
      </c>
      <c r="Y526" s="1037" t="s">
        <v>1763</v>
      </c>
      <c r="Z526" s="1112" t="e">
        <f ca="1">VLOOKUP(AA526,'place of settlement'!A:C,2,FALSE)</f>
        <v>#NAME?</v>
      </c>
      <c r="AA526" s="1112" t="e">
        <f t="shared" ca="1" si="120"/>
        <v>#NAME?</v>
      </c>
      <c r="AB526" s="1112" t="e">
        <f t="shared" ca="1" si="121"/>
        <v>#NAME?</v>
      </c>
      <c r="AC526" s="1112" t="e">
        <f ca="1">VLOOKUP(AB526,sample!$1:$1048576,2,FALSE)</f>
        <v>#NAME?</v>
      </c>
      <c r="AD526" s="1112" t="e">
        <f ca="1">VLOOKUP($AB526,sample!$1:$1048576,3,FALSE)</f>
        <v>#NAME?</v>
      </c>
      <c r="AE526" s="1105" t="e">
        <f ca="1">VLOOKUP($AB526,sample!$1:$1048576,4,FALSE)</f>
        <v>#NAME?</v>
      </c>
      <c r="AF526" s="1112" t="e">
        <f ca="1">VLOOKUP($AB526,sample!$1:$1048576,5,FALSE)</f>
        <v>#NAME?</v>
      </c>
      <c r="AL526" s="1104" t="e">
        <f ca="1">VLOOKUP($AB526,sample!$1:$1048576,11,FALSE)</f>
        <v>#NAME?</v>
      </c>
      <c r="AM526" s="1104" t="e">
        <f ca="1">VLOOKUP($AB526,sample!$1:$1048576,12,FALSE)</f>
        <v>#NAME?</v>
      </c>
      <c r="AN526" s="1105" t="e">
        <f ca="1">VLOOKUP($AB526,sample!$1:$1048576,13,FALSE)</f>
        <v>#NAME?</v>
      </c>
      <c r="AP526" s="1112"/>
    </row>
    <row r="527" spans="1:42" s="1037" customFormat="1">
      <c r="A527" s="1141">
        <f t="shared" si="127"/>
        <v>2019200540</v>
      </c>
      <c r="B527" s="1034">
        <v>44522</v>
      </c>
      <c r="C527" s="1034" t="s">
        <v>137</v>
      </c>
      <c r="D527" s="1128" t="str">
        <f>IFERROR(VLOOKUP(G527,PosAggregate!$B$13:$B$93,1,FALSE),"")</f>
        <v>4004 JP</v>
      </c>
      <c r="E527" s="1200" t="e">
        <f ca="1">_xll.BDP(G527  &amp; " Equity", "ID_ISIN", "Fill", "")</f>
        <v>#NAME?</v>
      </c>
      <c r="F527" s="1201" t="str">
        <f t="shared" si="128"/>
        <v>YES</v>
      </c>
      <c r="G527" s="1036" t="s">
        <v>12891</v>
      </c>
      <c r="I527" s="1202" t="e">
        <f ca="1">_xll.BDP(E527 &amp; " Equity","SECURITY_NAME")</f>
        <v>#NAME?</v>
      </c>
      <c r="J527" s="1202" t="e">
        <f ca="1">_xll.BDP(G527 &amp; " Equity","Crncy")</f>
        <v>#NAME?</v>
      </c>
      <c r="K527" s="1070">
        <v>2613.3510000000001</v>
      </c>
      <c r="L527" s="1070"/>
      <c r="M527" s="1070">
        <v>15300</v>
      </c>
      <c r="N527" s="1113">
        <f t="shared" si="119"/>
        <v>-39984270.300000004</v>
      </c>
      <c r="O527" s="1042">
        <v>-23991</v>
      </c>
      <c r="R527" s="1114">
        <f t="shared" si="124"/>
        <v>-40008261.300000004</v>
      </c>
      <c r="S527" s="1039">
        <v>128.71</v>
      </c>
      <c r="T527" s="1203">
        <f t="shared" si="126"/>
        <v>-310840.34884624352</v>
      </c>
      <c r="U527" s="827">
        <v>44525</v>
      </c>
      <c r="V527" s="1036" t="s">
        <v>1725</v>
      </c>
      <c r="W527" s="1044">
        <v>44521.892384027778</v>
      </c>
      <c r="X527" s="1115">
        <f t="shared" si="123"/>
        <v>6.0001094980592903E-2</v>
      </c>
      <c r="Y527" s="1037" t="s">
        <v>1763</v>
      </c>
      <c r="Z527" s="1112" t="e">
        <f ca="1">VLOOKUP(AA527,'place of settlement'!A:C,2,FALSE)</f>
        <v>#NAME?</v>
      </c>
      <c r="AA527" s="1112" t="e">
        <f t="shared" ca="1" si="120"/>
        <v>#NAME?</v>
      </c>
      <c r="AB527" s="1112" t="e">
        <f t="shared" ca="1" si="121"/>
        <v>#NAME?</v>
      </c>
      <c r="AC527" s="1112" t="e">
        <f ca="1">VLOOKUP(AB527,sample!$1:$1048576,2,FALSE)</f>
        <v>#NAME?</v>
      </c>
      <c r="AD527" s="1112" t="e">
        <f ca="1">VLOOKUP($AB527,sample!$1:$1048576,3,FALSE)</f>
        <v>#NAME?</v>
      </c>
      <c r="AE527" s="1105" t="e">
        <f ca="1">VLOOKUP($AB527,sample!$1:$1048576,4,FALSE)</f>
        <v>#NAME?</v>
      </c>
      <c r="AF527" s="1112" t="e">
        <f ca="1">VLOOKUP($AB527,sample!$1:$1048576,5,FALSE)</f>
        <v>#NAME?</v>
      </c>
      <c r="AL527" s="1104" t="e">
        <f ca="1">VLOOKUP($AB527,sample!$1:$1048576,11,FALSE)</f>
        <v>#NAME?</v>
      </c>
      <c r="AM527" s="1104" t="e">
        <f ca="1">VLOOKUP($AB527,sample!$1:$1048576,12,FALSE)</f>
        <v>#NAME?</v>
      </c>
      <c r="AN527" s="1105" t="e">
        <f ca="1">VLOOKUP($AB527,sample!$1:$1048576,13,FALSE)</f>
        <v>#NAME?</v>
      </c>
      <c r="AP527" s="1112"/>
    </row>
    <row r="528" spans="1:42" s="1037" customFormat="1">
      <c r="A528" s="1141">
        <f t="shared" si="127"/>
        <v>2019200541</v>
      </c>
      <c r="B528" s="1034">
        <v>44522</v>
      </c>
      <c r="C528" s="1034" t="s">
        <v>137</v>
      </c>
      <c r="D528" s="1128" t="str">
        <f>IFERROR(VLOOKUP(G528,PosAggregate!$B$13:$B$93,1,FALSE),"")</f>
        <v>4205 JP</v>
      </c>
      <c r="E528" s="1200" t="e">
        <f ca="1">_xll.BDP(G528  &amp; " Equity", "ID_ISIN", "Fill", "")</f>
        <v>#NAME?</v>
      </c>
      <c r="F528" s="1201" t="str">
        <f t="shared" si="128"/>
        <v>YES</v>
      </c>
      <c r="G528" s="1036" t="s">
        <v>12929</v>
      </c>
      <c r="I528" s="1202" t="e">
        <f ca="1">_xll.BDP(E528 &amp; " Equity","SECURITY_NAME")</f>
        <v>#NAME?</v>
      </c>
      <c r="J528" s="1202" t="e">
        <f ca="1">_xll.BDP(G528 &amp; " Equity","Crncy")</f>
        <v>#NAME?</v>
      </c>
      <c r="K528" s="1070">
        <v>1333.644</v>
      </c>
      <c r="L528" s="1070"/>
      <c r="M528" s="1070">
        <v>10100</v>
      </c>
      <c r="N528" s="1113">
        <f t="shared" si="119"/>
        <v>-13469804.4</v>
      </c>
      <c r="O528" s="1042">
        <v>-8082</v>
      </c>
      <c r="R528" s="1114">
        <f t="shared" si="124"/>
        <v>-13477886.4</v>
      </c>
      <c r="S528" s="1039">
        <v>128.66</v>
      </c>
      <c r="T528" s="1203">
        <f t="shared" si="126"/>
        <v>-104755.84019897405</v>
      </c>
      <c r="U528" s="827">
        <v>44525</v>
      </c>
      <c r="V528" s="1036" t="s">
        <v>1725</v>
      </c>
      <c r="W528" s="1044">
        <v>44522.42391539352</v>
      </c>
      <c r="X528" s="1115">
        <f t="shared" si="123"/>
        <v>6.0000871282139781E-2</v>
      </c>
      <c r="Y528" s="1037" t="s">
        <v>1763</v>
      </c>
      <c r="Z528" s="1112" t="e">
        <f ca="1">VLOOKUP(AA528,'place of settlement'!A:C,2,FALSE)</f>
        <v>#NAME?</v>
      </c>
      <c r="AA528" s="1112" t="e">
        <f t="shared" ca="1" si="120"/>
        <v>#NAME?</v>
      </c>
      <c r="AB528" s="1112" t="e">
        <f t="shared" ca="1" si="121"/>
        <v>#NAME?</v>
      </c>
      <c r="AC528" s="1112" t="e">
        <f ca="1">VLOOKUP(AB528,sample!$1:$1048576,2,FALSE)</f>
        <v>#NAME?</v>
      </c>
      <c r="AD528" s="1112" t="e">
        <f ca="1">VLOOKUP($AB528,sample!$1:$1048576,3,FALSE)</f>
        <v>#NAME?</v>
      </c>
      <c r="AE528" s="1105" t="e">
        <f ca="1">VLOOKUP($AB528,sample!$1:$1048576,4,FALSE)</f>
        <v>#NAME?</v>
      </c>
      <c r="AF528" s="1112" t="e">
        <f ca="1">VLOOKUP($AB528,sample!$1:$1048576,5,FALSE)</f>
        <v>#NAME?</v>
      </c>
      <c r="AL528" s="1104" t="e">
        <f ca="1">VLOOKUP($AB528,sample!$1:$1048576,11,FALSE)</f>
        <v>#NAME?</v>
      </c>
      <c r="AM528" s="1104" t="e">
        <f ca="1">VLOOKUP($AB528,sample!$1:$1048576,12,FALSE)</f>
        <v>#NAME?</v>
      </c>
      <c r="AN528" s="1105" t="e">
        <f ca="1">VLOOKUP($AB528,sample!$1:$1048576,13,FALSE)</f>
        <v>#NAME?</v>
      </c>
      <c r="AP528" s="1112"/>
    </row>
    <row r="529" spans="1:42" s="1037" customFormat="1">
      <c r="A529" s="1141">
        <f t="shared" si="127"/>
        <v>2019200542</v>
      </c>
      <c r="B529" s="1034">
        <v>44522</v>
      </c>
      <c r="C529" s="1034" t="s">
        <v>137</v>
      </c>
      <c r="D529" s="1128" t="str">
        <f>IFERROR(VLOOKUP(G529,PosAggregate!$B$13:$B$93,1,FALSE),"")</f>
        <v>064960 KS</v>
      </c>
      <c r="E529" s="1200" t="e">
        <f ca="1">_xll.BDP(G529  &amp; " Equity", "ID_ISIN", "Fill", "")</f>
        <v>#NAME?</v>
      </c>
      <c r="F529" s="1201" t="str">
        <f t="shared" si="128"/>
        <v>YES</v>
      </c>
      <c r="G529" s="1036" t="s">
        <v>12927</v>
      </c>
      <c r="I529" s="1202" t="e">
        <f ca="1">_xll.BDP(E529 &amp; " Equity","SECURITY_NAME")</f>
        <v>#NAME?</v>
      </c>
      <c r="J529" s="1202" t="e">
        <f ca="1">_xll.BDP(G529 &amp; " Equity","Crncy")</f>
        <v>#NAME?</v>
      </c>
      <c r="K529" s="1070">
        <v>47202.5</v>
      </c>
      <c r="L529" s="1070"/>
      <c r="M529" s="1070">
        <v>4100</v>
      </c>
      <c r="N529" s="1113">
        <f t="shared" si="119"/>
        <v>-193530250</v>
      </c>
      <c r="O529" s="1042">
        <v>-290295</v>
      </c>
      <c r="R529" s="1114">
        <f t="shared" si="124"/>
        <v>-193820545</v>
      </c>
      <c r="S529" s="1039">
        <v>1338.88</v>
      </c>
      <c r="T529" s="1203">
        <f t="shared" si="126"/>
        <v>-144763.1938635277</v>
      </c>
      <c r="U529" s="827">
        <v>44524</v>
      </c>
      <c r="V529" s="1036" t="s">
        <v>1156</v>
      </c>
      <c r="W529" s="1044">
        <v>44522.424989467596</v>
      </c>
      <c r="X529" s="1115">
        <f t="shared" si="123"/>
        <v>0.14999980623184231</v>
      </c>
      <c r="Y529" s="1037" t="s">
        <v>1763</v>
      </c>
      <c r="Z529" s="1112" t="e">
        <f ca="1">VLOOKUP(AA529,'place of settlement'!A:C,2,FALSE)</f>
        <v>#NAME?</v>
      </c>
      <c r="AA529" s="1112" t="e">
        <f t="shared" ca="1" si="120"/>
        <v>#NAME?</v>
      </c>
      <c r="AB529" s="1112" t="e">
        <f t="shared" ca="1" si="121"/>
        <v>#NAME?</v>
      </c>
      <c r="AC529" s="1112" t="e">
        <f ca="1">VLOOKUP(AB529,sample!$1:$1048576,2,FALSE)</f>
        <v>#NAME?</v>
      </c>
      <c r="AD529" s="1112" t="e">
        <f ca="1">VLOOKUP($AB529,sample!$1:$1048576,3,FALSE)</f>
        <v>#NAME?</v>
      </c>
      <c r="AE529" s="1105" t="e">
        <f ca="1">VLOOKUP($AB529,sample!$1:$1048576,4,FALSE)</f>
        <v>#NAME?</v>
      </c>
      <c r="AF529" s="1112" t="e">
        <f ca="1">VLOOKUP($AB529,sample!$1:$1048576,5,FALSE)</f>
        <v>#NAME?</v>
      </c>
      <c r="AL529" s="1104" t="e">
        <f ca="1">VLOOKUP($AB529,sample!$1:$1048576,11,FALSE)</f>
        <v>#NAME?</v>
      </c>
      <c r="AM529" s="1104" t="e">
        <f ca="1">VLOOKUP($AB529,sample!$1:$1048576,12,FALSE)</f>
        <v>#NAME?</v>
      </c>
      <c r="AN529" s="1105" t="e">
        <f ca="1">VLOOKUP($AB529,sample!$1:$1048576,13,FALSE)</f>
        <v>#NAME?</v>
      </c>
      <c r="AP529" s="1112"/>
    </row>
    <row r="530" spans="1:42" s="1037" customFormat="1">
      <c r="A530" s="1141">
        <f t="shared" si="127"/>
        <v>2019200543</v>
      </c>
      <c r="B530" s="1034">
        <v>44522</v>
      </c>
      <c r="C530" s="1034" t="s">
        <v>137</v>
      </c>
      <c r="D530" s="1128" t="str">
        <f>IFERROR(VLOOKUP(G530,PosAggregate!$B$13:$B$93,1,FALSE),"")</f>
        <v>096775 KS</v>
      </c>
      <c r="E530" s="1200" t="e">
        <f ca="1">_xll.BDP(G530  &amp; " Equity", "ID_ISIN", "Fill", "")</f>
        <v>#NAME?</v>
      </c>
      <c r="F530" s="1201" t="str">
        <f t="shared" si="128"/>
        <v>YES</v>
      </c>
      <c r="G530" s="1036" t="s">
        <v>12896</v>
      </c>
      <c r="I530" s="1202" t="e">
        <f ca="1">_xll.BDP(E530 &amp; " Equity","SECURITY_NAME")</f>
        <v>#NAME?</v>
      </c>
      <c r="J530" s="1202" t="e">
        <f ca="1">_xll.BDP(G530 &amp; " Equity","Crncy")</f>
        <v>#NAME?</v>
      </c>
      <c r="K530" s="1070">
        <v>134602.38099999999</v>
      </c>
      <c r="L530" s="1070"/>
      <c r="M530" s="1070">
        <v>420</v>
      </c>
      <c r="N530" s="1113">
        <f t="shared" si="119"/>
        <v>-56533000.019999996</v>
      </c>
      <c r="O530" s="1042">
        <v>-84800</v>
      </c>
      <c r="R530" s="1114">
        <f t="shared" si="124"/>
        <v>-56617800.019999996</v>
      </c>
      <c r="S530" s="1039">
        <v>1338.88</v>
      </c>
      <c r="T530" s="1203">
        <f t="shared" si="126"/>
        <v>-42287.434288360411</v>
      </c>
      <c r="U530" s="827">
        <v>44524</v>
      </c>
      <c r="V530" s="1036" t="s">
        <v>1156</v>
      </c>
      <c r="W530" s="1044">
        <v>44522.42534652778</v>
      </c>
      <c r="X530" s="1115">
        <f t="shared" si="123"/>
        <v>0.15000088438611045</v>
      </c>
      <c r="Y530" s="1037" t="s">
        <v>1763</v>
      </c>
      <c r="Z530" s="1112" t="e">
        <f ca="1">VLOOKUP(AA530,'place of settlement'!A:C,2,FALSE)</f>
        <v>#NAME?</v>
      </c>
      <c r="AA530" s="1112" t="e">
        <f t="shared" ca="1" si="120"/>
        <v>#NAME?</v>
      </c>
      <c r="AB530" s="1112" t="e">
        <f t="shared" ca="1" si="121"/>
        <v>#NAME?</v>
      </c>
      <c r="AC530" s="1112" t="e">
        <f ca="1">VLOOKUP(AB530,sample!$1:$1048576,2,FALSE)</f>
        <v>#NAME?</v>
      </c>
      <c r="AD530" s="1112" t="e">
        <f ca="1">VLOOKUP($AB530,sample!$1:$1048576,3,FALSE)</f>
        <v>#NAME?</v>
      </c>
      <c r="AE530" s="1105" t="e">
        <f ca="1">VLOOKUP($AB530,sample!$1:$1048576,4,FALSE)</f>
        <v>#NAME?</v>
      </c>
      <c r="AF530" s="1112" t="e">
        <f ca="1">VLOOKUP($AB530,sample!$1:$1048576,5,FALSE)</f>
        <v>#NAME?</v>
      </c>
      <c r="AL530" s="1104" t="e">
        <f ca="1">VLOOKUP($AB530,sample!$1:$1048576,11,FALSE)</f>
        <v>#NAME?</v>
      </c>
      <c r="AM530" s="1104" t="e">
        <f ca="1">VLOOKUP($AB530,sample!$1:$1048576,12,FALSE)</f>
        <v>#NAME?</v>
      </c>
      <c r="AN530" s="1105" t="e">
        <f ca="1">VLOOKUP($AB530,sample!$1:$1048576,13,FALSE)</f>
        <v>#NAME?</v>
      </c>
      <c r="AP530" s="1112"/>
    </row>
    <row r="531" spans="1:42">
      <c r="A531" s="1141">
        <f t="shared" si="127"/>
        <v>2019200544</v>
      </c>
      <c r="B531" s="998">
        <v>44523</v>
      </c>
      <c r="C531" s="998" t="s">
        <v>137</v>
      </c>
      <c r="D531" s="1127" t="str">
        <f>IFERROR(VLOOKUP(G531,PosAggregate!$B$13:$B$93,1,FALSE),"")</f>
        <v>VTSC GR</v>
      </c>
      <c r="E531" s="1139" t="e">
        <f ca="1">_xll.BDP(G531  &amp; " Equity", "ID_ISIN", "Fill", "")</f>
        <v>#NAME?</v>
      </c>
      <c r="F531" s="1132" t="str">
        <f t="shared" si="128"/>
        <v>YES</v>
      </c>
      <c r="G531" s="701" t="s">
        <v>13049</v>
      </c>
      <c r="I531" s="1133" t="e">
        <f ca="1">_xll.BDP(E531 &amp; " Equity","SECURITY_NAME")</f>
        <v>#NAME?</v>
      </c>
      <c r="J531" s="1133" t="e">
        <f ca="1">_xll.BDP(G531 &amp; " Equity","Crncy")</f>
        <v>#NAME?</v>
      </c>
      <c r="K531" s="1055">
        <v>42.6783</v>
      </c>
      <c r="M531" s="1070">
        <v>4200</v>
      </c>
      <c r="N531" s="1135">
        <f t="shared" si="119"/>
        <v>-179248.86</v>
      </c>
      <c r="O531" s="1002">
        <v>-107.55</v>
      </c>
      <c r="R531" s="1100">
        <f t="shared" si="124"/>
        <v>-179356.40999999997</v>
      </c>
      <c r="S531" s="995">
        <v>1</v>
      </c>
      <c r="T531" s="1121">
        <f t="shared" si="126"/>
        <v>-179356.40999999997</v>
      </c>
      <c r="U531" s="827">
        <v>44525</v>
      </c>
      <c r="V531" s="701" t="s">
        <v>1229</v>
      </c>
      <c r="W531" s="1031">
        <v>44524.342790162038</v>
      </c>
      <c r="X531" s="1089">
        <f t="shared" si="123"/>
        <v>6.0000381592385028E-2</v>
      </c>
      <c r="Y531" s="690" t="s">
        <v>1763</v>
      </c>
      <c r="Z531" s="1111" t="e">
        <f ca="1">VLOOKUP(AA531,'place of settlement'!A:C,2,FALSE)</f>
        <v>#NAME?</v>
      </c>
      <c r="AA531" s="1111" t="e">
        <f t="shared" ca="1" si="120"/>
        <v>#NAME?</v>
      </c>
      <c r="AB531" s="1111" t="e">
        <f t="shared" ca="1" si="121"/>
        <v>#NAME?</v>
      </c>
      <c r="AC531" s="1111" t="e">
        <f ca="1">VLOOKUP(AB531,sample!$1:$1048576,2,FALSE)</f>
        <v>#NAME?</v>
      </c>
      <c r="AD531" s="1111" t="e">
        <f ca="1">VLOOKUP($AB531,sample!$1:$1048576,3,FALSE)</f>
        <v>#NAME?</v>
      </c>
      <c r="AE531" s="1104" t="e">
        <f ca="1">VLOOKUP($AB531,sample!$1:$1048576,4,FALSE)</f>
        <v>#NAME?</v>
      </c>
      <c r="AF531" s="1111" t="e">
        <f ca="1">VLOOKUP($AB531,sample!$1:$1048576,5,FALSE)</f>
        <v>#NAME?</v>
      </c>
      <c r="AL531" s="1104" t="e">
        <f ca="1">VLOOKUP($AB531,sample!$1:$1048576,11,FALSE)</f>
        <v>#NAME?</v>
      </c>
      <c r="AM531" s="1104" t="e">
        <f ca="1">VLOOKUP($AB531,sample!$1:$1048576,12,FALSE)</f>
        <v>#NAME?</v>
      </c>
      <c r="AN531" s="1104" t="e">
        <f ca="1">VLOOKUP($AB531,sample!$1:$1048576,13,FALSE)</f>
        <v>#NAME?</v>
      </c>
      <c r="AP531" s="1111"/>
    </row>
    <row r="532" spans="1:42">
      <c r="A532" s="1026">
        <f t="shared" si="127"/>
        <v>2019200545</v>
      </c>
      <c r="B532" s="998">
        <v>44525</v>
      </c>
      <c r="C532" s="998" t="s">
        <v>137</v>
      </c>
      <c r="D532" s="1127" t="str">
        <f>IFERROR(VLOOKUP(G532,PosAggregate!$B$13:$B$93,1,FALSE),"")</f>
        <v>096775 KS</v>
      </c>
      <c r="E532" s="1139" t="e">
        <f ca="1">_xll.BDP(G532  &amp; " Equity", "ID_ISIN", "Fill", "")</f>
        <v>#NAME?</v>
      </c>
      <c r="F532" s="1132" t="str">
        <f t="shared" si="128"/>
        <v>YES</v>
      </c>
      <c r="G532" s="701" t="s">
        <v>12896</v>
      </c>
      <c r="I532" s="1133" t="e">
        <f ca="1">_xll.BDP(E532 &amp; " Equity","SECURITY_NAME")</f>
        <v>#NAME?</v>
      </c>
      <c r="J532" s="1133" t="e">
        <f ca="1">_xll.BDP(G532 &amp; " Equity","Crncy")</f>
        <v>#NAME?</v>
      </c>
      <c r="K532" s="1055">
        <v>135057.00330000001</v>
      </c>
      <c r="L532" s="1055"/>
      <c r="M532" s="1055">
        <v>307</v>
      </c>
      <c r="N532" s="1135">
        <f t="shared" si="119"/>
        <v>-41462500.013100006</v>
      </c>
      <c r="O532" s="1002">
        <v>-62194</v>
      </c>
      <c r="R532" s="1100">
        <f t="shared" si="124"/>
        <v>-41524694.013100006</v>
      </c>
      <c r="S532" s="995">
        <v>1333.71</v>
      </c>
      <c r="T532" s="1121">
        <f t="shared" si="126"/>
        <v>-31134.724950026623</v>
      </c>
      <c r="U532" s="827">
        <v>44529</v>
      </c>
      <c r="V532" s="701" t="s">
        <v>1156</v>
      </c>
      <c r="W532" s="1031">
        <v>44525.314445023148</v>
      </c>
      <c r="X532" s="1089">
        <f t="shared" si="123"/>
        <v>0.1500006029070845</v>
      </c>
      <c r="Y532" s="690" t="s">
        <v>1763</v>
      </c>
      <c r="Z532" s="1111" t="e">
        <f ca="1">VLOOKUP(AA532,'place of settlement'!A:C,2,FALSE)</f>
        <v>#NAME?</v>
      </c>
      <c r="AA532" s="1111" t="e">
        <f t="shared" ca="1" si="120"/>
        <v>#NAME?</v>
      </c>
      <c r="AB532" s="1111" t="e">
        <f t="shared" ca="1" si="121"/>
        <v>#NAME?</v>
      </c>
      <c r="AC532" s="1111" t="e">
        <f ca="1">VLOOKUP(AB532,sample!$1:$1048576,2,FALSE)</f>
        <v>#NAME?</v>
      </c>
      <c r="AD532" s="1111" t="e">
        <f ca="1">VLOOKUP($AB532,sample!$1:$1048576,3,FALSE)</f>
        <v>#NAME?</v>
      </c>
      <c r="AE532" s="1104" t="e">
        <f ca="1">VLOOKUP($AB532,sample!$1:$1048576,4,FALSE)</f>
        <v>#NAME?</v>
      </c>
      <c r="AF532" s="1111" t="e">
        <f ca="1">VLOOKUP($AB532,sample!$1:$1048576,5,FALSE)</f>
        <v>#NAME?</v>
      </c>
      <c r="AL532" s="1104" t="e">
        <f ca="1">VLOOKUP($AB532,sample!$1:$1048576,11,FALSE)</f>
        <v>#NAME?</v>
      </c>
      <c r="AM532" s="1104" t="e">
        <f ca="1">VLOOKUP($AB532,sample!$1:$1048576,12,FALSE)</f>
        <v>#NAME?</v>
      </c>
      <c r="AN532" s="1104" t="e">
        <f ca="1">VLOOKUP($AB532,sample!$1:$1048576,13,FALSE)</f>
        <v>#NAME?</v>
      </c>
      <c r="AP532" s="1111"/>
    </row>
    <row r="533" spans="1:42">
      <c r="A533" s="1026">
        <f t="shared" si="127"/>
        <v>2019200546</v>
      </c>
      <c r="B533" s="998">
        <v>44525</v>
      </c>
      <c r="C533" s="998" t="s">
        <v>138</v>
      </c>
      <c r="D533" s="1127" t="str">
        <f>IFERROR(VLOOKUP(G533,PosAggregate!$B$13:$B$93,1,FALSE),"")</f>
        <v>WSA AU</v>
      </c>
      <c r="E533" s="1139" t="e">
        <f ca="1">_xll.BDP(G533  &amp; " Equity", "ID_ISIN", "Fill", "")</f>
        <v>#NAME?</v>
      </c>
      <c r="F533" s="1132" t="str">
        <f t="shared" si="128"/>
        <v>YES</v>
      </c>
      <c r="G533" s="701" t="s">
        <v>12906</v>
      </c>
      <c r="I533" s="1133" t="e">
        <f ca="1">_xll.BDP(E533 &amp; " Equity","SECURITY_NAME")</f>
        <v>#NAME?</v>
      </c>
      <c r="J533" s="1133" t="e">
        <f ca="1">_xll.BDP(G533 &amp; " Equity","Crncy")</f>
        <v>#NAME?</v>
      </c>
      <c r="K533" s="1055">
        <v>3.1219440000000001</v>
      </c>
      <c r="L533" s="1055"/>
      <c r="M533" s="1055">
        <v>-50000</v>
      </c>
      <c r="N533" s="1135">
        <f t="shared" ref="N533:N596" si="129">-K533*M533</f>
        <v>156097.20000000001</v>
      </c>
      <c r="O533" s="1002">
        <v>-93.66</v>
      </c>
      <c r="R533" s="1100">
        <f t="shared" si="124"/>
        <v>156003.54</v>
      </c>
      <c r="S533" s="995">
        <v>1.5564800000000001</v>
      </c>
      <c r="T533" s="1121">
        <f t="shared" si="126"/>
        <v>100228.42567845395</v>
      </c>
      <c r="U533" s="827">
        <v>44529</v>
      </c>
      <c r="V533" s="701" t="s">
        <v>1725</v>
      </c>
      <c r="W533" s="1031">
        <v>44525.314959027775</v>
      </c>
      <c r="X533" s="1089">
        <f t="shared" si="123"/>
        <v>-6.0001076252488829E-2</v>
      </c>
      <c r="Y533" s="690" t="s">
        <v>1763</v>
      </c>
      <c r="Z533" s="1111" t="e">
        <f ca="1">VLOOKUP(AA533,'place of settlement'!A:C,2,FALSE)</f>
        <v>#NAME?</v>
      </c>
      <c r="AA533" s="1111" t="e">
        <f t="shared" ca="1" si="120"/>
        <v>#NAME?</v>
      </c>
      <c r="AB533" s="1111" t="e">
        <f t="shared" ca="1" si="121"/>
        <v>#NAME?</v>
      </c>
      <c r="AC533" s="1111" t="e">
        <f ca="1">VLOOKUP(AB533,sample!$1:$1048576,2,FALSE)</f>
        <v>#NAME?</v>
      </c>
      <c r="AD533" s="1111" t="e">
        <f ca="1">VLOOKUP($AB533,sample!$1:$1048576,3,FALSE)</f>
        <v>#NAME?</v>
      </c>
      <c r="AE533" s="1104" t="e">
        <f ca="1">VLOOKUP($AB533,sample!$1:$1048576,4,FALSE)</f>
        <v>#NAME?</v>
      </c>
      <c r="AF533" s="1111" t="e">
        <f ca="1">VLOOKUP($AB533,sample!$1:$1048576,5,FALSE)</f>
        <v>#NAME?</v>
      </c>
      <c r="AL533" s="1104" t="e">
        <f ca="1">VLOOKUP($AB533,sample!$1:$1048576,11,FALSE)</f>
        <v>#NAME?</v>
      </c>
      <c r="AM533" s="1104" t="e">
        <f ca="1">VLOOKUP($AB533,sample!$1:$1048576,12,FALSE)</f>
        <v>#NAME?</v>
      </c>
      <c r="AN533" s="1104" t="e">
        <f ca="1">VLOOKUP($AB533,sample!$1:$1048576,13,FALSE)</f>
        <v>#NAME?</v>
      </c>
      <c r="AP533" s="1111"/>
    </row>
    <row r="534" spans="1:42" s="1080" customFormat="1">
      <c r="A534" s="1026">
        <f t="shared" si="127"/>
        <v>2019200547</v>
      </c>
      <c r="B534" s="1076">
        <v>44526</v>
      </c>
      <c r="C534" s="1076" t="s">
        <v>137</v>
      </c>
      <c r="D534" s="1127" t="str">
        <f>IFERROR(VLOOKUP(G534,PosAggregate!$B$13:$B$93,1,FALSE),"")</f>
        <v>096775 KS</v>
      </c>
      <c r="E534" s="1212" t="s">
        <v>1255</v>
      </c>
      <c r="F534" s="1213" t="s">
        <v>1277</v>
      </c>
      <c r="G534" s="1079" t="s">
        <v>12896</v>
      </c>
      <c r="I534" s="1214" t="s">
        <v>1143</v>
      </c>
      <c r="J534" s="1214" t="s">
        <v>123</v>
      </c>
      <c r="K534" s="1081">
        <v>131373.13430000001</v>
      </c>
      <c r="L534" s="1083"/>
      <c r="M534" s="1215">
        <v>670</v>
      </c>
      <c r="N534" s="1135">
        <f t="shared" si="129"/>
        <v>-88019999.981000006</v>
      </c>
      <c r="O534" s="1083">
        <v>-132030</v>
      </c>
      <c r="R534" s="1216">
        <v>-88152029.981000006</v>
      </c>
      <c r="S534" s="1085">
        <v>1339.39</v>
      </c>
      <c r="T534" s="1217">
        <v>-65815.057586662588</v>
      </c>
      <c r="U534" s="1080">
        <v>44530</v>
      </c>
      <c r="V534" s="1079" t="s">
        <v>1156</v>
      </c>
      <c r="W534" s="1086">
        <v>44526.443322453706</v>
      </c>
      <c r="X534" s="1218">
        <v>0.15000000003237898</v>
      </c>
      <c r="Y534" s="1080" t="s">
        <v>1763</v>
      </c>
      <c r="Z534" s="1219" t="s">
        <v>1808</v>
      </c>
      <c r="AA534" s="1219" t="s">
        <v>1807</v>
      </c>
      <c r="AB534" s="1219" t="s">
        <v>12818</v>
      </c>
      <c r="AC534" s="1219" t="s">
        <v>1765</v>
      </c>
      <c r="AD534" s="1219" t="s">
        <v>1808</v>
      </c>
      <c r="AE534" s="1220" t="s">
        <v>1973</v>
      </c>
      <c r="AF534" s="1219" t="s">
        <v>1864</v>
      </c>
      <c r="AL534" s="1104" t="str">
        <f>VLOOKUP($AB534,sample!$1:$1048576,11,FALSE)</f>
        <v xml:space="preserve">        </v>
      </c>
      <c r="AM534" s="1104" t="str">
        <f>VLOOKUP($AB534,sample!$1:$1048576,12,FALSE)</f>
        <v xml:space="preserve">        </v>
      </c>
      <c r="AN534" s="1220" t="s">
        <v>1765</v>
      </c>
      <c r="AP534" s="1219"/>
    </row>
    <row r="535" spans="1:42">
      <c r="A535" s="1026">
        <f t="shared" si="127"/>
        <v>2019200548</v>
      </c>
      <c r="B535" s="998">
        <v>44529</v>
      </c>
      <c r="C535" s="998" t="s">
        <v>137</v>
      </c>
      <c r="D535" s="1127" t="str">
        <f>IFERROR(VLOOKUP(G535,PosAggregate!$B$13:$B$93,1,FALSE),"")</f>
        <v>096775 KS</v>
      </c>
      <c r="E535" s="1139" t="e">
        <f ca="1">_xll.BDP(G535  &amp; " Equity", "ID_ISIN", "Fill", "")</f>
        <v>#NAME?</v>
      </c>
      <c r="F535" s="1132" t="str">
        <f t="shared" si="128"/>
        <v>YES</v>
      </c>
      <c r="G535" s="701" t="s">
        <v>12896</v>
      </c>
      <c r="I535" s="1133" t="e">
        <f ca="1">_xll.BDP(E535 &amp; " Equity","SECURITY_NAME")</f>
        <v>#NAME?</v>
      </c>
      <c r="J535" s="1133" t="e">
        <f ca="1">_xll.BDP(G535 &amp; " Equity","Crncy")</f>
        <v>#NAME?</v>
      </c>
      <c r="K535" s="1081">
        <v>125798.4375</v>
      </c>
      <c r="L535" s="1081"/>
      <c r="M535" s="1081">
        <v>320</v>
      </c>
      <c r="N535" s="1135">
        <f t="shared" si="129"/>
        <v>-40255500</v>
      </c>
      <c r="O535" s="1002">
        <v>-60383</v>
      </c>
      <c r="R535" s="1100">
        <f t="shared" si="124"/>
        <v>-40315883</v>
      </c>
      <c r="S535" s="1085">
        <v>1347.16</v>
      </c>
      <c r="T535" s="1121">
        <f t="shared" si="126"/>
        <v>-29926.573680928766</v>
      </c>
      <c r="U535" s="827">
        <v>44531</v>
      </c>
      <c r="V535" s="701" t="s">
        <v>1156</v>
      </c>
      <c r="W535" s="1031">
        <v>44526.514342939816</v>
      </c>
      <c r="X535" s="1089">
        <f t="shared" si="123"/>
        <v>0.14999937896684926</v>
      </c>
      <c r="Y535" s="690" t="s">
        <v>1763</v>
      </c>
      <c r="Z535" s="1111" t="e">
        <f ca="1">VLOOKUP(AA535,'place of settlement'!A:C,2,FALSE)</f>
        <v>#NAME?</v>
      </c>
      <c r="AA535" s="1111" t="e">
        <f t="shared" ca="1" si="120"/>
        <v>#NAME?</v>
      </c>
      <c r="AB535" s="1111" t="e">
        <f t="shared" ca="1" si="121"/>
        <v>#NAME?</v>
      </c>
      <c r="AC535" s="1111" t="e">
        <f ca="1">VLOOKUP(AB535,sample!$1:$1048576,2,FALSE)</f>
        <v>#NAME?</v>
      </c>
      <c r="AD535" s="1111" t="e">
        <f ca="1">VLOOKUP($AB535,sample!$1:$1048576,3,FALSE)</f>
        <v>#NAME?</v>
      </c>
      <c r="AE535" s="1104" t="e">
        <f ca="1">VLOOKUP($AB535,sample!$1:$1048576,4,FALSE)</f>
        <v>#NAME?</v>
      </c>
      <c r="AF535" s="1111" t="e">
        <f ca="1">VLOOKUP($AB535,sample!$1:$1048576,5,FALSE)</f>
        <v>#NAME?</v>
      </c>
      <c r="AL535" s="1104" t="e">
        <f ca="1">VLOOKUP($AB535,sample!$1:$1048576,11,FALSE)</f>
        <v>#NAME?</v>
      </c>
      <c r="AM535" s="1104" t="e">
        <f ca="1">VLOOKUP($AB535,sample!$1:$1048576,12,FALSE)</f>
        <v>#NAME?</v>
      </c>
      <c r="AN535" s="1104" t="e">
        <f ca="1">VLOOKUP($AB535,sample!$1:$1048576,13,FALSE)</f>
        <v>#NAME?</v>
      </c>
      <c r="AP535" s="1111"/>
    </row>
    <row r="536" spans="1:42">
      <c r="A536" s="1026">
        <f t="shared" si="127"/>
        <v>2019200549</v>
      </c>
      <c r="B536" s="998">
        <v>44529</v>
      </c>
      <c r="C536" s="998" t="s">
        <v>137</v>
      </c>
      <c r="D536" s="1127" t="str">
        <f>IFERROR(VLOOKUP(G536,PosAggregate!$B$13:$B$93,1,FALSE),"")</f>
        <v>051915 KS</v>
      </c>
      <c r="E536" s="1139" t="e">
        <f ca="1">_xll.BDP(G536  &amp; " Equity", "ID_ISIN", "Fill", "")</f>
        <v>#NAME?</v>
      </c>
      <c r="F536" s="1132" t="str">
        <f t="shared" si="128"/>
        <v>YES</v>
      </c>
      <c r="G536" s="701" t="s">
        <v>12894</v>
      </c>
      <c r="I536" s="1133" t="e">
        <f ca="1">_xll.BDP(E536 &amp; " Equity","SECURITY_NAME")</f>
        <v>#NAME?</v>
      </c>
      <c r="J536" s="1133" t="e">
        <f ca="1">_xll.BDP(G536 &amp; " Equity","Crncy")</f>
        <v>#NAME?</v>
      </c>
      <c r="K536" s="1081">
        <v>341681.91489999997</v>
      </c>
      <c r="L536" s="1081"/>
      <c r="M536" s="1081">
        <v>470</v>
      </c>
      <c r="N536" s="1135">
        <f t="shared" si="129"/>
        <v>-160590500.00299999</v>
      </c>
      <c r="O536" s="1002">
        <v>-240886</v>
      </c>
      <c r="R536" s="1100">
        <f t="shared" si="124"/>
        <v>-160831386.00299999</v>
      </c>
      <c r="S536" s="1085">
        <v>1347.16</v>
      </c>
      <c r="T536" s="1121">
        <f t="shared" si="126"/>
        <v>-119385.51174544968</v>
      </c>
      <c r="U536" s="827">
        <v>44531</v>
      </c>
      <c r="V536" s="701" t="s">
        <v>1156</v>
      </c>
      <c r="W536" s="1031">
        <v>44526.514342939816</v>
      </c>
      <c r="X536" s="1089">
        <f t="shared" si="123"/>
        <v>0.15000015567265809</v>
      </c>
      <c r="Y536" s="690" t="s">
        <v>1763</v>
      </c>
      <c r="Z536" s="1111" t="e">
        <f ca="1">VLOOKUP(AA536,'place of settlement'!A:C,2,FALSE)</f>
        <v>#NAME?</v>
      </c>
      <c r="AA536" s="1111" t="e">
        <f t="shared" ca="1" si="120"/>
        <v>#NAME?</v>
      </c>
      <c r="AB536" s="1111" t="e">
        <f t="shared" ca="1" si="121"/>
        <v>#NAME?</v>
      </c>
      <c r="AC536" s="1111" t="e">
        <f ca="1">VLOOKUP(AB536,sample!$1:$1048576,2,FALSE)</f>
        <v>#NAME?</v>
      </c>
      <c r="AD536" s="1111" t="e">
        <f ca="1">VLOOKUP($AB536,sample!$1:$1048576,3,FALSE)</f>
        <v>#NAME?</v>
      </c>
      <c r="AE536" s="1104" t="e">
        <f ca="1">VLOOKUP($AB536,sample!$1:$1048576,4,FALSE)</f>
        <v>#NAME?</v>
      </c>
      <c r="AF536" s="1111" t="e">
        <f ca="1">VLOOKUP($AB536,sample!$1:$1048576,5,FALSE)</f>
        <v>#NAME?</v>
      </c>
      <c r="AL536" s="1104" t="e">
        <f ca="1">VLOOKUP($AB536,sample!$1:$1048576,11,FALSE)</f>
        <v>#NAME?</v>
      </c>
      <c r="AM536" s="1104" t="e">
        <f ca="1">VLOOKUP($AB536,sample!$1:$1048576,12,FALSE)</f>
        <v>#NAME?</v>
      </c>
      <c r="AN536" s="1104" t="e">
        <f ca="1">VLOOKUP($AB536,sample!$1:$1048576,13,FALSE)</f>
        <v>#NAME?</v>
      </c>
      <c r="AP536" s="1111"/>
    </row>
    <row r="537" spans="1:42">
      <c r="A537" s="1026">
        <f t="shared" si="127"/>
        <v>2019200550</v>
      </c>
      <c r="B537" s="998">
        <v>44532</v>
      </c>
      <c r="C537" s="998" t="s">
        <v>137</v>
      </c>
      <c r="D537" s="1127" t="str">
        <f>IFERROR(VLOOKUP(G537,PosAggregate!$B$13:$B$93,1,FALSE),"")</f>
        <v>4004 JP</v>
      </c>
      <c r="E537" s="1139" t="e">
        <f ca="1">_xll.BDP(G537  &amp; " Equity", "ID_ISIN", "Fill", "")</f>
        <v>#NAME?</v>
      </c>
      <c r="F537" s="1132" t="str">
        <f t="shared" si="128"/>
        <v>YES</v>
      </c>
      <c r="G537" s="701" t="s">
        <v>12891</v>
      </c>
      <c r="I537" s="1133" t="e">
        <f ca="1">_xll.BDP(E537 &amp; " Equity","SECURITY_NAME")</f>
        <v>#NAME?</v>
      </c>
      <c r="J537" s="1133" t="e">
        <f ca="1">_xll.BDP(G537 &amp; " Equity","Crncy")</f>
        <v>#NAME?</v>
      </c>
      <c r="K537" s="1081">
        <v>2409.890476</v>
      </c>
      <c r="L537" s="1081"/>
      <c r="M537" s="1081">
        <v>4200</v>
      </c>
      <c r="N537" s="1135">
        <f t="shared" si="129"/>
        <v>-10121539.999199999</v>
      </c>
      <c r="O537" s="1002">
        <v>-6073</v>
      </c>
      <c r="R537" s="1100">
        <f t="shared" si="124"/>
        <v>-10127612.999199999</v>
      </c>
      <c r="S537" s="1081">
        <v>128.15</v>
      </c>
      <c r="T537" s="1121">
        <f t="shared" si="126"/>
        <v>-79029.364020288718</v>
      </c>
      <c r="U537" s="827">
        <v>44536</v>
      </c>
      <c r="V537" s="701" t="s">
        <v>1725</v>
      </c>
      <c r="W537" s="1031">
        <v>44526.514342939816</v>
      </c>
      <c r="X537" s="1089">
        <f t="shared" si="123"/>
        <v>6.0000750878621299E-2</v>
      </c>
      <c r="Y537" s="690" t="s">
        <v>1763</v>
      </c>
      <c r="Z537" s="1111" t="e">
        <f ca="1">VLOOKUP(AA537,'place of settlement'!A:C,2,FALSE)</f>
        <v>#NAME?</v>
      </c>
      <c r="AA537" s="1111" t="e">
        <f t="shared" ca="1" si="120"/>
        <v>#NAME?</v>
      </c>
      <c r="AB537" s="1111" t="e">
        <f t="shared" ca="1" si="121"/>
        <v>#NAME?</v>
      </c>
      <c r="AC537" s="1111" t="e">
        <f ca="1">VLOOKUP(AB537,sample!$1:$1048576,2,FALSE)</f>
        <v>#NAME?</v>
      </c>
      <c r="AD537" s="1111" t="e">
        <f ca="1">VLOOKUP($AB537,sample!$1:$1048576,3,FALSE)</f>
        <v>#NAME?</v>
      </c>
      <c r="AE537" s="1104" t="e">
        <f ca="1">VLOOKUP($AB537,sample!$1:$1048576,4,FALSE)</f>
        <v>#NAME?</v>
      </c>
      <c r="AF537" s="1111" t="e">
        <f ca="1">VLOOKUP($AB537,sample!$1:$1048576,5,FALSE)</f>
        <v>#NAME?</v>
      </c>
      <c r="AL537" s="1104" t="e">
        <f ca="1">VLOOKUP($AB537,sample!$1:$1048576,11,FALSE)</f>
        <v>#NAME?</v>
      </c>
      <c r="AM537" s="1104" t="e">
        <f ca="1">VLOOKUP($AB537,sample!$1:$1048576,12,FALSE)</f>
        <v>#NAME?</v>
      </c>
      <c r="AN537" s="1104" t="e">
        <f ca="1">VLOOKUP($AB537,sample!$1:$1048576,13,FALSE)</f>
        <v>#NAME?</v>
      </c>
      <c r="AP537" s="1111"/>
    </row>
    <row r="538" spans="1:42">
      <c r="A538" s="1026">
        <f t="shared" si="127"/>
        <v>2019200551</v>
      </c>
      <c r="B538" s="998">
        <v>44532</v>
      </c>
      <c r="C538" s="998" t="s">
        <v>137</v>
      </c>
      <c r="D538" s="1127" t="str">
        <f>IFERROR(VLOOKUP(G538,PosAggregate!$B$13:$B$93,1,FALSE),"")</f>
        <v>7013 JP</v>
      </c>
      <c r="E538" s="1139" t="e">
        <f ca="1">_xll.BDP(G538  &amp; " Equity", "ID_ISIN", "Fill", "")</f>
        <v>#NAME?</v>
      </c>
      <c r="F538" s="1132" t="str">
        <f t="shared" si="128"/>
        <v>YES</v>
      </c>
      <c r="G538" s="701" t="s">
        <v>13086</v>
      </c>
      <c r="I538" s="1133" t="e">
        <f ca="1">_xll.BDP(E538 &amp; " Equity","SECURITY_NAME")</f>
        <v>#NAME?</v>
      </c>
      <c r="J538" s="1133" t="e">
        <f ca="1">_xll.BDP(G538 &amp; " Equity","Crncy")</f>
        <v>#NAME?</v>
      </c>
      <c r="K538" s="1081">
        <v>2140.5985070000002</v>
      </c>
      <c r="L538" s="1081"/>
      <c r="M538" s="1081">
        <v>6700</v>
      </c>
      <c r="N538" s="1135">
        <f t="shared" si="129"/>
        <v>-14342009.996900002</v>
      </c>
      <c r="O538" s="1002">
        <v>-8605</v>
      </c>
      <c r="R538" s="1100">
        <f t="shared" si="124"/>
        <v>-14350614.996900002</v>
      </c>
      <c r="S538" s="1081">
        <v>128.15</v>
      </c>
      <c r="T538" s="1121">
        <f t="shared" si="126"/>
        <v>-111982.94964416701</v>
      </c>
      <c r="U538" s="827">
        <v>44536</v>
      </c>
      <c r="V538" s="701" t="s">
        <v>1725</v>
      </c>
      <c r="W538" s="1031">
        <v>44526.514342939816</v>
      </c>
      <c r="X538" s="1089">
        <f t="shared" si="123"/>
        <v>5.9998563673152885E-2</v>
      </c>
      <c r="Y538" s="690" t="s">
        <v>1763</v>
      </c>
      <c r="Z538" s="1111" t="e">
        <f ca="1">VLOOKUP(AA538,'place of settlement'!A:C,2,FALSE)</f>
        <v>#NAME?</v>
      </c>
      <c r="AA538" s="1111" t="e">
        <f t="shared" ca="1" si="120"/>
        <v>#NAME?</v>
      </c>
      <c r="AB538" s="1111" t="e">
        <f t="shared" ca="1" si="121"/>
        <v>#NAME?</v>
      </c>
      <c r="AC538" s="1111" t="e">
        <f ca="1">VLOOKUP(AB538,sample!$1:$1048576,2,FALSE)</f>
        <v>#NAME?</v>
      </c>
      <c r="AD538" s="1111" t="e">
        <f ca="1">VLOOKUP($AB538,sample!$1:$1048576,3,FALSE)</f>
        <v>#NAME?</v>
      </c>
      <c r="AE538" s="1104" t="e">
        <f ca="1">VLOOKUP($AB538,sample!$1:$1048576,4,FALSE)</f>
        <v>#NAME?</v>
      </c>
      <c r="AF538" s="1111" t="e">
        <f ca="1">VLOOKUP($AB538,sample!$1:$1048576,5,FALSE)</f>
        <v>#NAME?</v>
      </c>
      <c r="AL538" s="1104" t="e">
        <f ca="1">VLOOKUP($AB538,sample!$1:$1048576,11,FALSE)</f>
        <v>#NAME?</v>
      </c>
      <c r="AM538" s="1104" t="e">
        <f ca="1">VLOOKUP($AB538,sample!$1:$1048576,12,FALSE)</f>
        <v>#NAME?</v>
      </c>
      <c r="AN538" s="1104" t="e">
        <f ca="1">VLOOKUP($AB538,sample!$1:$1048576,13,FALSE)</f>
        <v>#NAME?</v>
      </c>
      <c r="AP538" s="1111"/>
    </row>
    <row r="539" spans="1:42">
      <c r="A539" s="1026">
        <f t="shared" si="127"/>
        <v>2019200552</v>
      </c>
      <c r="B539" s="998">
        <v>44532</v>
      </c>
      <c r="C539" s="998" t="s">
        <v>138</v>
      </c>
      <c r="D539" s="1127" t="str">
        <f>IFERROR(VLOOKUP(G539,PosAggregate!$B$13:$B$93,1,FALSE),"")</f>
        <v>GLEN LN</v>
      </c>
      <c r="E539" s="1139" t="e">
        <f ca="1">_xll.BDP(G539  &amp; " Equity", "ID_ISIN", "Fill", "")</f>
        <v>#NAME?</v>
      </c>
      <c r="F539" s="1132" t="str">
        <f t="shared" si="128"/>
        <v>YES</v>
      </c>
      <c r="G539" s="701" t="s">
        <v>12926</v>
      </c>
      <c r="I539" s="1133" t="e">
        <f ca="1">_xll.BDP(E539 &amp; " Equity","SECURITY_NAME")</f>
        <v>#NAME?</v>
      </c>
      <c r="J539" s="1133" t="e">
        <f ca="1">_xll.BDP(G539 &amp; " Equity","Crncy")</f>
        <v>#NAME?</v>
      </c>
      <c r="K539" s="1081">
        <v>3.4929999999999999</v>
      </c>
      <c r="L539" s="1081"/>
      <c r="M539" s="1081">
        <v>-17000</v>
      </c>
      <c r="N539" s="1135">
        <f t="shared" si="129"/>
        <v>59381</v>
      </c>
      <c r="O539" s="1002">
        <v>-35.630000000000003</v>
      </c>
      <c r="R539" s="1100">
        <f t="shared" si="124"/>
        <v>59345.37</v>
      </c>
      <c r="S539" s="1081">
        <v>0.85085</v>
      </c>
      <c r="T539" s="1121">
        <f t="shared" si="126"/>
        <v>69748.334018922251</v>
      </c>
      <c r="U539" s="827">
        <v>44536</v>
      </c>
      <c r="V539" s="701" t="s">
        <v>1229</v>
      </c>
      <c r="W539" s="1031">
        <v>44526.514343055554</v>
      </c>
      <c r="X539" s="1089">
        <f t="shared" si="123"/>
        <v>-6.0002357656489452E-2</v>
      </c>
      <c r="Y539" s="690" t="s">
        <v>1763</v>
      </c>
      <c r="Z539" s="1111" t="str">
        <f>VLOOKUP(AA539,'place of settlement'!A:C,2,FALSE)</f>
        <v>CRSTGB22XXX</v>
      </c>
      <c r="AA539" s="1111" t="s">
        <v>1786</v>
      </c>
      <c r="AB539" s="1111" t="str">
        <f t="shared" ref="AB539:AB602" si="130">CONCATENATE(V539,AA539)</f>
        <v>EquitaGB</v>
      </c>
      <c r="AC539" s="1111" t="str">
        <f>VLOOKUP(AB539,sample!$1:$1048576,2,FALSE)</f>
        <v>BCITITMMXXX</v>
      </c>
      <c r="AD539" s="1111" t="str">
        <f>VLOOKUP($AB539,sample!$1:$1048576,3,FALSE)</f>
        <v>CRSTGB22XXX</v>
      </c>
      <c r="AE539" s="1104">
        <f>VLOOKUP($AB539,sample!$1:$1048576,4,FALSE)</f>
        <v>862872</v>
      </c>
      <c r="AF539" s="1111" t="str">
        <f>VLOOKUP($AB539,sample!$1:$1048576,5,FALSE)</f>
        <v>N</v>
      </c>
      <c r="AL539" s="1104" t="str">
        <f>VLOOKUP($AB539,sample!$1:$1048576,11,FALSE)</f>
        <v>CRST</v>
      </c>
      <c r="AM539" s="1104" t="str">
        <f>VLOOKUP($AB539,sample!$1:$1048576,12,FALSE)</f>
        <v>BH01</v>
      </c>
      <c r="AN539" s="1104" t="str">
        <f>VLOOKUP($AB539,sample!$1:$1048576,13,FALSE)</f>
        <v xml:space="preserve">        </v>
      </c>
      <c r="AP539" s="1111"/>
    </row>
    <row r="540" spans="1:42">
      <c r="A540" s="1026">
        <f t="shared" si="127"/>
        <v>2019200553</v>
      </c>
      <c r="B540" s="998">
        <v>44533</v>
      </c>
      <c r="C540" s="998" t="s">
        <v>137</v>
      </c>
      <c r="D540" s="1127" t="str">
        <f>IFERROR(VLOOKUP(G540,PosAggregate!$B$13:$B$93,1,FALSE),"")</f>
        <v>3407 JP</v>
      </c>
      <c r="E540" s="1139" t="e">
        <f ca="1">_xll.BDP(G540  &amp; " Equity", "ID_ISIN", "Fill", "")</f>
        <v>#NAME?</v>
      </c>
      <c r="F540" s="1132" t="str">
        <f t="shared" si="128"/>
        <v>YES</v>
      </c>
      <c r="G540" s="701" t="s">
        <v>13087</v>
      </c>
      <c r="I540" s="1133" t="e">
        <f ca="1">_xll.BDP(E540 &amp; " Equity","SECURITY_NAME")</f>
        <v>#NAME?</v>
      </c>
      <c r="J540" s="1133" t="e">
        <f ca="1">_xll.BDP(G540 &amp; " Equity","Crncy")</f>
        <v>#NAME?</v>
      </c>
      <c r="K540" s="1081">
        <v>1103.0095449999999</v>
      </c>
      <c r="L540" s="1081"/>
      <c r="M540" s="1081">
        <v>11000</v>
      </c>
      <c r="N540" s="1135">
        <f t="shared" si="129"/>
        <v>-12133104.994999999</v>
      </c>
      <c r="O540" s="1002">
        <v>-7280</v>
      </c>
      <c r="R540" s="1100">
        <f t="shared" si="124"/>
        <v>-12140384.994999999</v>
      </c>
      <c r="S540" s="1081">
        <v>127.99</v>
      </c>
      <c r="T540" s="1121">
        <f t="shared" si="126"/>
        <v>-94854.16825533245</v>
      </c>
      <c r="U540" s="827">
        <v>44537</v>
      </c>
      <c r="V540" s="701" t="s">
        <v>1725</v>
      </c>
      <c r="W540" s="1031">
        <v>44526.514342939816</v>
      </c>
      <c r="X540" s="1089">
        <f t="shared" si="123"/>
        <v>6.0001129166854295E-2</v>
      </c>
      <c r="Y540" s="690" t="s">
        <v>1763</v>
      </c>
      <c r="Z540" s="1111" t="e">
        <f ca="1">VLOOKUP(AA540,'place of settlement'!A:C,2,FALSE)</f>
        <v>#NAME?</v>
      </c>
      <c r="AA540" s="1111" t="e">
        <f t="shared" ref="AA540:AA602" ca="1" si="131">LEFT(E540,2)</f>
        <v>#NAME?</v>
      </c>
      <c r="AB540" s="1111" t="e">
        <f t="shared" ca="1" si="130"/>
        <v>#NAME?</v>
      </c>
      <c r="AC540" s="1111" t="e">
        <f ca="1">VLOOKUP(AB540,sample!$1:$1048576,2,FALSE)</f>
        <v>#NAME?</v>
      </c>
      <c r="AD540" s="1111" t="e">
        <f ca="1">VLOOKUP($AB540,sample!$1:$1048576,3,FALSE)</f>
        <v>#NAME?</v>
      </c>
      <c r="AE540" s="1104" t="e">
        <f ca="1">VLOOKUP($AB540,sample!$1:$1048576,4,FALSE)</f>
        <v>#NAME?</v>
      </c>
      <c r="AF540" s="1111" t="e">
        <f ca="1">VLOOKUP($AB540,sample!$1:$1048576,5,FALSE)</f>
        <v>#NAME?</v>
      </c>
      <c r="AL540" s="1104" t="e">
        <f ca="1">VLOOKUP($AB540,sample!$1:$1048576,11,FALSE)</f>
        <v>#NAME?</v>
      </c>
      <c r="AM540" s="1104" t="e">
        <f ca="1">VLOOKUP($AB540,sample!$1:$1048576,12,FALSE)</f>
        <v>#NAME?</v>
      </c>
      <c r="AN540" s="1104" t="e">
        <f ca="1">VLOOKUP($AB540,sample!$1:$1048576,13,FALSE)</f>
        <v>#NAME?</v>
      </c>
      <c r="AP540" s="1111"/>
    </row>
    <row r="541" spans="1:42">
      <c r="A541" s="1026">
        <f t="shared" si="127"/>
        <v>2019200554</v>
      </c>
      <c r="B541" s="998">
        <v>44533</v>
      </c>
      <c r="C541" s="998" t="s">
        <v>138</v>
      </c>
      <c r="D541" s="1127" t="str">
        <f>IFERROR(VLOOKUP(G541,PosAggregate!$B$13:$B$93,1,FALSE),"")</f>
        <v>6502 JP</v>
      </c>
      <c r="E541" s="1139" t="e">
        <f ca="1">_xll.BDP(G541  &amp; " Equity", "ID_ISIN", "Fill", "")</f>
        <v>#NAME?</v>
      </c>
      <c r="F541" s="1132" t="str">
        <f t="shared" si="128"/>
        <v>YES</v>
      </c>
      <c r="G541" s="701" t="s">
        <v>12909</v>
      </c>
      <c r="I541" s="1133" t="e">
        <f ca="1">_xll.BDP(E541 &amp; " Equity","SECURITY_NAME")</f>
        <v>#NAME?</v>
      </c>
      <c r="J541" s="1133" t="e">
        <f ca="1">_xll.BDP(G541 &amp; " Equity","Crncy")</f>
        <v>#NAME?</v>
      </c>
      <c r="K541" s="1081">
        <v>4704</v>
      </c>
      <c r="L541" s="1081"/>
      <c r="M541" s="1081">
        <v>-4100</v>
      </c>
      <c r="N541" s="1135">
        <f t="shared" si="129"/>
        <v>19286400</v>
      </c>
      <c r="O541" s="1002">
        <v>-11572</v>
      </c>
      <c r="R541" s="1100">
        <f t="shared" si="124"/>
        <v>19274828</v>
      </c>
      <c r="S541" s="1081">
        <v>127.99</v>
      </c>
      <c r="T541" s="1121">
        <f t="shared" si="126"/>
        <v>150596.35909055395</v>
      </c>
      <c r="U541" s="827">
        <v>44537</v>
      </c>
      <c r="V541" s="701" t="s">
        <v>1725</v>
      </c>
      <c r="W541" s="1031">
        <v>44526.514343055554</v>
      </c>
      <c r="X541" s="1089">
        <f t="shared" si="123"/>
        <v>-6.0000829600132734E-2</v>
      </c>
      <c r="Y541" s="690" t="s">
        <v>1763</v>
      </c>
      <c r="Z541" s="1111" t="e">
        <f ca="1">VLOOKUP(AA541,'place of settlement'!A:C,2,FALSE)</f>
        <v>#NAME?</v>
      </c>
      <c r="AA541" s="1111" t="e">
        <f t="shared" ca="1" si="131"/>
        <v>#NAME?</v>
      </c>
      <c r="AB541" s="1111" t="e">
        <f t="shared" ca="1" si="130"/>
        <v>#NAME?</v>
      </c>
      <c r="AC541" s="1111" t="e">
        <f ca="1">VLOOKUP(AB541,sample!$1:$1048576,2,FALSE)</f>
        <v>#NAME?</v>
      </c>
      <c r="AD541" s="1111" t="e">
        <f ca="1">VLOOKUP($AB541,sample!$1:$1048576,3,FALSE)</f>
        <v>#NAME?</v>
      </c>
      <c r="AE541" s="1104" t="e">
        <f ca="1">VLOOKUP($AB541,sample!$1:$1048576,4,FALSE)</f>
        <v>#NAME?</v>
      </c>
      <c r="AF541" s="1111" t="e">
        <f ca="1">VLOOKUP($AB541,sample!$1:$1048576,5,FALSE)</f>
        <v>#NAME?</v>
      </c>
      <c r="AL541" s="1104" t="e">
        <f ca="1">VLOOKUP($AB541,sample!$1:$1048576,11,FALSE)</f>
        <v>#NAME?</v>
      </c>
      <c r="AM541" s="1104" t="e">
        <f ca="1">VLOOKUP($AB541,sample!$1:$1048576,12,FALSE)</f>
        <v>#NAME?</v>
      </c>
      <c r="AN541" s="1104" t="e">
        <f ca="1">VLOOKUP($AB541,sample!$1:$1048576,13,FALSE)</f>
        <v>#NAME?</v>
      </c>
      <c r="AP541" s="1111"/>
    </row>
    <row r="542" spans="1:42">
      <c r="A542" s="1026">
        <f t="shared" si="127"/>
        <v>2019200555</v>
      </c>
      <c r="B542" s="998">
        <v>44533</v>
      </c>
      <c r="C542" s="998" t="s">
        <v>137</v>
      </c>
      <c r="D542" s="1127" t="str">
        <f>IFERROR(VLOOKUP(G542,PosAggregate!$B$13:$B$93,1,FALSE),"")</f>
        <v>036830 KS</v>
      </c>
      <c r="E542" s="1139" t="e">
        <f ca="1">_xll.BDP(G542  &amp; " Equity", "ID_ISIN", "Fill", "")</f>
        <v>#NAME?</v>
      </c>
      <c r="F542" s="1132" t="str">
        <f t="shared" si="128"/>
        <v>YES</v>
      </c>
      <c r="G542" s="701" t="s">
        <v>13088</v>
      </c>
      <c r="I542" s="1133" t="e">
        <f ca="1">_xll.BDP(E542 &amp; " Equity","SECURITY_NAME")</f>
        <v>#NAME?</v>
      </c>
      <c r="J542" s="1133" t="e">
        <f ca="1">_xll.BDP(G542 &amp; " Equity","Crncy")</f>
        <v>#NAME?</v>
      </c>
      <c r="K542" s="1081">
        <v>36305.804878000003</v>
      </c>
      <c r="L542" s="1081"/>
      <c r="M542" s="1081">
        <v>4100</v>
      </c>
      <c r="N542" s="1135">
        <f t="shared" si="129"/>
        <v>-148853799.9998</v>
      </c>
      <c r="O542" s="1002">
        <v>-223281</v>
      </c>
      <c r="R542" s="1100">
        <f t="shared" si="124"/>
        <v>-149077080.9998</v>
      </c>
      <c r="S542" s="1081">
        <v>1332.03</v>
      </c>
      <c r="T542" s="1121">
        <f t="shared" si="126"/>
        <v>-111917.20982245145</v>
      </c>
      <c r="U542" s="827">
        <v>44537</v>
      </c>
      <c r="V542" s="701" t="s">
        <v>1156</v>
      </c>
      <c r="W542" s="1031">
        <v>44526.514342939816</v>
      </c>
      <c r="X542" s="1089">
        <f t="shared" si="123"/>
        <v>0.15000020154023613</v>
      </c>
      <c r="Y542" s="690" t="s">
        <v>1763</v>
      </c>
      <c r="Z542" s="1111" t="e">
        <f ca="1">VLOOKUP(AA542,'place of settlement'!A:C,2,FALSE)</f>
        <v>#NAME?</v>
      </c>
      <c r="AA542" s="1111" t="e">
        <f t="shared" ca="1" si="131"/>
        <v>#NAME?</v>
      </c>
      <c r="AB542" s="1111" t="e">
        <f t="shared" ca="1" si="130"/>
        <v>#NAME?</v>
      </c>
      <c r="AC542" s="1111" t="e">
        <f ca="1">VLOOKUP(AB542,sample!$1:$1048576,2,FALSE)</f>
        <v>#NAME?</v>
      </c>
      <c r="AD542" s="1111" t="e">
        <f ca="1">VLOOKUP($AB542,sample!$1:$1048576,3,FALSE)</f>
        <v>#NAME?</v>
      </c>
      <c r="AE542" s="1104" t="e">
        <f ca="1">VLOOKUP($AB542,sample!$1:$1048576,4,FALSE)</f>
        <v>#NAME?</v>
      </c>
      <c r="AF542" s="1111" t="e">
        <f ca="1">VLOOKUP($AB542,sample!$1:$1048576,5,FALSE)</f>
        <v>#NAME?</v>
      </c>
      <c r="AL542" s="1104" t="e">
        <f ca="1">VLOOKUP($AB542,sample!$1:$1048576,11,FALSE)</f>
        <v>#NAME?</v>
      </c>
      <c r="AM542" s="1104" t="e">
        <f ca="1">VLOOKUP($AB542,sample!$1:$1048576,12,FALSE)</f>
        <v>#NAME?</v>
      </c>
      <c r="AN542" s="1104" t="e">
        <f ca="1">VLOOKUP($AB542,sample!$1:$1048576,13,FALSE)</f>
        <v>#NAME?</v>
      </c>
      <c r="AP542" s="1111"/>
    </row>
    <row r="543" spans="1:42">
      <c r="A543" s="1026">
        <f t="shared" si="127"/>
        <v>2019200556</v>
      </c>
      <c r="B543" s="998">
        <v>44533</v>
      </c>
      <c r="C543" s="998" t="s">
        <v>137</v>
      </c>
      <c r="D543" s="1127" t="str">
        <f>IFERROR(VLOOKUP(G543,PosAggregate!$B$13:$B$93,1,FALSE),"")</f>
        <v>051915 KS</v>
      </c>
      <c r="E543" s="1139" t="e">
        <f ca="1">_xll.BDP(G543  &amp; " Equity", "ID_ISIN", "Fill", "")</f>
        <v>#NAME?</v>
      </c>
      <c r="F543" s="1132" t="str">
        <f t="shared" si="128"/>
        <v>YES</v>
      </c>
      <c r="G543" s="701" t="s">
        <v>12894</v>
      </c>
      <c r="I543" s="1133" t="e">
        <f ca="1">_xll.BDP(E543 &amp; " Equity","SECURITY_NAME")</f>
        <v>#NAME?</v>
      </c>
      <c r="J543" s="1133" t="e">
        <f ca="1">_xll.BDP(G543 &amp; " Equity","Crncy")</f>
        <v>#NAME?</v>
      </c>
      <c r="K543" s="1081">
        <v>337892.42424199998</v>
      </c>
      <c r="L543" s="1081"/>
      <c r="M543" s="1081">
        <v>330</v>
      </c>
      <c r="N543" s="1135">
        <f t="shared" si="129"/>
        <v>-111504499.99985999</v>
      </c>
      <c r="O543" s="1002">
        <v>-167257</v>
      </c>
      <c r="R543" s="1100">
        <f t="shared" si="124"/>
        <v>-111671756.99985999</v>
      </c>
      <c r="S543" s="1081">
        <v>1332.03</v>
      </c>
      <c r="T543" s="1121">
        <f t="shared" si="126"/>
        <v>-83835.767212345061</v>
      </c>
      <c r="U543" s="827">
        <v>44537</v>
      </c>
      <c r="V543" s="701" t="s">
        <v>1156</v>
      </c>
      <c r="W543" s="1031">
        <v>44526.514342939816</v>
      </c>
      <c r="X543" s="1089">
        <f t="shared" si="123"/>
        <v>0.15000022420638628</v>
      </c>
      <c r="Y543" s="690" t="s">
        <v>1763</v>
      </c>
      <c r="Z543" s="1111" t="e">
        <f ca="1">VLOOKUP(AA543,'place of settlement'!A:C,2,FALSE)</f>
        <v>#NAME?</v>
      </c>
      <c r="AA543" s="1111" t="e">
        <f t="shared" ca="1" si="131"/>
        <v>#NAME?</v>
      </c>
      <c r="AB543" s="1111" t="e">
        <f t="shared" ca="1" si="130"/>
        <v>#NAME?</v>
      </c>
      <c r="AC543" s="1111" t="e">
        <f ca="1">VLOOKUP(AB543,sample!$1:$1048576,2,FALSE)</f>
        <v>#NAME?</v>
      </c>
      <c r="AD543" s="1111" t="e">
        <f ca="1">VLOOKUP($AB543,sample!$1:$1048576,3,FALSE)</f>
        <v>#NAME?</v>
      </c>
      <c r="AE543" s="1104" t="e">
        <f ca="1">VLOOKUP($AB543,sample!$1:$1048576,4,FALSE)</f>
        <v>#NAME?</v>
      </c>
      <c r="AF543" s="1111" t="e">
        <f ca="1">VLOOKUP($AB543,sample!$1:$1048576,5,FALSE)</f>
        <v>#NAME?</v>
      </c>
      <c r="AL543" s="1104" t="e">
        <f ca="1">VLOOKUP($AB543,sample!$1:$1048576,11,FALSE)</f>
        <v>#NAME?</v>
      </c>
      <c r="AM543" s="1104" t="e">
        <f ca="1">VLOOKUP($AB543,sample!$1:$1048576,12,FALSE)</f>
        <v>#NAME?</v>
      </c>
      <c r="AN543" s="1104" t="e">
        <f ca="1">VLOOKUP($AB543,sample!$1:$1048576,13,FALSE)</f>
        <v>#NAME?</v>
      </c>
      <c r="AP543" s="1111"/>
    </row>
    <row r="544" spans="1:42">
      <c r="A544" s="1026">
        <f t="shared" si="127"/>
        <v>2019200557</v>
      </c>
      <c r="B544" s="998">
        <v>44533</v>
      </c>
      <c r="C544" s="998" t="s">
        <v>137</v>
      </c>
      <c r="D544" s="1127" t="str">
        <f>IFERROR(VLOOKUP(G544,PosAggregate!$B$13:$B$93,1,FALSE),"")</f>
        <v>096775 KS</v>
      </c>
      <c r="E544" s="1139" t="e">
        <f ca="1">_xll.BDP(G544  &amp; " Equity", "ID_ISIN", "Fill", "")</f>
        <v>#NAME?</v>
      </c>
      <c r="F544" s="1132" t="str">
        <f t="shared" si="128"/>
        <v>YES</v>
      </c>
      <c r="G544" s="701" t="s">
        <v>12896</v>
      </c>
      <c r="I544" s="1133" t="e">
        <f ca="1">_xll.BDP(E544 &amp; " Equity","SECURITY_NAME")</f>
        <v>#NAME?</v>
      </c>
      <c r="J544" s="1133" t="e">
        <f ca="1">_xll.BDP(G544 &amp; " Equity","Crncy")</f>
        <v>#NAME?</v>
      </c>
      <c r="K544" s="1081">
        <v>123593.589744</v>
      </c>
      <c r="L544" s="1081"/>
      <c r="M544" s="1081">
        <v>390</v>
      </c>
      <c r="N544" s="1135">
        <f t="shared" si="129"/>
        <v>-48201500.000160001</v>
      </c>
      <c r="O544" s="1002">
        <v>-72302</v>
      </c>
      <c r="R544" s="1100">
        <f t="shared" si="124"/>
        <v>-48273802.000160001</v>
      </c>
      <c r="S544" s="1081">
        <v>1332.03</v>
      </c>
      <c r="T544" s="1121">
        <f t="shared" si="126"/>
        <v>-36240.776859500162</v>
      </c>
      <c r="U544" s="827">
        <v>44537</v>
      </c>
      <c r="V544" s="701" t="s">
        <v>1156</v>
      </c>
      <c r="W544" s="1031">
        <v>44526.514342939816</v>
      </c>
      <c r="X544" s="1089">
        <f t="shared" si="123"/>
        <v>0.14999948134344368</v>
      </c>
      <c r="Y544" s="690" t="s">
        <v>1763</v>
      </c>
      <c r="Z544" s="1111" t="e">
        <f ca="1">VLOOKUP(AA544,'place of settlement'!A:C,2,FALSE)</f>
        <v>#NAME?</v>
      </c>
      <c r="AA544" s="1111" t="e">
        <f t="shared" ca="1" si="131"/>
        <v>#NAME?</v>
      </c>
      <c r="AB544" s="1111" t="e">
        <f t="shared" ca="1" si="130"/>
        <v>#NAME?</v>
      </c>
      <c r="AC544" s="1111" t="e">
        <f ca="1">VLOOKUP(AB544,sample!$1:$1048576,2,FALSE)</f>
        <v>#NAME?</v>
      </c>
      <c r="AD544" s="1111" t="e">
        <f ca="1">VLOOKUP($AB544,sample!$1:$1048576,3,FALSE)</f>
        <v>#NAME?</v>
      </c>
      <c r="AE544" s="1104" t="e">
        <f ca="1">VLOOKUP($AB544,sample!$1:$1048576,4,FALSE)</f>
        <v>#NAME?</v>
      </c>
      <c r="AF544" s="1111" t="e">
        <f ca="1">VLOOKUP($AB544,sample!$1:$1048576,5,FALSE)</f>
        <v>#NAME?</v>
      </c>
      <c r="AL544" s="1104" t="e">
        <f ca="1">VLOOKUP($AB544,sample!$1:$1048576,11,FALSE)</f>
        <v>#NAME?</v>
      </c>
      <c r="AM544" s="1104" t="e">
        <f ca="1">VLOOKUP($AB544,sample!$1:$1048576,12,FALSE)</f>
        <v>#NAME?</v>
      </c>
      <c r="AN544" s="1104" t="e">
        <f ca="1">VLOOKUP($AB544,sample!$1:$1048576,13,FALSE)</f>
        <v>#NAME?</v>
      </c>
      <c r="AP544" s="1111"/>
    </row>
    <row r="545" spans="1:42">
      <c r="A545" s="1026">
        <f t="shared" si="127"/>
        <v>2019200558</v>
      </c>
      <c r="B545" s="998">
        <v>44560</v>
      </c>
      <c r="C545" s="998" t="s">
        <v>138</v>
      </c>
      <c r="D545" s="1127" t="str">
        <f>IFERROR(VLOOKUP(G545,PosAggregate!$B$13:$B$93,1,FALSE),"")</f>
        <v>WSA AU</v>
      </c>
      <c r="E545" s="1139" t="e">
        <f ca="1">_xll.BDP(G545  &amp; " Equity", "ID_ISIN", "Fill", "")</f>
        <v>#NAME?</v>
      </c>
      <c r="F545" s="1132" t="str">
        <f t="shared" si="128"/>
        <v>YES</v>
      </c>
      <c r="G545" s="701" t="s">
        <v>12906</v>
      </c>
      <c r="I545" s="1133" t="e">
        <f ca="1">_xll.BDP(E545 &amp; " Equity","SECURITY_NAME")</f>
        <v>#NAME?</v>
      </c>
      <c r="J545" s="1133" t="e">
        <f ca="1">_xll.BDP(G545 &amp; " Equity","Crncy")</f>
        <v>#NAME?</v>
      </c>
      <c r="K545" s="1081">
        <v>3.4125999999999999</v>
      </c>
      <c r="L545" s="1081"/>
      <c r="M545" s="1081">
        <v>-110000</v>
      </c>
      <c r="N545" s="1135">
        <f t="shared" si="129"/>
        <v>375386</v>
      </c>
      <c r="O545" s="1002">
        <v>-225.23</v>
      </c>
      <c r="R545" s="1100">
        <f t="shared" si="124"/>
        <v>375160.77</v>
      </c>
      <c r="S545" s="1081">
        <v>1.56355</v>
      </c>
      <c r="T545" s="1121">
        <f t="shared" si="126"/>
        <v>239941.65200984941</v>
      </c>
      <c r="U545" s="827">
        <v>44565</v>
      </c>
      <c r="V545" s="701" t="s">
        <v>1725</v>
      </c>
      <c r="W545" s="1031">
        <v>44526.514343055554</v>
      </c>
      <c r="X545" s="1089">
        <f t="shared" si="123"/>
        <v>-5.9999573772063955E-2</v>
      </c>
      <c r="Y545" s="690" t="s">
        <v>1763</v>
      </c>
      <c r="Z545" s="1111" t="e">
        <f ca="1">VLOOKUP(AA545,'place of settlement'!A:C,2,FALSE)</f>
        <v>#NAME?</v>
      </c>
      <c r="AA545" s="1111" t="e">
        <f t="shared" ca="1" si="131"/>
        <v>#NAME?</v>
      </c>
      <c r="AB545" s="1111" t="e">
        <f t="shared" ca="1" si="130"/>
        <v>#NAME?</v>
      </c>
      <c r="AC545" s="1111" t="e">
        <f ca="1">VLOOKUP(AB545,sample!$1:$1048576,2,FALSE)</f>
        <v>#NAME?</v>
      </c>
      <c r="AD545" s="1111" t="e">
        <f ca="1">VLOOKUP($AB545,sample!$1:$1048576,3,FALSE)</f>
        <v>#NAME?</v>
      </c>
      <c r="AE545" s="1104" t="e">
        <f ca="1">VLOOKUP($AB545,sample!$1:$1048576,4,FALSE)</f>
        <v>#NAME?</v>
      </c>
      <c r="AF545" s="1111" t="e">
        <f ca="1">VLOOKUP($AB545,sample!$1:$1048576,5,FALSE)</f>
        <v>#NAME?</v>
      </c>
      <c r="AL545" s="1104" t="e">
        <f ca="1">VLOOKUP($AB545,sample!$1:$1048576,11,FALSE)</f>
        <v>#NAME?</v>
      </c>
      <c r="AM545" s="1104" t="e">
        <f ca="1">VLOOKUP($AB545,sample!$1:$1048576,12,FALSE)</f>
        <v>#NAME?</v>
      </c>
      <c r="AN545" s="1104" t="e">
        <f ca="1">VLOOKUP($AB545,sample!$1:$1048576,13,FALSE)</f>
        <v>#NAME?</v>
      </c>
      <c r="AP545" s="1111"/>
    </row>
    <row r="546" spans="1:42">
      <c r="A546" s="1026">
        <f t="shared" si="127"/>
        <v>2019200559</v>
      </c>
      <c r="B546" s="998">
        <v>44560</v>
      </c>
      <c r="C546" s="998" t="s">
        <v>138</v>
      </c>
      <c r="D546" s="1127" t="str">
        <f>IFERROR(VLOOKUP(G546,PosAggregate!$B$13:$B$93,1,FALSE),"")</f>
        <v>5232 JP</v>
      </c>
      <c r="E546" s="1139" t="e">
        <f ca="1">_xll.BDP(G546  &amp; " Equity", "ID_ISIN", "Fill", "")</f>
        <v>#NAME?</v>
      </c>
      <c r="F546" s="1132" t="str">
        <f t="shared" si="128"/>
        <v>YES</v>
      </c>
      <c r="G546" s="701" t="s">
        <v>12936</v>
      </c>
      <c r="I546" s="1133" t="e">
        <f ca="1">_xll.BDP(E546 &amp; " Equity","SECURITY_NAME")</f>
        <v>#NAME?</v>
      </c>
      <c r="J546" s="1133" t="e">
        <f ca="1">_xll.BDP(G546 &amp; " Equity","Crncy")</f>
        <v>#NAME?</v>
      </c>
      <c r="K546" s="1081">
        <v>3543.1936000000001</v>
      </c>
      <c r="L546" s="1081"/>
      <c r="M546" s="1081">
        <v>-4300</v>
      </c>
      <c r="N546" s="1135">
        <f t="shared" si="129"/>
        <v>15235732.48</v>
      </c>
      <c r="O546" s="1002">
        <v>-9141</v>
      </c>
      <c r="R546" s="1100">
        <f t="shared" si="124"/>
        <v>15226591.48</v>
      </c>
      <c r="S546" s="1081">
        <v>129.82</v>
      </c>
      <c r="T546" s="1121">
        <f t="shared" si="126"/>
        <v>117290.02834694192</v>
      </c>
      <c r="U546" s="827">
        <v>44566</v>
      </c>
      <c r="V546" s="701" t="s">
        <v>1725</v>
      </c>
      <c r="W546" s="1031">
        <v>44526.514343055554</v>
      </c>
      <c r="X546" s="1089">
        <f t="shared" si="123"/>
        <v>-5.9997115412727432E-2</v>
      </c>
      <c r="Y546" s="690" t="s">
        <v>1763</v>
      </c>
      <c r="Z546" s="1111" t="e">
        <f ca="1">VLOOKUP(AA546,'place of settlement'!A:C,2,FALSE)</f>
        <v>#NAME?</v>
      </c>
      <c r="AA546" s="1111" t="e">
        <f t="shared" ca="1" si="131"/>
        <v>#NAME?</v>
      </c>
      <c r="AB546" s="1111" t="e">
        <f t="shared" ca="1" si="130"/>
        <v>#NAME?</v>
      </c>
      <c r="AC546" s="1111" t="e">
        <f ca="1">VLOOKUP(AB546,sample!$1:$1048576,2,FALSE)</f>
        <v>#NAME?</v>
      </c>
      <c r="AD546" s="1111" t="e">
        <f ca="1">VLOOKUP($AB546,sample!$1:$1048576,3,FALSE)</f>
        <v>#NAME?</v>
      </c>
      <c r="AE546" s="1104" t="e">
        <f ca="1">VLOOKUP($AB546,sample!$1:$1048576,4,FALSE)</f>
        <v>#NAME?</v>
      </c>
      <c r="AF546" s="1111" t="e">
        <f ca="1">VLOOKUP($AB546,sample!$1:$1048576,5,FALSE)</f>
        <v>#NAME?</v>
      </c>
      <c r="AL546" s="1104" t="e">
        <f ca="1">VLOOKUP($AB546,sample!$1:$1048576,11,FALSE)</f>
        <v>#NAME?</v>
      </c>
      <c r="AM546" s="1104" t="e">
        <f ca="1">VLOOKUP($AB546,sample!$1:$1048576,12,FALSE)</f>
        <v>#NAME?</v>
      </c>
      <c r="AN546" s="1104" t="e">
        <f ca="1">VLOOKUP($AB546,sample!$1:$1048576,13,FALSE)</f>
        <v>#NAME?</v>
      </c>
      <c r="AP546" s="1111"/>
    </row>
    <row r="547" spans="1:42">
      <c r="A547" s="1026">
        <f t="shared" si="127"/>
        <v>2019200560</v>
      </c>
      <c r="B547" s="998">
        <v>44560</v>
      </c>
      <c r="C547" s="998" t="s">
        <v>138</v>
      </c>
      <c r="D547" s="1127" t="str">
        <f>IFERROR(VLOOKUP(G547,PosAggregate!$B$13:$B$93,1,FALSE),"")</f>
        <v>SYR AU</v>
      </c>
      <c r="E547" s="1139" t="e">
        <f ca="1">_xll.BDP(G547  &amp; " Equity", "ID_ISIN", "Fill", "")</f>
        <v>#NAME?</v>
      </c>
      <c r="F547" s="1132" t="str">
        <f t="shared" si="128"/>
        <v>YES</v>
      </c>
      <c r="G547" s="701" t="s">
        <v>12902</v>
      </c>
      <c r="I547" s="1133" t="e">
        <f ca="1">_xll.BDP(E547 &amp; " Equity","SECURITY_NAME")</f>
        <v>#NAME?</v>
      </c>
      <c r="J547" s="1133" t="e">
        <f ca="1">_xll.BDP(G547 &amp; " Equity","Crncy")</f>
        <v>#NAME?</v>
      </c>
      <c r="K547" s="1081">
        <v>1.79</v>
      </c>
      <c r="L547" s="1081"/>
      <c r="M547" s="1081">
        <v>-138800</v>
      </c>
      <c r="N547" s="1135">
        <f t="shared" si="129"/>
        <v>248452</v>
      </c>
      <c r="O547" s="1002">
        <v>-149.07</v>
      </c>
      <c r="R547" s="1100">
        <f t="shared" si="124"/>
        <v>248302.93</v>
      </c>
      <c r="S547" s="1081">
        <v>1.5577399999999999</v>
      </c>
      <c r="T547" s="1121">
        <f t="shared" si="126"/>
        <v>159399.46974463004</v>
      </c>
      <c r="U547" s="827">
        <v>44565</v>
      </c>
      <c r="V547" s="701" t="s">
        <v>1725</v>
      </c>
      <c r="W547" s="1031">
        <v>44526.514343055554</v>
      </c>
      <c r="X547" s="1089">
        <f t="shared" si="123"/>
        <v>-5.9999517009321712E-2</v>
      </c>
      <c r="Y547" s="690" t="s">
        <v>1763</v>
      </c>
      <c r="Z547" s="1111" t="e">
        <f ca="1">VLOOKUP(AA547,'place of settlement'!A:C,2,FALSE)</f>
        <v>#NAME?</v>
      </c>
      <c r="AA547" s="1111" t="e">
        <f t="shared" ca="1" si="131"/>
        <v>#NAME?</v>
      </c>
      <c r="AB547" s="1111" t="e">
        <f t="shared" ca="1" si="130"/>
        <v>#NAME?</v>
      </c>
      <c r="AC547" s="1111" t="e">
        <f ca="1">VLOOKUP(AB547,sample!$1:$1048576,2,FALSE)</f>
        <v>#NAME?</v>
      </c>
      <c r="AD547" s="1111" t="e">
        <f ca="1">VLOOKUP($AB547,sample!$1:$1048576,3,FALSE)</f>
        <v>#NAME?</v>
      </c>
      <c r="AE547" s="1104" t="e">
        <f ca="1">VLOOKUP($AB547,sample!$1:$1048576,4,FALSE)</f>
        <v>#NAME?</v>
      </c>
      <c r="AF547" s="1111" t="e">
        <f ca="1">VLOOKUP($AB547,sample!$1:$1048576,5,FALSE)</f>
        <v>#NAME?</v>
      </c>
      <c r="AL547" s="1104" t="e">
        <f ca="1">VLOOKUP($AB547,sample!$1:$1048576,11,FALSE)</f>
        <v>#NAME?</v>
      </c>
      <c r="AM547" s="1104" t="e">
        <f ca="1">VLOOKUP($AB547,sample!$1:$1048576,12,FALSE)</f>
        <v>#NAME?</v>
      </c>
      <c r="AN547" s="1104" t="e">
        <f ca="1">VLOOKUP($AB547,sample!$1:$1048576,13,FALSE)</f>
        <v>#NAME?</v>
      </c>
      <c r="AP547" s="1111"/>
    </row>
    <row r="548" spans="1:42">
      <c r="A548" s="1026">
        <f t="shared" si="127"/>
        <v>2019200561</v>
      </c>
      <c r="B548" s="998">
        <v>44560</v>
      </c>
      <c r="C548" s="998" t="s">
        <v>137</v>
      </c>
      <c r="D548" s="1127" t="str">
        <f>IFERROR(VLOOKUP(G548,PosAggregate!$B$13:$B$93,1,FALSE),"")</f>
        <v>051915 KS</v>
      </c>
      <c r="E548" s="1139" t="e">
        <f ca="1">_xll.BDP(G548  &amp; " Equity", "ID_ISIN", "Fill", "")</f>
        <v>#NAME?</v>
      </c>
      <c r="F548" s="1132" t="str">
        <f t="shared" si="128"/>
        <v>YES</v>
      </c>
      <c r="G548" s="701" t="s">
        <v>12894</v>
      </c>
      <c r="I548" s="1133" t="e">
        <f ca="1">_xll.BDP(E548 &amp; " Equity","SECURITY_NAME")</f>
        <v>#NAME?</v>
      </c>
      <c r="J548" s="1133" t="e">
        <f ca="1">_xll.BDP(G548 &amp; " Equity","Crncy")</f>
        <v>#NAME?</v>
      </c>
      <c r="K548" s="1081">
        <v>287617.5</v>
      </c>
      <c r="L548" s="1081"/>
      <c r="M548" s="1081">
        <v>1200</v>
      </c>
      <c r="N548" s="1135">
        <f t="shared" si="129"/>
        <v>-345141000</v>
      </c>
      <c r="O548" s="1002">
        <v>-517712</v>
      </c>
      <c r="R548" s="1100">
        <f t="shared" si="124"/>
        <v>-345658712</v>
      </c>
      <c r="S548" s="1081">
        <v>1345.13</v>
      </c>
      <c r="T548" s="1121">
        <f t="shared" si="126"/>
        <v>-256970.48761086288</v>
      </c>
      <c r="U548" s="827">
        <v>44565</v>
      </c>
      <c r="V548" s="701" t="s">
        <v>1156</v>
      </c>
      <c r="W548" s="1031">
        <v>44526.514342939816</v>
      </c>
      <c r="X548" s="1089">
        <f t="shared" si="123"/>
        <v>0.15000014486832919</v>
      </c>
      <c r="Y548" s="690" t="s">
        <v>1763</v>
      </c>
      <c r="Z548" s="1111" t="e">
        <f ca="1">VLOOKUP(AA548,'place of settlement'!A:C,2,FALSE)</f>
        <v>#NAME?</v>
      </c>
      <c r="AA548" s="1111" t="e">
        <f t="shared" ca="1" si="131"/>
        <v>#NAME?</v>
      </c>
      <c r="AB548" s="1111" t="e">
        <f t="shared" ca="1" si="130"/>
        <v>#NAME?</v>
      </c>
      <c r="AC548" s="1111" t="e">
        <f ca="1">VLOOKUP(AB548,sample!$1:$1048576,2,FALSE)</f>
        <v>#NAME?</v>
      </c>
      <c r="AD548" s="1111" t="e">
        <f ca="1">VLOOKUP($AB548,sample!$1:$1048576,3,FALSE)</f>
        <v>#NAME?</v>
      </c>
      <c r="AE548" s="1104" t="e">
        <f ca="1">VLOOKUP($AB548,sample!$1:$1048576,4,FALSE)</f>
        <v>#NAME?</v>
      </c>
      <c r="AF548" s="1111" t="e">
        <f ca="1">VLOOKUP($AB548,sample!$1:$1048576,5,FALSE)</f>
        <v>#NAME?</v>
      </c>
      <c r="AL548" s="1104" t="e">
        <f ca="1">VLOOKUP($AB548,sample!$1:$1048576,11,FALSE)</f>
        <v>#NAME?</v>
      </c>
      <c r="AM548" s="1104" t="e">
        <f ca="1">VLOOKUP($AB548,sample!$1:$1048576,12,FALSE)</f>
        <v>#NAME?</v>
      </c>
      <c r="AN548" s="1104" t="e">
        <f ca="1">VLOOKUP($AB548,sample!$1:$1048576,13,FALSE)</f>
        <v>#NAME?</v>
      </c>
      <c r="AP548" s="1111"/>
    </row>
    <row r="549" spans="1:42">
      <c r="A549" s="1026">
        <f t="shared" si="127"/>
        <v>2019200562</v>
      </c>
      <c r="B549" s="998">
        <v>44560</v>
      </c>
      <c r="C549" s="998" t="s">
        <v>137</v>
      </c>
      <c r="D549" s="1127" t="str">
        <f>IFERROR(VLOOKUP(G549,PosAggregate!$B$13:$B$93,1,FALSE),"")</f>
        <v>096775 KS</v>
      </c>
      <c r="E549" s="1139" t="e">
        <f ca="1">_xll.BDP(G549  &amp; " Equity", "ID_ISIN", "Fill", "")</f>
        <v>#NAME?</v>
      </c>
      <c r="F549" s="1132" t="str">
        <f t="shared" si="128"/>
        <v>YES</v>
      </c>
      <c r="G549" s="701" t="s">
        <v>12896</v>
      </c>
      <c r="I549" s="1133" t="e">
        <f ca="1">_xll.BDP(E549 &amp; " Equity","SECURITY_NAME")</f>
        <v>#NAME?</v>
      </c>
      <c r="J549" s="1133" t="e">
        <f ca="1">_xll.BDP(G549 &amp; " Equity","Crncy")</f>
        <v>#NAME?</v>
      </c>
      <c r="K549" s="1081">
        <v>141118.39079999999</v>
      </c>
      <c r="L549" s="1081"/>
      <c r="M549" s="1081">
        <v>870</v>
      </c>
      <c r="N549" s="1135">
        <f t="shared" si="129"/>
        <v>-122772999.99599999</v>
      </c>
      <c r="O549" s="1002">
        <v>-184160</v>
      </c>
      <c r="R549" s="1100">
        <f t="shared" si="124"/>
        <v>-122957159.99599999</v>
      </c>
      <c r="S549" s="1081">
        <v>1345.13</v>
      </c>
      <c r="T549" s="1121">
        <f t="shared" si="126"/>
        <v>-91409.127739326301</v>
      </c>
      <c r="U549" s="827">
        <v>44565</v>
      </c>
      <c r="V549" s="701" t="s">
        <v>1156</v>
      </c>
      <c r="W549" s="1031">
        <v>44526.514342939816</v>
      </c>
      <c r="X549" s="1089">
        <f t="shared" si="123"/>
        <v>0.15000040726055405</v>
      </c>
      <c r="Y549" s="690" t="s">
        <v>1763</v>
      </c>
      <c r="Z549" s="1111" t="e">
        <f ca="1">VLOOKUP(AA549,'place of settlement'!A:C,2,FALSE)</f>
        <v>#NAME?</v>
      </c>
      <c r="AA549" s="1111" t="e">
        <f t="shared" ca="1" si="131"/>
        <v>#NAME?</v>
      </c>
      <c r="AB549" s="1111" t="e">
        <f t="shared" ca="1" si="130"/>
        <v>#NAME?</v>
      </c>
      <c r="AC549" s="1111" t="e">
        <f ca="1">VLOOKUP(AB549,sample!$1:$1048576,2,FALSE)</f>
        <v>#NAME?</v>
      </c>
      <c r="AD549" s="1111" t="e">
        <f ca="1">VLOOKUP($AB549,sample!$1:$1048576,3,FALSE)</f>
        <v>#NAME?</v>
      </c>
      <c r="AE549" s="1104" t="e">
        <f ca="1">VLOOKUP($AB549,sample!$1:$1048576,4,FALSE)</f>
        <v>#NAME?</v>
      </c>
      <c r="AF549" s="1111" t="e">
        <f ca="1">VLOOKUP($AB549,sample!$1:$1048576,5,FALSE)</f>
        <v>#NAME?</v>
      </c>
      <c r="AL549" s="1104" t="e">
        <f ca="1">VLOOKUP($AB549,sample!$1:$1048576,11,FALSE)</f>
        <v>#NAME?</v>
      </c>
      <c r="AM549" s="1104" t="e">
        <f ca="1">VLOOKUP($AB549,sample!$1:$1048576,12,FALSE)</f>
        <v>#NAME?</v>
      </c>
      <c r="AN549" s="1104" t="e">
        <f ca="1">VLOOKUP($AB549,sample!$1:$1048576,13,FALSE)</f>
        <v>#NAME?</v>
      </c>
      <c r="AP549" s="1111"/>
    </row>
    <row r="550" spans="1:42">
      <c r="D550" s="1127" t="str">
        <f>IFERROR(VLOOKUP(G550,PosAggregate!$B$13:$B$93,1,FALSE),"")</f>
        <v/>
      </c>
      <c r="E550" s="1139" t="e">
        <f>_xll.BDP(G550  &amp; " Equity", "ID_ISIN", "Fill", "")</f>
        <v>#N/A</v>
      </c>
      <c r="F550" s="1132" t="str">
        <f t="shared" si="128"/>
        <v>YES</v>
      </c>
      <c r="I550" s="1133" t="e">
        <f>_xll.BDP(E550 &amp; " Equity","SECURITY_NAME")</f>
        <v>#N/A</v>
      </c>
      <c r="J550" s="1133" t="e">
        <f>_xll.BDP(G550 &amp; " Equity","Crncy")</f>
        <v>#N/A</v>
      </c>
      <c r="N550" s="1135">
        <f t="shared" si="129"/>
        <v>0</v>
      </c>
      <c r="R550" s="1100">
        <f t="shared" si="124"/>
        <v>0</v>
      </c>
      <c r="T550" s="1121" t="e">
        <f t="shared" si="126"/>
        <v>#DIV/0!</v>
      </c>
      <c r="X550" s="1089" t="e">
        <f t="shared" si="123"/>
        <v>#DIV/0!</v>
      </c>
      <c r="Y550" s="690" t="s">
        <v>1763</v>
      </c>
      <c r="Z550" s="1111" t="e">
        <f>VLOOKUP(AA550,'place of settlement'!A:C,2,FALSE)</f>
        <v>#N/A</v>
      </c>
      <c r="AA550" s="1111" t="e">
        <f t="shared" si="131"/>
        <v>#N/A</v>
      </c>
      <c r="AB550" s="1111" t="e">
        <f t="shared" si="130"/>
        <v>#N/A</v>
      </c>
      <c r="AC550" s="1111" t="e">
        <f>VLOOKUP(AB550,sample!$1:$1048576,2,FALSE)</f>
        <v>#N/A</v>
      </c>
      <c r="AD550" s="1111" t="e">
        <f>VLOOKUP($AB550,sample!$1:$1048576,3,FALSE)</f>
        <v>#N/A</v>
      </c>
      <c r="AE550" s="1104" t="e">
        <f>VLOOKUP($AB550,sample!$1:$1048576,4,FALSE)</f>
        <v>#N/A</v>
      </c>
      <c r="AF550" s="1111" t="e">
        <f>VLOOKUP($AB550,sample!$1:$1048576,5,FALSE)</f>
        <v>#N/A</v>
      </c>
      <c r="AL550" s="1104" t="e">
        <f>VLOOKUP($AB550,sample!$1:$1048576,11,FALSE)</f>
        <v>#N/A</v>
      </c>
      <c r="AM550" s="1104" t="e">
        <f>VLOOKUP($AB550,sample!$1:$1048576,12,FALSE)</f>
        <v>#N/A</v>
      </c>
      <c r="AN550" s="1104" t="e">
        <f>VLOOKUP($AB550,sample!$1:$1048576,13,FALSE)</f>
        <v>#N/A</v>
      </c>
      <c r="AP550" s="1111"/>
    </row>
    <row r="551" spans="1:42">
      <c r="D551" s="1127" t="str">
        <f>IFERROR(VLOOKUP(G551,PosAggregate!$B$13:$B$93,1,FALSE),"")</f>
        <v/>
      </c>
      <c r="E551" s="1139" t="e">
        <f>_xll.BDP(G551  &amp; " Equity", "ID_ISIN", "Fill", "")</f>
        <v>#N/A</v>
      </c>
      <c r="F551" s="1132" t="str">
        <f t="shared" si="128"/>
        <v>YES</v>
      </c>
      <c r="I551" s="1133" t="e">
        <f>_xll.BDP(E551 &amp; " Equity","SECURITY_NAME")</f>
        <v>#N/A</v>
      </c>
      <c r="J551" s="1133" t="e">
        <f>_xll.BDP(G551 &amp; " Equity","Crncy")</f>
        <v>#N/A</v>
      </c>
      <c r="N551" s="1135">
        <f t="shared" si="129"/>
        <v>0</v>
      </c>
      <c r="R551" s="1100">
        <f t="shared" si="124"/>
        <v>0</v>
      </c>
      <c r="T551" s="1121" t="e">
        <f t="shared" si="126"/>
        <v>#DIV/0!</v>
      </c>
      <c r="X551" s="1089" t="e">
        <f t="shared" si="123"/>
        <v>#DIV/0!</v>
      </c>
      <c r="Y551" s="690" t="s">
        <v>1763</v>
      </c>
      <c r="Z551" s="1111" t="e">
        <f>VLOOKUP(AA551,'place of settlement'!A:C,2,FALSE)</f>
        <v>#N/A</v>
      </c>
      <c r="AA551" s="1111" t="e">
        <f t="shared" si="131"/>
        <v>#N/A</v>
      </c>
      <c r="AB551" s="1111" t="e">
        <f t="shared" si="130"/>
        <v>#N/A</v>
      </c>
      <c r="AC551" s="1111" t="e">
        <f>VLOOKUP(AB551,sample!$1:$1048576,2,FALSE)</f>
        <v>#N/A</v>
      </c>
      <c r="AD551" s="1111" t="e">
        <f>VLOOKUP($AB551,sample!$1:$1048576,3,FALSE)</f>
        <v>#N/A</v>
      </c>
      <c r="AE551" s="1104" t="e">
        <f>VLOOKUP($AB551,sample!$1:$1048576,4,FALSE)</f>
        <v>#N/A</v>
      </c>
      <c r="AF551" s="1111" t="e">
        <f>VLOOKUP($AB551,sample!$1:$1048576,5,FALSE)</f>
        <v>#N/A</v>
      </c>
      <c r="AL551" s="1104" t="e">
        <f>VLOOKUP($AB551,sample!$1:$1048576,11,FALSE)</f>
        <v>#N/A</v>
      </c>
      <c r="AM551" s="1104" t="e">
        <f>VLOOKUP($AB551,sample!$1:$1048576,12,FALSE)</f>
        <v>#N/A</v>
      </c>
      <c r="AN551" s="1104" t="e">
        <f>VLOOKUP($AB551,sample!$1:$1048576,13,FALSE)</f>
        <v>#N/A</v>
      </c>
      <c r="AP551" s="1111"/>
    </row>
    <row r="552" spans="1:42">
      <c r="D552" s="1127" t="str">
        <f>IFERROR(VLOOKUP(G552,PosAggregate!$B$13:$B$93,1,FALSE),"")</f>
        <v/>
      </c>
      <c r="E552" s="1139" t="e">
        <f>_xll.BDP(G552  &amp; " Equity", "ID_ISIN", "Fill", "")</f>
        <v>#N/A</v>
      </c>
      <c r="F552" s="1132" t="str">
        <f t="shared" si="128"/>
        <v>YES</v>
      </c>
      <c r="I552" s="1133" t="e">
        <f>_xll.BDP(E552 &amp; " Equity","SECURITY_NAME")</f>
        <v>#N/A</v>
      </c>
      <c r="J552" s="1133" t="e">
        <f>_xll.BDP(G552 &amp; " Equity","Crncy")</f>
        <v>#N/A</v>
      </c>
      <c r="N552" s="1135">
        <f t="shared" si="129"/>
        <v>0</v>
      </c>
      <c r="R552" s="1100">
        <f t="shared" si="124"/>
        <v>0</v>
      </c>
      <c r="T552" s="1121" t="e">
        <f t="shared" si="126"/>
        <v>#DIV/0!</v>
      </c>
      <c r="X552" s="1089" t="e">
        <f t="shared" ref="X552:X615" si="132">+O552/N552*100</f>
        <v>#DIV/0!</v>
      </c>
      <c r="Y552" s="690" t="s">
        <v>1763</v>
      </c>
      <c r="Z552" s="1111" t="e">
        <f>VLOOKUP(AA552,'place of settlement'!A:C,2,FALSE)</f>
        <v>#N/A</v>
      </c>
      <c r="AA552" s="1111" t="e">
        <f t="shared" si="131"/>
        <v>#N/A</v>
      </c>
      <c r="AB552" s="1111" t="e">
        <f t="shared" si="130"/>
        <v>#N/A</v>
      </c>
      <c r="AC552" s="1111" t="e">
        <f>VLOOKUP(AB552,sample!$1:$1048576,2,FALSE)</f>
        <v>#N/A</v>
      </c>
      <c r="AD552" s="1111" t="e">
        <f>VLOOKUP($AB552,sample!$1:$1048576,3,FALSE)</f>
        <v>#N/A</v>
      </c>
      <c r="AE552" s="1104" t="e">
        <f>VLOOKUP($AB552,sample!$1:$1048576,4,FALSE)</f>
        <v>#N/A</v>
      </c>
      <c r="AF552" s="1111" t="e">
        <f>VLOOKUP($AB552,sample!$1:$1048576,5,FALSE)</f>
        <v>#N/A</v>
      </c>
      <c r="AL552" s="1104" t="e">
        <f>VLOOKUP($AB552,sample!$1:$1048576,11,FALSE)</f>
        <v>#N/A</v>
      </c>
      <c r="AM552" s="1104" t="e">
        <f>VLOOKUP($AB552,sample!$1:$1048576,12,FALSE)</f>
        <v>#N/A</v>
      </c>
      <c r="AN552" s="1104" t="e">
        <f>VLOOKUP($AB552,sample!$1:$1048576,13,FALSE)</f>
        <v>#N/A</v>
      </c>
      <c r="AP552" s="1111"/>
    </row>
    <row r="553" spans="1:42">
      <c r="D553" s="1127" t="str">
        <f>IFERROR(VLOOKUP(G553,PosAggregate!$B$13:$B$93,1,FALSE),"")</f>
        <v/>
      </c>
      <c r="E553" s="1139" t="e">
        <f>_xll.BDP(G553  &amp; " Equity", "ID_ISIN", "Fill", "")</f>
        <v>#N/A</v>
      </c>
      <c r="F553" s="1132" t="str">
        <f t="shared" si="128"/>
        <v>YES</v>
      </c>
      <c r="I553" s="1133" t="e">
        <f>_xll.BDP(E553 &amp; " Equity","SECURITY_NAME")</f>
        <v>#N/A</v>
      </c>
      <c r="J553" s="1133" t="e">
        <f>_xll.BDP(G553 &amp; " Equity","Crncy")</f>
        <v>#N/A</v>
      </c>
      <c r="N553" s="1135">
        <f t="shared" si="129"/>
        <v>0</v>
      </c>
      <c r="R553" s="1100">
        <f t="shared" si="124"/>
        <v>0</v>
      </c>
      <c r="T553" s="1121" t="e">
        <f t="shared" si="126"/>
        <v>#DIV/0!</v>
      </c>
      <c r="X553" s="1089" t="e">
        <f t="shared" si="132"/>
        <v>#DIV/0!</v>
      </c>
      <c r="Y553" s="690" t="s">
        <v>1763</v>
      </c>
      <c r="Z553" s="1111" t="e">
        <f>VLOOKUP(AA553,'place of settlement'!A:C,2,FALSE)</f>
        <v>#N/A</v>
      </c>
      <c r="AA553" s="1111" t="e">
        <f t="shared" si="131"/>
        <v>#N/A</v>
      </c>
      <c r="AB553" s="1111" t="e">
        <f t="shared" si="130"/>
        <v>#N/A</v>
      </c>
      <c r="AC553" s="1111" t="e">
        <f>VLOOKUP(AB553,sample!$1:$1048576,2,FALSE)</f>
        <v>#N/A</v>
      </c>
      <c r="AD553" s="1111" t="e">
        <f>VLOOKUP($AB553,sample!$1:$1048576,3,FALSE)</f>
        <v>#N/A</v>
      </c>
      <c r="AE553" s="1104" t="e">
        <f>VLOOKUP($AB553,sample!$1:$1048576,4,FALSE)</f>
        <v>#N/A</v>
      </c>
      <c r="AF553" s="1111" t="e">
        <f>VLOOKUP($AB553,sample!$1:$1048576,5,FALSE)</f>
        <v>#N/A</v>
      </c>
      <c r="AL553" s="1104" t="e">
        <f>VLOOKUP($AB553,sample!$1:$1048576,11,FALSE)</f>
        <v>#N/A</v>
      </c>
      <c r="AM553" s="1104" t="e">
        <f>VLOOKUP($AB553,sample!$1:$1048576,12,FALSE)</f>
        <v>#N/A</v>
      </c>
      <c r="AN553" s="1104" t="e">
        <f>VLOOKUP($AB553,sample!$1:$1048576,13,FALSE)</f>
        <v>#N/A</v>
      </c>
      <c r="AP553" s="1111"/>
    </row>
    <row r="554" spans="1:42">
      <c r="D554" s="1127" t="str">
        <f>IFERROR(VLOOKUP(G554,PosAggregate!$B$13:$B$93,1,FALSE),"")</f>
        <v/>
      </c>
      <c r="E554" s="1139" t="e">
        <f>_xll.BDP(G554  &amp; " Equity", "ID_ISIN", "Fill", "")</f>
        <v>#N/A</v>
      </c>
      <c r="F554" s="1132" t="str">
        <f t="shared" si="128"/>
        <v>YES</v>
      </c>
      <c r="I554" s="1133" t="e">
        <f>_xll.BDP(E554 &amp; " Equity","SECURITY_NAME")</f>
        <v>#N/A</v>
      </c>
      <c r="J554" s="1133" t="e">
        <f>_xll.BDP(G554 &amp; " Equity","Crncy")</f>
        <v>#N/A</v>
      </c>
      <c r="N554" s="1135">
        <f t="shared" si="129"/>
        <v>0</v>
      </c>
      <c r="R554" s="1100">
        <f t="shared" ref="R554:R617" si="133">SUM(N554:Q554)</f>
        <v>0</v>
      </c>
      <c r="T554" s="1121" t="e">
        <f t="shared" si="126"/>
        <v>#DIV/0!</v>
      </c>
      <c r="X554" s="1089" t="e">
        <f t="shared" si="132"/>
        <v>#DIV/0!</v>
      </c>
      <c r="Y554" s="690" t="s">
        <v>1763</v>
      </c>
      <c r="Z554" s="1111" t="e">
        <f>VLOOKUP(AA554,'place of settlement'!A:C,2,FALSE)</f>
        <v>#N/A</v>
      </c>
      <c r="AA554" s="1111" t="e">
        <f t="shared" si="131"/>
        <v>#N/A</v>
      </c>
      <c r="AB554" s="1111" t="e">
        <f t="shared" si="130"/>
        <v>#N/A</v>
      </c>
      <c r="AC554" s="1111" t="e">
        <f>VLOOKUP(AB554,sample!$1:$1048576,2,FALSE)</f>
        <v>#N/A</v>
      </c>
      <c r="AD554" s="1111" t="e">
        <f>VLOOKUP($AB554,sample!$1:$1048576,3,FALSE)</f>
        <v>#N/A</v>
      </c>
      <c r="AE554" s="1104" t="e">
        <f>VLOOKUP($AB554,sample!$1:$1048576,4,FALSE)</f>
        <v>#N/A</v>
      </c>
      <c r="AF554" s="1111" t="e">
        <f>VLOOKUP($AB554,sample!$1:$1048576,5,FALSE)</f>
        <v>#N/A</v>
      </c>
      <c r="AL554" s="1104" t="e">
        <f>VLOOKUP($AB554,sample!$1:$1048576,11,FALSE)</f>
        <v>#N/A</v>
      </c>
      <c r="AM554" s="1104" t="e">
        <f>VLOOKUP($AB554,sample!$1:$1048576,12,FALSE)</f>
        <v>#N/A</v>
      </c>
      <c r="AN554" s="1104" t="e">
        <f>VLOOKUP($AB554,sample!$1:$1048576,13,FALSE)</f>
        <v>#N/A</v>
      </c>
      <c r="AP554" s="1111"/>
    </row>
    <row r="555" spans="1:42">
      <c r="D555" s="1127" t="str">
        <f>IFERROR(VLOOKUP(G555,PosAggregate!$B$13:$B$93,1,FALSE),"")</f>
        <v/>
      </c>
      <c r="E555" s="1139" t="e">
        <f>_xll.BDP(G555  &amp; " Equity", "ID_ISIN", "Fill", "")</f>
        <v>#N/A</v>
      </c>
      <c r="F555" s="1132" t="str">
        <f t="shared" si="128"/>
        <v>YES</v>
      </c>
      <c r="I555" s="1133" t="e">
        <f>_xll.BDP(E555 &amp; " Equity","SECURITY_NAME")</f>
        <v>#N/A</v>
      </c>
      <c r="J555" s="1133" t="e">
        <f>_xll.BDP(G555 &amp; " Equity","Crncy")</f>
        <v>#N/A</v>
      </c>
      <c r="N555" s="1135">
        <f t="shared" si="129"/>
        <v>0</v>
      </c>
      <c r="R555" s="1100">
        <f t="shared" si="133"/>
        <v>0</v>
      </c>
      <c r="T555" s="1121" t="e">
        <f t="shared" si="126"/>
        <v>#DIV/0!</v>
      </c>
      <c r="X555" s="1089" t="e">
        <f t="shared" si="132"/>
        <v>#DIV/0!</v>
      </c>
      <c r="Y555" s="690" t="s">
        <v>1763</v>
      </c>
      <c r="Z555" s="1111" t="e">
        <f>VLOOKUP(AA555,'place of settlement'!A:C,2,FALSE)</f>
        <v>#N/A</v>
      </c>
      <c r="AA555" s="1111" t="e">
        <f t="shared" si="131"/>
        <v>#N/A</v>
      </c>
      <c r="AB555" s="1111" t="e">
        <f t="shared" si="130"/>
        <v>#N/A</v>
      </c>
      <c r="AC555" s="1111" t="e">
        <f>VLOOKUP(AB555,sample!$1:$1048576,2,FALSE)</f>
        <v>#N/A</v>
      </c>
      <c r="AD555" s="1111" t="e">
        <f>VLOOKUP($AB555,sample!$1:$1048576,3,FALSE)</f>
        <v>#N/A</v>
      </c>
      <c r="AE555" s="1104" t="e">
        <f>VLOOKUP($AB555,sample!$1:$1048576,4,FALSE)</f>
        <v>#N/A</v>
      </c>
      <c r="AF555" s="1111" t="e">
        <f>VLOOKUP($AB555,sample!$1:$1048576,5,FALSE)</f>
        <v>#N/A</v>
      </c>
      <c r="AL555" s="1104" t="e">
        <f>VLOOKUP($AB555,sample!$1:$1048576,11,FALSE)</f>
        <v>#N/A</v>
      </c>
      <c r="AM555" s="1104" t="e">
        <f>VLOOKUP($AB555,sample!$1:$1048576,12,FALSE)</f>
        <v>#N/A</v>
      </c>
      <c r="AN555" s="1104" t="e">
        <f>VLOOKUP($AB555,sample!$1:$1048576,13,FALSE)</f>
        <v>#N/A</v>
      </c>
      <c r="AP555" s="1111"/>
    </row>
    <row r="556" spans="1:42">
      <c r="D556" s="1127" t="str">
        <f>IFERROR(VLOOKUP(G556,PosAggregate!$B$13:$B$93,1,FALSE),"")</f>
        <v/>
      </c>
      <c r="E556" s="1139" t="e">
        <f>_xll.BDP(G556  &amp; " Equity", "ID_ISIN", "Fill", "")</f>
        <v>#N/A</v>
      </c>
      <c r="F556" s="1132" t="str">
        <f t="shared" si="128"/>
        <v>YES</v>
      </c>
      <c r="I556" s="1133" t="e">
        <f>_xll.BDP(E556 &amp; " Equity","SECURITY_NAME")</f>
        <v>#N/A</v>
      </c>
      <c r="J556" s="1133" t="e">
        <f>_xll.BDP(G556 &amp; " Equity","Crncy")</f>
        <v>#N/A</v>
      </c>
      <c r="N556" s="1135">
        <f t="shared" si="129"/>
        <v>0</v>
      </c>
      <c r="R556" s="1100">
        <f t="shared" si="133"/>
        <v>0</v>
      </c>
      <c r="T556" s="1121" t="e">
        <f t="shared" si="126"/>
        <v>#DIV/0!</v>
      </c>
      <c r="X556" s="1089" t="e">
        <f t="shared" si="132"/>
        <v>#DIV/0!</v>
      </c>
      <c r="Y556" s="690" t="s">
        <v>1763</v>
      </c>
      <c r="Z556" s="1111" t="e">
        <f>VLOOKUP(AA556,'place of settlement'!A:C,2,FALSE)</f>
        <v>#N/A</v>
      </c>
      <c r="AA556" s="1111" t="e">
        <f t="shared" si="131"/>
        <v>#N/A</v>
      </c>
      <c r="AB556" s="1111" t="e">
        <f t="shared" si="130"/>
        <v>#N/A</v>
      </c>
      <c r="AC556" s="1111" t="e">
        <f>VLOOKUP(AB556,sample!$1:$1048576,2,FALSE)</f>
        <v>#N/A</v>
      </c>
      <c r="AD556" s="1111" t="e">
        <f>VLOOKUP($AB556,sample!$1:$1048576,3,FALSE)</f>
        <v>#N/A</v>
      </c>
      <c r="AE556" s="1104" t="e">
        <f>VLOOKUP($AB556,sample!$1:$1048576,4,FALSE)</f>
        <v>#N/A</v>
      </c>
      <c r="AF556" s="1111" t="e">
        <f>VLOOKUP($AB556,sample!$1:$1048576,5,FALSE)</f>
        <v>#N/A</v>
      </c>
      <c r="AL556" s="1104" t="e">
        <f>VLOOKUP($AB556,sample!$1:$1048576,11,FALSE)</f>
        <v>#N/A</v>
      </c>
      <c r="AM556" s="1104" t="e">
        <f>VLOOKUP($AB556,sample!$1:$1048576,12,FALSE)</f>
        <v>#N/A</v>
      </c>
      <c r="AN556" s="1104" t="e">
        <f>VLOOKUP($AB556,sample!$1:$1048576,13,FALSE)</f>
        <v>#N/A</v>
      </c>
      <c r="AP556" s="1111"/>
    </row>
    <row r="557" spans="1:42">
      <c r="D557" s="1127" t="str">
        <f>IFERROR(VLOOKUP(G557,PosAggregate!$B$13:$B$93,1,FALSE),"")</f>
        <v/>
      </c>
      <c r="E557" s="1139" t="e">
        <f>_xll.BDP(G557  &amp; " Equity", "ID_ISIN", "Fill", "")</f>
        <v>#N/A</v>
      </c>
      <c r="F557" s="1132" t="str">
        <f t="shared" si="128"/>
        <v>YES</v>
      </c>
      <c r="I557" s="1133" t="e">
        <f>_xll.BDP(E557 &amp; " Equity","SECURITY_NAME")</f>
        <v>#N/A</v>
      </c>
      <c r="J557" s="1133" t="e">
        <f>_xll.BDP(G557 &amp; " Equity","Crncy")</f>
        <v>#N/A</v>
      </c>
      <c r="N557" s="1135">
        <f t="shared" si="129"/>
        <v>0</v>
      </c>
      <c r="R557" s="1100">
        <f t="shared" si="133"/>
        <v>0</v>
      </c>
      <c r="T557" s="1121" t="e">
        <f t="shared" si="126"/>
        <v>#DIV/0!</v>
      </c>
      <c r="X557" s="1089" t="e">
        <f t="shared" si="132"/>
        <v>#DIV/0!</v>
      </c>
      <c r="Y557" s="690" t="s">
        <v>1763</v>
      </c>
      <c r="Z557" s="1111" t="e">
        <f>VLOOKUP(AA557,'place of settlement'!A:C,2,FALSE)</f>
        <v>#N/A</v>
      </c>
      <c r="AA557" s="1111" t="e">
        <f t="shared" si="131"/>
        <v>#N/A</v>
      </c>
      <c r="AB557" s="1111" t="e">
        <f t="shared" si="130"/>
        <v>#N/A</v>
      </c>
      <c r="AC557" s="1111" t="e">
        <f>VLOOKUP(AB557,sample!$1:$1048576,2,FALSE)</f>
        <v>#N/A</v>
      </c>
      <c r="AD557" s="1111" t="e">
        <f>VLOOKUP($AB557,sample!$1:$1048576,3,FALSE)</f>
        <v>#N/A</v>
      </c>
      <c r="AE557" s="1104" t="e">
        <f>VLOOKUP($AB557,sample!$1:$1048576,4,FALSE)</f>
        <v>#N/A</v>
      </c>
      <c r="AF557" s="1111" t="e">
        <f>VLOOKUP($AB557,sample!$1:$1048576,5,FALSE)</f>
        <v>#N/A</v>
      </c>
      <c r="AL557" s="1104" t="e">
        <f>VLOOKUP($AB557,sample!$1:$1048576,11,FALSE)</f>
        <v>#N/A</v>
      </c>
      <c r="AM557" s="1104" t="e">
        <f>VLOOKUP($AB557,sample!$1:$1048576,12,FALSE)</f>
        <v>#N/A</v>
      </c>
      <c r="AN557" s="1104" t="e">
        <f>VLOOKUP($AB557,sample!$1:$1048576,13,FALSE)</f>
        <v>#N/A</v>
      </c>
      <c r="AP557" s="1111"/>
    </row>
    <row r="558" spans="1:42">
      <c r="D558" s="1127" t="str">
        <f>IFERROR(VLOOKUP(G558,PosAggregate!$B$13:$B$93,1,FALSE),"")</f>
        <v/>
      </c>
      <c r="E558" s="1139" t="e">
        <f>_xll.BDP(G558  &amp; " Equity", "ID_ISIN", "Fill", "")</f>
        <v>#N/A</v>
      </c>
      <c r="F558" s="1132" t="str">
        <f t="shared" si="128"/>
        <v>YES</v>
      </c>
      <c r="I558" s="1133" t="e">
        <f>_xll.BDP(E558 &amp; " Equity","SECURITY_NAME")</f>
        <v>#N/A</v>
      </c>
      <c r="J558" s="1133" t="e">
        <f>_xll.BDP(G558 &amp; " Equity","Crncy")</f>
        <v>#N/A</v>
      </c>
      <c r="N558" s="1135">
        <f t="shared" si="129"/>
        <v>0</v>
      </c>
      <c r="R558" s="1100">
        <f t="shared" si="133"/>
        <v>0</v>
      </c>
      <c r="T558" s="1121" t="e">
        <f t="shared" si="126"/>
        <v>#DIV/0!</v>
      </c>
      <c r="X558" s="1089" t="e">
        <f t="shared" si="132"/>
        <v>#DIV/0!</v>
      </c>
      <c r="Y558" s="690" t="s">
        <v>1763</v>
      </c>
      <c r="Z558" s="1111" t="e">
        <f>VLOOKUP(AA558,'place of settlement'!A:C,2,FALSE)</f>
        <v>#N/A</v>
      </c>
      <c r="AA558" s="1111" t="e">
        <f t="shared" si="131"/>
        <v>#N/A</v>
      </c>
      <c r="AB558" s="1111" t="e">
        <f t="shared" si="130"/>
        <v>#N/A</v>
      </c>
      <c r="AC558" s="1111" t="e">
        <f>VLOOKUP(AB558,sample!$1:$1048576,2,FALSE)</f>
        <v>#N/A</v>
      </c>
      <c r="AD558" s="1111" t="e">
        <f>VLOOKUP($AB558,sample!$1:$1048576,3,FALSE)</f>
        <v>#N/A</v>
      </c>
      <c r="AE558" s="1104" t="e">
        <f>VLOOKUP($AB558,sample!$1:$1048576,4,FALSE)</f>
        <v>#N/A</v>
      </c>
      <c r="AF558" s="1111" t="e">
        <f>VLOOKUP($AB558,sample!$1:$1048576,5,FALSE)</f>
        <v>#N/A</v>
      </c>
      <c r="AL558" s="1104" t="e">
        <f>VLOOKUP($AB558,sample!$1:$1048576,11,FALSE)</f>
        <v>#N/A</v>
      </c>
      <c r="AM558" s="1104" t="e">
        <f>VLOOKUP($AB558,sample!$1:$1048576,12,FALSE)</f>
        <v>#N/A</v>
      </c>
      <c r="AN558" s="1104" t="e">
        <f>VLOOKUP($AB558,sample!$1:$1048576,13,FALSE)</f>
        <v>#N/A</v>
      </c>
      <c r="AP558" s="1111"/>
    </row>
    <row r="559" spans="1:42">
      <c r="D559" s="1127" t="str">
        <f>IFERROR(VLOOKUP(G559,PosAggregate!$B$13:$B$93,1,FALSE),"")</f>
        <v/>
      </c>
      <c r="E559" s="1139" t="e">
        <f>_xll.BDP(G559  &amp; " Equity", "ID_ISIN", "Fill", "")</f>
        <v>#N/A</v>
      </c>
      <c r="F559" s="1132" t="str">
        <f t="shared" si="128"/>
        <v>YES</v>
      </c>
      <c r="I559" s="1133" t="e">
        <f>_xll.BDP(E559 &amp; " Equity","SECURITY_NAME")</f>
        <v>#N/A</v>
      </c>
      <c r="J559" s="1133" t="e">
        <f>_xll.BDP(G559 &amp; " Equity","Crncy")</f>
        <v>#N/A</v>
      </c>
      <c r="N559" s="1135">
        <f t="shared" si="129"/>
        <v>0</v>
      </c>
      <c r="R559" s="1100">
        <f t="shared" si="133"/>
        <v>0</v>
      </c>
      <c r="T559" s="1121" t="e">
        <f t="shared" si="126"/>
        <v>#DIV/0!</v>
      </c>
      <c r="X559" s="1089" t="e">
        <f t="shared" si="132"/>
        <v>#DIV/0!</v>
      </c>
      <c r="Y559" s="690" t="s">
        <v>1763</v>
      </c>
      <c r="Z559" s="1111" t="e">
        <f>VLOOKUP(AA559,'place of settlement'!A:C,2,FALSE)</f>
        <v>#N/A</v>
      </c>
      <c r="AA559" s="1111" t="e">
        <f t="shared" si="131"/>
        <v>#N/A</v>
      </c>
      <c r="AB559" s="1111" t="e">
        <f t="shared" si="130"/>
        <v>#N/A</v>
      </c>
      <c r="AC559" s="1111" t="e">
        <f>VLOOKUP(AB559,sample!$1:$1048576,2,FALSE)</f>
        <v>#N/A</v>
      </c>
      <c r="AD559" s="1111" t="e">
        <f>VLOOKUP($AB559,sample!$1:$1048576,3,FALSE)</f>
        <v>#N/A</v>
      </c>
      <c r="AE559" s="1104" t="e">
        <f>VLOOKUP($AB559,sample!$1:$1048576,4,FALSE)</f>
        <v>#N/A</v>
      </c>
      <c r="AF559" s="1111" t="e">
        <f>VLOOKUP($AB559,sample!$1:$1048576,5,FALSE)</f>
        <v>#N/A</v>
      </c>
      <c r="AL559" s="1104" t="e">
        <f>VLOOKUP($AB559,sample!$1:$1048576,11,FALSE)</f>
        <v>#N/A</v>
      </c>
      <c r="AM559" s="1104" t="e">
        <f>VLOOKUP($AB559,sample!$1:$1048576,12,FALSE)</f>
        <v>#N/A</v>
      </c>
      <c r="AN559" s="1104" t="e">
        <f>VLOOKUP($AB559,sample!$1:$1048576,13,FALSE)</f>
        <v>#N/A</v>
      </c>
      <c r="AP559" s="1111"/>
    </row>
    <row r="560" spans="1:42">
      <c r="D560" s="1127" t="str">
        <f>IFERROR(VLOOKUP(G560,PosAggregate!$B$13:$B$93,1,FALSE),"")</f>
        <v/>
      </c>
      <c r="E560" s="1139" t="e">
        <f>_xll.BDP(G560  &amp; " Equity", "ID_ISIN", "Fill", "")</f>
        <v>#N/A</v>
      </c>
      <c r="F560" s="1132" t="str">
        <f t="shared" si="128"/>
        <v>YES</v>
      </c>
      <c r="I560" s="1133" t="e">
        <f>_xll.BDP(E560 &amp; " Equity","SECURITY_NAME")</f>
        <v>#N/A</v>
      </c>
      <c r="J560" s="1133" t="e">
        <f>_xll.BDP(G560 &amp; " Equity","Crncy")</f>
        <v>#N/A</v>
      </c>
      <c r="N560" s="1135">
        <f t="shared" si="129"/>
        <v>0</v>
      </c>
      <c r="R560" s="1100">
        <f t="shared" si="133"/>
        <v>0</v>
      </c>
      <c r="T560" s="1121" t="e">
        <f t="shared" si="126"/>
        <v>#DIV/0!</v>
      </c>
      <c r="X560" s="1089" t="e">
        <f t="shared" si="132"/>
        <v>#DIV/0!</v>
      </c>
      <c r="Y560" s="690" t="s">
        <v>1763</v>
      </c>
      <c r="Z560" s="1111" t="e">
        <f>VLOOKUP(AA560,'place of settlement'!A:C,2,FALSE)</f>
        <v>#N/A</v>
      </c>
      <c r="AA560" s="1111" t="e">
        <f t="shared" si="131"/>
        <v>#N/A</v>
      </c>
      <c r="AB560" s="1111" t="e">
        <f t="shared" si="130"/>
        <v>#N/A</v>
      </c>
      <c r="AC560" s="1111" t="e">
        <f>VLOOKUP(AB560,sample!$1:$1048576,2,FALSE)</f>
        <v>#N/A</v>
      </c>
      <c r="AD560" s="1111" t="e">
        <f>VLOOKUP($AB560,sample!$1:$1048576,3,FALSE)</f>
        <v>#N/A</v>
      </c>
      <c r="AE560" s="1104" t="e">
        <f>VLOOKUP($AB560,sample!$1:$1048576,4,FALSE)</f>
        <v>#N/A</v>
      </c>
      <c r="AF560" s="1111" t="e">
        <f>VLOOKUP($AB560,sample!$1:$1048576,5,FALSE)</f>
        <v>#N/A</v>
      </c>
      <c r="AL560" s="1104" t="e">
        <f>VLOOKUP($AB560,sample!$1:$1048576,11,FALSE)</f>
        <v>#N/A</v>
      </c>
      <c r="AM560" s="1104" t="e">
        <f>VLOOKUP($AB560,sample!$1:$1048576,12,FALSE)</f>
        <v>#N/A</v>
      </c>
      <c r="AN560" s="1104" t="e">
        <f>VLOOKUP($AB560,sample!$1:$1048576,13,FALSE)</f>
        <v>#N/A</v>
      </c>
      <c r="AP560" s="1111"/>
    </row>
    <row r="561" spans="4:42">
      <c r="D561" s="1127" t="str">
        <f>IFERROR(VLOOKUP(G561,PosAggregate!$B$13:$B$93,1,FALSE),"")</f>
        <v/>
      </c>
      <c r="E561" s="1139" t="e">
        <f>_xll.BDP(G561  &amp; " Equity", "ID_ISIN", "Fill", "")</f>
        <v>#N/A</v>
      </c>
      <c r="F561" s="1132" t="str">
        <f t="shared" si="128"/>
        <v>YES</v>
      </c>
      <c r="I561" s="1133" t="e">
        <f>_xll.BDP(E561 &amp; " Equity","SECURITY_NAME")</f>
        <v>#N/A</v>
      </c>
      <c r="J561" s="1133" t="e">
        <f>_xll.BDP(G561 &amp; " Equity","Crncy")</f>
        <v>#N/A</v>
      </c>
      <c r="N561" s="1135">
        <f t="shared" si="129"/>
        <v>0</v>
      </c>
      <c r="R561" s="1100">
        <f t="shared" si="133"/>
        <v>0</v>
      </c>
      <c r="T561" s="1121" t="e">
        <f t="shared" si="126"/>
        <v>#DIV/0!</v>
      </c>
      <c r="X561" s="1089" t="e">
        <f t="shared" si="132"/>
        <v>#DIV/0!</v>
      </c>
      <c r="Y561" s="690" t="s">
        <v>1763</v>
      </c>
      <c r="Z561" s="1111" t="e">
        <f>VLOOKUP(AA561,'place of settlement'!A:C,2,FALSE)</f>
        <v>#N/A</v>
      </c>
      <c r="AA561" s="1111" t="e">
        <f t="shared" si="131"/>
        <v>#N/A</v>
      </c>
      <c r="AB561" s="1111" t="e">
        <f t="shared" si="130"/>
        <v>#N/A</v>
      </c>
      <c r="AC561" s="1111" t="e">
        <f>VLOOKUP(AB561,sample!$1:$1048576,2,FALSE)</f>
        <v>#N/A</v>
      </c>
      <c r="AD561" s="1111" t="e">
        <f>VLOOKUP($AB561,sample!$1:$1048576,3,FALSE)</f>
        <v>#N/A</v>
      </c>
      <c r="AE561" s="1104" t="e">
        <f>VLOOKUP($AB561,sample!$1:$1048576,4,FALSE)</f>
        <v>#N/A</v>
      </c>
      <c r="AF561" s="1111" t="e">
        <f>VLOOKUP($AB561,sample!$1:$1048576,5,FALSE)</f>
        <v>#N/A</v>
      </c>
      <c r="AL561" s="1104" t="e">
        <f>VLOOKUP($AB561,sample!$1:$1048576,11,FALSE)</f>
        <v>#N/A</v>
      </c>
      <c r="AM561" s="1104" t="e">
        <f>VLOOKUP($AB561,sample!$1:$1048576,12,FALSE)</f>
        <v>#N/A</v>
      </c>
      <c r="AN561" s="1104" t="e">
        <f>VLOOKUP($AB561,sample!$1:$1048576,13,FALSE)</f>
        <v>#N/A</v>
      </c>
      <c r="AP561" s="1111"/>
    </row>
    <row r="562" spans="4:42">
      <c r="D562" s="1127" t="str">
        <f>IFERROR(VLOOKUP(G562,PosAggregate!$B$13:$B$93,1,FALSE),"")</f>
        <v/>
      </c>
      <c r="E562" s="1139" t="e">
        <f>_xll.BDP(G562  &amp; " Equity", "ID_ISIN", "Fill", "")</f>
        <v>#N/A</v>
      </c>
      <c r="F562" s="1132" t="str">
        <f t="shared" si="128"/>
        <v>YES</v>
      </c>
      <c r="I562" s="1133" t="e">
        <f>_xll.BDP(E562 &amp; " Equity","SECURITY_NAME")</f>
        <v>#N/A</v>
      </c>
      <c r="J562" s="1133" t="e">
        <f>_xll.BDP(G562 &amp; " Equity","Crncy")</f>
        <v>#N/A</v>
      </c>
      <c r="N562" s="1135">
        <f t="shared" si="129"/>
        <v>0</v>
      </c>
      <c r="R562" s="1100">
        <f t="shared" si="133"/>
        <v>0</v>
      </c>
      <c r="T562" s="1121" t="e">
        <f t="shared" si="126"/>
        <v>#DIV/0!</v>
      </c>
      <c r="X562" s="1089" t="e">
        <f t="shared" si="132"/>
        <v>#DIV/0!</v>
      </c>
      <c r="Y562" s="690" t="s">
        <v>1763</v>
      </c>
      <c r="Z562" s="1111" t="e">
        <f>VLOOKUP(AA562,'place of settlement'!A:C,2,FALSE)</f>
        <v>#N/A</v>
      </c>
      <c r="AA562" s="1111" t="e">
        <f t="shared" si="131"/>
        <v>#N/A</v>
      </c>
      <c r="AB562" s="1111" t="e">
        <f t="shared" si="130"/>
        <v>#N/A</v>
      </c>
      <c r="AC562" s="1111" t="e">
        <f>VLOOKUP(AB562,sample!$1:$1048576,2,FALSE)</f>
        <v>#N/A</v>
      </c>
      <c r="AD562" s="1111" t="e">
        <f>VLOOKUP($AB562,sample!$1:$1048576,3,FALSE)</f>
        <v>#N/A</v>
      </c>
      <c r="AE562" s="1104" t="e">
        <f>VLOOKUP($AB562,sample!$1:$1048576,4,FALSE)</f>
        <v>#N/A</v>
      </c>
      <c r="AF562" s="1111" t="e">
        <f>VLOOKUP($AB562,sample!$1:$1048576,5,FALSE)</f>
        <v>#N/A</v>
      </c>
      <c r="AL562" s="1104" t="e">
        <f>VLOOKUP($AB562,sample!$1:$1048576,11,FALSE)</f>
        <v>#N/A</v>
      </c>
      <c r="AM562" s="1104" t="e">
        <f>VLOOKUP($AB562,sample!$1:$1048576,12,FALSE)</f>
        <v>#N/A</v>
      </c>
      <c r="AN562" s="1104" t="e">
        <f>VLOOKUP($AB562,sample!$1:$1048576,13,FALSE)</f>
        <v>#N/A</v>
      </c>
      <c r="AP562" s="1111"/>
    </row>
    <row r="563" spans="4:42">
      <c r="D563" s="1127" t="str">
        <f>IFERROR(VLOOKUP(G563,PosAggregate!$B$13:$B$93,1,FALSE),"")</f>
        <v/>
      </c>
      <c r="E563" s="1139" t="e">
        <f>_xll.BDP(G563  &amp; " Equity", "ID_ISIN", "Fill", "")</f>
        <v>#N/A</v>
      </c>
      <c r="F563" s="1132" t="str">
        <f t="shared" si="128"/>
        <v>YES</v>
      </c>
      <c r="I563" s="1133" t="e">
        <f>_xll.BDP(E563 &amp; " Equity","SECURITY_NAME")</f>
        <v>#N/A</v>
      </c>
      <c r="J563" s="1133" t="e">
        <f>_xll.BDP(G563 &amp; " Equity","Crncy")</f>
        <v>#N/A</v>
      </c>
      <c r="N563" s="1135">
        <f t="shared" si="129"/>
        <v>0</v>
      </c>
      <c r="R563" s="1100">
        <f t="shared" si="133"/>
        <v>0</v>
      </c>
      <c r="T563" s="1121" t="e">
        <f t="shared" si="126"/>
        <v>#DIV/0!</v>
      </c>
      <c r="X563" s="1089" t="e">
        <f t="shared" si="132"/>
        <v>#DIV/0!</v>
      </c>
      <c r="Y563" s="690" t="s">
        <v>1763</v>
      </c>
      <c r="Z563" s="1111" t="e">
        <f>VLOOKUP(AA563,'place of settlement'!A:C,2,FALSE)</f>
        <v>#N/A</v>
      </c>
      <c r="AA563" s="1111" t="e">
        <f t="shared" si="131"/>
        <v>#N/A</v>
      </c>
      <c r="AB563" s="1111" t="e">
        <f t="shared" si="130"/>
        <v>#N/A</v>
      </c>
      <c r="AC563" s="1111" t="e">
        <f>VLOOKUP(AB563,sample!$1:$1048576,2,FALSE)</f>
        <v>#N/A</v>
      </c>
      <c r="AD563" s="1111" t="e">
        <f>VLOOKUP($AB563,sample!$1:$1048576,3,FALSE)</f>
        <v>#N/A</v>
      </c>
      <c r="AE563" s="1104" t="e">
        <f>VLOOKUP($AB563,sample!$1:$1048576,4,FALSE)</f>
        <v>#N/A</v>
      </c>
      <c r="AF563" s="1111" t="e">
        <f>VLOOKUP($AB563,sample!$1:$1048576,5,FALSE)</f>
        <v>#N/A</v>
      </c>
      <c r="AN563" s="1104" t="e">
        <f>VLOOKUP($AB563,sample!$1:$1048576,13,FALSE)</f>
        <v>#N/A</v>
      </c>
      <c r="AP563" s="1111"/>
    </row>
    <row r="564" spans="4:42">
      <c r="D564" s="1127" t="str">
        <f>IFERROR(VLOOKUP(G564,PosAggregate!$B$13:$B$93,1,FALSE),"")</f>
        <v/>
      </c>
      <c r="E564" s="1139" t="e">
        <f>_xll.BDP(G564  &amp; " Equity", "ID_ISIN", "Fill", "")</f>
        <v>#N/A</v>
      </c>
      <c r="F564" s="1132" t="str">
        <f t="shared" si="128"/>
        <v>YES</v>
      </c>
      <c r="I564" s="1133" t="e">
        <f>_xll.BDP(E564 &amp; " Equity","SECURITY_NAME")</f>
        <v>#N/A</v>
      </c>
      <c r="J564" s="1133" t="e">
        <f>_xll.BDP(G564 &amp; " Equity","Crncy")</f>
        <v>#N/A</v>
      </c>
      <c r="N564" s="1135">
        <f t="shared" si="129"/>
        <v>0</v>
      </c>
      <c r="R564" s="1100">
        <f t="shared" si="133"/>
        <v>0</v>
      </c>
      <c r="T564" s="1121" t="e">
        <f t="shared" si="126"/>
        <v>#DIV/0!</v>
      </c>
      <c r="X564" s="1089" t="e">
        <f t="shared" si="132"/>
        <v>#DIV/0!</v>
      </c>
      <c r="Y564" s="690" t="s">
        <v>1763</v>
      </c>
      <c r="Z564" s="1111" t="e">
        <f>VLOOKUP(AA564,'place of settlement'!A:C,2,FALSE)</f>
        <v>#N/A</v>
      </c>
      <c r="AA564" s="1111" t="e">
        <f t="shared" si="131"/>
        <v>#N/A</v>
      </c>
      <c r="AB564" s="1111" t="e">
        <f t="shared" si="130"/>
        <v>#N/A</v>
      </c>
      <c r="AC564" s="1111" t="e">
        <f>VLOOKUP(AB564,sample!$1:$1048576,2,FALSE)</f>
        <v>#N/A</v>
      </c>
      <c r="AD564" s="1111" t="e">
        <f>VLOOKUP($AB564,sample!$1:$1048576,3,FALSE)</f>
        <v>#N/A</v>
      </c>
      <c r="AE564" s="1104" t="e">
        <f>VLOOKUP($AB564,sample!$1:$1048576,4,FALSE)</f>
        <v>#N/A</v>
      </c>
      <c r="AF564" s="1111" t="e">
        <f>VLOOKUP($AB564,sample!$1:$1048576,5,FALSE)</f>
        <v>#N/A</v>
      </c>
      <c r="AN564" s="1104" t="e">
        <f>VLOOKUP($AB564,sample!$1:$1048576,13,FALSE)</f>
        <v>#N/A</v>
      </c>
      <c r="AP564" s="1111"/>
    </row>
    <row r="565" spans="4:42">
      <c r="D565" s="1127" t="str">
        <f>IFERROR(VLOOKUP(G565,PosAggregate!$B$13:$B$93,1,FALSE),"")</f>
        <v/>
      </c>
      <c r="E565" s="1139" t="e">
        <f>_xll.BDP(G565  &amp; " Equity", "ID_ISIN", "Fill", "")</f>
        <v>#N/A</v>
      </c>
      <c r="F565" s="1132" t="str">
        <f t="shared" si="128"/>
        <v>YES</v>
      </c>
      <c r="I565" s="1133" t="e">
        <f>_xll.BDP(E565 &amp; " Equity","SECURITY_NAME")</f>
        <v>#N/A</v>
      </c>
      <c r="J565" s="1133" t="e">
        <f>_xll.BDP(G565 &amp; " Equity","Crncy")</f>
        <v>#N/A</v>
      </c>
      <c r="N565" s="1135">
        <f t="shared" si="129"/>
        <v>0</v>
      </c>
      <c r="R565" s="1100">
        <f t="shared" si="133"/>
        <v>0</v>
      </c>
      <c r="T565" s="1121" t="e">
        <f t="shared" si="126"/>
        <v>#DIV/0!</v>
      </c>
      <c r="X565" s="1089" t="e">
        <f t="shared" si="132"/>
        <v>#DIV/0!</v>
      </c>
      <c r="Y565" s="690" t="s">
        <v>1763</v>
      </c>
      <c r="Z565" s="1111" t="e">
        <f>VLOOKUP(AA565,'place of settlement'!A:C,2,FALSE)</f>
        <v>#N/A</v>
      </c>
      <c r="AA565" s="1111" t="e">
        <f t="shared" si="131"/>
        <v>#N/A</v>
      </c>
      <c r="AB565" s="1111" t="e">
        <f t="shared" si="130"/>
        <v>#N/A</v>
      </c>
      <c r="AC565" s="1111" t="e">
        <f>VLOOKUP(AB565,sample!$1:$1048576,2,FALSE)</f>
        <v>#N/A</v>
      </c>
      <c r="AD565" s="1111" t="e">
        <f>VLOOKUP($AB565,sample!$1:$1048576,3,FALSE)</f>
        <v>#N/A</v>
      </c>
      <c r="AE565" s="1104" t="e">
        <f>VLOOKUP($AB565,sample!$1:$1048576,4,FALSE)</f>
        <v>#N/A</v>
      </c>
      <c r="AF565" s="1111" t="e">
        <f>VLOOKUP($AB565,sample!$1:$1048576,5,FALSE)</f>
        <v>#N/A</v>
      </c>
      <c r="AN565" s="1104" t="e">
        <f>VLOOKUP($AB565,sample!$1:$1048576,13,FALSE)</f>
        <v>#N/A</v>
      </c>
      <c r="AP565" s="1111"/>
    </row>
    <row r="566" spans="4:42">
      <c r="D566" s="1127" t="str">
        <f>IFERROR(VLOOKUP(G566,PosAggregate!$B$13:$B$93,1,FALSE),"")</f>
        <v/>
      </c>
      <c r="E566" s="1139" t="e">
        <f>_xll.BDP(G566  &amp; " Equity", "ID_ISIN", "Fill", "")</f>
        <v>#N/A</v>
      </c>
      <c r="F566" s="1132" t="str">
        <f t="shared" si="128"/>
        <v>YES</v>
      </c>
      <c r="I566" s="1133" t="e">
        <f>_xll.BDP(E566 &amp; " Equity","SECURITY_NAME")</f>
        <v>#N/A</v>
      </c>
      <c r="J566" s="1133" t="e">
        <f>_xll.BDP(G566 &amp; " Equity","Crncy")</f>
        <v>#N/A</v>
      </c>
      <c r="N566" s="1135">
        <f t="shared" si="129"/>
        <v>0</v>
      </c>
      <c r="R566" s="1100">
        <f t="shared" si="133"/>
        <v>0</v>
      </c>
      <c r="T566" s="1121" t="e">
        <f t="shared" si="126"/>
        <v>#DIV/0!</v>
      </c>
      <c r="X566" s="1089" t="e">
        <f t="shared" si="132"/>
        <v>#DIV/0!</v>
      </c>
      <c r="Y566" s="690" t="s">
        <v>1763</v>
      </c>
      <c r="Z566" s="1111" t="e">
        <f>VLOOKUP(AA566,'place of settlement'!A:C,2,FALSE)</f>
        <v>#N/A</v>
      </c>
      <c r="AA566" s="1111" t="e">
        <f t="shared" si="131"/>
        <v>#N/A</v>
      </c>
      <c r="AB566" s="1111" t="e">
        <f t="shared" si="130"/>
        <v>#N/A</v>
      </c>
      <c r="AC566" s="1111" t="e">
        <f>VLOOKUP(AB566,sample!$1:$1048576,2,FALSE)</f>
        <v>#N/A</v>
      </c>
      <c r="AD566" s="1111" t="e">
        <f>VLOOKUP($AB566,sample!$1:$1048576,3,FALSE)</f>
        <v>#N/A</v>
      </c>
      <c r="AE566" s="1104" t="e">
        <f>VLOOKUP($AB566,sample!$1:$1048576,4,FALSE)</f>
        <v>#N/A</v>
      </c>
      <c r="AF566" s="1111" t="e">
        <f>VLOOKUP($AB566,sample!$1:$1048576,5,FALSE)</f>
        <v>#N/A</v>
      </c>
      <c r="AN566" s="1104" t="e">
        <f>VLOOKUP($AB566,sample!$1:$1048576,13,FALSE)</f>
        <v>#N/A</v>
      </c>
      <c r="AP566" s="1111"/>
    </row>
    <row r="567" spans="4:42">
      <c r="D567" s="1127" t="str">
        <f>IFERROR(VLOOKUP(G567,PosAggregate!$B$13:$B$93,1,FALSE),"")</f>
        <v/>
      </c>
      <c r="E567" s="1139" t="e">
        <f>_xll.BDP(G567  &amp; " Equity", "ID_ISIN", "Fill", "")</f>
        <v>#N/A</v>
      </c>
      <c r="F567" s="1132" t="str">
        <f t="shared" si="128"/>
        <v>YES</v>
      </c>
      <c r="I567" s="1133" t="e">
        <f>_xll.BDP(E567 &amp; " Equity","SECURITY_NAME")</f>
        <v>#N/A</v>
      </c>
      <c r="J567" s="1133" t="e">
        <f>_xll.BDP(G567 &amp; " Equity","Crncy")</f>
        <v>#N/A</v>
      </c>
      <c r="N567" s="1135">
        <f t="shared" si="129"/>
        <v>0</v>
      </c>
      <c r="R567" s="1100">
        <f t="shared" si="133"/>
        <v>0</v>
      </c>
      <c r="T567" s="1121" t="e">
        <f t="shared" si="126"/>
        <v>#DIV/0!</v>
      </c>
      <c r="X567" s="1089" t="e">
        <f t="shared" si="132"/>
        <v>#DIV/0!</v>
      </c>
      <c r="Y567" s="690" t="s">
        <v>1763</v>
      </c>
      <c r="Z567" s="1111" t="e">
        <f>VLOOKUP(AA567,'place of settlement'!A:C,2,FALSE)</f>
        <v>#N/A</v>
      </c>
      <c r="AA567" s="1111" t="e">
        <f t="shared" si="131"/>
        <v>#N/A</v>
      </c>
      <c r="AB567" s="1111" t="e">
        <f t="shared" si="130"/>
        <v>#N/A</v>
      </c>
      <c r="AC567" s="1111" t="e">
        <f>VLOOKUP(AB567,sample!$1:$1048576,2,FALSE)</f>
        <v>#N/A</v>
      </c>
      <c r="AD567" s="1111" t="e">
        <f>VLOOKUP($AB567,sample!$1:$1048576,3,FALSE)</f>
        <v>#N/A</v>
      </c>
      <c r="AE567" s="1104" t="e">
        <f>VLOOKUP($AB567,sample!$1:$1048576,4,FALSE)</f>
        <v>#N/A</v>
      </c>
      <c r="AF567" s="1111" t="e">
        <f>VLOOKUP($AB567,sample!$1:$1048576,5,FALSE)</f>
        <v>#N/A</v>
      </c>
      <c r="AN567" s="1104" t="e">
        <f>VLOOKUP($AB567,sample!$1:$1048576,13,FALSE)</f>
        <v>#N/A</v>
      </c>
      <c r="AP567" s="1111"/>
    </row>
    <row r="568" spans="4:42">
      <c r="D568" s="1127" t="str">
        <f>IFERROR(VLOOKUP(G568,PosAggregate!$B$13:$B$93,1,FALSE),"")</f>
        <v/>
      </c>
      <c r="E568" s="1139" t="e">
        <f>_xll.BDP(G568  &amp; " Equity", "ID_ISIN", "Fill", "")</f>
        <v>#N/A</v>
      </c>
      <c r="F568" s="1132" t="str">
        <f t="shared" si="128"/>
        <v>YES</v>
      </c>
      <c r="I568" s="1133" t="e">
        <f>_xll.BDP(E568 &amp; " Equity","SECURITY_NAME")</f>
        <v>#N/A</v>
      </c>
      <c r="J568" s="1133" t="e">
        <f>_xll.BDP(G568 &amp; " Equity","Crncy")</f>
        <v>#N/A</v>
      </c>
      <c r="N568" s="1135">
        <f t="shared" si="129"/>
        <v>0</v>
      </c>
      <c r="R568" s="1100">
        <f t="shared" si="133"/>
        <v>0</v>
      </c>
      <c r="T568" s="1121" t="e">
        <f t="shared" si="126"/>
        <v>#DIV/0!</v>
      </c>
      <c r="X568" s="1089" t="e">
        <f t="shared" si="132"/>
        <v>#DIV/0!</v>
      </c>
      <c r="Y568" s="690" t="s">
        <v>1763</v>
      </c>
      <c r="Z568" s="1111" t="e">
        <f>VLOOKUP(AA568,'place of settlement'!A:C,2,FALSE)</f>
        <v>#N/A</v>
      </c>
      <c r="AA568" s="1111" t="e">
        <f t="shared" si="131"/>
        <v>#N/A</v>
      </c>
      <c r="AB568" s="1111" t="e">
        <f t="shared" si="130"/>
        <v>#N/A</v>
      </c>
      <c r="AC568" s="1111" t="e">
        <f>VLOOKUP(AB568,sample!$1:$1048576,2,FALSE)</f>
        <v>#N/A</v>
      </c>
      <c r="AD568" s="1111" t="e">
        <f>VLOOKUP($AB568,sample!$1:$1048576,3,FALSE)</f>
        <v>#N/A</v>
      </c>
      <c r="AE568" s="1104" t="e">
        <f>VLOOKUP($AB568,sample!$1:$1048576,4,FALSE)</f>
        <v>#N/A</v>
      </c>
      <c r="AF568" s="1111" t="e">
        <f>VLOOKUP($AB568,sample!$1:$1048576,5,FALSE)</f>
        <v>#N/A</v>
      </c>
      <c r="AN568" s="1104" t="e">
        <f>VLOOKUP($AB568,sample!$1:$1048576,13,FALSE)</f>
        <v>#N/A</v>
      </c>
      <c r="AP568" s="1111"/>
    </row>
    <row r="569" spans="4:42">
      <c r="D569" s="1127" t="str">
        <f>IFERROR(VLOOKUP(G569,PosAggregate!$B$13:$B$93,1,FALSE),"")</f>
        <v/>
      </c>
      <c r="E569" s="1139" t="e">
        <f>_xll.BDP(G569  &amp; " Equity", "ID_ISIN", "Fill", "")</f>
        <v>#N/A</v>
      </c>
      <c r="F569" s="1132" t="str">
        <f t="shared" si="128"/>
        <v>YES</v>
      </c>
      <c r="I569" s="1133" t="e">
        <f>_xll.BDP(E569 &amp; " Equity","SECURITY_NAME")</f>
        <v>#N/A</v>
      </c>
      <c r="J569" s="1133" t="e">
        <f>_xll.BDP(G569 &amp; " Equity","Crncy")</f>
        <v>#N/A</v>
      </c>
      <c r="N569" s="1135">
        <f t="shared" si="129"/>
        <v>0</v>
      </c>
      <c r="R569" s="1100">
        <f t="shared" si="133"/>
        <v>0</v>
      </c>
      <c r="T569" s="1121" t="e">
        <f t="shared" si="126"/>
        <v>#DIV/0!</v>
      </c>
      <c r="X569" s="1089" t="e">
        <f t="shared" si="132"/>
        <v>#DIV/0!</v>
      </c>
      <c r="Y569" s="690" t="s">
        <v>1763</v>
      </c>
      <c r="Z569" s="1111" t="e">
        <f>VLOOKUP(AA569,'place of settlement'!A:C,2,FALSE)</f>
        <v>#N/A</v>
      </c>
      <c r="AA569" s="1111" t="e">
        <f t="shared" si="131"/>
        <v>#N/A</v>
      </c>
      <c r="AB569" s="1111" t="e">
        <f t="shared" si="130"/>
        <v>#N/A</v>
      </c>
      <c r="AC569" s="1111" t="e">
        <f>VLOOKUP(AB569,sample!$1:$1048576,2,FALSE)</f>
        <v>#N/A</v>
      </c>
      <c r="AD569" s="1111" t="e">
        <f>VLOOKUP($AB569,sample!$1:$1048576,3,FALSE)</f>
        <v>#N/A</v>
      </c>
      <c r="AE569" s="1104" t="e">
        <f>VLOOKUP($AB569,sample!$1:$1048576,4,FALSE)</f>
        <v>#N/A</v>
      </c>
      <c r="AF569" s="1111" t="e">
        <f>VLOOKUP($AB569,sample!$1:$1048576,5,FALSE)</f>
        <v>#N/A</v>
      </c>
      <c r="AN569" s="1104" t="e">
        <f>VLOOKUP($AB569,sample!$1:$1048576,13,FALSE)</f>
        <v>#N/A</v>
      </c>
      <c r="AP569" s="1111"/>
    </row>
    <row r="570" spans="4:42">
      <c r="D570" s="1127" t="str">
        <f>IFERROR(VLOOKUP(G570,PosAggregate!$B$13:$B$93,1,FALSE),"")</f>
        <v/>
      </c>
      <c r="E570" s="1139" t="e">
        <f>_xll.BDP(G570  &amp; " Equity", "ID_ISIN", "Fill", "")</f>
        <v>#N/A</v>
      </c>
      <c r="F570" s="1132" t="str">
        <f t="shared" si="128"/>
        <v>YES</v>
      </c>
      <c r="I570" s="1133" t="e">
        <f>_xll.BDP(E570 &amp; " Equity","SECURITY_NAME")</f>
        <v>#N/A</v>
      </c>
      <c r="J570" s="1133" t="e">
        <f>_xll.BDP(G570 &amp; " Equity","Crncy")</f>
        <v>#N/A</v>
      </c>
      <c r="N570" s="1135">
        <f t="shared" si="129"/>
        <v>0</v>
      </c>
      <c r="R570" s="1100">
        <f t="shared" si="133"/>
        <v>0</v>
      </c>
      <c r="T570" s="1121" t="e">
        <f t="shared" si="126"/>
        <v>#DIV/0!</v>
      </c>
      <c r="X570" s="1089" t="e">
        <f t="shared" si="132"/>
        <v>#DIV/0!</v>
      </c>
      <c r="Y570" s="690" t="s">
        <v>1763</v>
      </c>
      <c r="Z570" s="1111" t="e">
        <f>VLOOKUP(AA570,'place of settlement'!A:C,2,FALSE)</f>
        <v>#N/A</v>
      </c>
      <c r="AA570" s="1111" t="e">
        <f t="shared" si="131"/>
        <v>#N/A</v>
      </c>
      <c r="AB570" s="1111" t="e">
        <f t="shared" si="130"/>
        <v>#N/A</v>
      </c>
      <c r="AC570" s="1111" t="e">
        <f>VLOOKUP(AB570,sample!$1:$1048576,2,FALSE)</f>
        <v>#N/A</v>
      </c>
      <c r="AD570" s="1111" t="e">
        <f>VLOOKUP($AB570,sample!$1:$1048576,3,FALSE)</f>
        <v>#N/A</v>
      </c>
      <c r="AE570" s="1104" t="e">
        <f>VLOOKUP($AB570,sample!$1:$1048576,4,FALSE)</f>
        <v>#N/A</v>
      </c>
      <c r="AF570" s="1111" t="e">
        <f>VLOOKUP($AB570,sample!$1:$1048576,5,FALSE)</f>
        <v>#N/A</v>
      </c>
      <c r="AN570" s="1104" t="e">
        <f>VLOOKUP($AB570,sample!$1:$1048576,13,FALSE)</f>
        <v>#N/A</v>
      </c>
      <c r="AP570" s="1111"/>
    </row>
    <row r="571" spans="4:42">
      <c r="D571" s="1127" t="str">
        <f>IFERROR(VLOOKUP(G571,PosAggregate!$B$13:$B$93,1,FALSE),"")</f>
        <v/>
      </c>
      <c r="E571" s="1139" t="e">
        <f>_xll.BDP(G571  &amp; " Equity", "ID_ISIN", "Fill", "")</f>
        <v>#N/A</v>
      </c>
      <c r="F571" s="1132" t="str">
        <f t="shared" si="128"/>
        <v>YES</v>
      </c>
      <c r="I571" s="1133" t="e">
        <f>_xll.BDP(E571 &amp; " Equity","SECURITY_NAME")</f>
        <v>#N/A</v>
      </c>
      <c r="J571" s="1133" t="e">
        <f>_xll.BDP(G571 &amp; " Equity","Crncy")</f>
        <v>#N/A</v>
      </c>
      <c r="N571" s="1135">
        <f t="shared" si="129"/>
        <v>0</v>
      </c>
      <c r="R571" s="1100">
        <f t="shared" si="133"/>
        <v>0</v>
      </c>
      <c r="T571" s="1121" t="e">
        <f t="shared" si="126"/>
        <v>#DIV/0!</v>
      </c>
      <c r="X571" s="1089" t="e">
        <f t="shared" si="132"/>
        <v>#DIV/0!</v>
      </c>
      <c r="Y571" s="690" t="s">
        <v>1763</v>
      </c>
      <c r="Z571" s="1111" t="e">
        <f>VLOOKUP(AA571,'place of settlement'!A:C,2,FALSE)</f>
        <v>#N/A</v>
      </c>
      <c r="AA571" s="1111" t="e">
        <f t="shared" si="131"/>
        <v>#N/A</v>
      </c>
      <c r="AB571" s="1111" t="e">
        <f t="shared" si="130"/>
        <v>#N/A</v>
      </c>
      <c r="AC571" s="1111" t="e">
        <f>VLOOKUP(AB571,sample!$1:$1048576,2,FALSE)</f>
        <v>#N/A</v>
      </c>
      <c r="AD571" s="1111" t="e">
        <f>VLOOKUP($AB571,sample!$1:$1048576,3,FALSE)</f>
        <v>#N/A</v>
      </c>
      <c r="AE571" s="1104" t="e">
        <f>VLOOKUP($AB571,sample!$1:$1048576,4,FALSE)</f>
        <v>#N/A</v>
      </c>
      <c r="AF571" s="1111" t="e">
        <f>VLOOKUP($AB571,sample!$1:$1048576,5,FALSE)</f>
        <v>#N/A</v>
      </c>
      <c r="AN571" s="1104" t="e">
        <f>VLOOKUP($AB571,sample!$1:$1048576,13,FALSE)</f>
        <v>#N/A</v>
      </c>
      <c r="AP571" s="1111"/>
    </row>
    <row r="572" spans="4:42">
      <c r="D572" s="1127" t="str">
        <f>IFERROR(VLOOKUP(G572,PosAggregate!$B$13:$B$93,1,FALSE),"")</f>
        <v/>
      </c>
      <c r="E572" s="1139" t="e">
        <f>_xll.BDP(G572  &amp; " Equity", "ID_ISIN", "Fill", "")</f>
        <v>#N/A</v>
      </c>
      <c r="F572" s="1132" t="str">
        <f t="shared" si="128"/>
        <v>YES</v>
      </c>
      <c r="I572" s="1133" t="e">
        <f>_xll.BDP(E572 &amp; " Equity","SECURITY_NAME")</f>
        <v>#N/A</v>
      </c>
      <c r="J572" s="1133" t="e">
        <f>_xll.BDP(G572 &amp; " Equity","Crncy")</f>
        <v>#N/A</v>
      </c>
      <c r="N572" s="1135">
        <f t="shared" si="129"/>
        <v>0</v>
      </c>
      <c r="R572" s="1100">
        <f t="shared" si="133"/>
        <v>0</v>
      </c>
      <c r="T572" s="1121" t="e">
        <f t="shared" ref="T572:T635" si="134">+R572/S572</f>
        <v>#DIV/0!</v>
      </c>
      <c r="X572" s="1089" t="e">
        <f t="shared" si="132"/>
        <v>#DIV/0!</v>
      </c>
      <c r="Y572" s="690" t="s">
        <v>1763</v>
      </c>
      <c r="Z572" s="1111" t="e">
        <f>VLOOKUP(AA572,'place of settlement'!A:C,2,FALSE)</f>
        <v>#N/A</v>
      </c>
      <c r="AA572" s="1111" t="e">
        <f t="shared" si="131"/>
        <v>#N/A</v>
      </c>
      <c r="AB572" s="1111" t="e">
        <f t="shared" si="130"/>
        <v>#N/A</v>
      </c>
      <c r="AC572" s="1111" t="e">
        <f>VLOOKUP(AB572,sample!$1:$1048576,2,FALSE)</f>
        <v>#N/A</v>
      </c>
      <c r="AD572" s="1111" t="e">
        <f>VLOOKUP($AB572,sample!$1:$1048576,3,FALSE)</f>
        <v>#N/A</v>
      </c>
      <c r="AE572" s="1104" t="e">
        <f>VLOOKUP($AB572,sample!$1:$1048576,4,FALSE)</f>
        <v>#N/A</v>
      </c>
      <c r="AF572" s="1111" t="e">
        <f>VLOOKUP($AB572,sample!$1:$1048576,5,FALSE)</f>
        <v>#N/A</v>
      </c>
      <c r="AN572" s="1104" t="e">
        <f>VLOOKUP($AB572,sample!$1:$1048576,13,FALSE)</f>
        <v>#N/A</v>
      </c>
      <c r="AP572" s="1111"/>
    </row>
    <row r="573" spans="4:42">
      <c r="D573" s="1127" t="str">
        <f>IFERROR(VLOOKUP(G573,PosAggregate!$B$13:$B$93,1,FALSE),"")</f>
        <v/>
      </c>
      <c r="E573" s="1139" t="e">
        <f>_xll.BDP(G573  &amp; " Equity", "ID_ISIN", "Fill", "")</f>
        <v>#N/A</v>
      </c>
      <c r="F573" s="1132" t="str">
        <f t="shared" si="128"/>
        <v>YES</v>
      </c>
      <c r="I573" s="1133" t="e">
        <f>_xll.BDP(E573 &amp; " Equity","SECURITY_NAME")</f>
        <v>#N/A</v>
      </c>
      <c r="J573" s="1133" t="e">
        <f>_xll.BDP(G573 &amp; " Equity","Crncy")</f>
        <v>#N/A</v>
      </c>
      <c r="N573" s="1135">
        <f t="shared" si="129"/>
        <v>0</v>
      </c>
      <c r="R573" s="1100">
        <f t="shared" si="133"/>
        <v>0</v>
      </c>
      <c r="T573" s="1121" t="e">
        <f t="shared" si="134"/>
        <v>#DIV/0!</v>
      </c>
      <c r="X573" s="1089" t="e">
        <f t="shared" si="132"/>
        <v>#DIV/0!</v>
      </c>
      <c r="Y573" s="690" t="s">
        <v>1763</v>
      </c>
      <c r="Z573" s="1111" t="e">
        <f>VLOOKUP(AA573,'place of settlement'!A:C,2,FALSE)</f>
        <v>#N/A</v>
      </c>
      <c r="AA573" s="1111" t="e">
        <f t="shared" si="131"/>
        <v>#N/A</v>
      </c>
      <c r="AB573" s="1111" t="e">
        <f t="shared" si="130"/>
        <v>#N/A</v>
      </c>
      <c r="AC573" s="1111" t="e">
        <f>VLOOKUP(AB573,sample!$1:$1048576,2,FALSE)</f>
        <v>#N/A</v>
      </c>
      <c r="AD573" s="1111" t="e">
        <f>VLOOKUP($AB573,sample!$1:$1048576,3,FALSE)</f>
        <v>#N/A</v>
      </c>
      <c r="AE573" s="1104" t="e">
        <f>VLOOKUP($AB573,sample!$1:$1048576,4,FALSE)</f>
        <v>#N/A</v>
      </c>
      <c r="AF573" s="1111" t="e">
        <f>VLOOKUP($AB573,sample!$1:$1048576,5,FALSE)</f>
        <v>#N/A</v>
      </c>
      <c r="AN573" s="1104" t="e">
        <f>VLOOKUP($AB573,sample!$1:$1048576,13,FALSE)</f>
        <v>#N/A</v>
      </c>
      <c r="AP573" s="1111"/>
    </row>
    <row r="574" spans="4:42">
      <c r="D574" s="1127" t="str">
        <f>IFERROR(VLOOKUP(G574,PosAggregate!$B$13:$B$93,1,FALSE),"")</f>
        <v/>
      </c>
      <c r="E574" s="1139" t="e">
        <f>_xll.BDP(G574  &amp; " Equity", "ID_ISIN", "Fill", "")</f>
        <v>#N/A</v>
      </c>
      <c r="F574" s="1132" t="str">
        <f t="shared" si="128"/>
        <v>YES</v>
      </c>
      <c r="I574" s="1133" t="e">
        <f>_xll.BDP(E574 &amp; " Equity","SECURITY_NAME")</f>
        <v>#N/A</v>
      </c>
      <c r="J574" s="1133" t="e">
        <f>_xll.BDP(G574 &amp; " Equity","Crncy")</f>
        <v>#N/A</v>
      </c>
      <c r="N574" s="1135">
        <f t="shared" si="129"/>
        <v>0</v>
      </c>
      <c r="R574" s="1100">
        <f t="shared" si="133"/>
        <v>0</v>
      </c>
      <c r="T574" s="1121" t="e">
        <f t="shared" si="134"/>
        <v>#DIV/0!</v>
      </c>
      <c r="X574" s="1089" t="e">
        <f t="shared" si="132"/>
        <v>#DIV/0!</v>
      </c>
      <c r="Y574" s="690" t="s">
        <v>1763</v>
      </c>
      <c r="Z574" s="1111" t="e">
        <f>VLOOKUP(AA574,'place of settlement'!A:C,2,FALSE)</f>
        <v>#N/A</v>
      </c>
      <c r="AA574" s="1111" t="e">
        <f t="shared" si="131"/>
        <v>#N/A</v>
      </c>
      <c r="AB574" s="1111" t="e">
        <f t="shared" si="130"/>
        <v>#N/A</v>
      </c>
      <c r="AC574" s="1111" t="e">
        <f>VLOOKUP(AB574,sample!$1:$1048576,2,FALSE)</f>
        <v>#N/A</v>
      </c>
      <c r="AD574" s="1111" t="e">
        <f>VLOOKUP($AB574,sample!$1:$1048576,3,FALSE)</f>
        <v>#N/A</v>
      </c>
      <c r="AE574" s="1104" t="e">
        <f>VLOOKUP($AB574,sample!$1:$1048576,4,FALSE)</f>
        <v>#N/A</v>
      </c>
      <c r="AF574" s="1111" t="e">
        <f>VLOOKUP($AB574,sample!$1:$1048576,5,FALSE)</f>
        <v>#N/A</v>
      </c>
      <c r="AN574" s="1104" t="e">
        <f>VLOOKUP($AB574,sample!$1:$1048576,13,FALSE)</f>
        <v>#N/A</v>
      </c>
      <c r="AP574" s="1111"/>
    </row>
    <row r="575" spans="4:42">
      <c r="D575" s="1127" t="str">
        <f>IFERROR(VLOOKUP(G575,PosAggregate!$B$13:$B$93,1,FALSE),"")</f>
        <v/>
      </c>
      <c r="E575" s="1139" t="e">
        <f>_xll.BDP(G575  &amp; " Equity", "ID_ISIN", "Fill", "")</f>
        <v>#N/A</v>
      </c>
      <c r="F575" s="1132" t="str">
        <f t="shared" si="128"/>
        <v>YES</v>
      </c>
      <c r="I575" s="1133" t="e">
        <f>_xll.BDP(E575 &amp; " Equity","SECURITY_NAME")</f>
        <v>#N/A</v>
      </c>
      <c r="J575" s="1133" t="e">
        <f>_xll.BDP(G575 &amp; " Equity","Crncy")</f>
        <v>#N/A</v>
      </c>
      <c r="N575" s="1135">
        <f t="shared" si="129"/>
        <v>0</v>
      </c>
      <c r="R575" s="1100">
        <f t="shared" si="133"/>
        <v>0</v>
      </c>
      <c r="T575" s="1121" t="e">
        <f t="shared" si="134"/>
        <v>#DIV/0!</v>
      </c>
      <c r="X575" s="1089" t="e">
        <f t="shared" si="132"/>
        <v>#DIV/0!</v>
      </c>
      <c r="Y575" s="690" t="s">
        <v>1763</v>
      </c>
      <c r="Z575" s="1111" t="e">
        <f>VLOOKUP(AA575,'place of settlement'!A:C,2,FALSE)</f>
        <v>#N/A</v>
      </c>
      <c r="AA575" s="1111" t="e">
        <f t="shared" si="131"/>
        <v>#N/A</v>
      </c>
      <c r="AB575" s="1111" t="e">
        <f t="shared" si="130"/>
        <v>#N/A</v>
      </c>
      <c r="AC575" s="1111" t="e">
        <f>VLOOKUP(AB575,sample!$1:$1048576,2,FALSE)</f>
        <v>#N/A</v>
      </c>
      <c r="AD575" s="1111" t="e">
        <f>VLOOKUP($AB575,sample!$1:$1048576,3,FALSE)</f>
        <v>#N/A</v>
      </c>
      <c r="AE575" s="1104" t="e">
        <f>VLOOKUP($AB575,sample!$1:$1048576,4,FALSE)</f>
        <v>#N/A</v>
      </c>
      <c r="AF575" s="1111" t="e">
        <f>VLOOKUP($AB575,sample!$1:$1048576,5,FALSE)</f>
        <v>#N/A</v>
      </c>
      <c r="AN575" s="1104" t="e">
        <f>VLOOKUP($AB575,sample!$1:$1048576,13,FALSE)</f>
        <v>#N/A</v>
      </c>
      <c r="AP575" s="1111"/>
    </row>
    <row r="576" spans="4:42">
      <c r="D576" s="1127" t="str">
        <f>IFERROR(VLOOKUP(G576,PosAggregate!$B$13:$B$93,1,FALSE),"")</f>
        <v/>
      </c>
      <c r="E576" s="1139" t="e">
        <f>_xll.BDP(G576  &amp; " Equity", "ID_ISIN", "Fill", "")</f>
        <v>#N/A</v>
      </c>
      <c r="F576" s="1132" t="str">
        <f t="shared" si="128"/>
        <v>YES</v>
      </c>
      <c r="I576" s="1133" t="e">
        <f>_xll.BDP(E576 &amp; " Equity","SECURITY_NAME")</f>
        <v>#N/A</v>
      </c>
      <c r="J576" s="1133" t="e">
        <f>_xll.BDP(G576 &amp; " Equity","Crncy")</f>
        <v>#N/A</v>
      </c>
      <c r="N576" s="1135">
        <f t="shared" si="129"/>
        <v>0</v>
      </c>
      <c r="R576" s="1100">
        <f t="shared" si="133"/>
        <v>0</v>
      </c>
      <c r="T576" s="1121" t="e">
        <f t="shared" si="134"/>
        <v>#DIV/0!</v>
      </c>
      <c r="X576" s="1089" t="e">
        <f t="shared" si="132"/>
        <v>#DIV/0!</v>
      </c>
      <c r="Y576" s="690" t="s">
        <v>1763</v>
      </c>
      <c r="Z576" s="1111" t="e">
        <f>VLOOKUP(AA576,'place of settlement'!A:C,2,FALSE)</f>
        <v>#N/A</v>
      </c>
      <c r="AA576" s="1111" t="e">
        <f t="shared" si="131"/>
        <v>#N/A</v>
      </c>
      <c r="AB576" s="1111" t="e">
        <f t="shared" si="130"/>
        <v>#N/A</v>
      </c>
      <c r="AC576" s="1111" t="e">
        <f>VLOOKUP(AB576,sample!$1:$1048576,2,FALSE)</f>
        <v>#N/A</v>
      </c>
      <c r="AD576" s="1111" t="e">
        <f>VLOOKUP($AB576,sample!$1:$1048576,3,FALSE)</f>
        <v>#N/A</v>
      </c>
      <c r="AE576" s="1104" t="e">
        <f>VLOOKUP($AB576,sample!$1:$1048576,4,FALSE)</f>
        <v>#N/A</v>
      </c>
      <c r="AF576" s="1111" t="e">
        <f>VLOOKUP($AB576,sample!$1:$1048576,5,FALSE)</f>
        <v>#N/A</v>
      </c>
      <c r="AN576" s="1104" t="e">
        <f>VLOOKUP($AB576,sample!$1:$1048576,13,FALSE)</f>
        <v>#N/A</v>
      </c>
      <c r="AP576" s="1111"/>
    </row>
    <row r="577" spans="4:42">
      <c r="D577" s="1127" t="str">
        <f>IFERROR(VLOOKUP(G577,PosAggregate!$B$13:$B$93,1,FALSE),"")</f>
        <v/>
      </c>
      <c r="E577" s="1139" t="e">
        <f>_xll.BDP(G577  &amp; " Equity", "ID_ISIN", "Fill", "")</f>
        <v>#N/A</v>
      </c>
      <c r="F577" s="1132" t="str">
        <f t="shared" si="128"/>
        <v>YES</v>
      </c>
      <c r="I577" s="1133" t="e">
        <f>_xll.BDP(E577 &amp; " Equity","SECURITY_NAME")</f>
        <v>#N/A</v>
      </c>
      <c r="J577" s="1133" t="e">
        <f>_xll.BDP(G577 &amp; " Equity","Crncy")</f>
        <v>#N/A</v>
      </c>
      <c r="N577" s="1135">
        <f t="shared" si="129"/>
        <v>0</v>
      </c>
      <c r="R577" s="1100">
        <f t="shared" si="133"/>
        <v>0</v>
      </c>
      <c r="T577" s="1121" t="e">
        <f t="shared" si="134"/>
        <v>#DIV/0!</v>
      </c>
      <c r="X577" s="1089" t="e">
        <f t="shared" si="132"/>
        <v>#DIV/0!</v>
      </c>
      <c r="Y577" s="690" t="s">
        <v>1763</v>
      </c>
      <c r="Z577" s="1111" t="e">
        <f>VLOOKUP(AA577,'place of settlement'!A:C,2,FALSE)</f>
        <v>#N/A</v>
      </c>
      <c r="AA577" s="1111" t="e">
        <f t="shared" si="131"/>
        <v>#N/A</v>
      </c>
      <c r="AB577" s="1111" t="e">
        <f t="shared" si="130"/>
        <v>#N/A</v>
      </c>
      <c r="AC577" s="1111" t="e">
        <f>VLOOKUP(AB577,sample!$1:$1048576,2,FALSE)</f>
        <v>#N/A</v>
      </c>
      <c r="AD577" s="1111" t="e">
        <f>VLOOKUP($AB577,sample!$1:$1048576,3,FALSE)</f>
        <v>#N/A</v>
      </c>
      <c r="AE577" s="1104" t="e">
        <f>VLOOKUP($AB577,sample!$1:$1048576,4,FALSE)</f>
        <v>#N/A</v>
      </c>
      <c r="AF577" s="1111" t="e">
        <f>VLOOKUP($AB577,sample!$1:$1048576,5,FALSE)</f>
        <v>#N/A</v>
      </c>
      <c r="AN577" s="1104" t="e">
        <f>VLOOKUP($AB577,sample!$1:$1048576,13,FALSE)</f>
        <v>#N/A</v>
      </c>
      <c r="AP577" s="1111"/>
    </row>
    <row r="578" spans="4:42">
      <c r="D578" s="1127" t="str">
        <f>IFERROR(VLOOKUP(G578,PosAggregate!$B$13:$B$93,1,FALSE),"")</f>
        <v/>
      </c>
      <c r="E578" s="1139" t="e">
        <f>_xll.BDP(G578  &amp; " Equity", "ID_ISIN", "Fill", "")</f>
        <v>#N/A</v>
      </c>
      <c r="F578" s="1132" t="str">
        <f t="shared" si="128"/>
        <v>YES</v>
      </c>
      <c r="I578" s="1133" t="e">
        <f>_xll.BDP(E578 &amp; " Equity","SECURITY_NAME")</f>
        <v>#N/A</v>
      </c>
      <c r="J578" s="1133" t="e">
        <f>_xll.BDP(G578 &amp; " Equity","Crncy")</f>
        <v>#N/A</v>
      </c>
      <c r="N578" s="1135">
        <f t="shared" si="129"/>
        <v>0</v>
      </c>
      <c r="R578" s="1100">
        <f t="shared" si="133"/>
        <v>0</v>
      </c>
      <c r="T578" s="1121" t="e">
        <f t="shared" si="134"/>
        <v>#DIV/0!</v>
      </c>
      <c r="X578" s="1089" t="e">
        <f t="shared" si="132"/>
        <v>#DIV/0!</v>
      </c>
      <c r="Y578" s="690" t="s">
        <v>1763</v>
      </c>
      <c r="Z578" s="1111" t="e">
        <f>VLOOKUP(AA578,'place of settlement'!A:C,2,FALSE)</f>
        <v>#N/A</v>
      </c>
      <c r="AA578" s="1111" t="e">
        <f t="shared" si="131"/>
        <v>#N/A</v>
      </c>
      <c r="AB578" s="1111" t="e">
        <f t="shared" si="130"/>
        <v>#N/A</v>
      </c>
      <c r="AC578" s="1111" t="e">
        <f>VLOOKUP(AB578,sample!$1:$1048576,2,FALSE)</f>
        <v>#N/A</v>
      </c>
      <c r="AD578" s="1111" t="e">
        <f>VLOOKUP($AB578,sample!$1:$1048576,3,FALSE)</f>
        <v>#N/A</v>
      </c>
      <c r="AE578" s="1104" t="e">
        <f>VLOOKUP($AB578,sample!$1:$1048576,4,FALSE)</f>
        <v>#N/A</v>
      </c>
      <c r="AF578" s="1111" t="e">
        <f>VLOOKUP($AB578,sample!$1:$1048576,5,FALSE)</f>
        <v>#N/A</v>
      </c>
      <c r="AN578" s="1104" t="e">
        <f>VLOOKUP($AB578,sample!$1:$1048576,13,FALSE)</f>
        <v>#N/A</v>
      </c>
      <c r="AP578" s="1111"/>
    </row>
    <row r="579" spans="4:42">
      <c r="D579" s="1127" t="str">
        <f>IFERROR(VLOOKUP(G579,PosAggregate!$B$13:$B$93,1,FALSE),"")</f>
        <v/>
      </c>
      <c r="E579" s="1139" t="e">
        <f>_xll.BDP(G579  &amp; " Equity", "ID_ISIN", "Fill", "")</f>
        <v>#N/A</v>
      </c>
      <c r="F579" s="1132" t="str">
        <f t="shared" si="128"/>
        <v>YES</v>
      </c>
      <c r="I579" s="1133" t="e">
        <f>_xll.BDP(E579 &amp; " Equity","SECURITY_NAME")</f>
        <v>#N/A</v>
      </c>
      <c r="J579" s="1133" t="e">
        <f>_xll.BDP(G579 &amp; " Equity","Crncy")</f>
        <v>#N/A</v>
      </c>
      <c r="N579" s="1135">
        <f t="shared" si="129"/>
        <v>0</v>
      </c>
      <c r="R579" s="1100">
        <f t="shared" si="133"/>
        <v>0</v>
      </c>
      <c r="T579" s="1121" t="e">
        <f t="shared" si="134"/>
        <v>#DIV/0!</v>
      </c>
      <c r="X579" s="1089" t="e">
        <f t="shared" si="132"/>
        <v>#DIV/0!</v>
      </c>
      <c r="Y579" s="690" t="s">
        <v>1763</v>
      </c>
      <c r="Z579" s="1111" t="e">
        <f>VLOOKUP(AA579,'place of settlement'!A:C,2,FALSE)</f>
        <v>#N/A</v>
      </c>
      <c r="AA579" s="1111" t="e">
        <f t="shared" si="131"/>
        <v>#N/A</v>
      </c>
      <c r="AB579" s="1111" t="e">
        <f t="shared" si="130"/>
        <v>#N/A</v>
      </c>
      <c r="AC579" s="1111" t="e">
        <f>VLOOKUP(AB579,sample!$1:$1048576,2,FALSE)</f>
        <v>#N/A</v>
      </c>
      <c r="AD579" s="1111" t="e">
        <f>VLOOKUP($AB579,sample!$1:$1048576,3,FALSE)</f>
        <v>#N/A</v>
      </c>
      <c r="AE579" s="1104" t="e">
        <f>VLOOKUP($AB579,sample!$1:$1048576,4,FALSE)</f>
        <v>#N/A</v>
      </c>
      <c r="AF579" s="1111" t="e">
        <f>VLOOKUP($AB579,sample!$1:$1048576,5,FALSE)</f>
        <v>#N/A</v>
      </c>
      <c r="AN579" s="1104" t="e">
        <f>VLOOKUP($AB579,sample!$1:$1048576,13,FALSE)</f>
        <v>#N/A</v>
      </c>
      <c r="AP579" s="1111"/>
    </row>
    <row r="580" spans="4:42">
      <c r="D580" s="1127" t="str">
        <f>IFERROR(VLOOKUP(G580,PosAggregate!$B$13:$B$93,1,FALSE),"")</f>
        <v/>
      </c>
      <c r="E580" s="1139" t="e">
        <f>_xll.BDP(G580  &amp; " Equity", "ID_ISIN", "Fill", "")</f>
        <v>#N/A</v>
      </c>
      <c r="F580" s="1132" t="str">
        <f t="shared" ref="F580:F643" si="135">IF(D580=G580,"YES","NO")</f>
        <v>YES</v>
      </c>
      <c r="I580" s="1133" t="e">
        <f>_xll.BDP(E580 &amp; " Equity","SECURITY_NAME")</f>
        <v>#N/A</v>
      </c>
      <c r="J580" s="1133" t="e">
        <f>_xll.BDP(G580 &amp; " Equity","Crncy")</f>
        <v>#N/A</v>
      </c>
      <c r="N580" s="1135">
        <f t="shared" si="129"/>
        <v>0</v>
      </c>
      <c r="R580" s="1100">
        <f t="shared" si="133"/>
        <v>0</v>
      </c>
      <c r="T580" s="1121" t="e">
        <f t="shared" si="134"/>
        <v>#DIV/0!</v>
      </c>
      <c r="X580" s="1089" t="e">
        <f t="shared" si="132"/>
        <v>#DIV/0!</v>
      </c>
      <c r="Y580" s="690" t="s">
        <v>1763</v>
      </c>
      <c r="Z580" s="1111" t="e">
        <f>VLOOKUP(AA580,'place of settlement'!A:C,2,FALSE)</f>
        <v>#N/A</v>
      </c>
      <c r="AA580" s="1111" t="e">
        <f t="shared" si="131"/>
        <v>#N/A</v>
      </c>
      <c r="AB580" s="1111" t="e">
        <f t="shared" si="130"/>
        <v>#N/A</v>
      </c>
      <c r="AC580" s="1111" t="e">
        <f>VLOOKUP(AB580,sample!$1:$1048576,2,FALSE)</f>
        <v>#N/A</v>
      </c>
      <c r="AD580" s="1111" t="e">
        <f>VLOOKUP($AB580,sample!$1:$1048576,3,FALSE)</f>
        <v>#N/A</v>
      </c>
      <c r="AE580" s="1104" t="e">
        <f>VLOOKUP($AB580,sample!$1:$1048576,4,FALSE)</f>
        <v>#N/A</v>
      </c>
      <c r="AF580" s="1111" t="e">
        <f>VLOOKUP($AB580,sample!$1:$1048576,5,FALSE)</f>
        <v>#N/A</v>
      </c>
      <c r="AN580" s="1104" t="e">
        <f>VLOOKUP($AB580,sample!$1:$1048576,13,FALSE)</f>
        <v>#N/A</v>
      </c>
      <c r="AP580" s="1111"/>
    </row>
    <row r="581" spans="4:42">
      <c r="D581" s="1127" t="str">
        <f>IFERROR(VLOOKUP(G581,PosAggregate!$B$13:$B$93,1,FALSE),"")</f>
        <v/>
      </c>
      <c r="E581" s="1139" t="e">
        <f>_xll.BDP(G581  &amp; " Equity", "ID_ISIN", "Fill", "")</f>
        <v>#N/A</v>
      </c>
      <c r="F581" s="1132" t="str">
        <f t="shared" si="135"/>
        <v>YES</v>
      </c>
      <c r="I581" s="1133" t="e">
        <f>_xll.BDP(E581 &amp; " Equity","SECURITY_NAME")</f>
        <v>#N/A</v>
      </c>
      <c r="J581" s="1133" t="e">
        <f>_xll.BDP(G581 &amp; " Equity","Crncy")</f>
        <v>#N/A</v>
      </c>
      <c r="N581" s="1135">
        <f t="shared" si="129"/>
        <v>0</v>
      </c>
      <c r="R581" s="1100">
        <f t="shared" si="133"/>
        <v>0</v>
      </c>
      <c r="T581" s="1121" t="e">
        <f t="shared" si="134"/>
        <v>#DIV/0!</v>
      </c>
      <c r="X581" s="1089" t="e">
        <f t="shared" si="132"/>
        <v>#DIV/0!</v>
      </c>
      <c r="Y581" s="690" t="s">
        <v>1763</v>
      </c>
      <c r="Z581" s="1111" t="e">
        <f>VLOOKUP(AA581,'place of settlement'!A:C,2,FALSE)</f>
        <v>#N/A</v>
      </c>
      <c r="AA581" s="1111" t="e">
        <f t="shared" si="131"/>
        <v>#N/A</v>
      </c>
      <c r="AB581" s="1111" t="e">
        <f t="shared" si="130"/>
        <v>#N/A</v>
      </c>
      <c r="AC581" s="1111" t="e">
        <f>VLOOKUP(AB581,sample!$1:$1048576,2,FALSE)</f>
        <v>#N/A</v>
      </c>
      <c r="AD581" s="1111" t="e">
        <f>VLOOKUP($AB581,sample!$1:$1048576,3,FALSE)</f>
        <v>#N/A</v>
      </c>
      <c r="AE581" s="1104" t="e">
        <f>VLOOKUP($AB581,sample!$1:$1048576,4,FALSE)</f>
        <v>#N/A</v>
      </c>
      <c r="AF581" s="1111" t="e">
        <f>VLOOKUP($AB581,sample!$1:$1048576,5,FALSE)</f>
        <v>#N/A</v>
      </c>
      <c r="AN581" s="1104" t="e">
        <f>VLOOKUP($AB581,sample!$1:$1048576,13,FALSE)</f>
        <v>#N/A</v>
      </c>
      <c r="AP581" s="1111"/>
    </row>
    <row r="582" spans="4:42">
      <c r="D582" s="1127" t="str">
        <f>IFERROR(VLOOKUP(G582,PosAggregate!$B$13:$B$93,1,FALSE),"")</f>
        <v/>
      </c>
      <c r="E582" s="1139" t="e">
        <f>_xll.BDP(G582  &amp; " Equity", "ID_ISIN", "Fill", "")</f>
        <v>#N/A</v>
      </c>
      <c r="F582" s="1132" t="str">
        <f t="shared" si="135"/>
        <v>YES</v>
      </c>
      <c r="I582" s="1133" t="e">
        <f>_xll.BDP(E582 &amp; " Equity","SECURITY_NAME")</f>
        <v>#N/A</v>
      </c>
      <c r="J582" s="1133" t="e">
        <f>_xll.BDP(G582 &amp; " Equity","Crncy")</f>
        <v>#N/A</v>
      </c>
      <c r="N582" s="1135">
        <f t="shared" si="129"/>
        <v>0</v>
      </c>
      <c r="R582" s="1100">
        <f t="shared" si="133"/>
        <v>0</v>
      </c>
      <c r="T582" s="1121" t="e">
        <f t="shared" si="134"/>
        <v>#DIV/0!</v>
      </c>
      <c r="X582" s="1089" t="e">
        <f t="shared" si="132"/>
        <v>#DIV/0!</v>
      </c>
      <c r="Y582" s="690" t="s">
        <v>1763</v>
      </c>
      <c r="Z582" s="1111" t="e">
        <f>VLOOKUP(AA582,'place of settlement'!A:C,2,FALSE)</f>
        <v>#N/A</v>
      </c>
      <c r="AA582" s="1111" t="e">
        <f t="shared" si="131"/>
        <v>#N/A</v>
      </c>
      <c r="AB582" s="1111" t="e">
        <f t="shared" si="130"/>
        <v>#N/A</v>
      </c>
      <c r="AC582" s="1111" t="e">
        <f>VLOOKUP(AB582,sample!$1:$1048576,2,FALSE)</f>
        <v>#N/A</v>
      </c>
      <c r="AD582" s="1111" t="e">
        <f>VLOOKUP($AB582,sample!$1:$1048576,3,FALSE)</f>
        <v>#N/A</v>
      </c>
      <c r="AE582" s="1104" t="e">
        <f>VLOOKUP($AB582,sample!$1:$1048576,4,FALSE)</f>
        <v>#N/A</v>
      </c>
      <c r="AF582" s="1111" t="e">
        <f>VLOOKUP($AB582,sample!$1:$1048576,5,FALSE)</f>
        <v>#N/A</v>
      </c>
      <c r="AN582" s="1104" t="e">
        <f>VLOOKUP($AB582,sample!$1:$1048576,13,FALSE)</f>
        <v>#N/A</v>
      </c>
      <c r="AP582" s="1111"/>
    </row>
    <row r="583" spans="4:42">
      <c r="D583" s="1127" t="str">
        <f>IFERROR(VLOOKUP(G583,PosAggregate!$B$13:$B$93,1,FALSE),"")</f>
        <v/>
      </c>
      <c r="E583" s="1139" t="e">
        <f>_xll.BDP(G583  &amp; " Equity", "ID_ISIN", "Fill", "")</f>
        <v>#N/A</v>
      </c>
      <c r="F583" s="1132" t="str">
        <f t="shared" si="135"/>
        <v>YES</v>
      </c>
      <c r="I583" s="1133" t="e">
        <f>_xll.BDP(E583 &amp; " Equity","SECURITY_NAME")</f>
        <v>#N/A</v>
      </c>
      <c r="J583" s="1133" t="e">
        <f>_xll.BDP(G583 &amp; " Equity","Crncy")</f>
        <v>#N/A</v>
      </c>
      <c r="N583" s="1135">
        <f t="shared" si="129"/>
        <v>0</v>
      </c>
      <c r="R583" s="1100">
        <f t="shared" si="133"/>
        <v>0</v>
      </c>
      <c r="T583" s="1121" t="e">
        <f t="shared" si="134"/>
        <v>#DIV/0!</v>
      </c>
      <c r="X583" s="1089" t="e">
        <f t="shared" si="132"/>
        <v>#DIV/0!</v>
      </c>
      <c r="Y583" s="690" t="s">
        <v>1763</v>
      </c>
      <c r="Z583" s="1111" t="e">
        <f>VLOOKUP(AA583,'place of settlement'!A:C,2,FALSE)</f>
        <v>#N/A</v>
      </c>
      <c r="AA583" s="1111" t="e">
        <f t="shared" si="131"/>
        <v>#N/A</v>
      </c>
      <c r="AB583" s="1111" t="e">
        <f t="shared" si="130"/>
        <v>#N/A</v>
      </c>
      <c r="AC583" s="1111" t="e">
        <f>VLOOKUP(AB583,sample!$1:$1048576,2,FALSE)</f>
        <v>#N/A</v>
      </c>
      <c r="AD583" s="1111" t="e">
        <f>VLOOKUP($AB583,sample!$1:$1048576,3,FALSE)</f>
        <v>#N/A</v>
      </c>
      <c r="AE583" s="1104" t="e">
        <f>VLOOKUP($AB583,sample!$1:$1048576,4,FALSE)</f>
        <v>#N/A</v>
      </c>
      <c r="AF583" s="1111" t="e">
        <f>VLOOKUP($AB583,sample!$1:$1048576,5,FALSE)</f>
        <v>#N/A</v>
      </c>
      <c r="AN583" s="1104" t="e">
        <f>VLOOKUP($AB583,sample!$1:$1048576,13,FALSE)</f>
        <v>#N/A</v>
      </c>
      <c r="AP583" s="1111"/>
    </row>
    <row r="584" spans="4:42">
      <c r="D584" s="1127" t="str">
        <f>IFERROR(VLOOKUP(G584,PosAggregate!$B$13:$B$93,1,FALSE),"")</f>
        <v/>
      </c>
      <c r="E584" s="1139" t="e">
        <f>_xll.BDP(G584  &amp; " Equity", "ID_ISIN", "Fill", "")</f>
        <v>#N/A</v>
      </c>
      <c r="F584" s="1132" t="str">
        <f t="shared" si="135"/>
        <v>YES</v>
      </c>
      <c r="I584" s="1133" t="e">
        <f>_xll.BDP(E584 &amp; " Equity","SECURITY_NAME")</f>
        <v>#N/A</v>
      </c>
      <c r="J584" s="1133" t="e">
        <f>_xll.BDP(G584 &amp; " Equity","Crncy")</f>
        <v>#N/A</v>
      </c>
      <c r="N584" s="1135">
        <f t="shared" si="129"/>
        <v>0</v>
      </c>
      <c r="R584" s="1100">
        <f t="shared" si="133"/>
        <v>0</v>
      </c>
      <c r="T584" s="1121" t="e">
        <f t="shared" si="134"/>
        <v>#DIV/0!</v>
      </c>
      <c r="X584" s="1089" t="e">
        <f t="shared" si="132"/>
        <v>#DIV/0!</v>
      </c>
      <c r="Y584" s="690" t="s">
        <v>1763</v>
      </c>
      <c r="Z584" s="1111" t="e">
        <f>VLOOKUP(AA584,'place of settlement'!A:C,2,FALSE)</f>
        <v>#N/A</v>
      </c>
      <c r="AA584" s="1111" t="e">
        <f t="shared" si="131"/>
        <v>#N/A</v>
      </c>
      <c r="AB584" s="1111" t="e">
        <f t="shared" si="130"/>
        <v>#N/A</v>
      </c>
      <c r="AC584" s="1111" t="e">
        <f>VLOOKUP(AB584,sample!$1:$1048576,2,FALSE)</f>
        <v>#N/A</v>
      </c>
      <c r="AD584" s="1111" t="e">
        <f>VLOOKUP($AB584,sample!$1:$1048576,3,FALSE)</f>
        <v>#N/A</v>
      </c>
      <c r="AE584" s="1104" t="e">
        <f>VLOOKUP($AB584,sample!$1:$1048576,4,FALSE)</f>
        <v>#N/A</v>
      </c>
      <c r="AF584" s="1111" t="e">
        <f>VLOOKUP($AB584,sample!$1:$1048576,5,FALSE)</f>
        <v>#N/A</v>
      </c>
      <c r="AN584" s="1104" t="e">
        <f>VLOOKUP($AB584,sample!$1:$1048576,13,FALSE)</f>
        <v>#N/A</v>
      </c>
      <c r="AP584" s="1111"/>
    </row>
    <row r="585" spans="4:42">
      <c r="D585" s="1127" t="str">
        <f>IFERROR(VLOOKUP(G585,PosAggregate!$B$13:$B$93,1,FALSE),"")</f>
        <v/>
      </c>
      <c r="E585" s="1139" t="e">
        <f>_xll.BDP(G585  &amp; " Equity", "ID_ISIN", "Fill", "")</f>
        <v>#N/A</v>
      </c>
      <c r="F585" s="1132" t="str">
        <f t="shared" si="135"/>
        <v>YES</v>
      </c>
      <c r="I585" s="1133" t="e">
        <f>_xll.BDP(E585 &amp; " Equity","SECURITY_NAME")</f>
        <v>#N/A</v>
      </c>
      <c r="J585" s="1133" t="e">
        <f>_xll.BDP(G585 &amp; " Equity","Crncy")</f>
        <v>#N/A</v>
      </c>
      <c r="N585" s="1135">
        <f t="shared" si="129"/>
        <v>0</v>
      </c>
      <c r="R585" s="1100">
        <f t="shared" si="133"/>
        <v>0</v>
      </c>
      <c r="T585" s="1121" t="e">
        <f t="shared" si="134"/>
        <v>#DIV/0!</v>
      </c>
      <c r="X585" s="1089" t="e">
        <f t="shared" si="132"/>
        <v>#DIV/0!</v>
      </c>
      <c r="Y585" s="690" t="s">
        <v>1763</v>
      </c>
      <c r="Z585" s="1111" t="e">
        <f>VLOOKUP(AA585,'place of settlement'!A:C,2,FALSE)</f>
        <v>#N/A</v>
      </c>
      <c r="AA585" s="1111" t="e">
        <f t="shared" si="131"/>
        <v>#N/A</v>
      </c>
      <c r="AB585" s="1111" t="e">
        <f t="shared" si="130"/>
        <v>#N/A</v>
      </c>
      <c r="AC585" s="1111" t="e">
        <f>VLOOKUP(AB585,sample!$1:$1048576,2,FALSE)</f>
        <v>#N/A</v>
      </c>
      <c r="AD585" s="1111" t="e">
        <f>VLOOKUP($AB585,sample!$1:$1048576,3,FALSE)</f>
        <v>#N/A</v>
      </c>
      <c r="AE585" s="1104" t="e">
        <f>VLOOKUP($AB585,sample!$1:$1048576,4,FALSE)</f>
        <v>#N/A</v>
      </c>
      <c r="AF585" s="1111" t="e">
        <f>VLOOKUP($AB585,sample!$1:$1048576,5,FALSE)</f>
        <v>#N/A</v>
      </c>
      <c r="AN585" s="1104" t="e">
        <f>VLOOKUP($AB585,sample!$1:$1048576,13,FALSE)</f>
        <v>#N/A</v>
      </c>
      <c r="AP585" s="1111"/>
    </row>
    <row r="586" spans="4:42">
      <c r="D586" s="1127" t="str">
        <f>IFERROR(VLOOKUP(G586,PosAggregate!$B$13:$B$93,1,FALSE),"")</f>
        <v/>
      </c>
      <c r="E586" s="1139" t="e">
        <f>_xll.BDP(G586  &amp; " Equity", "ID_ISIN", "Fill", "")</f>
        <v>#N/A</v>
      </c>
      <c r="F586" s="1132" t="str">
        <f t="shared" si="135"/>
        <v>YES</v>
      </c>
      <c r="I586" s="1133" t="e">
        <f>_xll.BDP(E586 &amp; " Equity","SECURITY_NAME")</f>
        <v>#N/A</v>
      </c>
      <c r="J586" s="1133" t="e">
        <f>_xll.BDP(G586 &amp; " Equity","Crncy")</f>
        <v>#N/A</v>
      </c>
      <c r="N586" s="1135">
        <f t="shared" si="129"/>
        <v>0</v>
      </c>
      <c r="R586" s="1100">
        <f t="shared" si="133"/>
        <v>0</v>
      </c>
      <c r="T586" s="1121" t="e">
        <f t="shared" si="134"/>
        <v>#DIV/0!</v>
      </c>
      <c r="X586" s="1089" t="e">
        <f t="shared" si="132"/>
        <v>#DIV/0!</v>
      </c>
      <c r="Y586" s="690" t="s">
        <v>1763</v>
      </c>
      <c r="Z586" s="1111" t="e">
        <f>VLOOKUP(AA586,'place of settlement'!A:C,2,FALSE)</f>
        <v>#N/A</v>
      </c>
      <c r="AA586" s="1111" t="e">
        <f t="shared" si="131"/>
        <v>#N/A</v>
      </c>
      <c r="AB586" s="1111" t="e">
        <f t="shared" si="130"/>
        <v>#N/A</v>
      </c>
      <c r="AC586" s="1111" t="e">
        <f>VLOOKUP(AB586,sample!$1:$1048576,2,FALSE)</f>
        <v>#N/A</v>
      </c>
      <c r="AD586" s="1111" t="e">
        <f>VLOOKUP($AB586,sample!$1:$1048576,3,FALSE)</f>
        <v>#N/A</v>
      </c>
      <c r="AE586" s="1104" t="e">
        <f>VLOOKUP($AB586,sample!$1:$1048576,4,FALSE)</f>
        <v>#N/A</v>
      </c>
      <c r="AF586" s="1111" t="e">
        <f>VLOOKUP($AB586,sample!$1:$1048576,5,FALSE)</f>
        <v>#N/A</v>
      </c>
      <c r="AN586" s="1104" t="e">
        <f>VLOOKUP($AB586,sample!$1:$1048576,13,FALSE)</f>
        <v>#N/A</v>
      </c>
      <c r="AP586" s="1111"/>
    </row>
    <row r="587" spans="4:42">
      <c r="D587" s="1127" t="str">
        <f>IFERROR(VLOOKUP(G587,PosAggregate!$B$13:$B$93,1,FALSE),"")</f>
        <v/>
      </c>
      <c r="E587" s="1139" t="e">
        <f>_xll.BDP(G587  &amp; " Equity", "ID_ISIN", "Fill", "")</f>
        <v>#N/A</v>
      </c>
      <c r="F587" s="1132" t="str">
        <f t="shared" si="135"/>
        <v>YES</v>
      </c>
      <c r="I587" s="1133" t="e">
        <f>_xll.BDP(E587 &amp; " Equity","SECURITY_NAME")</f>
        <v>#N/A</v>
      </c>
      <c r="J587" s="1133" t="e">
        <f>_xll.BDP(G587 &amp; " Equity","Crncy")</f>
        <v>#N/A</v>
      </c>
      <c r="N587" s="1135">
        <f t="shared" si="129"/>
        <v>0</v>
      </c>
      <c r="R587" s="1100">
        <f t="shared" si="133"/>
        <v>0</v>
      </c>
      <c r="T587" s="1121" t="e">
        <f t="shared" si="134"/>
        <v>#DIV/0!</v>
      </c>
      <c r="X587" s="1089" t="e">
        <f t="shared" si="132"/>
        <v>#DIV/0!</v>
      </c>
      <c r="Y587" s="690" t="s">
        <v>1763</v>
      </c>
      <c r="Z587" s="1111" t="e">
        <f>VLOOKUP(AA587,'place of settlement'!A:C,2,FALSE)</f>
        <v>#N/A</v>
      </c>
      <c r="AA587" s="1111" t="e">
        <f t="shared" si="131"/>
        <v>#N/A</v>
      </c>
      <c r="AB587" s="1111" t="e">
        <f t="shared" si="130"/>
        <v>#N/A</v>
      </c>
      <c r="AC587" s="1111" t="e">
        <f>VLOOKUP(AB587,sample!$1:$1048576,2,FALSE)</f>
        <v>#N/A</v>
      </c>
      <c r="AD587" s="1111" t="e">
        <f>VLOOKUP($AB587,sample!$1:$1048576,3,FALSE)</f>
        <v>#N/A</v>
      </c>
      <c r="AE587" s="1104" t="e">
        <f>VLOOKUP($AB587,sample!$1:$1048576,4,FALSE)</f>
        <v>#N/A</v>
      </c>
      <c r="AF587" s="1111" t="e">
        <f>VLOOKUP($AB587,sample!$1:$1048576,5,FALSE)</f>
        <v>#N/A</v>
      </c>
      <c r="AN587" s="1104" t="e">
        <f>VLOOKUP($AB587,sample!$1:$1048576,13,FALSE)</f>
        <v>#N/A</v>
      </c>
      <c r="AP587" s="1111"/>
    </row>
    <row r="588" spans="4:42">
      <c r="D588" s="1127" t="str">
        <f>IFERROR(VLOOKUP(G588,PosAggregate!$B$13:$B$93,1,FALSE),"")</f>
        <v/>
      </c>
      <c r="E588" s="1139" t="e">
        <f>_xll.BDP(G588  &amp; " Equity", "ID_ISIN", "Fill", "")</f>
        <v>#N/A</v>
      </c>
      <c r="F588" s="1132" t="str">
        <f t="shared" si="135"/>
        <v>YES</v>
      </c>
      <c r="I588" s="1133" t="e">
        <f>_xll.BDP(E588 &amp; " Equity","SECURITY_NAME")</f>
        <v>#N/A</v>
      </c>
      <c r="J588" s="1133" t="e">
        <f>_xll.BDP(G588 &amp; " Equity","Crncy")</f>
        <v>#N/A</v>
      </c>
      <c r="N588" s="1135">
        <f t="shared" si="129"/>
        <v>0</v>
      </c>
      <c r="R588" s="1100">
        <f t="shared" si="133"/>
        <v>0</v>
      </c>
      <c r="T588" s="1121" t="e">
        <f t="shared" si="134"/>
        <v>#DIV/0!</v>
      </c>
      <c r="X588" s="1089" t="e">
        <f t="shared" si="132"/>
        <v>#DIV/0!</v>
      </c>
      <c r="Y588" s="690" t="s">
        <v>1763</v>
      </c>
      <c r="Z588" s="1111" t="e">
        <f>VLOOKUP(AA588,'place of settlement'!A:C,2,FALSE)</f>
        <v>#N/A</v>
      </c>
      <c r="AA588" s="1111" t="e">
        <f t="shared" si="131"/>
        <v>#N/A</v>
      </c>
      <c r="AB588" s="1111" t="e">
        <f t="shared" si="130"/>
        <v>#N/A</v>
      </c>
      <c r="AC588" s="1111" t="e">
        <f>VLOOKUP(AB588,sample!$1:$1048576,2,FALSE)</f>
        <v>#N/A</v>
      </c>
      <c r="AD588" s="1111" t="e">
        <f>VLOOKUP($AB588,sample!$1:$1048576,3,FALSE)</f>
        <v>#N/A</v>
      </c>
      <c r="AE588" s="1104" t="e">
        <f>VLOOKUP($AB588,sample!$1:$1048576,4,FALSE)</f>
        <v>#N/A</v>
      </c>
      <c r="AF588" s="1111" t="e">
        <f>VLOOKUP($AB588,sample!$1:$1048576,5,FALSE)</f>
        <v>#N/A</v>
      </c>
      <c r="AN588" s="1104" t="e">
        <f>VLOOKUP($AB588,sample!$1:$1048576,13,FALSE)</f>
        <v>#N/A</v>
      </c>
      <c r="AP588" s="1111"/>
    </row>
    <row r="589" spans="4:42">
      <c r="D589" s="1127" t="str">
        <f>IFERROR(VLOOKUP(G589,PosAggregate!$B$13:$B$93,1,FALSE),"")</f>
        <v/>
      </c>
      <c r="E589" s="1139" t="e">
        <f>_xll.BDP(G589  &amp; " Equity", "ID_ISIN", "Fill", "")</f>
        <v>#N/A</v>
      </c>
      <c r="F589" s="1132" t="str">
        <f t="shared" si="135"/>
        <v>YES</v>
      </c>
      <c r="I589" s="1133" t="e">
        <f>_xll.BDP(E589 &amp; " Equity","SECURITY_NAME")</f>
        <v>#N/A</v>
      </c>
      <c r="J589" s="1133" t="e">
        <f>_xll.BDP(G589 &amp; " Equity","Crncy")</f>
        <v>#N/A</v>
      </c>
      <c r="N589" s="1135">
        <f t="shared" si="129"/>
        <v>0</v>
      </c>
      <c r="R589" s="1100">
        <f t="shared" si="133"/>
        <v>0</v>
      </c>
      <c r="T589" s="1121" t="e">
        <f t="shared" si="134"/>
        <v>#DIV/0!</v>
      </c>
      <c r="X589" s="1089" t="e">
        <f t="shared" si="132"/>
        <v>#DIV/0!</v>
      </c>
      <c r="Y589" s="690" t="s">
        <v>1763</v>
      </c>
      <c r="Z589" s="1111" t="e">
        <f>VLOOKUP(AA589,'place of settlement'!A:C,2,FALSE)</f>
        <v>#N/A</v>
      </c>
      <c r="AA589" s="1111" t="e">
        <f t="shared" si="131"/>
        <v>#N/A</v>
      </c>
      <c r="AB589" s="1111" t="e">
        <f t="shared" si="130"/>
        <v>#N/A</v>
      </c>
      <c r="AC589" s="1111" t="e">
        <f>VLOOKUP(AB589,sample!$1:$1048576,2,FALSE)</f>
        <v>#N/A</v>
      </c>
      <c r="AD589" s="1111" t="e">
        <f>VLOOKUP($AB589,sample!$1:$1048576,3,FALSE)</f>
        <v>#N/A</v>
      </c>
      <c r="AE589" s="1104" t="e">
        <f>VLOOKUP($AB589,sample!$1:$1048576,4,FALSE)</f>
        <v>#N/A</v>
      </c>
      <c r="AF589" s="1111" t="e">
        <f>VLOOKUP($AB589,sample!$1:$1048576,5,FALSE)</f>
        <v>#N/A</v>
      </c>
      <c r="AN589" s="1104" t="e">
        <f>VLOOKUP($AB589,sample!$1:$1048576,13,FALSE)</f>
        <v>#N/A</v>
      </c>
      <c r="AP589" s="1111"/>
    </row>
    <row r="590" spans="4:42">
      <c r="D590" s="1127" t="str">
        <f>IFERROR(VLOOKUP(G590,PosAggregate!$B$13:$B$93,1,FALSE),"")</f>
        <v/>
      </c>
      <c r="E590" s="1139" t="e">
        <f>_xll.BDP(G590  &amp; " Equity", "ID_ISIN", "Fill", "")</f>
        <v>#N/A</v>
      </c>
      <c r="F590" s="1132" t="str">
        <f t="shared" si="135"/>
        <v>YES</v>
      </c>
      <c r="I590" s="1133" t="e">
        <f>_xll.BDP(E590 &amp; " Equity","SECURITY_NAME")</f>
        <v>#N/A</v>
      </c>
      <c r="J590" s="1133" t="e">
        <f>_xll.BDP(G590 &amp; " Equity","Crncy")</f>
        <v>#N/A</v>
      </c>
      <c r="N590" s="1135">
        <f t="shared" si="129"/>
        <v>0</v>
      </c>
      <c r="R590" s="1100">
        <f t="shared" si="133"/>
        <v>0</v>
      </c>
      <c r="T590" s="1121" t="e">
        <f t="shared" si="134"/>
        <v>#DIV/0!</v>
      </c>
      <c r="X590" s="1089" t="e">
        <f t="shared" si="132"/>
        <v>#DIV/0!</v>
      </c>
      <c r="Y590" s="690" t="s">
        <v>1763</v>
      </c>
      <c r="Z590" s="1111" t="e">
        <f>VLOOKUP(AA590,'place of settlement'!A:C,2,FALSE)</f>
        <v>#N/A</v>
      </c>
      <c r="AA590" s="1111" t="e">
        <f t="shared" si="131"/>
        <v>#N/A</v>
      </c>
      <c r="AB590" s="1111" t="e">
        <f t="shared" si="130"/>
        <v>#N/A</v>
      </c>
      <c r="AC590" s="1111" t="e">
        <f>VLOOKUP(AB590,sample!$1:$1048576,2,FALSE)</f>
        <v>#N/A</v>
      </c>
      <c r="AD590" s="1111" t="e">
        <f>VLOOKUP($AB590,sample!$1:$1048576,3,FALSE)</f>
        <v>#N/A</v>
      </c>
      <c r="AE590" s="1104" t="e">
        <f>VLOOKUP($AB590,sample!$1:$1048576,4,FALSE)</f>
        <v>#N/A</v>
      </c>
      <c r="AF590" s="1111" t="e">
        <f>VLOOKUP($AB590,sample!$1:$1048576,5,FALSE)</f>
        <v>#N/A</v>
      </c>
      <c r="AN590" s="1104" t="e">
        <f>VLOOKUP($AB590,sample!$1:$1048576,13,FALSE)</f>
        <v>#N/A</v>
      </c>
      <c r="AP590" s="1111"/>
    </row>
    <row r="591" spans="4:42">
      <c r="D591" s="1127" t="str">
        <f>IFERROR(VLOOKUP(G591,PosAggregate!$B$13:$B$93,1,FALSE),"")</f>
        <v/>
      </c>
      <c r="E591" s="1139" t="e">
        <f>_xll.BDP(G591  &amp; " Equity", "ID_ISIN", "Fill", "")</f>
        <v>#N/A</v>
      </c>
      <c r="F591" s="1132" t="str">
        <f t="shared" si="135"/>
        <v>YES</v>
      </c>
      <c r="I591" s="1133" t="e">
        <f>_xll.BDP(E591 &amp; " Equity","SECURITY_NAME")</f>
        <v>#N/A</v>
      </c>
      <c r="J591" s="1133" t="e">
        <f>_xll.BDP(G591 &amp; " Equity","Crncy")</f>
        <v>#N/A</v>
      </c>
      <c r="N591" s="1135">
        <f t="shared" si="129"/>
        <v>0</v>
      </c>
      <c r="R591" s="1100">
        <f t="shared" si="133"/>
        <v>0</v>
      </c>
      <c r="T591" s="1121" t="e">
        <f t="shared" si="134"/>
        <v>#DIV/0!</v>
      </c>
      <c r="X591" s="1089" t="e">
        <f t="shared" si="132"/>
        <v>#DIV/0!</v>
      </c>
      <c r="Y591" s="690" t="s">
        <v>1763</v>
      </c>
      <c r="Z591" s="1111" t="e">
        <f>VLOOKUP(AA591,'place of settlement'!A:C,2,FALSE)</f>
        <v>#N/A</v>
      </c>
      <c r="AA591" s="1111" t="e">
        <f t="shared" si="131"/>
        <v>#N/A</v>
      </c>
      <c r="AB591" s="1111" t="e">
        <f t="shared" si="130"/>
        <v>#N/A</v>
      </c>
      <c r="AC591" s="1111" t="e">
        <f>VLOOKUP(AB591,sample!$1:$1048576,2,FALSE)</f>
        <v>#N/A</v>
      </c>
      <c r="AD591" s="1111" t="e">
        <f>VLOOKUP($AB591,sample!$1:$1048576,3,FALSE)</f>
        <v>#N/A</v>
      </c>
      <c r="AE591" s="1104" t="e">
        <f>VLOOKUP($AB591,sample!$1:$1048576,4,FALSE)</f>
        <v>#N/A</v>
      </c>
      <c r="AF591" s="1111" t="e">
        <f>VLOOKUP($AB591,sample!$1:$1048576,5,FALSE)</f>
        <v>#N/A</v>
      </c>
      <c r="AN591" s="1104" t="e">
        <f>VLOOKUP($AB591,sample!$1:$1048576,13,FALSE)</f>
        <v>#N/A</v>
      </c>
      <c r="AP591" s="1111"/>
    </row>
    <row r="592" spans="4:42">
      <c r="D592" s="1127" t="str">
        <f>IFERROR(VLOOKUP(G592,PosAggregate!$B$13:$B$93,1,FALSE),"")</f>
        <v/>
      </c>
      <c r="E592" s="1139" t="e">
        <f>_xll.BDP(G592  &amp; " Equity", "ID_ISIN", "Fill", "")</f>
        <v>#N/A</v>
      </c>
      <c r="F592" s="1132" t="str">
        <f t="shared" si="135"/>
        <v>YES</v>
      </c>
      <c r="I592" s="1133" t="e">
        <f>_xll.BDP(E592 &amp; " Equity","SECURITY_NAME")</f>
        <v>#N/A</v>
      </c>
      <c r="J592" s="1133" t="e">
        <f>_xll.BDP(G592 &amp; " Equity","Crncy")</f>
        <v>#N/A</v>
      </c>
      <c r="N592" s="1135">
        <f t="shared" si="129"/>
        <v>0</v>
      </c>
      <c r="R592" s="1100">
        <f t="shared" si="133"/>
        <v>0</v>
      </c>
      <c r="T592" s="1121" t="e">
        <f t="shared" si="134"/>
        <v>#DIV/0!</v>
      </c>
      <c r="X592" s="1089" t="e">
        <f t="shared" si="132"/>
        <v>#DIV/0!</v>
      </c>
      <c r="Y592" s="690" t="s">
        <v>1763</v>
      </c>
      <c r="Z592" s="1111" t="e">
        <f>VLOOKUP(AA592,'place of settlement'!A:C,2,FALSE)</f>
        <v>#N/A</v>
      </c>
      <c r="AA592" s="1111" t="e">
        <f t="shared" si="131"/>
        <v>#N/A</v>
      </c>
      <c r="AB592" s="1111" t="e">
        <f t="shared" si="130"/>
        <v>#N/A</v>
      </c>
      <c r="AC592" s="1111" t="e">
        <f>VLOOKUP(AB592,sample!$1:$1048576,2,FALSE)</f>
        <v>#N/A</v>
      </c>
      <c r="AD592" s="1111" t="e">
        <f>VLOOKUP($AB592,sample!$1:$1048576,3,FALSE)</f>
        <v>#N/A</v>
      </c>
      <c r="AE592" s="1104" t="e">
        <f>VLOOKUP($AB592,sample!$1:$1048576,4,FALSE)</f>
        <v>#N/A</v>
      </c>
      <c r="AF592" s="1111" t="e">
        <f>VLOOKUP($AB592,sample!$1:$1048576,5,FALSE)</f>
        <v>#N/A</v>
      </c>
      <c r="AN592" s="1104" t="e">
        <f>VLOOKUP($AB592,sample!$1:$1048576,13,FALSE)</f>
        <v>#N/A</v>
      </c>
      <c r="AP592" s="1111"/>
    </row>
    <row r="593" spans="4:42">
      <c r="D593" s="1127" t="str">
        <f>IFERROR(VLOOKUP(G593,PosAggregate!$B$13:$B$93,1,FALSE),"")</f>
        <v/>
      </c>
      <c r="E593" s="1139" t="e">
        <f>_xll.BDP(G593  &amp; " Equity", "ID_ISIN", "Fill", "")</f>
        <v>#N/A</v>
      </c>
      <c r="F593" s="1132" t="str">
        <f t="shared" si="135"/>
        <v>YES</v>
      </c>
      <c r="I593" s="1133" t="e">
        <f>_xll.BDP(E593 &amp; " Equity","SECURITY_NAME")</f>
        <v>#N/A</v>
      </c>
      <c r="J593" s="1133" t="e">
        <f>_xll.BDP(G593 &amp; " Equity","Crncy")</f>
        <v>#N/A</v>
      </c>
      <c r="N593" s="1135">
        <f t="shared" si="129"/>
        <v>0</v>
      </c>
      <c r="R593" s="1100">
        <f t="shared" si="133"/>
        <v>0</v>
      </c>
      <c r="T593" s="1121" t="e">
        <f t="shared" si="134"/>
        <v>#DIV/0!</v>
      </c>
      <c r="X593" s="1089" t="e">
        <f t="shared" si="132"/>
        <v>#DIV/0!</v>
      </c>
      <c r="Y593" s="690" t="s">
        <v>1763</v>
      </c>
      <c r="Z593" s="1111" t="e">
        <f>VLOOKUP(AA593,'place of settlement'!A:C,2,FALSE)</f>
        <v>#N/A</v>
      </c>
      <c r="AA593" s="1111" t="e">
        <f t="shared" si="131"/>
        <v>#N/A</v>
      </c>
      <c r="AB593" s="1111" t="e">
        <f t="shared" si="130"/>
        <v>#N/A</v>
      </c>
      <c r="AC593" s="1111" t="e">
        <f>VLOOKUP(AB593,sample!$1:$1048576,2,FALSE)</f>
        <v>#N/A</v>
      </c>
      <c r="AD593" s="1111" t="e">
        <f>VLOOKUP($AB593,sample!$1:$1048576,3,FALSE)</f>
        <v>#N/A</v>
      </c>
      <c r="AE593" s="1104" t="e">
        <f>VLOOKUP($AB593,sample!$1:$1048576,4,FALSE)</f>
        <v>#N/A</v>
      </c>
      <c r="AF593" s="1111" t="e">
        <f>VLOOKUP($AB593,sample!$1:$1048576,5,FALSE)</f>
        <v>#N/A</v>
      </c>
      <c r="AN593" s="1104" t="e">
        <f>VLOOKUP($AB593,sample!$1:$1048576,13,FALSE)</f>
        <v>#N/A</v>
      </c>
      <c r="AP593" s="1111"/>
    </row>
    <row r="594" spans="4:42">
      <c r="D594" s="1127" t="str">
        <f>IFERROR(VLOOKUP(G594,PosAggregate!$B$13:$B$93,1,FALSE),"")</f>
        <v/>
      </c>
      <c r="E594" s="1139" t="e">
        <f>_xll.BDP(G594  &amp; " Equity", "ID_ISIN", "Fill", "")</f>
        <v>#N/A</v>
      </c>
      <c r="F594" s="1132" t="str">
        <f t="shared" si="135"/>
        <v>YES</v>
      </c>
      <c r="I594" s="1133" t="e">
        <f>_xll.BDP(E594 &amp; " Equity","SECURITY_NAME")</f>
        <v>#N/A</v>
      </c>
      <c r="J594" s="1133" t="e">
        <f>_xll.BDP(G594 &amp; " Equity","Crncy")</f>
        <v>#N/A</v>
      </c>
      <c r="N594" s="1135">
        <f t="shared" si="129"/>
        <v>0</v>
      </c>
      <c r="R594" s="1100">
        <f t="shared" si="133"/>
        <v>0</v>
      </c>
      <c r="T594" s="1121" t="e">
        <f t="shared" si="134"/>
        <v>#DIV/0!</v>
      </c>
      <c r="X594" s="1089" t="e">
        <f t="shared" si="132"/>
        <v>#DIV/0!</v>
      </c>
      <c r="Y594" s="690" t="s">
        <v>1763</v>
      </c>
      <c r="Z594" s="1111" t="e">
        <f>VLOOKUP(AA594,'place of settlement'!A:C,2,FALSE)</f>
        <v>#N/A</v>
      </c>
      <c r="AA594" s="1111" t="e">
        <f t="shared" si="131"/>
        <v>#N/A</v>
      </c>
      <c r="AB594" s="1111" t="e">
        <f t="shared" si="130"/>
        <v>#N/A</v>
      </c>
      <c r="AC594" s="1111" t="e">
        <f>VLOOKUP(AB594,sample!$1:$1048576,2,FALSE)</f>
        <v>#N/A</v>
      </c>
      <c r="AD594" s="1111" t="e">
        <f>VLOOKUP($AB594,sample!$1:$1048576,3,FALSE)</f>
        <v>#N/A</v>
      </c>
      <c r="AE594" s="1104" t="e">
        <f>VLOOKUP($AB594,sample!$1:$1048576,4,FALSE)</f>
        <v>#N/A</v>
      </c>
      <c r="AF594" s="1111" t="e">
        <f>VLOOKUP($AB594,sample!$1:$1048576,5,FALSE)</f>
        <v>#N/A</v>
      </c>
      <c r="AN594" s="1104" t="e">
        <f>VLOOKUP($AB594,sample!$1:$1048576,13,FALSE)</f>
        <v>#N/A</v>
      </c>
      <c r="AP594" s="1111"/>
    </row>
    <row r="595" spans="4:42">
      <c r="D595" s="1127" t="str">
        <f>IFERROR(VLOOKUP(G595,PosAggregate!$B$13:$B$93,1,FALSE),"")</f>
        <v/>
      </c>
      <c r="E595" s="1139" t="e">
        <f>_xll.BDP(G595  &amp; " Equity", "ID_ISIN", "Fill", "")</f>
        <v>#N/A</v>
      </c>
      <c r="F595" s="1132" t="str">
        <f t="shared" si="135"/>
        <v>YES</v>
      </c>
      <c r="I595" s="1133" t="e">
        <f>_xll.BDP(E595 &amp; " Equity","SECURITY_NAME")</f>
        <v>#N/A</v>
      </c>
      <c r="J595" s="1133" t="e">
        <f>_xll.BDP(G595 &amp; " Equity","Crncy")</f>
        <v>#N/A</v>
      </c>
      <c r="N595" s="1135">
        <f t="shared" si="129"/>
        <v>0</v>
      </c>
      <c r="R595" s="1100">
        <f t="shared" si="133"/>
        <v>0</v>
      </c>
      <c r="T595" s="1121" t="e">
        <f t="shared" si="134"/>
        <v>#DIV/0!</v>
      </c>
      <c r="X595" s="1089" t="e">
        <f t="shared" si="132"/>
        <v>#DIV/0!</v>
      </c>
      <c r="Y595" s="690" t="s">
        <v>1763</v>
      </c>
      <c r="Z595" s="1111" t="e">
        <f>VLOOKUP(AA595,'place of settlement'!A:C,2,FALSE)</f>
        <v>#N/A</v>
      </c>
      <c r="AA595" s="1111" t="e">
        <f t="shared" si="131"/>
        <v>#N/A</v>
      </c>
      <c r="AB595" s="1111" t="e">
        <f t="shared" si="130"/>
        <v>#N/A</v>
      </c>
      <c r="AC595" s="1111" t="e">
        <f>VLOOKUP(AB595,sample!$1:$1048576,2,FALSE)</f>
        <v>#N/A</v>
      </c>
      <c r="AD595" s="1111" t="e">
        <f>VLOOKUP($AB595,sample!$1:$1048576,3,FALSE)</f>
        <v>#N/A</v>
      </c>
      <c r="AE595" s="1104" t="e">
        <f>VLOOKUP($AB595,sample!$1:$1048576,4,FALSE)</f>
        <v>#N/A</v>
      </c>
      <c r="AF595" s="1111" t="e">
        <f>VLOOKUP($AB595,sample!$1:$1048576,5,FALSE)</f>
        <v>#N/A</v>
      </c>
      <c r="AN595" s="1104" t="e">
        <f>VLOOKUP($AB595,sample!$1:$1048576,13,FALSE)</f>
        <v>#N/A</v>
      </c>
      <c r="AP595" s="1111"/>
    </row>
    <row r="596" spans="4:42">
      <c r="D596" s="1127" t="str">
        <f>IFERROR(VLOOKUP(G596,PosAggregate!$B$13:$B$93,1,FALSE),"")</f>
        <v/>
      </c>
      <c r="E596" s="1139" t="e">
        <f>_xll.BDP(G596  &amp; " Equity", "ID_ISIN", "Fill", "")</f>
        <v>#N/A</v>
      </c>
      <c r="F596" s="1132" t="str">
        <f t="shared" si="135"/>
        <v>YES</v>
      </c>
      <c r="I596" s="1133" t="e">
        <f>_xll.BDP(E596 &amp; " Equity","SECURITY_NAME")</f>
        <v>#N/A</v>
      </c>
      <c r="J596" s="1133" t="e">
        <f>_xll.BDP(G596 &amp; " Equity","Crncy")</f>
        <v>#N/A</v>
      </c>
      <c r="N596" s="1135">
        <f t="shared" si="129"/>
        <v>0</v>
      </c>
      <c r="R596" s="1100">
        <f t="shared" si="133"/>
        <v>0</v>
      </c>
      <c r="T596" s="1121" t="e">
        <f t="shared" si="134"/>
        <v>#DIV/0!</v>
      </c>
      <c r="X596" s="1089" t="e">
        <f t="shared" si="132"/>
        <v>#DIV/0!</v>
      </c>
      <c r="Y596" s="690" t="s">
        <v>1763</v>
      </c>
      <c r="Z596" s="1111" t="e">
        <f>VLOOKUP(AA596,'place of settlement'!A:C,2,FALSE)</f>
        <v>#N/A</v>
      </c>
      <c r="AA596" s="1111" t="e">
        <f t="shared" si="131"/>
        <v>#N/A</v>
      </c>
      <c r="AB596" s="1111" t="e">
        <f t="shared" si="130"/>
        <v>#N/A</v>
      </c>
      <c r="AC596" s="1111" t="e">
        <f>VLOOKUP(AB596,sample!$1:$1048576,2,FALSE)</f>
        <v>#N/A</v>
      </c>
      <c r="AD596" s="1111" t="e">
        <f>VLOOKUP($AB596,sample!$1:$1048576,3,FALSE)</f>
        <v>#N/A</v>
      </c>
      <c r="AE596" s="1104" t="e">
        <f>VLOOKUP($AB596,sample!$1:$1048576,4,FALSE)</f>
        <v>#N/A</v>
      </c>
      <c r="AF596" s="1111" t="e">
        <f>VLOOKUP($AB596,sample!$1:$1048576,5,FALSE)</f>
        <v>#N/A</v>
      </c>
      <c r="AN596" s="1104" t="e">
        <f>VLOOKUP($AB596,sample!$1:$1048576,13,FALSE)</f>
        <v>#N/A</v>
      </c>
      <c r="AP596" s="1111"/>
    </row>
    <row r="597" spans="4:42">
      <c r="D597" s="1127" t="str">
        <f>IFERROR(VLOOKUP(G597,PosAggregate!$B$13:$B$93,1,FALSE),"")</f>
        <v/>
      </c>
      <c r="E597" s="1139" t="e">
        <f>_xll.BDP(G597  &amp; " Equity", "ID_ISIN", "Fill", "")</f>
        <v>#N/A</v>
      </c>
      <c r="F597" s="1132" t="str">
        <f t="shared" si="135"/>
        <v>YES</v>
      </c>
      <c r="I597" s="1133" t="e">
        <f>_xll.BDP(E597 &amp; " Equity","SECURITY_NAME")</f>
        <v>#N/A</v>
      </c>
      <c r="J597" s="1133" t="e">
        <f>_xll.BDP(G597 &amp; " Equity","Crncy")</f>
        <v>#N/A</v>
      </c>
      <c r="N597" s="1135">
        <f t="shared" ref="N597:N660" si="136">-K597*M597</f>
        <v>0</v>
      </c>
      <c r="R597" s="1100">
        <f t="shared" si="133"/>
        <v>0</v>
      </c>
      <c r="T597" s="1121" t="e">
        <f t="shared" si="134"/>
        <v>#DIV/0!</v>
      </c>
      <c r="X597" s="1089" t="e">
        <f t="shared" si="132"/>
        <v>#DIV/0!</v>
      </c>
      <c r="Y597" s="690" t="s">
        <v>1763</v>
      </c>
      <c r="Z597" s="1111" t="e">
        <f>VLOOKUP(AA597,'place of settlement'!A:C,2,FALSE)</f>
        <v>#N/A</v>
      </c>
      <c r="AA597" s="1111" t="e">
        <f t="shared" si="131"/>
        <v>#N/A</v>
      </c>
      <c r="AB597" s="1111" t="e">
        <f t="shared" si="130"/>
        <v>#N/A</v>
      </c>
      <c r="AC597" s="1111" t="e">
        <f>VLOOKUP(AB597,sample!$1:$1048576,2,FALSE)</f>
        <v>#N/A</v>
      </c>
      <c r="AD597" s="1111" t="e">
        <f>VLOOKUP($AB597,sample!$1:$1048576,3,FALSE)</f>
        <v>#N/A</v>
      </c>
      <c r="AE597" s="1104" t="e">
        <f>VLOOKUP($AB597,sample!$1:$1048576,4,FALSE)</f>
        <v>#N/A</v>
      </c>
      <c r="AF597" s="1111" t="e">
        <f>VLOOKUP($AB597,sample!$1:$1048576,5,FALSE)</f>
        <v>#N/A</v>
      </c>
      <c r="AN597" s="1104" t="e">
        <f>VLOOKUP($AB597,sample!$1:$1048576,13,FALSE)</f>
        <v>#N/A</v>
      </c>
      <c r="AP597" s="1111"/>
    </row>
    <row r="598" spans="4:42">
      <c r="D598" s="1127" t="str">
        <f>IFERROR(VLOOKUP(G598,PosAggregate!$B$13:$B$93,1,FALSE),"")</f>
        <v/>
      </c>
      <c r="E598" s="1139" t="e">
        <f>_xll.BDP(G598  &amp; " Equity", "ID_ISIN", "Fill", "")</f>
        <v>#N/A</v>
      </c>
      <c r="F598" s="1132" t="str">
        <f t="shared" si="135"/>
        <v>YES</v>
      </c>
      <c r="I598" s="1133" t="e">
        <f>_xll.BDP(E598 &amp; " Equity","SECURITY_NAME")</f>
        <v>#N/A</v>
      </c>
      <c r="J598" s="1133" t="e">
        <f>_xll.BDP(G598 &amp; " Equity","Crncy")</f>
        <v>#N/A</v>
      </c>
      <c r="N598" s="1135">
        <f t="shared" si="136"/>
        <v>0</v>
      </c>
      <c r="R598" s="1100">
        <f t="shared" si="133"/>
        <v>0</v>
      </c>
      <c r="T598" s="1121" t="e">
        <f t="shared" si="134"/>
        <v>#DIV/0!</v>
      </c>
      <c r="X598" s="1089" t="e">
        <f t="shared" si="132"/>
        <v>#DIV/0!</v>
      </c>
      <c r="Y598" s="690" t="s">
        <v>1763</v>
      </c>
      <c r="Z598" s="1111" t="e">
        <f>VLOOKUP(AA598,'place of settlement'!A:C,2,FALSE)</f>
        <v>#N/A</v>
      </c>
      <c r="AA598" s="1111" t="e">
        <f t="shared" si="131"/>
        <v>#N/A</v>
      </c>
      <c r="AB598" s="1111" t="e">
        <f t="shared" si="130"/>
        <v>#N/A</v>
      </c>
      <c r="AC598" s="1111" t="e">
        <f>VLOOKUP(AB598,sample!$1:$1048576,2,FALSE)</f>
        <v>#N/A</v>
      </c>
      <c r="AD598" s="1111" t="e">
        <f>VLOOKUP($AB598,sample!$1:$1048576,3,FALSE)</f>
        <v>#N/A</v>
      </c>
      <c r="AE598" s="1104" t="e">
        <f>VLOOKUP($AB598,sample!$1:$1048576,4,FALSE)</f>
        <v>#N/A</v>
      </c>
      <c r="AF598" s="1111" t="e">
        <f>VLOOKUP($AB598,sample!$1:$1048576,5,FALSE)</f>
        <v>#N/A</v>
      </c>
      <c r="AN598" s="1104" t="e">
        <f>VLOOKUP($AB598,sample!$1:$1048576,13,FALSE)</f>
        <v>#N/A</v>
      </c>
      <c r="AP598" s="1111"/>
    </row>
    <row r="599" spans="4:42">
      <c r="D599" s="1127" t="str">
        <f>IFERROR(VLOOKUP(G599,PosAggregate!$B$13:$B$93,1,FALSE),"")</f>
        <v/>
      </c>
      <c r="E599" s="1139" t="e">
        <f>_xll.BDP(G599  &amp; " Equity", "ID_ISIN", "Fill", "")</f>
        <v>#N/A</v>
      </c>
      <c r="F599" s="1132" t="str">
        <f t="shared" si="135"/>
        <v>YES</v>
      </c>
      <c r="I599" s="1133" t="e">
        <f>_xll.BDP(E599 &amp; " Equity","SECURITY_NAME")</f>
        <v>#N/A</v>
      </c>
      <c r="J599" s="1133" t="e">
        <f>_xll.BDP(G599 &amp; " Equity","Crncy")</f>
        <v>#N/A</v>
      </c>
      <c r="N599" s="1135">
        <f t="shared" si="136"/>
        <v>0</v>
      </c>
      <c r="R599" s="1100">
        <f t="shared" si="133"/>
        <v>0</v>
      </c>
      <c r="T599" s="1121" t="e">
        <f t="shared" si="134"/>
        <v>#DIV/0!</v>
      </c>
      <c r="X599" s="1089" t="e">
        <f t="shared" si="132"/>
        <v>#DIV/0!</v>
      </c>
      <c r="Y599" s="690" t="s">
        <v>1763</v>
      </c>
      <c r="Z599" s="1111" t="e">
        <f>VLOOKUP(AA599,'place of settlement'!A:C,2,FALSE)</f>
        <v>#N/A</v>
      </c>
      <c r="AA599" s="1111" t="e">
        <f t="shared" si="131"/>
        <v>#N/A</v>
      </c>
      <c r="AB599" s="1111" t="e">
        <f t="shared" si="130"/>
        <v>#N/A</v>
      </c>
      <c r="AC599" s="1111" t="e">
        <f>VLOOKUP(AB599,sample!$1:$1048576,2,FALSE)</f>
        <v>#N/A</v>
      </c>
      <c r="AD599" s="1111" t="e">
        <f>VLOOKUP($AB599,sample!$1:$1048576,3,FALSE)</f>
        <v>#N/A</v>
      </c>
      <c r="AE599" s="1104" t="e">
        <f>VLOOKUP($AB599,sample!$1:$1048576,4,FALSE)</f>
        <v>#N/A</v>
      </c>
      <c r="AF599" s="1111" t="e">
        <f>VLOOKUP($AB599,sample!$1:$1048576,5,FALSE)</f>
        <v>#N/A</v>
      </c>
      <c r="AN599" s="1104" t="e">
        <f>VLOOKUP($AB599,sample!$1:$1048576,13,FALSE)</f>
        <v>#N/A</v>
      </c>
      <c r="AP599" s="1111"/>
    </row>
    <row r="600" spans="4:42">
      <c r="D600" s="1127" t="str">
        <f>IFERROR(VLOOKUP(G600,PosAggregate!$B$13:$B$93,1,FALSE),"")</f>
        <v/>
      </c>
      <c r="E600" s="1139" t="e">
        <f>_xll.BDP(G600  &amp; " Equity", "ID_ISIN", "Fill", "")</f>
        <v>#N/A</v>
      </c>
      <c r="F600" s="1132" t="str">
        <f t="shared" si="135"/>
        <v>YES</v>
      </c>
      <c r="I600" s="1133" t="e">
        <f>_xll.BDP(E600 &amp; " Equity","SECURITY_NAME")</f>
        <v>#N/A</v>
      </c>
      <c r="J600" s="1133" t="e">
        <f>_xll.BDP(G600 &amp; " Equity","Crncy")</f>
        <v>#N/A</v>
      </c>
      <c r="N600" s="1135">
        <f t="shared" si="136"/>
        <v>0</v>
      </c>
      <c r="R600" s="1100">
        <f t="shared" si="133"/>
        <v>0</v>
      </c>
      <c r="T600" s="1121" t="e">
        <f t="shared" si="134"/>
        <v>#DIV/0!</v>
      </c>
      <c r="X600" s="1089" t="e">
        <f t="shared" si="132"/>
        <v>#DIV/0!</v>
      </c>
      <c r="Y600" s="690" t="s">
        <v>1763</v>
      </c>
      <c r="Z600" s="1111" t="e">
        <f>VLOOKUP(AA600,'place of settlement'!A:C,2,FALSE)</f>
        <v>#N/A</v>
      </c>
      <c r="AA600" s="1111" t="e">
        <f t="shared" si="131"/>
        <v>#N/A</v>
      </c>
      <c r="AB600" s="1111" t="e">
        <f t="shared" si="130"/>
        <v>#N/A</v>
      </c>
      <c r="AC600" s="1111" t="e">
        <f>VLOOKUP(AB600,sample!$1:$1048576,2,FALSE)</f>
        <v>#N/A</v>
      </c>
      <c r="AD600" s="1111" t="e">
        <f>VLOOKUP($AB600,sample!$1:$1048576,3,FALSE)</f>
        <v>#N/A</v>
      </c>
      <c r="AE600" s="1104" t="e">
        <f>VLOOKUP($AB600,sample!$1:$1048576,4,FALSE)</f>
        <v>#N/A</v>
      </c>
      <c r="AF600" s="1111" t="e">
        <f>VLOOKUP($AB600,sample!$1:$1048576,5,FALSE)</f>
        <v>#N/A</v>
      </c>
      <c r="AN600" s="1104" t="e">
        <f>VLOOKUP($AB600,sample!$1:$1048576,13,FALSE)</f>
        <v>#N/A</v>
      </c>
      <c r="AP600" s="1111"/>
    </row>
    <row r="601" spans="4:42">
      <c r="D601" s="1127" t="str">
        <f>IFERROR(VLOOKUP(G601,PosAggregate!$B$13:$B$93,1,FALSE),"")</f>
        <v/>
      </c>
      <c r="E601" s="1139" t="e">
        <f>_xll.BDP(G601  &amp; " Equity", "ID_ISIN", "Fill", "")</f>
        <v>#N/A</v>
      </c>
      <c r="F601" s="1132" t="str">
        <f t="shared" si="135"/>
        <v>YES</v>
      </c>
      <c r="I601" s="1133" t="e">
        <f>_xll.BDP(E601 &amp; " Equity","SECURITY_NAME")</f>
        <v>#N/A</v>
      </c>
      <c r="J601" s="1133" t="e">
        <f>_xll.BDP(G601 &amp; " Equity","Crncy")</f>
        <v>#N/A</v>
      </c>
      <c r="N601" s="1135">
        <f t="shared" si="136"/>
        <v>0</v>
      </c>
      <c r="R601" s="1100">
        <f t="shared" si="133"/>
        <v>0</v>
      </c>
      <c r="T601" s="1121" t="e">
        <f t="shared" si="134"/>
        <v>#DIV/0!</v>
      </c>
      <c r="X601" s="1089" t="e">
        <f t="shared" si="132"/>
        <v>#DIV/0!</v>
      </c>
      <c r="Y601" s="690" t="s">
        <v>1763</v>
      </c>
      <c r="Z601" s="1111" t="e">
        <f>VLOOKUP(AA601,'place of settlement'!A:C,2,FALSE)</f>
        <v>#N/A</v>
      </c>
      <c r="AA601" s="1111" t="e">
        <f t="shared" si="131"/>
        <v>#N/A</v>
      </c>
      <c r="AB601" s="1111" t="e">
        <f t="shared" si="130"/>
        <v>#N/A</v>
      </c>
      <c r="AC601" s="1111" t="e">
        <f>VLOOKUP(AB601,sample!$1:$1048576,2,FALSE)</f>
        <v>#N/A</v>
      </c>
      <c r="AD601" s="1111" t="e">
        <f>VLOOKUP($AB601,sample!$1:$1048576,3,FALSE)</f>
        <v>#N/A</v>
      </c>
      <c r="AE601" s="1104" t="e">
        <f>VLOOKUP($AB601,sample!$1:$1048576,4,FALSE)</f>
        <v>#N/A</v>
      </c>
      <c r="AF601" s="1111" t="e">
        <f>VLOOKUP($AB601,sample!$1:$1048576,5,FALSE)</f>
        <v>#N/A</v>
      </c>
      <c r="AN601" s="1104" t="e">
        <f>VLOOKUP($AB601,sample!$1:$1048576,13,FALSE)</f>
        <v>#N/A</v>
      </c>
      <c r="AP601" s="1111"/>
    </row>
    <row r="602" spans="4:42">
      <c r="D602" s="1127" t="str">
        <f>IFERROR(VLOOKUP(G602,PosAggregate!$B$13:$B$93,1,FALSE),"")</f>
        <v/>
      </c>
      <c r="E602" s="1139" t="e">
        <f>_xll.BDP(G602  &amp; " Equity", "ID_ISIN", "Fill", "")</f>
        <v>#N/A</v>
      </c>
      <c r="F602" s="1132" t="str">
        <f t="shared" si="135"/>
        <v>YES</v>
      </c>
      <c r="I602" s="1133" t="e">
        <f>_xll.BDP(E602 &amp; " Equity","SECURITY_NAME")</f>
        <v>#N/A</v>
      </c>
      <c r="J602" s="1133" t="e">
        <f>_xll.BDP(G602 &amp; " Equity","Crncy")</f>
        <v>#N/A</v>
      </c>
      <c r="N602" s="1135">
        <f t="shared" si="136"/>
        <v>0</v>
      </c>
      <c r="R602" s="1100">
        <f t="shared" si="133"/>
        <v>0</v>
      </c>
      <c r="T602" s="1121" t="e">
        <f t="shared" si="134"/>
        <v>#DIV/0!</v>
      </c>
      <c r="X602" s="1089" t="e">
        <f t="shared" si="132"/>
        <v>#DIV/0!</v>
      </c>
      <c r="Y602" s="690" t="s">
        <v>1763</v>
      </c>
      <c r="Z602" s="1111" t="e">
        <f>VLOOKUP(AA602,'place of settlement'!A:C,2,FALSE)</f>
        <v>#N/A</v>
      </c>
      <c r="AA602" s="1111" t="e">
        <f t="shared" si="131"/>
        <v>#N/A</v>
      </c>
      <c r="AB602" s="1111" t="e">
        <f t="shared" si="130"/>
        <v>#N/A</v>
      </c>
      <c r="AC602" s="1111" t="e">
        <f>VLOOKUP(AB602,sample!$1:$1048576,2,FALSE)</f>
        <v>#N/A</v>
      </c>
      <c r="AD602" s="1111" t="e">
        <f>VLOOKUP($AB602,sample!$1:$1048576,3,FALSE)</f>
        <v>#N/A</v>
      </c>
      <c r="AE602" s="1104" t="e">
        <f>VLOOKUP($AB602,sample!$1:$1048576,4,FALSE)</f>
        <v>#N/A</v>
      </c>
      <c r="AF602" s="1111" t="e">
        <f>VLOOKUP($AB602,sample!$1:$1048576,5,FALSE)</f>
        <v>#N/A</v>
      </c>
      <c r="AN602" s="1104" t="e">
        <f>VLOOKUP($AB602,sample!$1:$1048576,13,FALSE)</f>
        <v>#N/A</v>
      </c>
      <c r="AP602" s="1111"/>
    </row>
    <row r="603" spans="4:42">
      <c r="D603" s="1127" t="str">
        <f>IFERROR(VLOOKUP(G603,PosAggregate!$B$13:$B$93,1,FALSE),"")</f>
        <v/>
      </c>
      <c r="E603" s="1139" t="e">
        <f>_xll.BDP(G603  &amp; " Equity", "ID_ISIN", "Fill", "")</f>
        <v>#N/A</v>
      </c>
      <c r="F603" s="1132" t="str">
        <f t="shared" si="135"/>
        <v>YES</v>
      </c>
      <c r="I603" s="1133" t="e">
        <f>_xll.BDP(E603 &amp; " Equity","SECURITY_NAME")</f>
        <v>#N/A</v>
      </c>
      <c r="J603" s="1133" t="e">
        <f>_xll.BDP(G603 &amp; " Equity","Crncy")</f>
        <v>#N/A</v>
      </c>
      <c r="N603" s="1135">
        <f t="shared" si="136"/>
        <v>0</v>
      </c>
      <c r="R603" s="1100">
        <f t="shared" si="133"/>
        <v>0</v>
      </c>
      <c r="T603" s="1121" t="e">
        <f t="shared" si="134"/>
        <v>#DIV/0!</v>
      </c>
      <c r="X603" s="1089" t="e">
        <f t="shared" si="132"/>
        <v>#DIV/0!</v>
      </c>
      <c r="Y603" s="690" t="s">
        <v>1763</v>
      </c>
      <c r="Z603" s="1111" t="e">
        <f>VLOOKUP(AA603,'place of settlement'!A:C,2,FALSE)</f>
        <v>#N/A</v>
      </c>
      <c r="AA603" s="1111" t="e">
        <f t="shared" ref="AA603:AA666" si="137">LEFT(E603,2)</f>
        <v>#N/A</v>
      </c>
      <c r="AB603" s="1111" t="e">
        <f t="shared" ref="AB603:AB666" si="138">CONCATENATE(V603,AA603)</f>
        <v>#N/A</v>
      </c>
      <c r="AC603" s="1111" t="e">
        <f>VLOOKUP(AB603,sample!$1:$1048576,2,FALSE)</f>
        <v>#N/A</v>
      </c>
      <c r="AD603" s="1111" t="e">
        <f>VLOOKUP($AB603,sample!$1:$1048576,3,FALSE)</f>
        <v>#N/A</v>
      </c>
      <c r="AE603" s="1104" t="e">
        <f>VLOOKUP($AB603,sample!$1:$1048576,4,FALSE)</f>
        <v>#N/A</v>
      </c>
      <c r="AF603" s="1111" t="e">
        <f>VLOOKUP($AB603,sample!$1:$1048576,5,FALSE)</f>
        <v>#N/A</v>
      </c>
      <c r="AN603" s="1104" t="e">
        <f>VLOOKUP($AB603,sample!$1:$1048576,13,FALSE)</f>
        <v>#N/A</v>
      </c>
      <c r="AP603" s="1111"/>
    </row>
    <row r="604" spans="4:42">
      <c r="D604" s="1127" t="str">
        <f>IFERROR(VLOOKUP(G604,PosAggregate!$B$13:$B$93,1,FALSE),"")</f>
        <v/>
      </c>
      <c r="E604" s="1139" t="e">
        <f>_xll.BDP(G604  &amp; " Equity", "ID_ISIN", "Fill", "")</f>
        <v>#N/A</v>
      </c>
      <c r="F604" s="1132" t="str">
        <f t="shared" si="135"/>
        <v>YES</v>
      </c>
      <c r="I604" s="1133" t="e">
        <f>_xll.BDP(E604 &amp; " Equity","SECURITY_NAME")</f>
        <v>#N/A</v>
      </c>
      <c r="J604" s="1133" t="e">
        <f>_xll.BDP(G604 &amp; " Equity","Crncy")</f>
        <v>#N/A</v>
      </c>
      <c r="N604" s="1135">
        <f t="shared" si="136"/>
        <v>0</v>
      </c>
      <c r="R604" s="1100">
        <f t="shared" si="133"/>
        <v>0</v>
      </c>
      <c r="T604" s="1121" t="e">
        <f t="shared" si="134"/>
        <v>#DIV/0!</v>
      </c>
      <c r="X604" s="1089" t="e">
        <f t="shared" si="132"/>
        <v>#DIV/0!</v>
      </c>
      <c r="Y604" s="690" t="s">
        <v>1763</v>
      </c>
      <c r="Z604" s="1111" t="e">
        <f>VLOOKUP(AA604,'place of settlement'!A:C,2,FALSE)</f>
        <v>#N/A</v>
      </c>
      <c r="AA604" s="1111" t="e">
        <f t="shared" si="137"/>
        <v>#N/A</v>
      </c>
      <c r="AB604" s="1111" t="e">
        <f t="shared" si="138"/>
        <v>#N/A</v>
      </c>
      <c r="AC604" s="1111" t="e">
        <f>VLOOKUP(AB604,sample!$1:$1048576,2,FALSE)</f>
        <v>#N/A</v>
      </c>
      <c r="AD604" s="1111" t="e">
        <f>VLOOKUP($AB604,sample!$1:$1048576,3,FALSE)</f>
        <v>#N/A</v>
      </c>
      <c r="AE604" s="1104" t="e">
        <f>VLOOKUP($AB604,sample!$1:$1048576,4,FALSE)</f>
        <v>#N/A</v>
      </c>
      <c r="AF604" s="1111" t="e">
        <f>VLOOKUP($AB604,sample!$1:$1048576,5,FALSE)</f>
        <v>#N/A</v>
      </c>
      <c r="AN604" s="1104" t="e">
        <f>VLOOKUP($AB604,sample!$1:$1048576,13,FALSE)</f>
        <v>#N/A</v>
      </c>
      <c r="AP604" s="1111"/>
    </row>
    <row r="605" spans="4:42">
      <c r="D605" s="1127" t="str">
        <f>IFERROR(VLOOKUP(G605,PosAggregate!$B$13:$B$93,1,FALSE),"")</f>
        <v/>
      </c>
      <c r="E605" s="1139" t="e">
        <f>_xll.BDP(G605  &amp; " Equity", "ID_ISIN", "Fill", "")</f>
        <v>#N/A</v>
      </c>
      <c r="F605" s="1132" t="str">
        <f t="shared" si="135"/>
        <v>YES</v>
      </c>
      <c r="I605" s="1133" t="e">
        <f>_xll.BDP(E605 &amp; " Equity","SECURITY_NAME")</f>
        <v>#N/A</v>
      </c>
      <c r="J605" s="1133" t="e">
        <f>_xll.BDP(G605 &amp; " Equity","Crncy")</f>
        <v>#N/A</v>
      </c>
      <c r="N605" s="1135">
        <f t="shared" si="136"/>
        <v>0</v>
      </c>
      <c r="R605" s="1100">
        <f t="shared" si="133"/>
        <v>0</v>
      </c>
      <c r="T605" s="1121" t="e">
        <f t="shared" si="134"/>
        <v>#DIV/0!</v>
      </c>
      <c r="X605" s="1089" t="e">
        <f t="shared" si="132"/>
        <v>#DIV/0!</v>
      </c>
      <c r="Y605" s="690" t="s">
        <v>1763</v>
      </c>
      <c r="Z605" s="1111" t="e">
        <f>VLOOKUP(AA605,'place of settlement'!A:C,2,FALSE)</f>
        <v>#N/A</v>
      </c>
      <c r="AA605" s="1111" t="e">
        <f t="shared" si="137"/>
        <v>#N/A</v>
      </c>
      <c r="AB605" s="1111" t="e">
        <f t="shared" si="138"/>
        <v>#N/A</v>
      </c>
      <c r="AC605" s="1111" t="e">
        <f>VLOOKUP(AB605,sample!$1:$1048576,2,FALSE)</f>
        <v>#N/A</v>
      </c>
      <c r="AD605" s="1111" t="e">
        <f>VLOOKUP($AB605,sample!$1:$1048576,3,FALSE)</f>
        <v>#N/A</v>
      </c>
      <c r="AE605" s="1104" t="e">
        <f>VLOOKUP($AB605,sample!$1:$1048576,4,FALSE)</f>
        <v>#N/A</v>
      </c>
      <c r="AF605" s="1111" t="e">
        <f>VLOOKUP($AB605,sample!$1:$1048576,5,FALSE)</f>
        <v>#N/A</v>
      </c>
      <c r="AN605" s="1104" t="e">
        <f>VLOOKUP($AB605,sample!$1:$1048576,13,FALSE)</f>
        <v>#N/A</v>
      </c>
      <c r="AP605" s="1111"/>
    </row>
    <row r="606" spans="4:42">
      <c r="D606" s="1127" t="str">
        <f>IFERROR(VLOOKUP(G606,PosAggregate!$B$13:$B$93,1,FALSE),"")</f>
        <v/>
      </c>
      <c r="E606" s="1139" t="e">
        <f>_xll.BDP(G606  &amp; " Equity", "ID_ISIN", "Fill", "")</f>
        <v>#N/A</v>
      </c>
      <c r="F606" s="1132" t="str">
        <f t="shared" si="135"/>
        <v>YES</v>
      </c>
      <c r="I606" s="1133" t="e">
        <f>_xll.BDP(E606 &amp; " Equity","SECURITY_NAME")</f>
        <v>#N/A</v>
      </c>
      <c r="J606" s="1133" t="e">
        <f>_xll.BDP(G606 &amp; " Equity","Crncy")</f>
        <v>#N/A</v>
      </c>
      <c r="N606" s="1135">
        <f t="shared" si="136"/>
        <v>0</v>
      </c>
      <c r="R606" s="1100">
        <f t="shared" si="133"/>
        <v>0</v>
      </c>
      <c r="T606" s="1121" t="e">
        <f t="shared" si="134"/>
        <v>#DIV/0!</v>
      </c>
      <c r="X606" s="1089" t="e">
        <f t="shared" si="132"/>
        <v>#DIV/0!</v>
      </c>
      <c r="Y606" s="690" t="s">
        <v>1763</v>
      </c>
      <c r="Z606" s="1111" t="e">
        <f>VLOOKUP(AA606,'place of settlement'!A:C,2,FALSE)</f>
        <v>#N/A</v>
      </c>
      <c r="AA606" s="1111" t="e">
        <f t="shared" si="137"/>
        <v>#N/A</v>
      </c>
      <c r="AB606" s="1111" t="e">
        <f t="shared" si="138"/>
        <v>#N/A</v>
      </c>
      <c r="AC606" s="1111" t="e">
        <f>VLOOKUP(AB606,sample!$1:$1048576,2,FALSE)</f>
        <v>#N/A</v>
      </c>
      <c r="AD606" s="1111" t="e">
        <f>VLOOKUP($AB606,sample!$1:$1048576,3,FALSE)</f>
        <v>#N/A</v>
      </c>
      <c r="AE606" s="1104" t="e">
        <f>VLOOKUP($AB606,sample!$1:$1048576,4,FALSE)</f>
        <v>#N/A</v>
      </c>
      <c r="AF606" s="1111" t="e">
        <f>VLOOKUP($AB606,sample!$1:$1048576,5,FALSE)</f>
        <v>#N/A</v>
      </c>
      <c r="AN606" s="1104" t="e">
        <f>VLOOKUP($AB606,sample!$1:$1048576,13,FALSE)</f>
        <v>#N/A</v>
      </c>
      <c r="AP606" s="1111"/>
    </row>
    <row r="607" spans="4:42">
      <c r="D607" s="1127" t="str">
        <f>IFERROR(VLOOKUP(G607,PosAggregate!$B$13:$B$93,1,FALSE),"")</f>
        <v/>
      </c>
      <c r="E607" s="1139" t="e">
        <f>_xll.BDP(G607  &amp; " Equity", "ID_ISIN", "Fill", "")</f>
        <v>#N/A</v>
      </c>
      <c r="F607" s="1132" t="str">
        <f t="shared" si="135"/>
        <v>YES</v>
      </c>
      <c r="I607" s="1133" t="e">
        <f>_xll.BDP(E607 &amp; " Equity","SECURITY_NAME")</f>
        <v>#N/A</v>
      </c>
      <c r="J607" s="1133" t="e">
        <f>_xll.BDP(G607 &amp; " Equity","Crncy")</f>
        <v>#N/A</v>
      </c>
      <c r="N607" s="1135">
        <f t="shared" si="136"/>
        <v>0</v>
      </c>
      <c r="R607" s="1100">
        <f t="shared" si="133"/>
        <v>0</v>
      </c>
      <c r="T607" s="1121" t="e">
        <f t="shared" si="134"/>
        <v>#DIV/0!</v>
      </c>
      <c r="X607" s="1089" t="e">
        <f t="shared" si="132"/>
        <v>#DIV/0!</v>
      </c>
      <c r="Y607" s="690" t="s">
        <v>1763</v>
      </c>
      <c r="Z607" s="1111" t="e">
        <f>VLOOKUP(AA607,'place of settlement'!A:C,2,FALSE)</f>
        <v>#N/A</v>
      </c>
      <c r="AA607" s="1111" t="e">
        <f t="shared" si="137"/>
        <v>#N/A</v>
      </c>
      <c r="AB607" s="1111" t="e">
        <f t="shared" si="138"/>
        <v>#N/A</v>
      </c>
      <c r="AC607" s="1111" t="e">
        <f>VLOOKUP(AB607,sample!$1:$1048576,2,FALSE)</f>
        <v>#N/A</v>
      </c>
      <c r="AD607" s="1111" t="e">
        <f>VLOOKUP($AB607,sample!$1:$1048576,3,FALSE)</f>
        <v>#N/A</v>
      </c>
      <c r="AE607" s="1104" t="e">
        <f>VLOOKUP($AB607,sample!$1:$1048576,4,FALSE)</f>
        <v>#N/A</v>
      </c>
      <c r="AF607" s="1111" t="e">
        <f>VLOOKUP($AB607,sample!$1:$1048576,5,FALSE)</f>
        <v>#N/A</v>
      </c>
      <c r="AN607" s="1104" t="e">
        <f>VLOOKUP($AB607,sample!$1:$1048576,13,FALSE)</f>
        <v>#N/A</v>
      </c>
      <c r="AP607" s="1111"/>
    </row>
    <row r="608" spans="4:42">
      <c r="D608" s="1127" t="str">
        <f>IFERROR(VLOOKUP(G608,PosAggregate!$B$13:$B$93,1,FALSE),"")</f>
        <v/>
      </c>
      <c r="E608" s="1139" t="e">
        <f>_xll.BDP(G608  &amp; " Equity", "ID_ISIN", "Fill", "")</f>
        <v>#N/A</v>
      </c>
      <c r="F608" s="1132" t="str">
        <f t="shared" si="135"/>
        <v>YES</v>
      </c>
      <c r="I608" s="1133" t="e">
        <f>_xll.BDP(E608 &amp; " Equity","SECURITY_NAME")</f>
        <v>#N/A</v>
      </c>
      <c r="J608" s="1133" t="e">
        <f>_xll.BDP(G608 &amp; " Equity","Crncy")</f>
        <v>#N/A</v>
      </c>
      <c r="N608" s="1135">
        <f t="shared" si="136"/>
        <v>0</v>
      </c>
      <c r="R608" s="1100">
        <f t="shared" si="133"/>
        <v>0</v>
      </c>
      <c r="T608" s="1121" t="e">
        <f t="shared" si="134"/>
        <v>#DIV/0!</v>
      </c>
      <c r="X608" s="1089" t="e">
        <f t="shared" si="132"/>
        <v>#DIV/0!</v>
      </c>
      <c r="Y608" s="690" t="s">
        <v>1763</v>
      </c>
      <c r="Z608" s="1111" t="e">
        <f>VLOOKUP(AA608,'place of settlement'!A:C,2,FALSE)</f>
        <v>#N/A</v>
      </c>
      <c r="AA608" s="1111" t="e">
        <f t="shared" si="137"/>
        <v>#N/A</v>
      </c>
      <c r="AB608" s="1111" t="e">
        <f t="shared" si="138"/>
        <v>#N/A</v>
      </c>
      <c r="AC608" s="1111" t="e">
        <f>VLOOKUP(AB608,sample!$1:$1048576,2,FALSE)</f>
        <v>#N/A</v>
      </c>
      <c r="AD608" s="1111" t="e">
        <f>VLOOKUP($AB608,sample!$1:$1048576,3,FALSE)</f>
        <v>#N/A</v>
      </c>
      <c r="AE608" s="1104" t="e">
        <f>VLOOKUP($AB608,sample!$1:$1048576,4,FALSE)</f>
        <v>#N/A</v>
      </c>
      <c r="AF608" s="1111" t="e">
        <f>VLOOKUP($AB608,sample!$1:$1048576,5,FALSE)</f>
        <v>#N/A</v>
      </c>
      <c r="AN608" s="1104" t="e">
        <f>VLOOKUP($AB608,sample!$1:$1048576,13,FALSE)</f>
        <v>#N/A</v>
      </c>
      <c r="AP608" s="1111"/>
    </row>
    <row r="609" spans="4:42">
      <c r="D609" s="1127" t="str">
        <f>IFERROR(VLOOKUP(G609,PosAggregate!$B$13:$B$93,1,FALSE),"")</f>
        <v/>
      </c>
      <c r="E609" s="1139" t="e">
        <f>_xll.BDP(G609  &amp; " Equity", "ID_ISIN", "Fill", "")</f>
        <v>#N/A</v>
      </c>
      <c r="F609" s="1132" t="str">
        <f t="shared" si="135"/>
        <v>YES</v>
      </c>
      <c r="I609" s="1133" t="e">
        <f>_xll.BDP(E609 &amp; " Equity","SECURITY_NAME")</f>
        <v>#N/A</v>
      </c>
      <c r="J609" s="1133" t="e">
        <f>_xll.BDP(G609 &amp; " Equity","Crncy")</f>
        <v>#N/A</v>
      </c>
      <c r="N609" s="1135">
        <f t="shared" si="136"/>
        <v>0</v>
      </c>
      <c r="R609" s="1100">
        <f t="shared" si="133"/>
        <v>0</v>
      </c>
      <c r="T609" s="1121" t="e">
        <f t="shared" si="134"/>
        <v>#DIV/0!</v>
      </c>
      <c r="X609" s="1089" t="e">
        <f t="shared" si="132"/>
        <v>#DIV/0!</v>
      </c>
      <c r="Y609" s="690" t="s">
        <v>1763</v>
      </c>
      <c r="Z609" s="1111" t="e">
        <f>VLOOKUP(AA609,'place of settlement'!A:C,2,FALSE)</f>
        <v>#N/A</v>
      </c>
      <c r="AA609" s="1111" t="e">
        <f t="shared" si="137"/>
        <v>#N/A</v>
      </c>
      <c r="AB609" s="1111" t="e">
        <f t="shared" si="138"/>
        <v>#N/A</v>
      </c>
      <c r="AC609" s="1111" t="e">
        <f>VLOOKUP(AB609,sample!$1:$1048576,2,FALSE)</f>
        <v>#N/A</v>
      </c>
      <c r="AD609" s="1111" t="e">
        <f>VLOOKUP($AB609,sample!$1:$1048576,3,FALSE)</f>
        <v>#N/A</v>
      </c>
      <c r="AE609" s="1104" t="e">
        <f>VLOOKUP($AB609,sample!$1:$1048576,4,FALSE)</f>
        <v>#N/A</v>
      </c>
      <c r="AF609" s="1111" t="e">
        <f>VLOOKUP($AB609,sample!$1:$1048576,5,FALSE)</f>
        <v>#N/A</v>
      </c>
      <c r="AN609" s="1104" t="e">
        <f>VLOOKUP($AB609,sample!$1:$1048576,13,FALSE)</f>
        <v>#N/A</v>
      </c>
      <c r="AP609" s="1111"/>
    </row>
    <row r="610" spans="4:42">
      <c r="D610" s="1127" t="str">
        <f>IFERROR(VLOOKUP(G610,PosAggregate!$B$13:$B$93,1,FALSE),"")</f>
        <v/>
      </c>
      <c r="E610" s="1139" t="e">
        <f>_xll.BDP(G610  &amp; " Equity", "ID_ISIN", "Fill", "")</f>
        <v>#N/A</v>
      </c>
      <c r="F610" s="1132" t="str">
        <f t="shared" si="135"/>
        <v>YES</v>
      </c>
      <c r="I610" s="1133" t="e">
        <f>_xll.BDP(E610 &amp; " Equity","SECURITY_NAME")</f>
        <v>#N/A</v>
      </c>
      <c r="J610" s="1133" t="e">
        <f>_xll.BDP(G610 &amp; " Equity","Crncy")</f>
        <v>#N/A</v>
      </c>
      <c r="N610" s="1135">
        <f t="shared" si="136"/>
        <v>0</v>
      </c>
      <c r="R610" s="1100">
        <f t="shared" si="133"/>
        <v>0</v>
      </c>
      <c r="T610" s="1121" t="e">
        <f t="shared" si="134"/>
        <v>#DIV/0!</v>
      </c>
      <c r="X610" s="1089" t="e">
        <f t="shared" si="132"/>
        <v>#DIV/0!</v>
      </c>
      <c r="Y610" s="690" t="s">
        <v>1763</v>
      </c>
      <c r="Z610" s="1111" t="e">
        <f>VLOOKUP(AA610,'place of settlement'!A:C,2,FALSE)</f>
        <v>#N/A</v>
      </c>
      <c r="AA610" s="1111" t="e">
        <f t="shared" si="137"/>
        <v>#N/A</v>
      </c>
      <c r="AB610" s="1111" t="e">
        <f t="shared" si="138"/>
        <v>#N/A</v>
      </c>
      <c r="AC610" s="1111" t="e">
        <f>VLOOKUP(AB610,sample!$1:$1048576,2,FALSE)</f>
        <v>#N/A</v>
      </c>
      <c r="AD610" s="1111" t="e">
        <f>VLOOKUP($AB610,sample!$1:$1048576,3,FALSE)</f>
        <v>#N/A</v>
      </c>
      <c r="AE610" s="1104" t="e">
        <f>VLOOKUP($AB610,sample!$1:$1048576,4,FALSE)</f>
        <v>#N/A</v>
      </c>
      <c r="AF610" s="1111" t="e">
        <f>VLOOKUP($AB610,sample!$1:$1048576,5,FALSE)</f>
        <v>#N/A</v>
      </c>
      <c r="AN610" s="1104" t="e">
        <f>VLOOKUP($AB610,sample!$1:$1048576,13,FALSE)</f>
        <v>#N/A</v>
      </c>
      <c r="AP610" s="1111"/>
    </row>
    <row r="611" spans="4:42">
      <c r="D611" s="1127" t="str">
        <f>IFERROR(VLOOKUP(G611,PosAggregate!$B$13:$B$93,1,FALSE),"")</f>
        <v/>
      </c>
      <c r="E611" s="1139" t="e">
        <f>_xll.BDP(G611  &amp; " Equity", "ID_ISIN", "Fill", "")</f>
        <v>#N/A</v>
      </c>
      <c r="F611" s="1132" t="str">
        <f t="shared" si="135"/>
        <v>YES</v>
      </c>
      <c r="I611" s="1133" t="e">
        <f>_xll.BDP(E611 &amp; " Equity","SECURITY_NAME")</f>
        <v>#N/A</v>
      </c>
      <c r="J611" s="1133" t="e">
        <f>_xll.BDP(G611 &amp; " Equity","Crncy")</f>
        <v>#N/A</v>
      </c>
      <c r="N611" s="1135">
        <f t="shared" si="136"/>
        <v>0</v>
      </c>
      <c r="R611" s="1100">
        <f t="shared" si="133"/>
        <v>0</v>
      </c>
      <c r="T611" s="1121" t="e">
        <f t="shared" si="134"/>
        <v>#DIV/0!</v>
      </c>
      <c r="X611" s="1089" t="e">
        <f t="shared" si="132"/>
        <v>#DIV/0!</v>
      </c>
      <c r="Y611" s="690" t="s">
        <v>1763</v>
      </c>
      <c r="Z611" s="1111" t="e">
        <f>VLOOKUP(AA611,'place of settlement'!A:C,2,FALSE)</f>
        <v>#N/A</v>
      </c>
      <c r="AA611" s="1111" t="e">
        <f t="shared" si="137"/>
        <v>#N/A</v>
      </c>
      <c r="AB611" s="1111" t="e">
        <f t="shared" si="138"/>
        <v>#N/A</v>
      </c>
      <c r="AC611" s="1111" t="e">
        <f>VLOOKUP(AB611,sample!$1:$1048576,2,FALSE)</f>
        <v>#N/A</v>
      </c>
      <c r="AD611" s="1111" t="e">
        <f>VLOOKUP($AB611,sample!$1:$1048576,3,FALSE)</f>
        <v>#N/A</v>
      </c>
      <c r="AE611" s="1104" t="e">
        <f>VLOOKUP($AB611,sample!$1:$1048576,4,FALSE)</f>
        <v>#N/A</v>
      </c>
      <c r="AF611" s="1111" t="e">
        <f>VLOOKUP($AB611,sample!$1:$1048576,5,FALSE)</f>
        <v>#N/A</v>
      </c>
      <c r="AN611" s="1104" t="e">
        <f>VLOOKUP($AB611,sample!$1:$1048576,13,FALSE)</f>
        <v>#N/A</v>
      </c>
      <c r="AP611" s="1111"/>
    </row>
    <row r="612" spans="4:42">
      <c r="D612" s="1127" t="str">
        <f>IFERROR(VLOOKUP(G612,PosAggregate!$B$13:$B$93,1,FALSE),"")</f>
        <v/>
      </c>
      <c r="E612" s="1139" t="e">
        <f>_xll.BDP(G612  &amp; " Equity", "ID_ISIN", "Fill", "")</f>
        <v>#N/A</v>
      </c>
      <c r="F612" s="1132" t="str">
        <f t="shared" si="135"/>
        <v>YES</v>
      </c>
      <c r="I612" s="1133" t="e">
        <f>_xll.BDP(E612 &amp; " Equity","SECURITY_NAME")</f>
        <v>#N/A</v>
      </c>
      <c r="J612" s="1133" t="e">
        <f>_xll.BDP(G612 &amp; " Equity","Crncy")</f>
        <v>#N/A</v>
      </c>
      <c r="N612" s="1135">
        <f t="shared" si="136"/>
        <v>0</v>
      </c>
      <c r="R612" s="1100">
        <f t="shared" si="133"/>
        <v>0</v>
      </c>
      <c r="T612" s="1121" t="e">
        <f t="shared" si="134"/>
        <v>#DIV/0!</v>
      </c>
      <c r="X612" s="1089" t="e">
        <f t="shared" si="132"/>
        <v>#DIV/0!</v>
      </c>
      <c r="Y612" s="690" t="s">
        <v>1763</v>
      </c>
      <c r="Z612" s="1111" t="e">
        <f>VLOOKUP(AA612,'place of settlement'!A:C,2,FALSE)</f>
        <v>#N/A</v>
      </c>
      <c r="AA612" s="1111" t="e">
        <f t="shared" si="137"/>
        <v>#N/A</v>
      </c>
      <c r="AB612" s="1111" t="e">
        <f t="shared" si="138"/>
        <v>#N/A</v>
      </c>
      <c r="AC612" s="1111" t="e">
        <f>VLOOKUP(AB612,sample!$1:$1048576,2,FALSE)</f>
        <v>#N/A</v>
      </c>
      <c r="AD612" s="1111" t="e">
        <f>VLOOKUP($AB612,sample!$1:$1048576,3,FALSE)</f>
        <v>#N/A</v>
      </c>
      <c r="AE612" s="1104" t="e">
        <f>VLOOKUP($AB612,sample!$1:$1048576,4,FALSE)</f>
        <v>#N/A</v>
      </c>
      <c r="AF612" s="1111" t="e">
        <f>VLOOKUP($AB612,sample!$1:$1048576,5,FALSE)</f>
        <v>#N/A</v>
      </c>
      <c r="AN612" s="1104" t="e">
        <f>VLOOKUP($AB612,sample!$1:$1048576,13,FALSE)</f>
        <v>#N/A</v>
      </c>
      <c r="AP612" s="1111"/>
    </row>
    <row r="613" spans="4:42">
      <c r="D613" s="1127" t="str">
        <f>IFERROR(VLOOKUP(G613,PosAggregate!$B$13:$B$93,1,FALSE),"")</f>
        <v/>
      </c>
      <c r="E613" s="1139" t="e">
        <f>_xll.BDP(G613  &amp; " Equity", "ID_ISIN", "Fill", "")</f>
        <v>#N/A</v>
      </c>
      <c r="F613" s="1132" t="str">
        <f t="shared" si="135"/>
        <v>YES</v>
      </c>
      <c r="I613" s="1133" t="e">
        <f>_xll.BDP(E613 &amp; " Equity","SECURITY_NAME")</f>
        <v>#N/A</v>
      </c>
      <c r="J613" s="1133" t="e">
        <f>_xll.BDP(G613 &amp; " Equity","Crncy")</f>
        <v>#N/A</v>
      </c>
      <c r="N613" s="1135">
        <f t="shared" si="136"/>
        <v>0</v>
      </c>
      <c r="R613" s="1100">
        <f t="shared" si="133"/>
        <v>0</v>
      </c>
      <c r="T613" s="1121" t="e">
        <f t="shared" si="134"/>
        <v>#DIV/0!</v>
      </c>
      <c r="X613" s="1089" t="e">
        <f t="shared" si="132"/>
        <v>#DIV/0!</v>
      </c>
      <c r="Y613" s="690" t="s">
        <v>1763</v>
      </c>
      <c r="Z613" s="1111" t="e">
        <f>VLOOKUP(AA613,'place of settlement'!A:C,2,FALSE)</f>
        <v>#N/A</v>
      </c>
      <c r="AA613" s="1111" t="e">
        <f t="shared" si="137"/>
        <v>#N/A</v>
      </c>
      <c r="AB613" s="1111" t="e">
        <f t="shared" si="138"/>
        <v>#N/A</v>
      </c>
      <c r="AC613" s="1111" t="e">
        <f>VLOOKUP(AB613,sample!$1:$1048576,2,FALSE)</f>
        <v>#N/A</v>
      </c>
      <c r="AD613" s="1111" t="e">
        <f>VLOOKUP($AB613,sample!$1:$1048576,3,FALSE)</f>
        <v>#N/A</v>
      </c>
      <c r="AE613" s="1104" t="e">
        <f>VLOOKUP($AB613,sample!$1:$1048576,4,FALSE)</f>
        <v>#N/A</v>
      </c>
      <c r="AF613" s="1111" t="e">
        <f>VLOOKUP($AB613,sample!$1:$1048576,5,FALSE)</f>
        <v>#N/A</v>
      </c>
      <c r="AN613" s="1104" t="e">
        <f>VLOOKUP($AB613,sample!$1:$1048576,13,FALSE)</f>
        <v>#N/A</v>
      </c>
      <c r="AP613" s="1111"/>
    </row>
    <row r="614" spans="4:42">
      <c r="D614" s="1127" t="str">
        <f>IFERROR(VLOOKUP(G614,PosAggregate!$B$13:$B$93,1,FALSE),"")</f>
        <v/>
      </c>
      <c r="E614" s="1139" t="e">
        <f>_xll.BDP(G614  &amp; " Equity", "ID_ISIN", "Fill", "")</f>
        <v>#N/A</v>
      </c>
      <c r="F614" s="1132" t="str">
        <f t="shared" si="135"/>
        <v>YES</v>
      </c>
      <c r="I614" s="1133" t="e">
        <f>_xll.BDP(E614 &amp; " Equity","SECURITY_NAME")</f>
        <v>#N/A</v>
      </c>
      <c r="J614" s="1133" t="e">
        <f>_xll.BDP(G614 &amp; " Equity","Crncy")</f>
        <v>#N/A</v>
      </c>
      <c r="N614" s="1135">
        <f t="shared" si="136"/>
        <v>0</v>
      </c>
      <c r="R614" s="1100">
        <f t="shared" si="133"/>
        <v>0</v>
      </c>
      <c r="T614" s="1121" t="e">
        <f t="shared" si="134"/>
        <v>#DIV/0!</v>
      </c>
      <c r="X614" s="1089" t="e">
        <f t="shared" si="132"/>
        <v>#DIV/0!</v>
      </c>
      <c r="Y614" s="690" t="s">
        <v>1763</v>
      </c>
      <c r="Z614" s="1111" t="e">
        <f>VLOOKUP(AA614,'place of settlement'!A:C,2,FALSE)</f>
        <v>#N/A</v>
      </c>
      <c r="AA614" s="1111" t="e">
        <f t="shared" si="137"/>
        <v>#N/A</v>
      </c>
      <c r="AB614" s="1111" t="e">
        <f t="shared" si="138"/>
        <v>#N/A</v>
      </c>
      <c r="AC614" s="1111" t="e">
        <f>VLOOKUP(AB614,sample!$1:$1048576,2,FALSE)</f>
        <v>#N/A</v>
      </c>
      <c r="AD614" s="1111" t="e">
        <f>VLOOKUP($AB614,sample!$1:$1048576,3,FALSE)</f>
        <v>#N/A</v>
      </c>
      <c r="AE614" s="1104" t="e">
        <f>VLOOKUP($AB614,sample!$1:$1048576,4,FALSE)</f>
        <v>#N/A</v>
      </c>
      <c r="AF614" s="1111" t="e">
        <f>VLOOKUP($AB614,sample!$1:$1048576,5,FALSE)</f>
        <v>#N/A</v>
      </c>
      <c r="AN614" s="1104" t="e">
        <f>VLOOKUP($AB614,sample!$1:$1048576,13,FALSE)</f>
        <v>#N/A</v>
      </c>
      <c r="AP614" s="1111"/>
    </row>
    <row r="615" spans="4:42">
      <c r="D615" s="1127" t="str">
        <f>IFERROR(VLOOKUP(G615,PosAggregate!$B$13:$B$93,1,FALSE),"")</f>
        <v/>
      </c>
      <c r="E615" s="1139" t="e">
        <f>_xll.BDP(G615  &amp; " Equity", "ID_ISIN", "Fill", "")</f>
        <v>#N/A</v>
      </c>
      <c r="F615" s="1132" t="str">
        <f t="shared" si="135"/>
        <v>YES</v>
      </c>
      <c r="I615" s="1133" t="e">
        <f>_xll.BDP(E615 &amp; " Equity","SECURITY_NAME")</f>
        <v>#N/A</v>
      </c>
      <c r="J615" s="1133" t="e">
        <f>_xll.BDP(G615 &amp; " Equity","Crncy")</f>
        <v>#N/A</v>
      </c>
      <c r="N615" s="1135">
        <f t="shared" si="136"/>
        <v>0</v>
      </c>
      <c r="R615" s="1100">
        <f t="shared" si="133"/>
        <v>0</v>
      </c>
      <c r="T615" s="1121" t="e">
        <f t="shared" si="134"/>
        <v>#DIV/0!</v>
      </c>
      <c r="X615" s="1089" t="e">
        <f t="shared" si="132"/>
        <v>#DIV/0!</v>
      </c>
      <c r="Y615" s="690" t="s">
        <v>1763</v>
      </c>
      <c r="Z615" s="1111" t="e">
        <f>VLOOKUP(AA615,'place of settlement'!A:C,2,FALSE)</f>
        <v>#N/A</v>
      </c>
      <c r="AA615" s="1111" t="e">
        <f t="shared" si="137"/>
        <v>#N/A</v>
      </c>
      <c r="AB615" s="1111" t="e">
        <f t="shared" si="138"/>
        <v>#N/A</v>
      </c>
      <c r="AC615" s="1111" t="e">
        <f>VLOOKUP(AB615,sample!$1:$1048576,2,FALSE)</f>
        <v>#N/A</v>
      </c>
      <c r="AD615" s="1111" t="e">
        <f>VLOOKUP($AB615,sample!$1:$1048576,3,FALSE)</f>
        <v>#N/A</v>
      </c>
      <c r="AE615" s="1104" t="e">
        <f>VLOOKUP($AB615,sample!$1:$1048576,4,FALSE)</f>
        <v>#N/A</v>
      </c>
      <c r="AF615" s="1111" t="e">
        <f>VLOOKUP($AB615,sample!$1:$1048576,5,FALSE)</f>
        <v>#N/A</v>
      </c>
      <c r="AN615" s="1104" t="e">
        <f>VLOOKUP($AB615,sample!$1:$1048576,13,FALSE)</f>
        <v>#N/A</v>
      </c>
      <c r="AP615" s="1111"/>
    </row>
    <row r="616" spans="4:42">
      <c r="D616" s="1127" t="str">
        <f>IFERROR(VLOOKUP(G616,PosAggregate!$B$13:$B$93,1,FALSE),"")</f>
        <v/>
      </c>
      <c r="E616" s="1139" t="e">
        <f>_xll.BDP(G616  &amp; " Equity", "ID_ISIN", "Fill", "")</f>
        <v>#N/A</v>
      </c>
      <c r="F616" s="1132" t="str">
        <f t="shared" si="135"/>
        <v>YES</v>
      </c>
      <c r="I616" s="1133" t="e">
        <f>_xll.BDP(E616 &amp; " Equity","SECURITY_NAME")</f>
        <v>#N/A</v>
      </c>
      <c r="J616" s="1133" t="e">
        <f>_xll.BDP(G616 &amp; " Equity","Crncy")</f>
        <v>#N/A</v>
      </c>
      <c r="N616" s="1135">
        <f t="shared" si="136"/>
        <v>0</v>
      </c>
      <c r="R616" s="1100">
        <f t="shared" si="133"/>
        <v>0</v>
      </c>
      <c r="T616" s="1121" t="e">
        <f t="shared" si="134"/>
        <v>#DIV/0!</v>
      </c>
      <c r="X616" s="1089" t="e">
        <f t="shared" ref="X616:X679" si="139">+O616/N616*100</f>
        <v>#DIV/0!</v>
      </c>
      <c r="Y616" s="690" t="s">
        <v>1763</v>
      </c>
      <c r="Z616" s="1111" t="e">
        <f>VLOOKUP(AA616,'place of settlement'!A:C,2,FALSE)</f>
        <v>#N/A</v>
      </c>
      <c r="AA616" s="1111" t="e">
        <f t="shared" si="137"/>
        <v>#N/A</v>
      </c>
      <c r="AB616" s="1111" t="e">
        <f t="shared" si="138"/>
        <v>#N/A</v>
      </c>
      <c r="AC616" s="1111" t="e">
        <f>VLOOKUP(AB616,sample!$1:$1048576,2,FALSE)</f>
        <v>#N/A</v>
      </c>
      <c r="AD616" s="1111" t="e">
        <f>VLOOKUP($AB616,sample!$1:$1048576,3,FALSE)</f>
        <v>#N/A</v>
      </c>
      <c r="AE616" s="1104" t="e">
        <f>VLOOKUP($AB616,sample!$1:$1048576,4,FALSE)</f>
        <v>#N/A</v>
      </c>
      <c r="AF616" s="1111" t="e">
        <f>VLOOKUP($AB616,sample!$1:$1048576,5,FALSE)</f>
        <v>#N/A</v>
      </c>
      <c r="AN616" s="1104" t="e">
        <f>VLOOKUP($AB616,sample!$1:$1048576,13,FALSE)</f>
        <v>#N/A</v>
      </c>
      <c r="AP616" s="1111"/>
    </row>
    <row r="617" spans="4:42">
      <c r="D617" s="1127" t="str">
        <f>IFERROR(VLOOKUP(G617,PosAggregate!$B$13:$B$93,1,FALSE),"")</f>
        <v/>
      </c>
      <c r="E617" s="1139" t="e">
        <f>_xll.BDP(G617  &amp; " Equity", "ID_ISIN", "Fill", "")</f>
        <v>#N/A</v>
      </c>
      <c r="F617" s="1132" t="str">
        <f t="shared" si="135"/>
        <v>YES</v>
      </c>
      <c r="I617" s="1133" t="e">
        <f>_xll.BDP(E617 &amp; " Equity","SECURITY_NAME")</f>
        <v>#N/A</v>
      </c>
      <c r="J617" s="1133" t="e">
        <f>_xll.BDP(G617 &amp; " Equity","Crncy")</f>
        <v>#N/A</v>
      </c>
      <c r="N617" s="1135">
        <f t="shared" si="136"/>
        <v>0</v>
      </c>
      <c r="R617" s="1100">
        <f t="shared" si="133"/>
        <v>0</v>
      </c>
      <c r="T617" s="1121" t="e">
        <f t="shared" si="134"/>
        <v>#DIV/0!</v>
      </c>
      <c r="X617" s="1089" t="e">
        <f t="shared" si="139"/>
        <v>#DIV/0!</v>
      </c>
      <c r="Y617" s="690" t="s">
        <v>1763</v>
      </c>
      <c r="Z617" s="1111" t="e">
        <f>VLOOKUP(AA617,'place of settlement'!A:C,2,FALSE)</f>
        <v>#N/A</v>
      </c>
      <c r="AA617" s="1111" t="e">
        <f t="shared" si="137"/>
        <v>#N/A</v>
      </c>
      <c r="AB617" s="1111" t="e">
        <f t="shared" si="138"/>
        <v>#N/A</v>
      </c>
      <c r="AC617" s="1111" t="e">
        <f>VLOOKUP(AB617,sample!$1:$1048576,2,FALSE)</f>
        <v>#N/A</v>
      </c>
      <c r="AD617" s="1111" t="e">
        <f>VLOOKUP($AB617,sample!$1:$1048576,3,FALSE)</f>
        <v>#N/A</v>
      </c>
      <c r="AE617" s="1104" t="e">
        <f>VLOOKUP($AB617,sample!$1:$1048576,4,FALSE)</f>
        <v>#N/A</v>
      </c>
      <c r="AF617" s="1111" t="e">
        <f>VLOOKUP($AB617,sample!$1:$1048576,5,FALSE)</f>
        <v>#N/A</v>
      </c>
      <c r="AN617" s="1104" t="e">
        <f>VLOOKUP($AB617,sample!$1:$1048576,13,FALSE)</f>
        <v>#N/A</v>
      </c>
      <c r="AP617" s="1111"/>
    </row>
    <row r="618" spans="4:42">
      <c r="D618" s="1127" t="str">
        <f>IFERROR(VLOOKUP(G618,PosAggregate!$B$13:$B$93,1,FALSE),"")</f>
        <v/>
      </c>
      <c r="E618" s="1139" t="e">
        <f>_xll.BDP(G618  &amp; " Equity", "ID_ISIN", "Fill", "")</f>
        <v>#N/A</v>
      </c>
      <c r="F618" s="1132" t="str">
        <f t="shared" si="135"/>
        <v>YES</v>
      </c>
      <c r="I618" s="1133" t="e">
        <f>_xll.BDP(E618 &amp; " Equity","SECURITY_NAME")</f>
        <v>#N/A</v>
      </c>
      <c r="J618" s="1133" t="e">
        <f>_xll.BDP(G618 &amp; " Equity","Crncy")</f>
        <v>#N/A</v>
      </c>
      <c r="N618" s="1135">
        <f t="shared" si="136"/>
        <v>0</v>
      </c>
      <c r="R618" s="1100">
        <f t="shared" ref="R618:R681" si="140">SUM(N618:Q618)</f>
        <v>0</v>
      </c>
      <c r="T618" s="1121" t="e">
        <f t="shared" si="134"/>
        <v>#DIV/0!</v>
      </c>
      <c r="X618" s="1089" t="e">
        <f t="shared" si="139"/>
        <v>#DIV/0!</v>
      </c>
      <c r="Y618" s="690" t="s">
        <v>1763</v>
      </c>
      <c r="Z618" s="1111" t="e">
        <f>VLOOKUP(AA618,'place of settlement'!A:C,2,FALSE)</f>
        <v>#N/A</v>
      </c>
      <c r="AA618" s="1111" t="e">
        <f t="shared" si="137"/>
        <v>#N/A</v>
      </c>
      <c r="AB618" s="1111" t="e">
        <f t="shared" si="138"/>
        <v>#N/A</v>
      </c>
      <c r="AC618" s="1111" t="e">
        <f>VLOOKUP(AB618,sample!$1:$1048576,2,FALSE)</f>
        <v>#N/A</v>
      </c>
      <c r="AD618" s="1111" t="e">
        <f>VLOOKUP($AB618,sample!$1:$1048576,3,FALSE)</f>
        <v>#N/A</v>
      </c>
      <c r="AE618" s="1104" t="e">
        <f>VLOOKUP($AB618,sample!$1:$1048576,4,FALSE)</f>
        <v>#N/A</v>
      </c>
      <c r="AF618" s="1111" t="e">
        <f>VLOOKUP($AB618,sample!$1:$1048576,5,FALSE)</f>
        <v>#N/A</v>
      </c>
      <c r="AN618" s="1104" t="e">
        <f>VLOOKUP($AB618,sample!$1:$1048576,13,FALSE)</f>
        <v>#N/A</v>
      </c>
      <c r="AP618" s="1111"/>
    </row>
    <row r="619" spans="4:42">
      <c r="D619" s="1127" t="str">
        <f>IFERROR(VLOOKUP(G619,PosAggregate!$B$13:$B$93,1,FALSE),"")</f>
        <v/>
      </c>
      <c r="E619" s="1139" t="e">
        <f>_xll.BDP(G619  &amp; " Equity", "ID_ISIN", "Fill", "")</f>
        <v>#N/A</v>
      </c>
      <c r="F619" s="1132" t="str">
        <f t="shared" si="135"/>
        <v>YES</v>
      </c>
      <c r="I619" s="1133" t="e">
        <f>_xll.BDP(E619 &amp; " Equity","SECURITY_NAME")</f>
        <v>#N/A</v>
      </c>
      <c r="J619" s="1133" t="e">
        <f>_xll.BDP(G619 &amp; " Equity","Crncy")</f>
        <v>#N/A</v>
      </c>
      <c r="N619" s="1135">
        <f t="shared" si="136"/>
        <v>0</v>
      </c>
      <c r="R619" s="1100">
        <f t="shared" si="140"/>
        <v>0</v>
      </c>
      <c r="T619" s="1121" t="e">
        <f t="shared" si="134"/>
        <v>#DIV/0!</v>
      </c>
      <c r="X619" s="1089" t="e">
        <f t="shared" si="139"/>
        <v>#DIV/0!</v>
      </c>
      <c r="Y619" s="690" t="s">
        <v>1763</v>
      </c>
      <c r="Z619" s="1111" t="e">
        <f>VLOOKUP(AA619,'place of settlement'!A:C,2,FALSE)</f>
        <v>#N/A</v>
      </c>
      <c r="AA619" s="1111" t="e">
        <f t="shared" si="137"/>
        <v>#N/A</v>
      </c>
      <c r="AB619" s="1111" t="e">
        <f t="shared" si="138"/>
        <v>#N/A</v>
      </c>
      <c r="AC619" s="1111" t="e">
        <f>VLOOKUP(AB619,sample!$1:$1048576,2,FALSE)</f>
        <v>#N/A</v>
      </c>
      <c r="AD619" s="1111" t="e">
        <f>VLOOKUP($AB619,sample!$1:$1048576,3,FALSE)</f>
        <v>#N/A</v>
      </c>
      <c r="AE619" s="1104" t="e">
        <f>VLOOKUP($AB619,sample!$1:$1048576,4,FALSE)</f>
        <v>#N/A</v>
      </c>
      <c r="AF619" s="1111" t="e">
        <f>VLOOKUP($AB619,sample!$1:$1048576,5,FALSE)</f>
        <v>#N/A</v>
      </c>
      <c r="AN619" s="1104" t="e">
        <f>VLOOKUP($AB619,sample!$1:$1048576,13,FALSE)</f>
        <v>#N/A</v>
      </c>
      <c r="AP619" s="1111"/>
    </row>
    <row r="620" spans="4:42">
      <c r="D620" s="1127" t="str">
        <f>IFERROR(VLOOKUP(G620,PosAggregate!$B$13:$B$93,1,FALSE),"")</f>
        <v/>
      </c>
      <c r="E620" s="1139" t="e">
        <f>_xll.BDP(G620  &amp; " Equity", "ID_ISIN", "Fill", "")</f>
        <v>#N/A</v>
      </c>
      <c r="F620" s="1132" t="str">
        <f t="shared" si="135"/>
        <v>YES</v>
      </c>
      <c r="I620" s="1133" t="e">
        <f>_xll.BDP(E620 &amp; " Equity","SECURITY_NAME")</f>
        <v>#N/A</v>
      </c>
      <c r="J620" s="1133" t="e">
        <f>_xll.BDP(G620 &amp; " Equity","Crncy")</f>
        <v>#N/A</v>
      </c>
      <c r="N620" s="1135">
        <f t="shared" si="136"/>
        <v>0</v>
      </c>
      <c r="R620" s="1100">
        <f t="shared" si="140"/>
        <v>0</v>
      </c>
      <c r="T620" s="1121" t="e">
        <f t="shared" si="134"/>
        <v>#DIV/0!</v>
      </c>
      <c r="X620" s="1089" t="e">
        <f t="shared" si="139"/>
        <v>#DIV/0!</v>
      </c>
      <c r="Y620" s="690" t="s">
        <v>1763</v>
      </c>
      <c r="Z620" s="1111" t="e">
        <f>VLOOKUP(AA620,'place of settlement'!A:C,2,FALSE)</f>
        <v>#N/A</v>
      </c>
      <c r="AA620" s="1111" t="e">
        <f t="shared" si="137"/>
        <v>#N/A</v>
      </c>
      <c r="AB620" s="1111" t="e">
        <f t="shared" si="138"/>
        <v>#N/A</v>
      </c>
      <c r="AC620" s="1111" t="e">
        <f>VLOOKUP(AB620,sample!$1:$1048576,2,FALSE)</f>
        <v>#N/A</v>
      </c>
      <c r="AD620" s="1111" t="e">
        <f>VLOOKUP($AB620,sample!$1:$1048576,3,FALSE)</f>
        <v>#N/A</v>
      </c>
      <c r="AE620" s="1104" t="e">
        <f>VLOOKUP($AB620,sample!$1:$1048576,4,FALSE)</f>
        <v>#N/A</v>
      </c>
      <c r="AF620" s="1111" t="e">
        <f>VLOOKUP($AB620,sample!$1:$1048576,5,FALSE)</f>
        <v>#N/A</v>
      </c>
      <c r="AN620" s="1104" t="e">
        <f>VLOOKUP($AB620,sample!$1:$1048576,13,FALSE)</f>
        <v>#N/A</v>
      </c>
      <c r="AP620" s="1111"/>
    </row>
    <row r="621" spans="4:42">
      <c r="D621" s="1127" t="str">
        <f>IFERROR(VLOOKUP(G621,PosAggregate!$B$13:$B$93,1,FALSE),"")</f>
        <v/>
      </c>
      <c r="E621" s="1139" t="e">
        <f>_xll.BDP(G621  &amp; " Equity", "ID_ISIN", "Fill", "")</f>
        <v>#N/A</v>
      </c>
      <c r="F621" s="1132" t="str">
        <f t="shared" si="135"/>
        <v>YES</v>
      </c>
      <c r="I621" s="1133" t="e">
        <f>_xll.BDP(E621 &amp; " Equity","SECURITY_NAME")</f>
        <v>#N/A</v>
      </c>
      <c r="J621" s="1133" t="e">
        <f>_xll.BDP(G621 &amp; " Equity","Crncy")</f>
        <v>#N/A</v>
      </c>
      <c r="N621" s="1135">
        <f t="shared" si="136"/>
        <v>0</v>
      </c>
      <c r="R621" s="1100">
        <f t="shared" si="140"/>
        <v>0</v>
      </c>
      <c r="T621" s="1121" t="e">
        <f t="shared" si="134"/>
        <v>#DIV/0!</v>
      </c>
      <c r="X621" s="1089" t="e">
        <f t="shared" si="139"/>
        <v>#DIV/0!</v>
      </c>
      <c r="Y621" s="690" t="s">
        <v>1763</v>
      </c>
      <c r="Z621" s="1111" t="e">
        <f>VLOOKUP(AA621,'place of settlement'!A:C,2,FALSE)</f>
        <v>#N/A</v>
      </c>
      <c r="AA621" s="1111" t="e">
        <f t="shared" si="137"/>
        <v>#N/A</v>
      </c>
      <c r="AB621" s="1111" t="e">
        <f t="shared" si="138"/>
        <v>#N/A</v>
      </c>
      <c r="AC621" s="1111" t="e">
        <f>VLOOKUP(AB621,sample!$1:$1048576,2,FALSE)</f>
        <v>#N/A</v>
      </c>
      <c r="AD621" s="1111" t="e">
        <f>VLOOKUP($AB621,sample!$1:$1048576,3,FALSE)</f>
        <v>#N/A</v>
      </c>
      <c r="AE621" s="1104" t="e">
        <f>VLOOKUP($AB621,sample!$1:$1048576,4,FALSE)</f>
        <v>#N/A</v>
      </c>
      <c r="AF621" s="1111" t="e">
        <f>VLOOKUP($AB621,sample!$1:$1048576,5,FALSE)</f>
        <v>#N/A</v>
      </c>
      <c r="AN621" s="1104" t="e">
        <f>VLOOKUP($AB621,sample!$1:$1048576,13,FALSE)</f>
        <v>#N/A</v>
      </c>
      <c r="AP621" s="1111"/>
    </row>
    <row r="622" spans="4:42">
      <c r="D622" s="1127" t="str">
        <f>IFERROR(VLOOKUP(G622,PosAggregate!$B$13:$B$93,1,FALSE),"")</f>
        <v/>
      </c>
      <c r="E622" s="1139" t="e">
        <f>_xll.BDP(G622  &amp; " Equity", "ID_ISIN", "Fill", "")</f>
        <v>#N/A</v>
      </c>
      <c r="F622" s="1132" t="str">
        <f t="shared" si="135"/>
        <v>YES</v>
      </c>
      <c r="I622" s="1133" t="e">
        <f>_xll.BDP(E622 &amp; " Equity","SECURITY_NAME")</f>
        <v>#N/A</v>
      </c>
      <c r="J622" s="1133" t="e">
        <f>_xll.BDP(G622 &amp; " Equity","Crncy")</f>
        <v>#N/A</v>
      </c>
      <c r="N622" s="1135">
        <f t="shared" si="136"/>
        <v>0</v>
      </c>
      <c r="R622" s="1100">
        <f t="shared" si="140"/>
        <v>0</v>
      </c>
      <c r="T622" s="1121" t="e">
        <f t="shared" si="134"/>
        <v>#DIV/0!</v>
      </c>
      <c r="X622" s="1089" t="e">
        <f t="shared" si="139"/>
        <v>#DIV/0!</v>
      </c>
      <c r="Y622" s="690" t="s">
        <v>1763</v>
      </c>
      <c r="Z622" s="1111" t="e">
        <f>VLOOKUP(AA622,'place of settlement'!A:C,2,FALSE)</f>
        <v>#N/A</v>
      </c>
      <c r="AA622" s="1111" t="e">
        <f t="shared" si="137"/>
        <v>#N/A</v>
      </c>
      <c r="AB622" s="1111" t="e">
        <f t="shared" si="138"/>
        <v>#N/A</v>
      </c>
      <c r="AC622" s="1111" t="e">
        <f>VLOOKUP(AB622,sample!$1:$1048576,2,FALSE)</f>
        <v>#N/A</v>
      </c>
      <c r="AD622" s="1111" t="e">
        <f>VLOOKUP($AB622,sample!$1:$1048576,3,FALSE)</f>
        <v>#N/A</v>
      </c>
      <c r="AE622" s="1104" t="e">
        <f>VLOOKUP($AB622,sample!$1:$1048576,4,FALSE)</f>
        <v>#N/A</v>
      </c>
      <c r="AF622" s="1111" t="e">
        <f>VLOOKUP($AB622,sample!$1:$1048576,5,FALSE)</f>
        <v>#N/A</v>
      </c>
      <c r="AN622" s="1104" t="e">
        <f>VLOOKUP($AB622,sample!$1:$1048576,13,FALSE)</f>
        <v>#N/A</v>
      </c>
      <c r="AP622" s="1111"/>
    </row>
    <row r="623" spans="4:42">
      <c r="D623" s="1127" t="str">
        <f>IFERROR(VLOOKUP(G623,PosAggregate!$B$13:$B$93,1,FALSE),"")</f>
        <v/>
      </c>
      <c r="E623" s="1139" t="e">
        <f>_xll.BDP(G623  &amp; " Equity", "ID_ISIN", "Fill", "")</f>
        <v>#N/A</v>
      </c>
      <c r="F623" s="1132" t="str">
        <f t="shared" si="135"/>
        <v>YES</v>
      </c>
      <c r="I623" s="1133" t="e">
        <f>_xll.BDP(E623 &amp; " Equity","SECURITY_NAME")</f>
        <v>#N/A</v>
      </c>
      <c r="J623" s="1133" t="e">
        <f>_xll.BDP(G623 &amp; " Equity","Crncy")</f>
        <v>#N/A</v>
      </c>
      <c r="N623" s="1135">
        <f t="shared" si="136"/>
        <v>0</v>
      </c>
      <c r="R623" s="1100">
        <f t="shared" si="140"/>
        <v>0</v>
      </c>
      <c r="T623" s="1121" t="e">
        <f t="shared" si="134"/>
        <v>#DIV/0!</v>
      </c>
      <c r="X623" s="1089" t="e">
        <f t="shared" si="139"/>
        <v>#DIV/0!</v>
      </c>
      <c r="Y623" s="690" t="s">
        <v>1763</v>
      </c>
      <c r="Z623" s="1111" t="e">
        <f>VLOOKUP(AA623,'place of settlement'!A:C,2,FALSE)</f>
        <v>#N/A</v>
      </c>
      <c r="AA623" s="1111" t="e">
        <f t="shared" si="137"/>
        <v>#N/A</v>
      </c>
      <c r="AB623" s="1111" t="e">
        <f t="shared" si="138"/>
        <v>#N/A</v>
      </c>
      <c r="AC623" s="1111" t="e">
        <f>VLOOKUP(AB623,sample!$1:$1048576,2,FALSE)</f>
        <v>#N/A</v>
      </c>
      <c r="AD623" s="1111" t="e">
        <f>VLOOKUP($AB623,sample!$1:$1048576,3,FALSE)</f>
        <v>#N/A</v>
      </c>
      <c r="AE623" s="1104" t="e">
        <f>VLOOKUP($AB623,sample!$1:$1048576,4,FALSE)</f>
        <v>#N/A</v>
      </c>
      <c r="AF623" s="1111" t="e">
        <f>VLOOKUP($AB623,sample!$1:$1048576,5,FALSE)</f>
        <v>#N/A</v>
      </c>
      <c r="AN623" s="1104" t="e">
        <f>VLOOKUP($AB623,sample!$1:$1048576,13,FALSE)</f>
        <v>#N/A</v>
      </c>
      <c r="AP623" s="1111"/>
    </row>
    <row r="624" spans="4:42">
      <c r="D624" s="1127" t="str">
        <f>IFERROR(VLOOKUP(G624,PosAggregate!$B$13:$B$93,1,FALSE),"")</f>
        <v/>
      </c>
      <c r="E624" s="1139" t="e">
        <f>_xll.BDP(G624  &amp; " Equity", "ID_ISIN", "Fill", "")</f>
        <v>#N/A</v>
      </c>
      <c r="F624" s="1132" t="str">
        <f t="shared" si="135"/>
        <v>YES</v>
      </c>
      <c r="I624" s="1133" t="e">
        <f>_xll.BDP(E624 &amp; " Equity","SECURITY_NAME")</f>
        <v>#N/A</v>
      </c>
      <c r="J624" s="1133" t="e">
        <f>_xll.BDP(G624 &amp; " Equity","Crncy")</f>
        <v>#N/A</v>
      </c>
      <c r="N624" s="1135">
        <f t="shared" si="136"/>
        <v>0</v>
      </c>
      <c r="R624" s="1100">
        <f t="shared" si="140"/>
        <v>0</v>
      </c>
      <c r="T624" s="1121" t="e">
        <f t="shared" si="134"/>
        <v>#DIV/0!</v>
      </c>
      <c r="X624" s="1089" t="e">
        <f t="shared" si="139"/>
        <v>#DIV/0!</v>
      </c>
      <c r="Y624" s="690" t="s">
        <v>1763</v>
      </c>
      <c r="Z624" s="1111" t="e">
        <f>VLOOKUP(AA624,'place of settlement'!A:C,2,FALSE)</f>
        <v>#N/A</v>
      </c>
      <c r="AA624" s="1111" t="e">
        <f t="shared" si="137"/>
        <v>#N/A</v>
      </c>
      <c r="AB624" s="1111" t="e">
        <f t="shared" si="138"/>
        <v>#N/A</v>
      </c>
      <c r="AC624" s="1111" t="e">
        <f>VLOOKUP(AB624,sample!$1:$1048576,2,FALSE)</f>
        <v>#N/A</v>
      </c>
      <c r="AD624" s="1111" t="e">
        <f>VLOOKUP($AB624,sample!$1:$1048576,3,FALSE)</f>
        <v>#N/A</v>
      </c>
      <c r="AE624" s="1104" t="e">
        <f>VLOOKUP($AB624,sample!$1:$1048576,4,FALSE)</f>
        <v>#N/A</v>
      </c>
      <c r="AF624" s="1111" t="e">
        <f>VLOOKUP($AB624,sample!$1:$1048576,5,FALSE)</f>
        <v>#N/A</v>
      </c>
      <c r="AN624" s="1104" t="e">
        <f>VLOOKUP($AB624,sample!$1:$1048576,13,FALSE)</f>
        <v>#N/A</v>
      </c>
      <c r="AP624" s="1111"/>
    </row>
    <row r="625" spans="4:42">
      <c r="D625" s="1127" t="str">
        <f>IFERROR(VLOOKUP(G625,PosAggregate!$B$13:$B$93,1,FALSE),"")</f>
        <v/>
      </c>
      <c r="E625" s="1139" t="e">
        <f>_xll.BDP(G625  &amp; " Equity", "ID_ISIN", "Fill", "")</f>
        <v>#N/A</v>
      </c>
      <c r="F625" s="1132" t="str">
        <f t="shared" si="135"/>
        <v>YES</v>
      </c>
      <c r="I625" s="1133" t="e">
        <f>_xll.BDP(E625 &amp; " Equity","SECURITY_NAME")</f>
        <v>#N/A</v>
      </c>
      <c r="J625" s="1133" t="e">
        <f>_xll.BDP(G625 &amp; " Equity","Crncy")</f>
        <v>#N/A</v>
      </c>
      <c r="N625" s="1135">
        <f t="shared" si="136"/>
        <v>0</v>
      </c>
      <c r="R625" s="1100">
        <f t="shared" si="140"/>
        <v>0</v>
      </c>
      <c r="T625" s="1121" t="e">
        <f t="shared" si="134"/>
        <v>#DIV/0!</v>
      </c>
      <c r="X625" s="1089" t="e">
        <f t="shared" si="139"/>
        <v>#DIV/0!</v>
      </c>
      <c r="Y625" s="690" t="s">
        <v>1763</v>
      </c>
      <c r="Z625" s="1111" t="e">
        <f>VLOOKUP(AA625,'place of settlement'!A:C,2,FALSE)</f>
        <v>#N/A</v>
      </c>
      <c r="AA625" s="1111" t="e">
        <f t="shared" si="137"/>
        <v>#N/A</v>
      </c>
      <c r="AB625" s="1111" t="e">
        <f t="shared" si="138"/>
        <v>#N/A</v>
      </c>
      <c r="AC625" s="1111" t="e">
        <f>VLOOKUP(AB625,sample!$1:$1048576,2,FALSE)</f>
        <v>#N/A</v>
      </c>
      <c r="AD625" s="1111" t="e">
        <f>VLOOKUP($AB625,sample!$1:$1048576,3,FALSE)</f>
        <v>#N/A</v>
      </c>
      <c r="AE625" s="1104" t="e">
        <f>VLOOKUP($AB625,sample!$1:$1048576,4,FALSE)</f>
        <v>#N/A</v>
      </c>
      <c r="AF625" s="1111" t="e">
        <f>VLOOKUP($AB625,sample!$1:$1048576,5,FALSE)</f>
        <v>#N/A</v>
      </c>
      <c r="AN625" s="1104" t="e">
        <f>VLOOKUP($AB625,sample!$1:$1048576,13,FALSE)</f>
        <v>#N/A</v>
      </c>
      <c r="AP625" s="1111"/>
    </row>
    <row r="626" spans="4:42">
      <c r="D626" s="1127" t="str">
        <f>IFERROR(VLOOKUP(G626,PosAggregate!$B$13:$B$93,1,FALSE),"")</f>
        <v/>
      </c>
      <c r="E626" s="1139" t="e">
        <f>_xll.BDP(G626  &amp; " Equity", "ID_ISIN", "Fill", "")</f>
        <v>#N/A</v>
      </c>
      <c r="F626" s="1132" t="str">
        <f t="shared" si="135"/>
        <v>YES</v>
      </c>
      <c r="I626" s="1133" t="e">
        <f>_xll.BDP(E626 &amp; " Equity","SECURITY_NAME")</f>
        <v>#N/A</v>
      </c>
      <c r="J626" s="1133" t="e">
        <f>_xll.BDP(G626 &amp; " Equity","Crncy")</f>
        <v>#N/A</v>
      </c>
      <c r="N626" s="1135">
        <f t="shared" si="136"/>
        <v>0</v>
      </c>
      <c r="R626" s="1100">
        <f t="shared" si="140"/>
        <v>0</v>
      </c>
      <c r="T626" s="1121" t="e">
        <f t="shared" si="134"/>
        <v>#DIV/0!</v>
      </c>
      <c r="X626" s="1089" t="e">
        <f t="shared" si="139"/>
        <v>#DIV/0!</v>
      </c>
      <c r="Y626" s="690" t="s">
        <v>1763</v>
      </c>
      <c r="Z626" s="1111" t="e">
        <f>VLOOKUP(AA626,'place of settlement'!A:C,2,FALSE)</f>
        <v>#N/A</v>
      </c>
      <c r="AA626" s="1111" t="e">
        <f t="shared" si="137"/>
        <v>#N/A</v>
      </c>
      <c r="AB626" s="1111" t="e">
        <f t="shared" si="138"/>
        <v>#N/A</v>
      </c>
      <c r="AC626" s="1111" t="e">
        <f>VLOOKUP(AB626,sample!$1:$1048576,2,FALSE)</f>
        <v>#N/A</v>
      </c>
      <c r="AD626" s="1111" t="e">
        <f>VLOOKUP($AB626,sample!$1:$1048576,3,FALSE)</f>
        <v>#N/A</v>
      </c>
      <c r="AE626" s="1104" t="e">
        <f>VLOOKUP($AB626,sample!$1:$1048576,4,FALSE)</f>
        <v>#N/A</v>
      </c>
      <c r="AF626" s="1111" t="e">
        <f>VLOOKUP($AB626,sample!$1:$1048576,5,FALSE)</f>
        <v>#N/A</v>
      </c>
      <c r="AN626" s="1104" t="e">
        <f>VLOOKUP($AB626,sample!$1:$1048576,13,FALSE)</f>
        <v>#N/A</v>
      </c>
      <c r="AP626" s="1111"/>
    </row>
    <row r="627" spans="4:42">
      <c r="D627" s="1127" t="str">
        <f>IFERROR(VLOOKUP(G627,PosAggregate!$B$13:$B$93,1,FALSE),"")</f>
        <v/>
      </c>
      <c r="E627" s="1139" t="e">
        <f>_xll.BDP(G627  &amp; " Equity", "ID_ISIN", "Fill", "")</f>
        <v>#N/A</v>
      </c>
      <c r="F627" s="1132" t="str">
        <f t="shared" si="135"/>
        <v>YES</v>
      </c>
      <c r="I627" s="1133" t="e">
        <f>_xll.BDP(E627 &amp; " Equity","SECURITY_NAME")</f>
        <v>#N/A</v>
      </c>
      <c r="J627" s="1133" t="e">
        <f>_xll.BDP(G627 &amp; " Equity","Crncy")</f>
        <v>#N/A</v>
      </c>
      <c r="N627" s="1135">
        <f t="shared" si="136"/>
        <v>0</v>
      </c>
      <c r="R627" s="1100">
        <f t="shared" si="140"/>
        <v>0</v>
      </c>
      <c r="T627" s="1121" t="e">
        <f t="shared" si="134"/>
        <v>#DIV/0!</v>
      </c>
      <c r="X627" s="1089" t="e">
        <f t="shared" si="139"/>
        <v>#DIV/0!</v>
      </c>
      <c r="Y627" s="690" t="s">
        <v>1763</v>
      </c>
      <c r="Z627" s="1111" t="e">
        <f>VLOOKUP(AA627,'place of settlement'!A:C,2,FALSE)</f>
        <v>#N/A</v>
      </c>
      <c r="AA627" s="1111" t="e">
        <f t="shared" si="137"/>
        <v>#N/A</v>
      </c>
      <c r="AB627" s="1111" t="e">
        <f t="shared" si="138"/>
        <v>#N/A</v>
      </c>
      <c r="AC627" s="1111" t="e">
        <f>VLOOKUP(AB627,sample!$1:$1048576,2,FALSE)</f>
        <v>#N/A</v>
      </c>
      <c r="AD627" s="1111" t="e">
        <f>VLOOKUP($AB627,sample!$1:$1048576,3,FALSE)</f>
        <v>#N/A</v>
      </c>
      <c r="AE627" s="1104" t="e">
        <f>VLOOKUP($AB627,sample!$1:$1048576,4,FALSE)</f>
        <v>#N/A</v>
      </c>
      <c r="AF627" s="1111" t="e">
        <f>VLOOKUP($AB627,sample!$1:$1048576,5,FALSE)</f>
        <v>#N/A</v>
      </c>
      <c r="AN627" s="1104" t="e">
        <f>VLOOKUP($AB627,sample!$1:$1048576,13,FALSE)</f>
        <v>#N/A</v>
      </c>
      <c r="AP627" s="1111"/>
    </row>
    <row r="628" spans="4:42">
      <c r="D628" s="1127" t="str">
        <f>IFERROR(VLOOKUP(G628,PosAggregate!$B$13:$B$93,1,FALSE),"")</f>
        <v/>
      </c>
      <c r="E628" s="1139" t="e">
        <f>_xll.BDP(G628  &amp; " Equity", "ID_ISIN", "Fill", "")</f>
        <v>#N/A</v>
      </c>
      <c r="F628" s="1132" t="str">
        <f t="shared" si="135"/>
        <v>YES</v>
      </c>
      <c r="I628" s="1133" t="e">
        <f>_xll.BDP(E628 &amp; " Equity","SECURITY_NAME")</f>
        <v>#N/A</v>
      </c>
      <c r="J628" s="1133" t="e">
        <f>_xll.BDP(G628 &amp; " Equity","Crncy")</f>
        <v>#N/A</v>
      </c>
      <c r="N628" s="1135">
        <f t="shared" si="136"/>
        <v>0</v>
      </c>
      <c r="R628" s="1100">
        <f t="shared" si="140"/>
        <v>0</v>
      </c>
      <c r="T628" s="1121" t="e">
        <f t="shared" si="134"/>
        <v>#DIV/0!</v>
      </c>
      <c r="X628" s="1089" t="e">
        <f t="shared" si="139"/>
        <v>#DIV/0!</v>
      </c>
      <c r="Y628" s="690" t="s">
        <v>1763</v>
      </c>
      <c r="Z628" s="1111" t="e">
        <f>VLOOKUP(AA628,'place of settlement'!A:C,2,FALSE)</f>
        <v>#N/A</v>
      </c>
      <c r="AA628" s="1111" t="e">
        <f t="shared" si="137"/>
        <v>#N/A</v>
      </c>
      <c r="AB628" s="1111" t="e">
        <f t="shared" si="138"/>
        <v>#N/A</v>
      </c>
      <c r="AC628" s="1111" t="e">
        <f>VLOOKUP(AB628,sample!$1:$1048576,2,FALSE)</f>
        <v>#N/A</v>
      </c>
      <c r="AD628" s="1111" t="e">
        <f>VLOOKUP($AB628,sample!$1:$1048576,3,FALSE)</f>
        <v>#N/A</v>
      </c>
      <c r="AE628" s="1104" t="e">
        <f>VLOOKUP($AB628,sample!$1:$1048576,4,FALSE)</f>
        <v>#N/A</v>
      </c>
      <c r="AF628" s="1111" t="e">
        <f>VLOOKUP($AB628,sample!$1:$1048576,5,FALSE)</f>
        <v>#N/A</v>
      </c>
      <c r="AN628" s="1104" t="e">
        <f>VLOOKUP($AB628,sample!$1:$1048576,13,FALSE)</f>
        <v>#N/A</v>
      </c>
      <c r="AP628" s="1111"/>
    </row>
    <row r="629" spans="4:42">
      <c r="D629" s="1127" t="str">
        <f>IFERROR(VLOOKUP(G629,PosAggregate!$B$13:$B$93,1,FALSE),"")</f>
        <v/>
      </c>
      <c r="E629" s="1139" t="e">
        <f>_xll.BDP(G629  &amp; " Equity", "ID_ISIN", "Fill", "")</f>
        <v>#N/A</v>
      </c>
      <c r="F629" s="1132" t="str">
        <f t="shared" si="135"/>
        <v>YES</v>
      </c>
      <c r="I629" s="1133" t="e">
        <f>_xll.BDP(E629 &amp; " Equity","SECURITY_NAME")</f>
        <v>#N/A</v>
      </c>
      <c r="J629" s="1133" t="e">
        <f>_xll.BDP(G629 &amp; " Equity","Crncy")</f>
        <v>#N/A</v>
      </c>
      <c r="N629" s="1135">
        <f t="shared" si="136"/>
        <v>0</v>
      </c>
      <c r="R629" s="1100">
        <f t="shared" si="140"/>
        <v>0</v>
      </c>
      <c r="T629" s="1121" t="e">
        <f t="shared" si="134"/>
        <v>#DIV/0!</v>
      </c>
      <c r="X629" s="1089" t="e">
        <f t="shared" si="139"/>
        <v>#DIV/0!</v>
      </c>
      <c r="Y629" s="690" t="s">
        <v>1763</v>
      </c>
      <c r="Z629" s="1111" t="e">
        <f>VLOOKUP(AA629,'place of settlement'!A:C,2,FALSE)</f>
        <v>#N/A</v>
      </c>
      <c r="AA629" s="1111" t="e">
        <f t="shared" si="137"/>
        <v>#N/A</v>
      </c>
      <c r="AB629" s="1111" t="e">
        <f t="shared" si="138"/>
        <v>#N/A</v>
      </c>
      <c r="AC629" s="1111" t="e">
        <f>VLOOKUP(AB629,sample!$1:$1048576,2,FALSE)</f>
        <v>#N/A</v>
      </c>
      <c r="AD629" s="1111" t="e">
        <f>VLOOKUP($AB629,sample!$1:$1048576,3,FALSE)</f>
        <v>#N/A</v>
      </c>
      <c r="AE629" s="1104" t="e">
        <f>VLOOKUP($AB629,sample!$1:$1048576,4,FALSE)</f>
        <v>#N/A</v>
      </c>
      <c r="AF629" s="1111" t="e">
        <f>VLOOKUP($AB629,sample!$1:$1048576,5,FALSE)</f>
        <v>#N/A</v>
      </c>
      <c r="AN629" s="1104" t="e">
        <f>VLOOKUP($AB629,sample!$1:$1048576,13,FALSE)</f>
        <v>#N/A</v>
      </c>
      <c r="AP629" s="1111"/>
    </row>
    <row r="630" spans="4:42">
      <c r="D630" s="1127" t="str">
        <f>IFERROR(VLOOKUP(G630,PosAggregate!$B$13:$B$93,1,FALSE),"")</f>
        <v/>
      </c>
      <c r="E630" s="1139" t="e">
        <f>_xll.BDP(G630  &amp; " Equity", "ID_ISIN", "Fill", "")</f>
        <v>#N/A</v>
      </c>
      <c r="F630" s="1132" t="str">
        <f t="shared" si="135"/>
        <v>YES</v>
      </c>
      <c r="I630" s="1133" t="e">
        <f>_xll.BDP(E630 &amp; " Equity","SECURITY_NAME")</f>
        <v>#N/A</v>
      </c>
      <c r="J630" s="1133" t="e">
        <f>_xll.BDP(G630 &amp; " Equity","Crncy")</f>
        <v>#N/A</v>
      </c>
      <c r="N630" s="1135">
        <f t="shared" si="136"/>
        <v>0</v>
      </c>
      <c r="R630" s="1100">
        <f t="shared" si="140"/>
        <v>0</v>
      </c>
      <c r="T630" s="1121" t="e">
        <f t="shared" si="134"/>
        <v>#DIV/0!</v>
      </c>
      <c r="X630" s="1089" t="e">
        <f t="shared" si="139"/>
        <v>#DIV/0!</v>
      </c>
      <c r="Y630" s="690" t="s">
        <v>1763</v>
      </c>
      <c r="Z630" s="1111" t="e">
        <f>VLOOKUP(AA630,'place of settlement'!A:C,2,FALSE)</f>
        <v>#N/A</v>
      </c>
      <c r="AA630" s="1111" t="e">
        <f t="shared" si="137"/>
        <v>#N/A</v>
      </c>
      <c r="AB630" s="1111" t="e">
        <f t="shared" si="138"/>
        <v>#N/A</v>
      </c>
      <c r="AC630" s="1111" t="e">
        <f>VLOOKUP(AB630,sample!$1:$1048576,2,FALSE)</f>
        <v>#N/A</v>
      </c>
      <c r="AD630" s="1111" t="e">
        <f>VLOOKUP($AB630,sample!$1:$1048576,3,FALSE)</f>
        <v>#N/A</v>
      </c>
      <c r="AE630" s="1104" t="e">
        <f>VLOOKUP($AB630,sample!$1:$1048576,4,FALSE)</f>
        <v>#N/A</v>
      </c>
      <c r="AF630" s="1111" t="e">
        <f>VLOOKUP($AB630,sample!$1:$1048576,5,FALSE)</f>
        <v>#N/A</v>
      </c>
      <c r="AN630" s="1104" t="e">
        <f>VLOOKUP($AB630,sample!$1:$1048576,13,FALSE)</f>
        <v>#N/A</v>
      </c>
      <c r="AP630" s="1111"/>
    </row>
    <row r="631" spans="4:42">
      <c r="D631" s="1127" t="str">
        <f>IFERROR(VLOOKUP(G631,PosAggregate!$B$13:$B$93,1,FALSE),"")</f>
        <v/>
      </c>
      <c r="E631" s="1139" t="e">
        <f>_xll.BDP(G631  &amp; " Equity", "ID_ISIN", "Fill", "")</f>
        <v>#N/A</v>
      </c>
      <c r="F631" s="1132" t="str">
        <f t="shared" si="135"/>
        <v>YES</v>
      </c>
      <c r="I631" s="1133" t="e">
        <f>_xll.BDP(E631 &amp; " Equity","SECURITY_NAME")</f>
        <v>#N/A</v>
      </c>
      <c r="J631" s="1133" t="e">
        <f>_xll.BDP(G631 &amp; " Equity","Crncy")</f>
        <v>#N/A</v>
      </c>
      <c r="N631" s="1135">
        <f t="shared" si="136"/>
        <v>0</v>
      </c>
      <c r="R631" s="1100">
        <f t="shared" si="140"/>
        <v>0</v>
      </c>
      <c r="T631" s="1121" t="e">
        <f t="shared" si="134"/>
        <v>#DIV/0!</v>
      </c>
      <c r="X631" s="1089" t="e">
        <f t="shared" si="139"/>
        <v>#DIV/0!</v>
      </c>
      <c r="Y631" s="690" t="s">
        <v>1763</v>
      </c>
      <c r="Z631" s="1111" t="e">
        <f>VLOOKUP(AA631,'place of settlement'!A:C,2,FALSE)</f>
        <v>#N/A</v>
      </c>
      <c r="AA631" s="1111" t="e">
        <f t="shared" si="137"/>
        <v>#N/A</v>
      </c>
      <c r="AB631" s="1111" t="e">
        <f t="shared" si="138"/>
        <v>#N/A</v>
      </c>
      <c r="AC631" s="1111" t="e">
        <f>VLOOKUP(AB631,sample!$1:$1048576,2,FALSE)</f>
        <v>#N/A</v>
      </c>
      <c r="AD631" s="1111" t="e">
        <f>VLOOKUP($AB631,sample!$1:$1048576,3,FALSE)</f>
        <v>#N/A</v>
      </c>
      <c r="AE631" s="1104" t="e">
        <f>VLOOKUP($AB631,sample!$1:$1048576,4,FALSE)</f>
        <v>#N/A</v>
      </c>
      <c r="AF631" s="1111" t="e">
        <f>VLOOKUP($AB631,sample!$1:$1048576,5,FALSE)</f>
        <v>#N/A</v>
      </c>
      <c r="AN631" s="1104" t="e">
        <f>VLOOKUP($AB631,sample!$1:$1048576,13,FALSE)</f>
        <v>#N/A</v>
      </c>
      <c r="AP631" s="1111"/>
    </row>
    <row r="632" spans="4:42">
      <c r="D632" s="1127" t="str">
        <f>IFERROR(VLOOKUP(G632,PosAggregate!$B$13:$B$93,1,FALSE),"")</f>
        <v/>
      </c>
      <c r="E632" s="1139" t="e">
        <f>_xll.BDP(G632  &amp; " Equity", "ID_ISIN", "Fill", "")</f>
        <v>#N/A</v>
      </c>
      <c r="F632" s="1132" t="str">
        <f t="shared" si="135"/>
        <v>YES</v>
      </c>
      <c r="I632" s="1133" t="e">
        <f>_xll.BDP(E632 &amp; " Equity","SECURITY_NAME")</f>
        <v>#N/A</v>
      </c>
      <c r="J632" s="1133" t="e">
        <f>_xll.BDP(G632 &amp; " Equity","Crncy")</f>
        <v>#N/A</v>
      </c>
      <c r="N632" s="1135">
        <f t="shared" si="136"/>
        <v>0</v>
      </c>
      <c r="R632" s="1100">
        <f t="shared" si="140"/>
        <v>0</v>
      </c>
      <c r="T632" s="1121" t="e">
        <f t="shared" si="134"/>
        <v>#DIV/0!</v>
      </c>
      <c r="X632" s="1089" t="e">
        <f t="shared" si="139"/>
        <v>#DIV/0!</v>
      </c>
      <c r="Y632" s="690" t="s">
        <v>1763</v>
      </c>
      <c r="Z632" s="1111" t="e">
        <f>VLOOKUP(AA632,'place of settlement'!A:C,2,FALSE)</f>
        <v>#N/A</v>
      </c>
      <c r="AA632" s="1111" t="e">
        <f t="shared" si="137"/>
        <v>#N/A</v>
      </c>
      <c r="AB632" s="1111" t="e">
        <f t="shared" si="138"/>
        <v>#N/A</v>
      </c>
      <c r="AC632" s="1111" t="e">
        <f>VLOOKUP(AB632,sample!$1:$1048576,2,FALSE)</f>
        <v>#N/A</v>
      </c>
      <c r="AD632" s="1111" t="e">
        <f>VLOOKUP($AB632,sample!$1:$1048576,3,FALSE)</f>
        <v>#N/A</v>
      </c>
      <c r="AE632" s="1104" t="e">
        <f>VLOOKUP($AB632,sample!$1:$1048576,4,FALSE)</f>
        <v>#N/A</v>
      </c>
      <c r="AF632" s="1111" t="e">
        <f>VLOOKUP($AB632,sample!$1:$1048576,5,FALSE)</f>
        <v>#N/A</v>
      </c>
      <c r="AN632" s="1104" t="e">
        <f>VLOOKUP($AB632,sample!$1:$1048576,13,FALSE)</f>
        <v>#N/A</v>
      </c>
      <c r="AP632" s="1111"/>
    </row>
    <row r="633" spans="4:42">
      <c r="D633" s="1127" t="str">
        <f>IFERROR(VLOOKUP(G633,PosAggregate!$B$13:$B$93,1,FALSE),"")</f>
        <v/>
      </c>
      <c r="E633" s="1139" t="e">
        <f>_xll.BDP(G633  &amp; " Equity", "ID_ISIN", "Fill", "")</f>
        <v>#N/A</v>
      </c>
      <c r="F633" s="1132" t="str">
        <f t="shared" si="135"/>
        <v>YES</v>
      </c>
      <c r="I633" s="1133" t="e">
        <f>_xll.BDP(E633 &amp; " Equity","SECURITY_NAME")</f>
        <v>#N/A</v>
      </c>
      <c r="J633" s="1133" t="e">
        <f>_xll.BDP(G633 &amp; " Equity","Crncy")</f>
        <v>#N/A</v>
      </c>
      <c r="N633" s="1135">
        <f t="shared" si="136"/>
        <v>0</v>
      </c>
      <c r="R633" s="1100">
        <f t="shared" si="140"/>
        <v>0</v>
      </c>
      <c r="T633" s="1121" t="e">
        <f t="shared" si="134"/>
        <v>#DIV/0!</v>
      </c>
      <c r="X633" s="1089" t="e">
        <f t="shared" si="139"/>
        <v>#DIV/0!</v>
      </c>
      <c r="Y633" s="690" t="s">
        <v>1763</v>
      </c>
      <c r="Z633" s="1111" t="e">
        <f>VLOOKUP(AA633,'place of settlement'!A:C,2,FALSE)</f>
        <v>#N/A</v>
      </c>
      <c r="AA633" s="1111" t="e">
        <f t="shared" si="137"/>
        <v>#N/A</v>
      </c>
      <c r="AB633" s="1111" t="e">
        <f t="shared" si="138"/>
        <v>#N/A</v>
      </c>
      <c r="AC633" s="1111" t="e">
        <f>VLOOKUP(AB633,sample!$1:$1048576,2,FALSE)</f>
        <v>#N/A</v>
      </c>
      <c r="AD633" s="1111" t="e">
        <f>VLOOKUP($AB633,sample!$1:$1048576,3,FALSE)</f>
        <v>#N/A</v>
      </c>
      <c r="AE633" s="1104" t="e">
        <f>VLOOKUP($AB633,sample!$1:$1048576,4,FALSE)</f>
        <v>#N/A</v>
      </c>
      <c r="AF633" s="1111" t="e">
        <f>VLOOKUP($AB633,sample!$1:$1048576,5,FALSE)</f>
        <v>#N/A</v>
      </c>
      <c r="AN633" s="1104" t="e">
        <f>VLOOKUP($AB633,sample!$1:$1048576,13,FALSE)</f>
        <v>#N/A</v>
      </c>
      <c r="AP633" s="1111"/>
    </row>
    <row r="634" spans="4:42">
      <c r="D634" s="1127" t="str">
        <f>IFERROR(VLOOKUP(G634,PosAggregate!$B$13:$B$93,1,FALSE),"")</f>
        <v/>
      </c>
      <c r="E634" s="1139" t="e">
        <f>_xll.BDP(G634  &amp; " Equity", "ID_ISIN", "Fill", "")</f>
        <v>#N/A</v>
      </c>
      <c r="F634" s="1132" t="str">
        <f t="shared" si="135"/>
        <v>YES</v>
      </c>
      <c r="I634" s="1133" t="e">
        <f>_xll.BDP(E634 &amp; " Equity","SECURITY_NAME")</f>
        <v>#N/A</v>
      </c>
      <c r="J634" s="1133" t="e">
        <f>_xll.BDP(G634 &amp; " Equity","Crncy")</f>
        <v>#N/A</v>
      </c>
      <c r="N634" s="1135">
        <f t="shared" si="136"/>
        <v>0</v>
      </c>
      <c r="R634" s="1100">
        <f t="shared" si="140"/>
        <v>0</v>
      </c>
      <c r="T634" s="1121" t="e">
        <f t="shared" si="134"/>
        <v>#DIV/0!</v>
      </c>
      <c r="X634" s="1089" t="e">
        <f t="shared" si="139"/>
        <v>#DIV/0!</v>
      </c>
      <c r="Y634" s="690" t="s">
        <v>1763</v>
      </c>
      <c r="Z634" s="1111" t="e">
        <f>VLOOKUP(AA634,'place of settlement'!A:C,2,FALSE)</f>
        <v>#N/A</v>
      </c>
      <c r="AA634" s="1111" t="e">
        <f t="shared" si="137"/>
        <v>#N/A</v>
      </c>
      <c r="AB634" s="1111" t="e">
        <f t="shared" si="138"/>
        <v>#N/A</v>
      </c>
      <c r="AC634" s="1111" t="e">
        <f>VLOOKUP(AB634,sample!$1:$1048576,2,FALSE)</f>
        <v>#N/A</v>
      </c>
      <c r="AD634" s="1111" t="e">
        <f>VLOOKUP($AB634,sample!$1:$1048576,3,FALSE)</f>
        <v>#N/A</v>
      </c>
      <c r="AE634" s="1104" t="e">
        <f>VLOOKUP($AB634,sample!$1:$1048576,4,FALSE)</f>
        <v>#N/A</v>
      </c>
      <c r="AF634" s="1111" t="e">
        <f>VLOOKUP($AB634,sample!$1:$1048576,5,FALSE)</f>
        <v>#N/A</v>
      </c>
      <c r="AN634" s="1104" t="e">
        <f>VLOOKUP($AB634,sample!$1:$1048576,13,FALSE)</f>
        <v>#N/A</v>
      </c>
      <c r="AP634" s="1111"/>
    </row>
    <row r="635" spans="4:42">
      <c r="D635" s="1127" t="str">
        <f>IFERROR(VLOOKUP(G635,PosAggregate!$B$13:$B$93,1,FALSE),"")</f>
        <v/>
      </c>
      <c r="E635" s="1139" t="e">
        <f>_xll.BDP(G635  &amp; " Equity", "ID_ISIN", "Fill", "")</f>
        <v>#N/A</v>
      </c>
      <c r="F635" s="1132" t="str">
        <f t="shared" si="135"/>
        <v>YES</v>
      </c>
      <c r="I635" s="1133" t="e">
        <f>_xll.BDP(E635 &amp; " Equity","SECURITY_NAME")</f>
        <v>#N/A</v>
      </c>
      <c r="J635" s="1133" t="e">
        <f>_xll.BDP(G635 &amp; " Equity","Crncy")</f>
        <v>#N/A</v>
      </c>
      <c r="N635" s="1135">
        <f t="shared" si="136"/>
        <v>0</v>
      </c>
      <c r="R635" s="1100">
        <f t="shared" si="140"/>
        <v>0</v>
      </c>
      <c r="T635" s="1121" t="e">
        <f t="shared" si="134"/>
        <v>#DIV/0!</v>
      </c>
      <c r="X635" s="1089" t="e">
        <f t="shared" si="139"/>
        <v>#DIV/0!</v>
      </c>
      <c r="Y635" s="690" t="s">
        <v>1763</v>
      </c>
      <c r="Z635" s="1111" t="e">
        <f>VLOOKUP(AA635,'place of settlement'!A:C,2,FALSE)</f>
        <v>#N/A</v>
      </c>
      <c r="AA635" s="1111" t="e">
        <f t="shared" si="137"/>
        <v>#N/A</v>
      </c>
      <c r="AB635" s="1111" t="e">
        <f t="shared" si="138"/>
        <v>#N/A</v>
      </c>
      <c r="AC635" s="1111" t="e">
        <f>VLOOKUP(AB635,sample!$1:$1048576,2,FALSE)</f>
        <v>#N/A</v>
      </c>
      <c r="AD635" s="1111" t="e">
        <f>VLOOKUP($AB635,sample!$1:$1048576,3,FALSE)</f>
        <v>#N/A</v>
      </c>
      <c r="AE635" s="1104" t="e">
        <f>VLOOKUP($AB635,sample!$1:$1048576,4,FALSE)</f>
        <v>#N/A</v>
      </c>
      <c r="AF635" s="1111" t="e">
        <f>VLOOKUP($AB635,sample!$1:$1048576,5,FALSE)</f>
        <v>#N/A</v>
      </c>
      <c r="AN635" s="1104" t="e">
        <f>VLOOKUP($AB635,sample!$1:$1048576,13,FALSE)</f>
        <v>#N/A</v>
      </c>
      <c r="AP635" s="1111"/>
    </row>
    <row r="636" spans="4:42">
      <c r="D636" s="1127" t="str">
        <f>IFERROR(VLOOKUP(G636,PosAggregate!$B$13:$B$93,1,FALSE),"")</f>
        <v/>
      </c>
      <c r="E636" s="1139" t="e">
        <f>_xll.BDP(G636  &amp; " Equity", "ID_ISIN", "Fill", "")</f>
        <v>#N/A</v>
      </c>
      <c r="F636" s="1132" t="str">
        <f t="shared" si="135"/>
        <v>YES</v>
      </c>
      <c r="I636" s="1133" t="e">
        <f>_xll.BDP(E636 &amp; " Equity","SECURITY_NAME")</f>
        <v>#N/A</v>
      </c>
      <c r="J636" s="1133" t="e">
        <f>_xll.BDP(G636 &amp; " Equity","Crncy")</f>
        <v>#N/A</v>
      </c>
      <c r="N636" s="1135">
        <f t="shared" si="136"/>
        <v>0</v>
      </c>
      <c r="R636" s="1100">
        <f t="shared" si="140"/>
        <v>0</v>
      </c>
      <c r="T636" s="1121" t="e">
        <f t="shared" ref="T636:T699" si="141">+R636/S636</f>
        <v>#DIV/0!</v>
      </c>
      <c r="X636" s="1089" t="e">
        <f t="shared" si="139"/>
        <v>#DIV/0!</v>
      </c>
      <c r="Y636" s="690" t="s">
        <v>1763</v>
      </c>
      <c r="Z636" s="1111" t="e">
        <f>VLOOKUP(AA636,'place of settlement'!A:C,2,FALSE)</f>
        <v>#N/A</v>
      </c>
      <c r="AA636" s="1111" t="e">
        <f t="shared" si="137"/>
        <v>#N/A</v>
      </c>
      <c r="AB636" s="1111" t="e">
        <f t="shared" si="138"/>
        <v>#N/A</v>
      </c>
      <c r="AC636" s="1111" t="e">
        <f>VLOOKUP(AB636,sample!$1:$1048576,2,FALSE)</f>
        <v>#N/A</v>
      </c>
      <c r="AD636" s="1111" t="e">
        <f>VLOOKUP($AB636,sample!$1:$1048576,3,FALSE)</f>
        <v>#N/A</v>
      </c>
      <c r="AE636" s="1104" t="e">
        <f>VLOOKUP($AB636,sample!$1:$1048576,4,FALSE)</f>
        <v>#N/A</v>
      </c>
      <c r="AF636" s="1111" t="e">
        <f>VLOOKUP($AB636,sample!$1:$1048576,5,FALSE)</f>
        <v>#N/A</v>
      </c>
      <c r="AN636" s="1104" t="e">
        <f>VLOOKUP($AB636,sample!$1:$1048576,13,FALSE)</f>
        <v>#N/A</v>
      </c>
      <c r="AP636" s="1111"/>
    </row>
    <row r="637" spans="4:42">
      <c r="D637" s="1127" t="str">
        <f>IFERROR(VLOOKUP(G637,PosAggregate!$B$13:$B$93,1,FALSE),"")</f>
        <v/>
      </c>
      <c r="E637" s="1139" t="e">
        <f>_xll.BDP(G637  &amp; " Equity", "ID_ISIN", "Fill", "")</f>
        <v>#N/A</v>
      </c>
      <c r="F637" s="1132" t="str">
        <f t="shared" si="135"/>
        <v>YES</v>
      </c>
      <c r="I637" s="1133" t="e">
        <f>_xll.BDP(E637 &amp; " Equity","SECURITY_NAME")</f>
        <v>#N/A</v>
      </c>
      <c r="J637" s="1133" t="e">
        <f>_xll.BDP(G637 &amp; " Equity","Crncy")</f>
        <v>#N/A</v>
      </c>
      <c r="N637" s="1135">
        <f t="shared" si="136"/>
        <v>0</v>
      </c>
      <c r="R637" s="1100">
        <f t="shared" si="140"/>
        <v>0</v>
      </c>
      <c r="T637" s="1121" t="e">
        <f t="shared" si="141"/>
        <v>#DIV/0!</v>
      </c>
      <c r="X637" s="1089" t="e">
        <f t="shared" si="139"/>
        <v>#DIV/0!</v>
      </c>
      <c r="Y637" s="690" t="s">
        <v>1763</v>
      </c>
      <c r="Z637" s="1111" t="e">
        <f>VLOOKUP(AA637,'place of settlement'!A:C,2,FALSE)</f>
        <v>#N/A</v>
      </c>
      <c r="AA637" s="1111" t="e">
        <f t="shared" si="137"/>
        <v>#N/A</v>
      </c>
      <c r="AB637" s="1111" t="e">
        <f t="shared" si="138"/>
        <v>#N/A</v>
      </c>
      <c r="AC637" s="1111" t="e">
        <f>VLOOKUP(AB637,sample!$1:$1048576,2,FALSE)</f>
        <v>#N/A</v>
      </c>
      <c r="AD637" s="1111" t="e">
        <f>VLOOKUP($AB637,sample!$1:$1048576,3,FALSE)</f>
        <v>#N/A</v>
      </c>
      <c r="AE637" s="1104" t="e">
        <f>VLOOKUP($AB637,sample!$1:$1048576,4,FALSE)</f>
        <v>#N/A</v>
      </c>
      <c r="AF637" s="1111" t="e">
        <f>VLOOKUP($AB637,sample!$1:$1048576,5,FALSE)</f>
        <v>#N/A</v>
      </c>
      <c r="AN637" s="1104" t="e">
        <f>VLOOKUP($AB637,sample!$1:$1048576,13,FALSE)</f>
        <v>#N/A</v>
      </c>
      <c r="AP637" s="1111"/>
    </row>
    <row r="638" spans="4:42">
      <c r="D638" s="1127" t="str">
        <f>IFERROR(VLOOKUP(G638,PosAggregate!$B$13:$B$93,1,FALSE),"")</f>
        <v/>
      </c>
      <c r="E638" s="1139" t="e">
        <f>_xll.BDP(G638  &amp; " Equity", "ID_ISIN", "Fill", "")</f>
        <v>#N/A</v>
      </c>
      <c r="F638" s="1132" t="str">
        <f t="shared" si="135"/>
        <v>YES</v>
      </c>
      <c r="I638" s="1133" t="e">
        <f>_xll.BDP(E638 &amp; " Equity","SECURITY_NAME")</f>
        <v>#N/A</v>
      </c>
      <c r="J638" s="1133" t="e">
        <f>_xll.BDP(G638 &amp; " Equity","Crncy")</f>
        <v>#N/A</v>
      </c>
      <c r="N638" s="1135">
        <f t="shared" si="136"/>
        <v>0</v>
      </c>
      <c r="R638" s="1100">
        <f t="shared" si="140"/>
        <v>0</v>
      </c>
      <c r="T638" s="1121" t="e">
        <f t="shared" si="141"/>
        <v>#DIV/0!</v>
      </c>
      <c r="X638" s="1089" t="e">
        <f t="shared" si="139"/>
        <v>#DIV/0!</v>
      </c>
      <c r="Y638" s="690" t="s">
        <v>1763</v>
      </c>
      <c r="Z638" s="1111" t="e">
        <f>VLOOKUP(AA638,'place of settlement'!A:C,2,FALSE)</f>
        <v>#N/A</v>
      </c>
      <c r="AA638" s="1111" t="e">
        <f t="shared" si="137"/>
        <v>#N/A</v>
      </c>
      <c r="AB638" s="1111" t="e">
        <f t="shared" si="138"/>
        <v>#N/A</v>
      </c>
      <c r="AC638" s="1111" t="e">
        <f>VLOOKUP(AB638,sample!$1:$1048576,2,FALSE)</f>
        <v>#N/A</v>
      </c>
      <c r="AD638" s="1111" t="e">
        <f>VLOOKUP($AB638,sample!$1:$1048576,3,FALSE)</f>
        <v>#N/A</v>
      </c>
      <c r="AE638" s="1104" t="e">
        <f>VLOOKUP($AB638,sample!$1:$1048576,4,FALSE)</f>
        <v>#N/A</v>
      </c>
      <c r="AF638" s="1111" t="e">
        <f>VLOOKUP($AB638,sample!$1:$1048576,5,FALSE)</f>
        <v>#N/A</v>
      </c>
      <c r="AN638" s="1104" t="e">
        <f>VLOOKUP($AB638,sample!$1:$1048576,13,FALSE)</f>
        <v>#N/A</v>
      </c>
      <c r="AP638" s="1111"/>
    </row>
    <row r="639" spans="4:42">
      <c r="D639" s="1127" t="str">
        <f>IFERROR(VLOOKUP(G639,PosAggregate!$B$13:$B$93,1,FALSE),"")</f>
        <v/>
      </c>
      <c r="E639" s="1139" t="e">
        <f>_xll.BDP(G639  &amp; " Equity", "ID_ISIN", "Fill", "")</f>
        <v>#N/A</v>
      </c>
      <c r="F639" s="1132" t="str">
        <f t="shared" si="135"/>
        <v>YES</v>
      </c>
      <c r="I639" s="1133" t="e">
        <f>_xll.BDP(E639 &amp; " Equity","SECURITY_NAME")</f>
        <v>#N/A</v>
      </c>
      <c r="J639" s="1133" t="e">
        <f>_xll.BDP(G639 &amp; " Equity","Crncy")</f>
        <v>#N/A</v>
      </c>
      <c r="N639" s="1135">
        <f t="shared" si="136"/>
        <v>0</v>
      </c>
      <c r="R639" s="1100">
        <f t="shared" si="140"/>
        <v>0</v>
      </c>
      <c r="T639" s="1121" t="e">
        <f t="shared" si="141"/>
        <v>#DIV/0!</v>
      </c>
      <c r="X639" s="1089" t="e">
        <f t="shared" si="139"/>
        <v>#DIV/0!</v>
      </c>
      <c r="Y639" s="690" t="s">
        <v>1763</v>
      </c>
      <c r="Z639" s="1111" t="e">
        <f>VLOOKUP(AA639,'place of settlement'!A:C,2,FALSE)</f>
        <v>#N/A</v>
      </c>
      <c r="AA639" s="1111" t="e">
        <f t="shared" si="137"/>
        <v>#N/A</v>
      </c>
      <c r="AB639" s="1111" t="e">
        <f t="shared" si="138"/>
        <v>#N/A</v>
      </c>
      <c r="AC639" s="1111" t="e">
        <f>VLOOKUP(AB639,sample!$1:$1048576,2,FALSE)</f>
        <v>#N/A</v>
      </c>
      <c r="AD639" s="1111" t="e">
        <f>VLOOKUP($AB639,sample!$1:$1048576,3,FALSE)</f>
        <v>#N/A</v>
      </c>
      <c r="AE639" s="1104" t="e">
        <f>VLOOKUP($AB639,sample!$1:$1048576,4,FALSE)</f>
        <v>#N/A</v>
      </c>
      <c r="AF639" s="1111" t="e">
        <f>VLOOKUP($AB639,sample!$1:$1048576,5,FALSE)</f>
        <v>#N/A</v>
      </c>
      <c r="AN639" s="1104" t="e">
        <f>VLOOKUP($AB639,sample!$1:$1048576,13,FALSE)</f>
        <v>#N/A</v>
      </c>
      <c r="AP639" s="1111"/>
    </row>
    <row r="640" spans="4:42">
      <c r="D640" s="1127" t="str">
        <f>IFERROR(VLOOKUP(G640,PosAggregate!$B$13:$B$93,1,FALSE),"")</f>
        <v/>
      </c>
      <c r="E640" s="1139" t="e">
        <f>_xll.BDP(G640  &amp; " Equity", "ID_ISIN", "Fill", "")</f>
        <v>#N/A</v>
      </c>
      <c r="F640" s="1132" t="str">
        <f t="shared" si="135"/>
        <v>YES</v>
      </c>
      <c r="I640" s="1133" t="e">
        <f>_xll.BDP(E640 &amp; " Equity","SECURITY_NAME")</f>
        <v>#N/A</v>
      </c>
      <c r="J640" s="1133" t="e">
        <f>_xll.BDP(G640 &amp; " Equity","Crncy")</f>
        <v>#N/A</v>
      </c>
      <c r="N640" s="1135">
        <f t="shared" si="136"/>
        <v>0</v>
      </c>
      <c r="R640" s="1100">
        <f t="shared" si="140"/>
        <v>0</v>
      </c>
      <c r="T640" s="1121" t="e">
        <f t="shared" si="141"/>
        <v>#DIV/0!</v>
      </c>
      <c r="X640" s="1089" t="e">
        <f t="shared" si="139"/>
        <v>#DIV/0!</v>
      </c>
      <c r="Y640" s="690" t="s">
        <v>1763</v>
      </c>
      <c r="Z640" s="1111" t="e">
        <f>VLOOKUP(AA640,'place of settlement'!A:C,2,FALSE)</f>
        <v>#N/A</v>
      </c>
      <c r="AA640" s="1111" t="e">
        <f t="shared" si="137"/>
        <v>#N/A</v>
      </c>
      <c r="AB640" s="1111" t="e">
        <f t="shared" si="138"/>
        <v>#N/A</v>
      </c>
      <c r="AC640" s="1111" t="e">
        <f>VLOOKUP(AB640,sample!$1:$1048576,2,FALSE)</f>
        <v>#N/A</v>
      </c>
      <c r="AD640" s="1111" t="e">
        <f>VLOOKUP($AB640,sample!$1:$1048576,3,FALSE)</f>
        <v>#N/A</v>
      </c>
      <c r="AE640" s="1104" t="e">
        <f>VLOOKUP($AB640,sample!$1:$1048576,4,FALSE)</f>
        <v>#N/A</v>
      </c>
      <c r="AF640" s="1111" t="e">
        <f>VLOOKUP($AB640,sample!$1:$1048576,5,FALSE)</f>
        <v>#N/A</v>
      </c>
      <c r="AN640" s="1104" t="e">
        <f>VLOOKUP($AB640,sample!$1:$1048576,13,FALSE)</f>
        <v>#N/A</v>
      </c>
      <c r="AP640" s="1111"/>
    </row>
    <row r="641" spans="4:42">
      <c r="D641" s="1127" t="str">
        <f>IFERROR(VLOOKUP(G641,PosAggregate!$B$13:$B$93,1,FALSE),"")</f>
        <v/>
      </c>
      <c r="E641" s="1139" t="e">
        <f>_xll.BDP(G641  &amp; " Equity", "ID_ISIN", "Fill", "")</f>
        <v>#N/A</v>
      </c>
      <c r="F641" s="1132" t="str">
        <f t="shared" si="135"/>
        <v>YES</v>
      </c>
      <c r="I641" s="1133" t="e">
        <f>_xll.BDP(E641 &amp; " Equity","SECURITY_NAME")</f>
        <v>#N/A</v>
      </c>
      <c r="J641" s="1133" t="e">
        <f>_xll.BDP(G641 &amp; " Equity","Crncy")</f>
        <v>#N/A</v>
      </c>
      <c r="N641" s="1135">
        <f t="shared" si="136"/>
        <v>0</v>
      </c>
      <c r="R641" s="1100">
        <f t="shared" si="140"/>
        <v>0</v>
      </c>
      <c r="T641" s="1121" t="e">
        <f t="shared" si="141"/>
        <v>#DIV/0!</v>
      </c>
      <c r="X641" s="1089" t="e">
        <f t="shared" si="139"/>
        <v>#DIV/0!</v>
      </c>
      <c r="Y641" s="690" t="s">
        <v>1763</v>
      </c>
      <c r="Z641" s="1111" t="e">
        <f>VLOOKUP(AA641,'place of settlement'!A:C,2,FALSE)</f>
        <v>#N/A</v>
      </c>
      <c r="AA641" s="1111" t="e">
        <f t="shared" si="137"/>
        <v>#N/A</v>
      </c>
      <c r="AB641" s="1111" t="e">
        <f t="shared" si="138"/>
        <v>#N/A</v>
      </c>
      <c r="AC641" s="1111" t="e">
        <f>VLOOKUP(AB641,sample!$1:$1048576,2,FALSE)</f>
        <v>#N/A</v>
      </c>
      <c r="AD641" s="1111" t="e">
        <f>VLOOKUP($AB641,sample!$1:$1048576,3,FALSE)</f>
        <v>#N/A</v>
      </c>
      <c r="AE641" s="1104" t="e">
        <f>VLOOKUP($AB641,sample!$1:$1048576,4,FALSE)</f>
        <v>#N/A</v>
      </c>
      <c r="AF641" s="1111" t="e">
        <f>VLOOKUP($AB641,sample!$1:$1048576,5,FALSE)</f>
        <v>#N/A</v>
      </c>
      <c r="AN641" s="1104" t="e">
        <f>VLOOKUP($AB641,sample!$1:$1048576,13,FALSE)</f>
        <v>#N/A</v>
      </c>
      <c r="AP641" s="1111"/>
    </row>
    <row r="642" spans="4:42">
      <c r="D642" s="1127" t="str">
        <f>IFERROR(VLOOKUP(G642,PosAggregate!$B$13:$B$93,1,FALSE),"")</f>
        <v/>
      </c>
      <c r="E642" s="1139" t="e">
        <f>_xll.BDP(G642  &amp; " Equity", "ID_ISIN", "Fill", "")</f>
        <v>#N/A</v>
      </c>
      <c r="F642" s="1132" t="str">
        <f t="shared" si="135"/>
        <v>YES</v>
      </c>
      <c r="I642" s="1133" t="e">
        <f>_xll.BDP(E642 &amp; " Equity","SECURITY_NAME")</f>
        <v>#N/A</v>
      </c>
      <c r="J642" s="1133" t="e">
        <f>_xll.BDP(G642 &amp; " Equity","Crncy")</f>
        <v>#N/A</v>
      </c>
      <c r="N642" s="1135">
        <f t="shared" si="136"/>
        <v>0</v>
      </c>
      <c r="R642" s="1100">
        <f t="shared" si="140"/>
        <v>0</v>
      </c>
      <c r="T642" s="1121" t="e">
        <f t="shared" si="141"/>
        <v>#DIV/0!</v>
      </c>
      <c r="X642" s="1089" t="e">
        <f t="shared" si="139"/>
        <v>#DIV/0!</v>
      </c>
      <c r="Y642" s="690" t="s">
        <v>1763</v>
      </c>
      <c r="Z642" s="1111" t="e">
        <f>VLOOKUP(AA642,'place of settlement'!A:C,2,FALSE)</f>
        <v>#N/A</v>
      </c>
      <c r="AA642" s="1111" t="e">
        <f t="shared" si="137"/>
        <v>#N/A</v>
      </c>
      <c r="AB642" s="1111" t="e">
        <f t="shared" si="138"/>
        <v>#N/A</v>
      </c>
      <c r="AC642" s="1111" t="e">
        <f>VLOOKUP(AB642,sample!$1:$1048576,2,FALSE)</f>
        <v>#N/A</v>
      </c>
      <c r="AD642" s="1111" t="e">
        <f>VLOOKUP($AB642,sample!$1:$1048576,3,FALSE)</f>
        <v>#N/A</v>
      </c>
      <c r="AE642" s="1104" t="e">
        <f>VLOOKUP($AB642,sample!$1:$1048576,4,FALSE)</f>
        <v>#N/A</v>
      </c>
      <c r="AF642" s="1111" t="e">
        <f>VLOOKUP($AB642,sample!$1:$1048576,5,FALSE)</f>
        <v>#N/A</v>
      </c>
      <c r="AN642" s="1104" t="e">
        <f>VLOOKUP($AB642,sample!$1:$1048576,13,FALSE)</f>
        <v>#N/A</v>
      </c>
      <c r="AP642" s="1111"/>
    </row>
    <row r="643" spans="4:42">
      <c r="D643" s="1127" t="str">
        <f>IFERROR(VLOOKUP(G643,PosAggregate!$B$13:$B$93,1,FALSE),"")</f>
        <v/>
      </c>
      <c r="E643" s="1139" t="e">
        <f>_xll.BDP(G643  &amp; " Equity", "ID_ISIN", "Fill", "")</f>
        <v>#N/A</v>
      </c>
      <c r="F643" s="1132" t="str">
        <f t="shared" si="135"/>
        <v>YES</v>
      </c>
      <c r="I643" s="1133" t="e">
        <f>_xll.BDP(E643 &amp; " Equity","SECURITY_NAME")</f>
        <v>#N/A</v>
      </c>
      <c r="J643" s="1133" t="e">
        <f>_xll.BDP(G643 &amp; " Equity","Crncy")</f>
        <v>#N/A</v>
      </c>
      <c r="N643" s="1135">
        <f t="shared" si="136"/>
        <v>0</v>
      </c>
      <c r="R643" s="1100">
        <f t="shared" si="140"/>
        <v>0</v>
      </c>
      <c r="T643" s="1121" t="e">
        <f t="shared" si="141"/>
        <v>#DIV/0!</v>
      </c>
      <c r="X643" s="1089" t="e">
        <f t="shared" si="139"/>
        <v>#DIV/0!</v>
      </c>
      <c r="Y643" s="690" t="s">
        <v>1763</v>
      </c>
      <c r="Z643" s="1111" t="e">
        <f>VLOOKUP(AA643,'place of settlement'!A:C,2,FALSE)</f>
        <v>#N/A</v>
      </c>
      <c r="AA643" s="1111" t="e">
        <f t="shared" si="137"/>
        <v>#N/A</v>
      </c>
      <c r="AB643" s="1111" t="e">
        <f t="shared" si="138"/>
        <v>#N/A</v>
      </c>
      <c r="AC643" s="1111" t="e">
        <f>VLOOKUP(AB643,sample!$1:$1048576,2,FALSE)</f>
        <v>#N/A</v>
      </c>
      <c r="AD643" s="1111" t="e">
        <f>VLOOKUP($AB643,sample!$1:$1048576,3,FALSE)</f>
        <v>#N/A</v>
      </c>
      <c r="AE643" s="1104" t="e">
        <f>VLOOKUP($AB643,sample!$1:$1048576,4,FALSE)</f>
        <v>#N/A</v>
      </c>
      <c r="AF643" s="1111" t="e">
        <f>VLOOKUP($AB643,sample!$1:$1048576,5,FALSE)</f>
        <v>#N/A</v>
      </c>
      <c r="AN643" s="1104" t="e">
        <f>VLOOKUP($AB643,sample!$1:$1048576,13,FALSE)</f>
        <v>#N/A</v>
      </c>
      <c r="AP643" s="1111"/>
    </row>
    <row r="644" spans="4:42">
      <c r="D644" s="1127" t="str">
        <f>IFERROR(VLOOKUP(G644,PosAggregate!$B$13:$B$93,1,FALSE),"")</f>
        <v/>
      </c>
      <c r="E644" s="1139" t="e">
        <f>_xll.BDP(G644  &amp; " Equity", "ID_ISIN", "Fill", "")</f>
        <v>#N/A</v>
      </c>
      <c r="F644" s="1132" t="str">
        <f t="shared" ref="F644:F707" si="142">IF(D644=G644,"YES","NO")</f>
        <v>YES</v>
      </c>
      <c r="I644" s="1133" t="e">
        <f>_xll.BDP(E644 &amp; " Equity","SECURITY_NAME")</f>
        <v>#N/A</v>
      </c>
      <c r="J644" s="1133" t="e">
        <f>_xll.BDP(G644 &amp; " Equity","Crncy")</f>
        <v>#N/A</v>
      </c>
      <c r="N644" s="1135">
        <f t="shared" si="136"/>
        <v>0</v>
      </c>
      <c r="R644" s="1100">
        <f t="shared" si="140"/>
        <v>0</v>
      </c>
      <c r="T644" s="1121" t="e">
        <f t="shared" si="141"/>
        <v>#DIV/0!</v>
      </c>
      <c r="X644" s="1089" t="e">
        <f t="shared" si="139"/>
        <v>#DIV/0!</v>
      </c>
      <c r="Y644" s="690" t="s">
        <v>1763</v>
      </c>
      <c r="Z644" s="1111" t="e">
        <f>VLOOKUP(AA644,'place of settlement'!A:C,2,FALSE)</f>
        <v>#N/A</v>
      </c>
      <c r="AA644" s="1111" t="e">
        <f t="shared" si="137"/>
        <v>#N/A</v>
      </c>
      <c r="AB644" s="1111" t="e">
        <f t="shared" si="138"/>
        <v>#N/A</v>
      </c>
      <c r="AC644" s="1111" t="e">
        <f>VLOOKUP(AB644,sample!$1:$1048576,2,FALSE)</f>
        <v>#N/A</v>
      </c>
      <c r="AD644" s="1111" t="e">
        <f>VLOOKUP($AB644,sample!$1:$1048576,3,FALSE)</f>
        <v>#N/A</v>
      </c>
      <c r="AE644" s="1104" t="e">
        <f>VLOOKUP($AB644,sample!$1:$1048576,4,FALSE)</f>
        <v>#N/A</v>
      </c>
      <c r="AF644" s="1111" t="e">
        <f>VLOOKUP($AB644,sample!$1:$1048576,5,FALSE)</f>
        <v>#N/A</v>
      </c>
      <c r="AN644" s="1104" t="e">
        <f>VLOOKUP($AB644,sample!$1:$1048576,13,FALSE)</f>
        <v>#N/A</v>
      </c>
      <c r="AP644" s="1111"/>
    </row>
    <row r="645" spans="4:42">
      <c r="D645" s="1127" t="str">
        <f>IFERROR(VLOOKUP(G645,PosAggregate!$B$13:$B$93,1,FALSE),"")</f>
        <v/>
      </c>
      <c r="E645" s="1139" t="e">
        <f>_xll.BDP(G645  &amp; " Equity", "ID_ISIN", "Fill", "")</f>
        <v>#N/A</v>
      </c>
      <c r="F645" s="1132" t="str">
        <f t="shared" si="142"/>
        <v>YES</v>
      </c>
      <c r="I645" s="1133" t="e">
        <f>_xll.BDP(E645 &amp; " Equity","SECURITY_NAME")</f>
        <v>#N/A</v>
      </c>
      <c r="J645" s="1133" t="e">
        <f>_xll.BDP(G645 &amp; " Equity","Crncy")</f>
        <v>#N/A</v>
      </c>
      <c r="N645" s="1135">
        <f t="shared" si="136"/>
        <v>0</v>
      </c>
      <c r="R645" s="1100">
        <f t="shared" si="140"/>
        <v>0</v>
      </c>
      <c r="T645" s="1121" t="e">
        <f t="shared" si="141"/>
        <v>#DIV/0!</v>
      </c>
      <c r="X645" s="1089" t="e">
        <f t="shared" si="139"/>
        <v>#DIV/0!</v>
      </c>
      <c r="Y645" s="690" t="s">
        <v>1763</v>
      </c>
      <c r="Z645" s="1111" t="e">
        <f>VLOOKUP(AA645,'place of settlement'!A:C,2,FALSE)</f>
        <v>#N/A</v>
      </c>
      <c r="AA645" s="1111" t="e">
        <f t="shared" si="137"/>
        <v>#N/A</v>
      </c>
      <c r="AB645" s="1111" t="e">
        <f t="shared" si="138"/>
        <v>#N/A</v>
      </c>
      <c r="AC645" s="1111" t="e">
        <f>VLOOKUP(AB645,sample!$1:$1048576,2,FALSE)</f>
        <v>#N/A</v>
      </c>
      <c r="AD645" s="1111" t="e">
        <f>VLOOKUP($AB645,sample!$1:$1048576,3,FALSE)</f>
        <v>#N/A</v>
      </c>
      <c r="AE645" s="1104" t="e">
        <f>VLOOKUP($AB645,sample!$1:$1048576,4,FALSE)</f>
        <v>#N/A</v>
      </c>
      <c r="AF645" s="1111" t="e">
        <f>VLOOKUP($AB645,sample!$1:$1048576,5,FALSE)</f>
        <v>#N/A</v>
      </c>
      <c r="AN645" s="1104" t="e">
        <f>VLOOKUP($AB645,sample!$1:$1048576,13,FALSE)</f>
        <v>#N/A</v>
      </c>
      <c r="AP645" s="1111"/>
    </row>
    <row r="646" spans="4:42">
      <c r="D646" s="1127" t="str">
        <f>IFERROR(VLOOKUP(G646,PosAggregate!$B$13:$B$93,1,FALSE),"")</f>
        <v/>
      </c>
      <c r="E646" s="1139" t="e">
        <f>_xll.BDP(G646  &amp; " Equity", "ID_ISIN", "Fill", "")</f>
        <v>#N/A</v>
      </c>
      <c r="F646" s="1132" t="str">
        <f t="shared" si="142"/>
        <v>YES</v>
      </c>
      <c r="I646" s="1133" t="e">
        <f>_xll.BDP(E646 &amp; " Equity","SECURITY_NAME")</f>
        <v>#N/A</v>
      </c>
      <c r="J646" s="1133" t="e">
        <f>_xll.BDP(G646 &amp; " Equity","Crncy")</f>
        <v>#N/A</v>
      </c>
      <c r="N646" s="1135">
        <f t="shared" si="136"/>
        <v>0</v>
      </c>
      <c r="R646" s="1100">
        <f t="shared" si="140"/>
        <v>0</v>
      </c>
      <c r="T646" s="1121" t="e">
        <f t="shared" si="141"/>
        <v>#DIV/0!</v>
      </c>
      <c r="X646" s="1089" t="e">
        <f t="shared" si="139"/>
        <v>#DIV/0!</v>
      </c>
      <c r="Y646" s="690" t="s">
        <v>1763</v>
      </c>
      <c r="Z646" s="1111" t="e">
        <f>VLOOKUP(AA646,'place of settlement'!A:C,2,FALSE)</f>
        <v>#N/A</v>
      </c>
      <c r="AA646" s="1111" t="e">
        <f t="shared" si="137"/>
        <v>#N/A</v>
      </c>
      <c r="AB646" s="1111" t="e">
        <f t="shared" si="138"/>
        <v>#N/A</v>
      </c>
      <c r="AC646" s="1111" t="e">
        <f>VLOOKUP(AB646,sample!$1:$1048576,2,FALSE)</f>
        <v>#N/A</v>
      </c>
      <c r="AD646" s="1111" t="e">
        <f>VLOOKUP($AB646,sample!$1:$1048576,3,FALSE)</f>
        <v>#N/A</v>
      </c>
      <c r="AE646" s="1104" t="e">
        <f>VLOOKUP($AB646,sample!$1:$1048576,4,FALSE)</f>
        <v>#N/A</v>
      </c>
      <c r="AF646" s="1111" t="e">
        <f>VLOOKUP($AB646,sample!$1:$1048576,5,FALSE)</f>
        <v>#N/A</v>
      </c>
      <c r="AN646" s="1104" t="e">
        <f>VLOOKUP($AB646,sample!$1:$1048576,13,FALSE)</f>
        <v>#N/A</v>
      </c>
      <c r="AP646" s="1111"/>
    </row>
    <row r="647" spans="4:42">
      <c r="D647" s="1127" t="str">
        <f>IFERROR(VLOOKUP(G647,PosAggregate!$B$13:$B$93,1,FALSE),"")</f>
        <v/>
      </c>
      <c r="E647" s="1139" t="e">
        <f>_xll.BDP(G647  &amp; " Equity", "ID_ISIN", "Fill", "")</f>
        <v>#N/A</v>
      </c>
      <c r="F647" s="1132" t="str">
        <f t="shared" si="142"/>
        <v>YES</v>
      </c>
      <c r="I647" s="1133" t="e">
        <f>_xll.BDP(E647 &amp; " Equity","SECURITY_NAME")</f>
        <v>#N/A</v>
      </c>
      <c r="J647" s="1133" t="e">
        <f>_xll.BDP(G647 &amp; " Equity","Crncy")</f>
        <v>#N/A</v>
      </c>
      <c r="N647" s="1135">
        <f t="shared" si="136"/>
        <v>0</v>
      </c>
      <c r="R647" s="1100">
        <f t="shared" si="140"/>
        <v>0</v>
      </c>
      <c r="T647" s="1121" t="e">
        <f t="shared" si="141"/>
        <v>#DIV/0!</v>
      </c>
      <c r="X647" s="1089" t="e">
        <f t="shared" si="139"/>
        <v>#DIV/0!</v>
      </c>
      <c r="Y647" s="690" t="s">
        <v>1763</v>
      </c>
      <c r="Z647" s="1111" t="e">
        <f>VLOOKUP(AA647,'place of settlement'!A:C,2,FALSE)</f>
        <v>#N/A</v>
      </c>
      <c r="AA647" s="1111" t="e">
        <f t="shared" si="137"/>
        <v>#N/A</v>
      </c>
      <c r="AB647" s="1111" t="e">
        <f t="shared" si="138"/>
        <v>#N/A</v>
      </c>
      <c r="AC647" s="1111" t="e">
        <f>VLOOKUP(AB647,sample!$1:$1048576,2,FALSE)</f>
        <v>#N/A</v>
      </c>
      <c r="AD647" s="1111" t="e">
        <f>VLOOKUP($AB647,sample!$1:$1048576,3,FALSE)</f>
        <v>#N/A</v>
      </c>
      <c r="AE647" s="1104" t="e">
        <f>VLOOKUP($AB647,sample!$1:$1048576,4,FALSE)</f>
        <v>#N/A</v>
      </c>
      <c r="AF647" s="1111" t="e">
        <f>VLOOKUP($AB647,sample!$1:$1048576,5,FALSE)</f>
        <v>#N/A</v>
      </c>
      <c r="AN647" s="1104" t="e">
        <f>VLOOKUP($AB647,sample!$1:$1048576,13,FALSE)</f>
        <v>#N/A</v>
      </c>
      <c r="AP647" s="1111"/>
    </row>
    <row r="648" spans="4:42">
      <c r="D648" s="1127" t="str">
        <f>IFERROR(VLOOKUP(G648,PosAggregate!$B$13:$B$93,1,FALSE),"")</f>
        <v/>
      </c>
      <c r="E648" s="1139" t="e">
        <f>_xll.BDP(G648  &amp; " Equity", "ID_ISIN", "Fill", "")</f>
        <v>#N/A</v>
      </c>
      <c r="F648" s="1132" t="str">
        <f t="shared" si="142"/>
        <v>YES</v>
      </c>
      <c r="I648" s="1133" t="e">
        <f>_xll.BDP(E648 &amp; " Equity","SECURITY_NAME")</f>
        <v>#N/A</v>
      </c>
      <c r="J648" s="1133" t="e">
        <f>_xll.BDP(G648 &amp; " Equity","Crncy")</f>
        <v>#N/A</v>
      </c>
      <c r="N648" s="1135">
        <f t="shared" si="136"/>
        <v>0</v>
      </c>
      <c r="R648" s="1100">
        <f t="shared" si="140"/>
        <v>0</v>
      </c>
      <c r="T648" s="1121" t="e">
        <f t="shared" si="141"/>
        <v>#DIV/0!</v>
      </c>
      <c r="X648" s="1089" t="e">
        <f t="shared" si="139"/>
        <v>#DIV/0!</v>
      </c>
      <c r="Y648" s="690" t="s">
        <v>1763</v>
      </c>
      <c r="Z648" s="1111" t="e">
        <f>VLOOKUP(AA648,'place of settlement'!A:C,2,FALSE)</f>
        <v>#N/A</v>
      </c>
      <c r="AA648" s="1111" t="e">
        <f t="shared" si="137"/>
        <v>#N/A</v>
      </c>
      <c r="AB648" s="1111" t="e">
        <f t="shared" si="138"/>
        <v>#N/A</v>
      </c>
      <c r="AC648" s="1111" t="e">
        <f>VLOOKUP(AB648,sample!$1:$1048576,2,FALSE)</f>
        <v>#N/A</v>
      </c>
      <c r="AD648" s="1111" t="e">
        <f>VLOOKUP($AB648,sample!$1:$1048576,3,FALSE)</f>
        <v>#N/A</v>
      </c>
      <c r="AE648" s="1104" t="e">
        <f>VLOOKUP($AB648,sample!$1:$1048576,4,FALSE)</f>
        <v>#N/A</v>
      </c>
      <c r="AF648" s="1111" t="e">
        <f>VLOOKUP($AB648,sample!$1:$1048576,5,FALSE)</f>
        <v>#N/A</v>
      </c>
      <c r="AN648" s="1104" t="e">
        <f>VLOOKUP($AB648,sample!$1:$1048576,13,FALSE)</f>
        <v>#N/A</v>
      </c>
      <c r="AP648" s="1111"/>
    </row>
    <row r="649" spans="4:42">
      <c r="D649" s="1127" t="str">
        <f>IFERROR(VLOOKUP(G649,PosAggregate!$B$13:$B$93,1,FALSE),"")</f>
        <v/>
      </c>
      <c r="E649" s="1139" t="e">
        <f>_xll.BDP(G649  &amp; " Equity", "ID_ISIN", "Fill", "")</f>
        <v>#N/A</v>
      </c>
      <c r="F649" s="1132" t="str">
        <f t="shared" si="142"/>
        <v>YES</v>
      </c>
      <c r="I649" s="1133" t="e">
        <f>_xll.BDP(E649 &amp; " Equity","SECURITY_NAME")</f>
        <v>#N/A</v>
      </c>
      <c r="J649" s="1133" t="e">
        <f>_xll.BDP(G649 &amp; " Equity","Crncy")</f>
        <v>#N/A</v>
      </c>
      <c r="N649" s="1135">
        <f t="shared" si="136"/>
        <v>0</v>
      </c>
      <c r="R649" s="1100">
        <f t="shared" si="140"/>
        <v>0</v>
      </c>
      <c r="T649" s="1121" t="e">
        <f t="shared" si="141"/>
        <v>#DIV/0!</v>
      </c>
      <c r="X649" s="1089" t="e">
        <f t="shared" si="139"/>
        <v>#DIV/0!</v>
      </c>
      <c r="Y649" s="690" t="s">
        <v>1763</v>
      </c>
      <c r="Z649" s="1111" t="e">
        <f>VLOOKUP(AA649,'place of settlement'!A:C,2,FALSE)</f>
        <v>#N/A</v>
      </c>
      <c r="AA649" s="1111" t="e">
        <f t="shared" si="137"/>
        <v>#N/A</v>
      </c>
      <c r="AB649" s="1111" t="e">
        <f t="shared" si="138"/>
        <v>#N/A</v>
      </c>
      <c r="AC649" s="1111" t="e">
        <f>VLOOKUP(AB649,sample!$1:$1048576,2,FALSE)</f>
        <v>#N/A</v>
      </c>
      <c r="AD649" s="1111" t="e">
        <f>VLOOKUP($AB649,sample!$1:$1048576,3,FALSE)</f>
        <v>#N/A</v>
      </c>
      <c r="AE649" s="1104" t="e">
        <f>VLOOKUP($AB649,sample!$1:$1048576,4,FALSE)</f>
        <v>#N/A</v>
      </c>
      <c r="AF649" s="1111" t="e">
        <f>VLOOKUP($AB649,sample!$1:$1048576,5,FALSE)</f>
        <v>#N/A</v>
      </c>
      <c r="AN649" s="1104" t="e">
        <f>VLOOKUP($AB649,sample!$1:$1048576,13,FALSE)</f>
        <v>#N/A</v>
      </c>
      <c r="AP649" s="1111"/>
    </row>
    <row r="650" spans="4:42">
      <c r="D650" s="1127" t="str">
        <f>IFERROR(VLOOKUP(G650,PosAggregate!$B$13:$B$93,1,FALSE),"")</f>
        <v/>
      </c>
      <c r="E650" s="1139" t="e">
        <f>_xll.BDP(G650  &amp; " Equity", "ID_ISIN", "Fill", "")</f>
        <v>#N/A</v>
      </c>
      <c r="F650" s="1132" t="str">
        <f t="shared" si="142"/>
        <v>YES</v>
      </c>
      <c r="I650" s="1133" t="e">
        <f>_xll.BDP(E650 &amp; " Equity","SECURITY_NAME")</f>
        <v>#N/A</v>
      </c>
      <c r="J650" s="1133" t="e">
        <f>_xll.BDP(G650 &amp; " Equity","Crncy")</f>
        <v>#N/A</v>
      </c>
      <c r="N650" s="1135">
        <f t="shared" si="136"/>
        <v>0</v>
      </c>
      <c r="R650" s="1100">
        <f t="shared" si="140"/>
        <v>0</v>
      </c>
      <c r="T650" s="1121" t="e">
        <f t="shared" si="141"/>
        <v>#DIV/0!</v>
      </c>
      <c r="X650" s="1089" t="e">
        <f t="shared" si="139"/>
        <v>#DIV/0!</v>
      </c>
      <c r="Y650" s="690" t="s">
        <v>1763</v>
      </c>
      <c r="Z650" s="1111" t="e">
        <f>VLOOKUP(AA650,'place of settlement'!A:C,2,FALSE)</f>
        <v>#N/A</v>
      </c>
      <c r="AA650" s="1111" t="e">
        <f t="shared" si="137"/>
        <v>#N/A</v>
      </c>
      <c r="AB650" s="1111" t="e">
        <f t="shared" si="138"/>
        <v>#N/A</v>
      </c>
      <c r="AC650" s="1111" t="e">
        <f>VLOOKUP(AB650,sample!$1:$1048576,2,FALSE)</f>
        <v>#N/A</v>
      </c>
      <c r="AD650" s="1111" t="e">
        <f>VLOOKUP($AB650,sample!$1:$1048576,3,FALSE)</f>
        <v>#N/A</v>
      </c>
      <c r="AE650" s="1104" t="e">
        <f>VLOOKUP($AB650,sample!$1:$1048576,4,FALSE)</f>
        <v>#N/A</v>
      </c>
      <c r="AF650" s="1111" t="e">
        <f>VLOOKUP($AB650,sample!$1:$1048576,5,FALSE)</f>
        <v>#N/A</v>
      </c>
      <c r="AN650" s="1104" t="e">
        <f>VLOOKUP($AB650,sample!$1:$1048576,13,FALSE)</f>
        <v>#N/A</v>
      </c>
      <c r="AP650" s="1111"/>
    </row>
    <row r="651" spans="4:42">
      <c r="D651" s="1127" t="str">
        <f>IFERROR(VLOOKUP(G651,PosAggregate!$B$13:$B$93,1,FALSE),"")</f>
        <v/>
      </c>
      <c r="E651" s="1139" t="e">
        <f>_xll.BDP(G651  &amp; " Equity", "ID_ISIN", "Fill", "")</f>
        <v>#N/A</v>
      </c>
      <c r="F651" s="1132" t="str">
        <f t="shared" si="142"/>
        <v>YES</v>
      </c>
      <c r="I651" s="1133" t="e">
        <f>_xll.BDP(E651 &amp; " Equity","SECURITY_NAME")</f>
        <v>#N/A</v>
      </c>
      <c r="J651" s="1133" t="e">
        <f>_xll.BDP(G651 &amp; " Equity","Crncy")</f>
        <v>#N/A</v>
      </c>
      <c r="N651" s="1135">
        <f t="shared" si="136"/>
        <v>0</v>
      </c>
      <c r="R651" s="1100">
        <f t="shared" si="140"/>
        <v>0</v>
      </c>
      <c r="T651" s="1121" t="e">
        <f t="shared" si="141"/>
        <v>#DIV/0!</v>
      </c>
      <c r="X651" s="1089" t="e">
        <f t="shared" si="139"/>
        <v>#DIV/0!</v>
      </c>
      <c r="Y651" s="690" t="s">
        <v>1763</v>
      </c>
      <c r="Z651" s="1111" t="e">
        <f>VLOOKUP(AA651,'place of settlement'!A:C,2,FALSE)</f>
        <v>#N/A</v>
      </c>
      <c r="AA651" s="1111" t="e">
        <f t="shared" si="137"/>
        <v>#N/A</v>
      </c>
      <c r="AB651" s="1111" t="e">
        <f t="shared" si="138"/>
        <v>#N/A</v>
      </c>
      <c r="AC651" s="1111" t="e">
        <f>VLOOKUP(AB651,sample!$1:$1048576,2,FALSE)</f>
        <v>#N/A</v>
      </c>
      <c r="AD651" s="1111" t="e">
        <f>VLOOKUP($AB651,sample!$1:$1048576,3,FALSE)</f>
        <v>#N/A</v>
      </c>
      <c r="AE651" s="1104" t="e">
        <f>VLOOKUP($AB651,sample!$1:$1048576,4,FALSE)</f>
        <v>#N/A</v>
      </c>
      <c r="AF651" s="1111" t="e">
        <f>VLOOKUP($AB651,sample!$1:$1048576,5,FALSE)</f>
        <v>#N/A</v>
      </c>
      <c r="AN651" s="1104" t="e">
        <f>VLOOKUP($AB651,sample!$1:$1048576,13,FALSE)</f>
        <v>#N/A</v>
      </c>
      <c r="AP651" s="1111"/>
    </row>
    <row r="652" spans="4:42">
      <c r="D652" s="1127" t="str">
        <f>IFERROR(VLOOKUP(G652,PosAggregate!$B$13:$B$93,1,FALSE),"")</f>
        <v/>
      </c>
      <c r="E652" s="1139" t="e">
        <f>_xll.BDP(G652  &amp; " Equity", "ID_ISIN", "Fill", "")</f>
        <v>#N/A</v>
      </c>
      <c r="F652" s="1132" t="str">
        <f t="shared" si="142"/>
        <v>YES</v>
      </c>
      <c r="I652" s="1133" t="e">
        <f>_xll.BDP(E652 &amp; " Equity","SECURITY_NAME")</f>
        <v>#N/A</v>
      </c>
      <c r="J652" s="1133" t="e">
        <f>_xll.BDP(G652 &amp; " Equity","Crncy")</f>
        <v>#N/A</v>
      </c>
      <c r="N652" s="1135">
        <f t="shared" si="136"/>
        <v>0</v>
      </c>
      <c r="R652" s="1100">
        <f t="shared" si="140"/>
        <v>0</v>
      </c>
      <c r="T652" s="1121" t="e">
        <f t="shared" si="141"/>
        <v>#DIV/0!</v>
      </c>
      <c r="X652" s="1089" t="e">
        <f t="shared" si="139"/>
        <v>#DIV/0!</v>
      </c>
      <c r="Y652" s="690" t="s">
        <v>1763</v>
      </c>
      <c r="Z652" s="1111" t="e">
        <f>VLOOKUP(AA652,'place of settlement'!A:C,2,FALSE)</f>
        <v>#N/A</v>
      </c>
      <c r="AA652" s="1111" t="e">
        <f t="shared" si="137"/>
        <v>#N/A</v>
      </c>
      <c r="AB652" s="1111" t="e">
        <f t="shared" si="138"/>
        <v>#N/A</v>
      </c>
      <c r="AC652" s="1111" t="e">
        <f>VLOOKUP(AB652,sample!$1:$1048576,2,FALSE)</f>
        <v>#N/A</v>
      </c>
      <c r="AD652" s="1111" t="e">
        <f>VLOOKUP($AB652,sample!$1:$1048576,3,FALSE)</f>
        <v>#N/A</v>
      </c>
      <c r="AE652" s="1104" t="e">
        <f>VLOOKUP($AB652,sample!$1:$1048576,4,FALSE)</f>
        <v>#N/A</v>
      </c>
      <c r="AF652" s="1111" t="e">
        <f>VLOOKUP($AB652,sample!$1:$1048576,5,FALSE)</f>
        <v>#N/A</v>
      </c>
      <c r="AN652" s="1104" t="e">
        <f>VLOOKUP($AB652,sample!$1:$1048576,13,FALSE)</f>
        <v>#N/A</v>
      </c>
      <c r="AP652" s="1111"/>
    </row>
    <row r="653" spans="4:42">
      <c r="D653" s="1127" t="str">
        <f>IFERROR(VLOOKUP(G653,PosAggregate!$B$13:$B$93,1,FALSE),"")</f>
        <v/>
      </c>
      <c r="E653" s="1139" t="e">
        <f>_xll.BDP(G653  &amp; " Equity", "ID_ISIN", "Fill", "")</f>
        <v>#N/A</v>
      </c>
      <c r="F653" s="1132" t="str">
        <f t="shared" si="142"/>
        <v>YES</v>
      </c>
      <c r="I653" s="1133" t="e">
        <f>_xll.BDP(E653 &amp; " Equity","SECURITY_NAME")</f>
        <v>#N/A</v>
      </c>
      <c r="J653" s="1133" t="e">
        <f>_xll.BDP(G653 &amp; " Equity","Crncy")</f>
        <v>#N/A</v>
      </c>
      <c r="N653" s="1135">
        <f t="shared" si="136"/>
        <v>0</v>
      </c>
      <c r="R653" s="1100">
        <f t="shared" si="140"/>
        <v>0</v>
      </c>
      <c r="T653" s="1121" t="e">
        <f t="shared" si="141"/>
        <v>#DIV/0!</v>
      </c>
      <c r="X653" s="1089" t="e">
        <f t="shared" si="139"/>
        <v>#DIV/0!</v>
      </c>
      <c r="Y653" s="690" t="s">
        <v>1763</v>
      </c>
      <c r="Z653" s="1111" t="e">
        <f>VLOOKUP(AA653,'place of settlement'!A:C,2,FALSE)</f>
        <v>#N/A</v>
      </c>
      <c r="AA653" s="1111" t="e">
        <f t="shared" si="137"/>
        <v>#N/A</v>
      </c>
      <c r="AB653" s="1111" t="e">
        <f t="shared" si="138"/>
        <v>#N/A</v>
      </c>
      <c r="AC653" s="1111" t="e">
        <f>VLOOKUP(AB653,sample!$1:$1048576,2,FALSE)</f>
        <v>#N/A</v>
      </c>
      <c r="AD653" s="1111" t="e">
        <f>VLOOKUP($AB653,sample!$1:$1048576,3,FALSE)</f>
        <v>#N/A</v>
      </c>
      <c r="AE653" s="1104" t="e">
        <f>VLOOKUP($AB653,sample!$1:$1048576,4,FALSE)</f>
        <v>#N/A</v>
      </c>
      <c r="AF653" s="1111" t="e">
        <f>VLOOKUP($AB653,sample!$1:$1048576,5,FALSE)</f>
        <v>#N/A</v>
      </c>
      <c r="AN653" s="1104" t="e">
        <f>VLOOKUP($AB653,sample!$1:$1048576,13,FALSE)</f>
        <v>#N/A</v>
      </c>
      <c r="AP653" s="1111"/>
    </row>
    <row r="654" spans="4:42">
      <c r="D654" s="1127" t="str">
        <f>IFERROR(VLOOKUP(G654,PosAggregate!$B$13:$B$93,1,FALSE),"")</f>
        <v/>
      </c>
      <c r="E654" s="1139" t="e">
        <f>_xll.BDP(G654  &amp; " Equity", "ID_ISIN", "Fill", "")</f>
        <v>#N/A</v>
      </c>
      <c r="F654" s="1132" t="str">
        <f t="shared" si="142"/>
        <v>YES</v>
      </c>
      <c r="I654" s="1133" t="e">
        <f>_xll.BDP(E654 &amp; " Equity","SECURITY_NAME")</f>
        <v>#N/A</v>
      </c>
      <c r="J654" s="1133" t="e">
        <f>_xll.BDP(G654 &amp; " Equity","Crncy")</f>
        <v>#N/A</v>
      </c>
      <c r="N654" s="1135">
        <f t="shared" si="136"/>
        <v>0</v>
      </c>
      <c r="R654" s="1100">
        <f t="shared" si="140"/>
        <v>0</v>
      </c>
      <c r="T654" s="1121" t="e">
        <f t="shared" si="141"/>
        <v>#DIV/0!</v>
      </c>
      <c r="X654" s="1089" t="e">
        <f t="shared" si="139"/>
        <v>#DIV/0!</v>
      </c>
      <c r="Y654" s="690" t="s">
        <v>1763</v>
      </c>
      <c r="Z654" s="1111" t="e">
        <f>VLOOKUP(AA654,'place of settlement'!A:C,2,FALSE)</f>
        <v>#N/A</v>
      </c>
      <c r="AA654" s="1111" t="e">
        <f t="shared" si="137"/>
        <v>#N/A</v>
      </c>
      <c r="AB654" s="1111" t="e">
        <f t="shared" si="138"/>
        <v>#N/A</v>
      </c>
      <c r="AC654" s="1111" t="e">
        <f>VLOOKUP(AB654,sample!$1:$1048576,2,FALSE)</f>
        <v>#N/A</v>
      </c>
      <c r="AD654" s="1111" t="e">
        <f>VLOOKUP($AB654,sample!$1:$1048576,3,FALSE)</f>
        <v>#N/A</v>
      </c>
      <c r="AE654" s="1104" t="e">
        <f>VLOOKUP($AB654,sample!$1:$1048576,4,FALSE)</f>
        <v>#N/A</v>
      </c>
      <c r="AF654" s="1111" t="e">
        <f>VLOOKUP($AB654,sample!$1:$1048576,5,FALSE)</f>
        <v>#N/A</v>
      </c>
      <c r="AN654" s="1104" t="e">
        <f>VLOOKUP($AB654,sample!$1:$1048576,13,FALSE)</f>
        <v>#N/A</v>
      </c>
      <c r="AP654" s="1111"/>
    </row>
    <row r="655" spans="4:42">
      <c r="D655" s="1127" t="str">
        <f>IFERROR(VLOOKUP(G655,PosAggregate!$B$13:$B$93,1,FALSE),"")</f>
        <v/>
      </c>
      <c r="E655" s="1139" t="e">
        <f>_xll.BDP(G655  &amp; " Equity", "ID_ISIN", "Fill", "")</f>
        <v>#N/A</v>
      </c>
      <c r="F655" s="1132" t="str">
        <f t="shared" si="142"/>
        <v>YES</v>
      </c>
      <c r="I655" s="1133" t="e">
        <f>_xll.BDP(E655 &amp; " Equity","SECURITY_NAME")</f>
        <v>#N/A</v>
      </c>
      <c r="J655" s="1133" t="e">
        <f>_xll.BDP(G655 &amp; " Equity","Crncy")</f>
        <v>#N/A</v>
      </c>
      <c r="N655" s="1135">
        <f t="shared" si="136"/>
        <v>0</v>
      </c>
      <c r="R655" s="1100">
        <f t="shared" si="140"/>
        <v>0</v>
      </c>
      <c r="T655" s="1121" t="e">
        <f t="shared" si="141"/>
        <v>#DIV/0!</v>
      </c>
      <c r="X655" s="1089" t="e">
        <f t="shared" si="139"/>
        <v>#DIV/0!</v>
      </c>
      <c r="Y655" s="690" t="s">
        <v>1763</v>
      </c>
      <c r="Z655" s="1111" t="e">
        <f>VLOOKUP(AA655,'place of settlement'!A:C,2,FALSE)</f>
        <v>#N/A</v>
      </c>
      <c r="AA655" s="1111" t="e">
        <f t="shared" si="137"/>
        <v>#N/A</v>
      </c>
      <c r="AB655" s="1111" t="e">
        <f t="shared" si="138"/>
        <v>#N/A</v>
      </c>
      <c r="AC655" s="1111" t="e">
        <f>VLOOKUP(AB655,sample!$1:$1048576,2,FALSE)</f>
        <v>#N/A</v>
      </c>
      <c r="AD655" s="1111" t="e">
        <f>VLOOKUP($AB655,sample!$1:$1048576,3,FALSE)</f>
        <v>#N/A</v>
      </c>
      <c r="AE655" s="1104" t="e">
        <f>VLOOKUP($AB655,sample!$1:$1048576,4,FALSE)</f>
        <v>#N/A</v>
      </c>
      <c r="AF655" s="1111" t="e">
        <f>VLOOKUP($AB655,sample!$1:$1048576,5,FALSE)</f>
        <v>#N/A</v>
      </c>
      <c r="AN655" s="1104" t="e">
        <f>VLOOKUP($AB655,sample!$1:$1048576,13,FALSE)</f>
        <v>#N/A</v>
      </c>
      <c r="AP655" s="1111"/>
    </row>
    <row r="656" spans="4:42">
      <c r="D656" s="1127" t="str">
        <f>IFERROR(VLOOKUP(G656,PosAggregate!$B$13:$B$93,1,FALSE),"")</f>
        <v/>
      </c>
      <c r="E656" s="1139" t="e">
        <f>_xll.BDP(G656  &amp; " Equity", "ID_ISIN", "Fill", "")</f>
        <v>#N/A</v>
      </c>
      <c r="F656" s="1132" t="str">
        <f t="shared" si="142"/>
        <v>YES</v>
      </c>
      <c r="I656" s="1133" t="e">
        <f>_xll.BDP(E656 &amp; " Equity","SECURITY_NAME")</f>
        <v>#N/A</v>
      </c>
      <c r="J656" s="1133" t="e">
        <f>_xll.BDP(G656 &amp; " Equity","Crncy")</f>
        <v>#N/A</v>
      </c>
      <c r="N656" s="1135">
        <f t="shared" si="136"/>
        <v>0</v>
      </c>
      <c r="R656" s="1100">
        <f t="shared" si="140"/>
        <v>0</v>
      </c>
      <c r="T656" s="1121" t="e">
        <f t="shared" si="141"/>
        <v>#DIV/0!</v>
      </c>
      <c r="X656" s="1089" t="e">
        <f t="shared" si="139"/>
        <v>#DIV/0!</v>
      </c>
      <c r="Y656" s="690" t="s">
        <v>1763</v>
      </c>
      <c r="Z656" s="1111" t="e">
        <f>VLOOKUP(AA656,'place of settlement'!A:C,2,FALSE)</f>
        <v>#N/A</v>
      </c>
      <c r="AA656" s="1111" t="e">
        <f t="shared" si="137"/>
        <v>#N/A</v>
      </c>
      <c r="AB656" s="1111" t="e">
        <f t="shared" si="138"/>
        <v>#N/A</v>
      </c>
      <c r="AC656" s="1111" t="e">
        <f>VLOOKUP(AB656,sample!$1:$1048576,2,FALSE)</f>
        <v>#N/A</v>
      </c>
      <c r="AD656" s="1111" t="e">
        <f>VLOOKUP($AB656,sample!$1:$1048576,3,FALSE)</f>
        <v>#N/A</v>
      </c>
      <c r="AE656" s="1104" t="e">
        <f>VLOOKUP($AB656,sample!$1:$1048576,4,FALSE)</f>
        <v>#N/A</v>
      </c>
      <c r="AF656" s="1111" t="e">
        <f>VLOOKUP($AB656,sample!$1:$1048576,5,FALSE)</f>
        <v>#N/A</v>
      </c>
      <c r="AN656" s="1104" t="e">
        <f>VLOOKUP($AB656,sample!$1:$1048576,13,FALSE)</f>
        <v>#N/A</v>
      </c>
      <c r="AP656" s="1111"/>
    </row>
    <row r="657" spans="4:42">
      <c r="D657" s="1127" t="str">
        <f>IFERROR(VLOOKUP(G657,PosAggregate!$B$13:$B$93,1,FALSE),"")</f>
        <v/>
      </c>
      <c r="E657" s="1139" t="e">
        <f>_xll.BDP(G657  &amp; " Equity", "ID_ISIN", "Fill", "")</f>
        <v>#N/A</v>
      </c>
      <c r="F657" s="1132" t="str">
        <f t="shared" si="142"/>
        <v>YES</v>
      </c>
      <c r="I657" s="1133" t="e">
        <f>_xll.BDP(E657 &amp; " Equity","SECURITY_NAME")</f>
        <v>#N/A</v>
      </c>
      <c r="J657" s="1133" t="e">
        <f>_xll.BDP(G657 &amp; " Equity","Crncy")</f>
        <v>#N/A</v>
      </c>
      <c r="N657" s="1135">
        <f t="shared" si="136"/>
        <v>0</v>
      </c>
      <c r="R657" s="1100">
        <f t="shared" si="140"/>
        <v>0</v>
      </c>
      <c r="T657" s="1121" t="e">
        <f t="shared" si="141"/>
        <v>#DIV/0!</v>
      </c>
      <c r="X657" s="1089" t="e">
        <f t="shared" si="139"/>
        <v>#DIV/0!</v>
      </c>
      <c r="Y657" s="690" t="s">
        <v>1763</v>
      </c>
      <c r="Z657" s="1111" t="e">
        <f>VLOOKUP(AA657,'place of settlement'!A:C,2,FALSE)</f>
        <v>#N/A</v>
      </c>
      <c r="AA657" s="1111" t="e">
        <f t="shared" si="137"/>
        <v>#N/A</v>
      </c>
      <c r="AB657" s="1111" t="e">
        <f t="shared" si="138"/>
        <v>#N/A</v>
      </c>
      <c r="AC657" s="1111" t="e">
        <f>VLOOKUP(AB657,sample!$1:$1048576,2,FALSE)</f>
        <v>#N/A</v>
      </c>
      <c r="AD657" s="1111" t="e">
        <f>VLOOKUP($AB657,sample!$1:$1048576,3,FALSE)</f>
        <v>#N/A</v>
      </c>
      <c r="AE657" s="1104" t="e">
        <f>VLOOKUP($AB657,sample!$1:$1048576,4,FALSE)</f>
        <v>#N/A</v>
      </c>
      <c r="AF657" s="1111" t="e">
        <f>VLOOKUP($AB657,sample!$1:$1048576,5,FALSE)</f>
        <v>#N/A</v>
      </c>
      <c r="AN657" s="1104" t="e">
        <f>VLOOKUP($AB657,sample!$1:$1048576,13,FALSE)</f>
        <v>#N/A</v>
      </c>
      <c r="AP657" s="1111"/>
    </row>
    <row r="658" spans="4:42">
      <c r="D658" s="1127" t="str">
        <f>IFERROR(VLOOKUP(G658,PosAggregate!$B$13:$B$93,1,FALSE),"")</f>
        <v/>
      </c>
      <c r="E658" s="1139" t="e">
        <f>_xll.BDP(G658  &amp; " Equity", "ID_ISIN", "Fill", "")</f>
        <v>#N/A</v>
      </c>
      <c r="F658" s="1132" t="str">
        <f t="shared" si="142"/>
        <v>YES</v>
      </c>
      <c r="I658" s="1133" t="e">
        <f>_xll.BDP(E658 &amp; " Equity","SECURITY_NAME")</f>
        <v>#N/A</v>
      </c>
      <c r="J658" s="1133" t="e">
        <f>_xll.BDP(G658 &amp; " Equity","Crncy")</f>
        <v>#N/A</v>
      </c>
      <c r="N658" s="1135">
        <f t="shared" si="136"/>
        <v>0</v>
      </c>
      <c r="R658" s="1100">
        <f t="shared" si="140"/>
        <v>0</v>
      </c>
      <c r="T658" s="1121" t="e">
        <f t="shared" si="141"/>
        <v>#DIV/0!</v>
      </c>
      <c r="X658" s="1089" t="e">
        <f t="shared" si="139"/>
        <v>#DIV/0!</v>
      </c>
      <c r="Y658" s="690" t="s">
        <v>1763</v>
      </c>
      <c r="Z658" s="1111" t="e">
        <f>VLOOKUP(AA658,'place of settlement'!A:C,2,FALSE)</f>
        <v>#N/A</v>
      </c>
      <c r="AA658" s="1111" t="e">
        <f t="shared" si="137"/>
        <v>#N/A</v>
      </c>
      <c r="AB658" s="1111" t="e">
        <f t="shared" si="138"/>
        <v>#N/A</v>
      </c>
      <c r="AC658" s="1111" t="e">
        <f>VLOOKUP(AB658,sample!$1:$1048576,2,FALSE)</f>
        <v>#N/A</v>
      </c>
      <c r="AD658" s="1111" t="e">
        <f>VLOOKUP($AB658,sample!$1:$1048576,3,FALSE)</f>
        <v>#N/A</v>
      </c>
      <c r="AE658" s="1104" t="e">
        <f>VLOOKUP($AB658,sample!$1:$1048576,4,FALSE)</f>
        <v>#N/A</v>
      </c>
      <c r="AF658" s="1111" t="e">
        <f>VLOOKUP($AB658,sample!$1:$1048576,5,FALSE)</f>
        <v>#N/A</v>
      </c>
      <c r="AN658" s="1104" t="e">
        <f>VLOOKUP($AB658,sample!$1:$1048576,13,FALSE)</f>
        <v>#N/A</v>
      </c>
      <c r="AP658" s="1111"/>
    </row>
    <row r="659" spans="4:42">
      <c r="D659" s="1127" t="str">
        <f>IFERROR(VLOOKUP(G659,PosAggregate!$B$13:$B$93,1,FALSE),"")</f>
        <v/>
      </c>
      <c r="E659" s="1139" t="e">
        <f>_xll.BDP(G659  &amp; " Equity", "ID_ISIN", "Fill", "")</f>
        <v>#N/A</v>
      </c>
      <c r="F659" s="1132" t="str">
        <f t="shared" si="142"/>
        <v>YES</v>
      </c>
      <c r="I659" s="1133" t="e">
        <f>_xll.BDP(E659 &amp; " Equity","SECURITY_NAME")</f>
        <v>#N/A</v>
      </c>
      <c r="J659" s="1133" t="e">
        <f>_xll.BDP(G659 &amp; " Equity","Crncy")</f>
        <v>#N/A</v>
      </c>
      <c r="N659" s="1135">
        <f t="shared" si="136"/>
        <v>0</v>
      </c>
      <c r="R659" s="1100">
        <f t="shared" si="140"/>
        <v>0</v>
      </c>
      <c r="T659" s="1121" t="e">
        <f t="shared" si="141"/>
        <v>#DIV/0!</v>
      </c>
      <c r="X659" s="1089" t="e">
        <f t="shared" si="139"/>
        <v>#DIV/0!</v>
      </c>
      <c r="Y659" s="690" t="s">
        <v>1763</v>
      </c>
      <c r="Z659" s="1111" t="e">
        <f>VLOOKUP(AA659,'place of settlement'!A:C,2,FALSE)</f>
        <v>#N/A</v>
      </c>
      <c r="AA659" s="1111" t="e">
        <f t="shared" si="137"/>
        <v>#N/A</v>
      </c>
      <c r="AB659" s="1111" t="e">
        <f t="shared" si="138"/>
        <v>#N/A</v>
      </c>
      <c r="AC659" s="1111" t="e">
        <f>VLOOKUP(AB659,sample!$1:$1048576,2,FALSE)</f>
        <v>#N/A</v>
      </c>
      <c r="AD659" s="1111" t="e">
        <f>VLOOKUP($AB659,sample!$1:$1048576,3,FALSE)</f>
        <v>#N/A</v>
      </c>
      <c r="AE659" s="1104" t="e">
        <f>VLOOKUP($AB659,sample!$1:$1048576,4,FALSE)</f>
        <v>#N/A</v>
      </c>
      <c r="AF659" s="1111" t="e">
        <f>VLOOKUP($AB659,sample!$1:$1048576,5,FALSE)</f>
        <v>#N/A</v>
      </c>
      <c r="AN659" s="1104" t="e">
        <f>VLOOKUP($AB659,sample!$1:$1048576,13,FALSE)</f>
        <v>#N/A</v>
      </c>
      <c r="AP659" s="1111"/>
    </row>
    <row r="660" spans="4:42">
      <c r="D660" s="1127" t="str">
        <f>IFERROR(VLOOKUP(G660,PosAggregate!$B$13:$B$93,1,FALSE),"")</f>
        <v/>
      </c>
      <c r="E660" s="1139" t="e">
        <f>_xll.BDP(G660  &amp; " Equity", "ID_ISIN", "Fill", "")</f>
        <v>#N/A</v>
      </c>
      <c r="F660" s="1132" t="str">
        <f t="shared" si="142"/>
        <v>YES</v>
      </c>
      <c r="I660" s="1133" t="e">
        <f>_xll.BDP(E660 &amp; " Equity","SECURITY_NAME")</f>
        <v>#N/A</v>
      </c>
      <c r="J660" s="1133" t="e">
        <f>_xll.BDP(G660 &amp; " Equity","Crncy")</f>
        <v>#N/A</v>
      </c>
      <c r="N660" s="1135">
        <f t="shared" si="136"/>
        <v>0</v>
      </c>
      <c r="R660" s="1100">
        <f t="shared" si="140"/>
        <v>0</v>
      </c>
      <c r="T660" s="1121" t="e">
        <f t="shared" si="141"/>
        <v>#DIV/0!</v>
      </c>
      <c r="X660" s="1089" t="e">
        <f t="shared" si="139"/>
        <v>#DIV/0!</v>
      </c>
      <c r="Y660" s="690" t="s">
        <v>1763</v>
      </c>
      <c r="Z660" s="1111" t="e">
        <f>VLOOKUP(AA660,'place of settlement'!A:C,2,FALSE)</f>
        <v>#N/A</v>
      </c>
      <c r="AA660" s="1111" t="e">
        <f t="shared" si="137"/>
        <v>#N/A</v>
      </c>
      <c r="AB660" s="1111" t="e">
        <f t="shared" si="138"/>
        <v>#N/A</v>
      </c>
      <c r="AC660" s="1111" t="e">
        <f>VLOOKUP(AB660,sample!$1:$1048576,2,FALSE)</f>
        <v>#N/A</v>
      </c>
      <c r="AD660" s="1111" t="e">
        <f>VLOOKUP($AB660,sample!$1:$1048576,3,FALSE)</f>
        <v>#N/A</v>
      </c>
      <c r="AE660" s="1104" t="e">
        <f>VLOOKUP($AB660,sample!$1:$1048576,4,FALSE)</f>
        <v>#N/A</v>
      </c>
      <c r="AF660" s="1111" t="e">
        <f>VLOOKUP($AB660,sample!$1:$1048576,5,FALSE)</f>
        <v>#N/A</v>
      </c>
      <c r="AN660" s="1104" t="e">
        <f>VLOOKUP($AB660,sample!$1:$1048576,13,FALSE)</f>
        <v>#N/A</v>
      </c>
      <c r="AP660" s="1111"/>
    </row>
    <row r="661" spans="4:42">
      <c r="D661" s="1127" t="str">
        <f>IFERROR(VLOOKUP(G661,PosAggregate!$B$13:$B$93,1,FALSE),"")</f>
        <v/>
      </c>
      <c r="E661" s="1139" t="e">
        <f>_xll.BDP(G661  &amp; " Equity", "ID_ISIN", "Fill", "")</f>
        <v>#N/A</v>
      </c>
      <c r="F661" s="1132" t="str">
        <f t="shared" si="142"/>
        <v>YES</v>
      </c>
      <c r="I661" s="1133" t="e">
        <f>_xll.BDP(E661 &amp; " Equity","SECURITY_NAME")</f>
        <v>#N/A</v>
      </c>
      <c r="J661" s="1133" t="e">
        <f>_xll.BDP(G661 &amp; " Equity","Crncy")</f>
        <v>#N/A</v>
      </c>
      <c r="N661" s="1135">
        <f t="shared" ref="N661:N716" si="143">-K661*M661</f>
        <v>0</v>
      </c>
      <c r="R661" s="1100">
        <f t="shared" si="140"/>
        <v>0</v>
      </c>
      <c r="T661" s="1121" t="e">
        <f t="shared" si="141"/>
        <v>#DIV/0!</v>
      </c>
      <c r="X661" s="1089" t="e">
        <f t="shared" si="139"/>
        <v>#DIV/0!</v>
      </c>
      <c r="Y661" s="690" t="s">
        <v>1763</v>
      </c>
      <c r="Z661" s="1111" t="e">
        <f>VLOOKUP(AA661,'place of settlement'!A:C,2,FALSE)</f>
        <v>#N/A</v>
      </c>
      <c r="AA661" s="1111" t="e">
        <f t="shared" si="137"/>
        <v>#N/A</v>
      </c>
      <c r="AB661" s="1111" t="e">
        <f t="shared" si="138"/>
        <v>#N/A</v>
      </c>
      <c r="AC661" s="1111" t="e">
        <f>VLOOKUP(AB661,sample!$1:$1048576,2,FALSE)</f>
        <v>#N/A</v>
      </c>
      <c r="AD661" s="1111" t="e">
        <f>VLOOKUP($AB661,sample!$1:$1048576,3,FALSE)</f>
        <v>#N/A</v>
      </c>
      <c r="AE661" s="1104" t="e">
        <f>VLOOKUP($AB661,sample!$1:$1048576,4,FALSE)</f>
        <v>#N/A</v>
      </c>
      <c r="AF661" s="1111" t="e">
        <f>VLOOKUP($AB661,sample!$1:$1048576,5,FALSE)</f>
        <v>#N/A</v>
      </c>
      <c r="AN661" s="1104" t="e">
        <f>VLOOKUP($AB661,sample!$1:$1048576,13,FALSE)</f>
        <v>#N/A</v>
      </c>
      <c r="AP661" s="1111"/>
    </row>
    <row r="662" spans="4:42">
      <c r="D662" s="1127" t="str">
        <f>IFERROR(VLOOKUP(G662,PosAggregate!$B$13:$B$93,1,FALSE),"")</f>
        <v/>
      </c>
      <c r="E662" s="1139" t="e">
        <f>_xll.BDP(G662  &amp; " Equity", "ID_ISIN", "Fill", "")</f>
        <v>#N/A</v>
      </c>
      <c r="F662" s="1132" t="str">
        <f t="shared" si="142"/>
        <v>YES</v>
      </c>
      <c r="I662" s="1133" t="e">
        <f>_xll.BDP(E662 &amp; " Equity","SECURITY_NAME")</f>
        <v>#N/A</v>
      </c>
      <c r="J662" s="1133" t="e">
        <f>_xll.BDP(G662 &amp; " Equity","Crncy")</f>
        <v>#N/A</v>
      </c>
      <c r="N662" s="1135">
        <f t="shared" si="143"/>
        <v>0</v>
      </c>
      <c r="R662" s="1100">
        <f t="shared" si="140"/>
        <v>0</v>
      </c>
      <c r="T662" s="1121" t="e">
        <f t="shared" si="141"/>
        <v>#DIV/0!</v>
      </c>
      <c r="X662" s="1089" t="e">
        <f t="shared" si="139"/>
        <v>#DIV/0!</v>
      </c>
      <c r="Y662" s="690" t="s">
        <v>1763</v>
      </c>
      <c r="Z662" s="1111" t="e">
        <f>VLOOKUP(AA662,'place of settlement'!A:C,2,FALSE)</f>
        <v>#N/A</v>
      </c>
      <c r="AA662" s="1111" t="e">
        <f t="shared" si="137"/>
        <v>#N/A</v>
      </c>
      <c r="AB662" s="1111" t="e">
        <f t="shared" si="138"/>
        <v>#N/A</v>
      </c>
      <c r="AC662" s="1111" t="e">
        <f>VLOOKUP(AB662,sample!$1:$1048576,2,FALSE)</f>
        <v>#N/A</v>
      </c>
      <c r="AD662" s="1111" t="e">
        <f>VLOOKUP($AB662,sample!$1:$1048576,3,FALSE)</f>
        <v>#N/A</v>
      </c>
      <c r="AE662" s="1104" t="e">
        <f>VLOOKUP($AB662,sample!$1:$1048576,4,FALSE)</f>
        <v>#N/A</v>
      </c>
      <c r="AF662" s="1111" t="e">
        <f>VLOOKUP($AB662,sample!$1:$1048576,5,FALSE)</f>
        <v>#N/A</v>
      </c>
      <c r="AN662" s="1104" t="e">
        <f>VLOOKUP($AB662,sample!$1:$1048576,13,FALSE)</f>
        <v>#N/A</v>
      </c>
      <c r="AP662" s="1111"/>
    </row>
    <row r="663" spans="4:42">
      <c r="D663" s="1127" t="str">
        <f>IFERROR(VLOOKUP(G663,PosAggregate!$B$13:$B$93,1,FALSE),"")</f>
        <v/>
      </c>
      <c r="E663" s="1139" t="e">
        <f>_xll.BDP(G663  &amp; " Equity", "ID_ISIN", "Fill", "")</f>
        <v>#N/A</v>
      </c>
      <c r="F663" s="1132" t="str">
        <f t="shared" si="142"/>
        <v>YES</v>
      </c>
      <c r="I663" s="1133" t="e">
        <f>_xll.BDP(E663 &amp; " Equity","SECURITY_NAME")</f>
        <v>#N/A</v>
      </c>
      <c r="J663" s="1133" t="e">
        <f>_xll.BDP(G663 &amp; " Equity","Crncy")</f>
        <v>#N/A</v>
      </c>
      <c r="N663" s="1135">
        <f t="shared" si="143"/>
        <v>0</v>
      </c>
      <c r="R663" s="1100">
        <f t="shared" si="140"/>
        <v>0</v>
      </c>
      <c r="T663" s="1121" t="e">
        <f t="shared" si="141"/>
        <v>#DIV/0!</v>
      </c>
      <c r="X663" s="1089" t="e">
        <f t="shared" si="139"/>
        <v>#DIV/0!</v>
      </c>
      <c r="Y663" s="690" t="s">
        <v>1763</v>
      </c>
      <c r="Z663" s="1111" t="e">
        <f>VLOOKUP(AA663,'place of settlement'!A:C,2,FALSE)</f>
        <v>#N/A</v>
      </c>
      <c r="AA663" s="1111" t="e">
        <f t="shared" si="137"/>
        <v>#N/A</v>
      </c>
      <c r="AB663" s="1111" t="e">
        <f t="shared" si="138"/>
        <v>#N/A</v>
      </c>
      <c r="AC663" s="1111" t="e">
        <f>VLOOKUP(AB663,sample!$1:$1048576,2,FALSE)</f>
        <v>#N/A</v>
      </c>
      <c r="AD663" s="1111" t="e">
        <f>VLOOKUP($AB663,sample!$1:$1048576,3,FALSE)</f>
        <v>#N/A</v>
      </c>
      <c r="AE663" s="1104" t="e">
        <f>VLOOKUP($AB663,sample!$1:$1048576,4,FALSE)</f>
        <v>#N/A</v>
      </c>
      <c r="AF663" s="1111" t="e">
        <f>VLOOKUP($AB663,sample!$1:$1048576,5,FALSE)</f>
        <v>#N/A</v>
      </c>
      <c r="AN663" s="1104" t="e">
        <f>VLOOKUP($AB663,sample!$1:$1048576,13,FALSE)</f>
        <v>#N/A</v>
      </c>
      <c r="AP663" s="1111"/>
    </row>
    <row r="664" spans="4:42">
      <c r="D664" s="1127" t="str">
        <f>IFERROR(VLOOKUP(G664,PosAggregate!$B$13:$B$93,1,FALSE),"")</f>
        <v/>
      </c>
      <c r="E664" s="1139" t="e">
        <f>_xll.BDP(G664  &amp; " Equity", "ID_ISIN", "Fill", "")</f>
        <v>#N/A</v>
      </c>
      <c r="F664" s="1132" t="str">
        <f t="shared" si="142"/>
        <v>YES</v>
      </c>
      <c r="I664" s="1133" t="e">
        <f>_xll.BDP(E664 &amp; " Equity","SECURITY_NAME")</f>
        <v>#N/A</v>
      </c>
      <c r="J664" s="1133" t="e">
        <f>_xll.BDP(G664 &amp; " Equity","Crncy")</f>
        <v>#N/A</v>
      </c>
      <c r="N664" s="1135">
        <f t="shared" si="143"/>
        <v>0</v>
      </c>
      <c r="R664" s="1100">
        <f t="shared" si="140"/>
        <v>0</v>
      </c>
      <c r="T664" s="1121" t="e">
        <f t="shared" si="141"/>
        <v>#DIV/0!</v>
      </c>
      <c r="X664" s="1089" t="e">
        <f t="shared" si="139"/>
        <v>#DIV/0!</v>
      </c>
      <c r="Y664" s="690" t="s">
        <v>1763</v>
      </c>
      <c r="Z664" s="1111" t="e">
        <f>VLOOKUP(AA664,'place of settlement'!A:C,2,FALSE)</f>
        <v>#N/A</v>
      </c>
      <c r="AA664" s="1111" t="e">
        <f t="shared" si="137"/>
        <v>#N/A</v>
      </c>
      <c r="AB664" s="1111" t="e">
        <f t="shared" si="138"/>
        <v>#N/A</v>
      </c>
      <c r="AC664" s="1111" t="e">
        <f>VLOOKUP(AB664,sample!$1:$1048576,2,FALSE)</f>
        <v>#N/A</v>
      </c>
      <c r="AD664" s="1111" t="e">
        <f>VLOOKUP($AB664,sample!$1:$1048576,3,FALSE)</f>
        <v>#N/A</v>
      </c>
      <c r="AE664" s="1104" t="e">
        <f>VLOOKUP($AB664,sample!$1:$1048576,4,FALSE)</f>
        <v>#N/A</v>
      </c>
      <c r="AF664" s="1111" t="e">
        <f>VLOOKUP($AB664,sample!$1:$1048576,5,FALSE)</f>
        <v>#N/A</v>
      </c>
      <c r="AN664" s="1104" t="e">
        <f>VLOOKUP($AB664,sample!$1:$1048576,13,FALSE)</f>
        <v>#N/A</v>
      </c>
      <c r="AP664" s="1111"/>
    </row>
    <row r="665" spans="4:42">
      <c r="D665" s="1127" t="str">
        <f>IFERROR(VLOOKUP(G665,PosAggregate!$B$13:$B$93,1,FALSE),"")</f>
        <v/>
      </c>
      <c r="E665" s="1139" t="e">
        <f>_xll.BDP(G665  &amp; " Equity", "ID_ISIN", "Fill", "")</f>
        <v>#N/A</v>
      </c>
      <c r="F665" s="1132" t="str">
        <f t="shared" si="142"/>
        <v>YES</v>
      </c>
      <c r="I665" s="1133" t="e">
        <f>_xll.BDP(E665 &amp; " Equity","SECURITY_NAME")</f>
        <v>#N/A</v>
      </c>
      <c r="J665" s="1133" t="e">
        <f>_xll.BDP(G665 &amp; " Equity","Crncy")</f>
        <v>#N/A</v>
      </c>
      <c r="N665" s="1135">
        <f t="shared" si="143"/>
        <v>0</v>
      </c>
      <c r="R665" s="1100">
        <f t="shared" si="140"/>
        <v>0</v>
      </c>
      <c r="T665" s="1121" t="e">
        <f t="shared" si="141"/>
        <v>#DIV/0!</v>
      </c>
      <c r="X665" s="1089" t="e">
        <f t="shared" si="139"/>
        <v>#DIV/0!</v>
      </c>
      <c r="Y665" s="690" t="s">
        <v>1763</v>
      </c>
      <c r="Z665" s="1111" t="e">
        <f>VLOOKUP(AA665,'place of settlement'!A:C,2,FALSE)</f>
        <v>#N/A</v>
      </c>
      <c r="AA665" s="1111" t="e">
        <f t="shared" si="137"/>
        <v>#N/A</v>
      </c>
      <c r="AB665" s="1111" t="e">
        <f t="shared" si="138"/>
        <v>#N/A</v>
      </c>
      <c r="AC665" s="1111" t="e">
        <f>VLOOKUP(AB665,sample!$1:$1048576,2,FALSE)</f>
        <v>#N/A</v>
      </c>
      <c r="AD665" s="1111" t="e">
        <f>VLOOKUP($AB665,sample!$1:$1048576,3,FALSE)</f>
        <v>#N/A</v>
      </c>
      <c r="AE665" s="1104" t="e">
        <f>VLOOKUP($AB665,sample!$1:$1048576,4,FALSE)</f>
        <v>#N/A</v>
      </c>
      <c r="AF665" s="1111" t="e">
        <f>VLOOKUP($AB665,sample!$1:$1048576,5,FALSE)</f>
        <v>#N/A</v>
      </c>
      <c r="AN665" s="1104" t="e">
        <f>VLOOKUP($AB665,sample!$1:$1048576,13,FALSE)</f>
        <v>#N/A</v>
      </c>
      <c r="AP665" s="1111"/>
    </row>
    <row r="666" spans="4:42">
      <c r="D666" s="1127" t="str">
        <f>IFERROR(VLOOKUP(G666,PosAggregate!$B$13:$B$93,1,FALSE),"")</f>
        <v/>
      </c>
      <c r="E666" s="1139" t="e">
        <f>_xll.BDP(G666  &amp; " Equity", "ID_ISIN", "Fill", "")</f>
        <v>#N/A</v>
      </c>
      <c r="F666" s="1132" t="str">
        <f t="shared" si="142"/>
        <v>YES</v>
      </c>
      <c r="I666" s="1133" t="e">
        <f>_xll.BDP(E666 &amp; " Equity","SECURITY_NAME")</f>
        <v>#N/A</v>
      </c>
      <c r="J666" s="1133" t="e">
        <f>_xll.BDP(G666 &amp; " Equity","Crncy")</f>
        <v>#N/A</v>
      </c>
      <c r="N666" s="1135">
        <f t="shared" si="143"/>
        <v>0</v>
      </c>
      <c r="R666" s="1100">
        <f t="shared" si="140"/>
        <v>0</v>
      </c>
      <c r="T666" s="1121" t="e">
        <f t="shared" si="141"/>
        <v>#DIV/0!</v>
      </c>
      <c r="X666" s="1089" t="e">
        <f t="shared" si="139"/>
        <v>#DIV/0!</v>
      </c>
      <c r="Y666" s="690" t="s">
        <v>1763</v>
      </c>
      <c r="Z666" s="1111" t="e">
        <f>VLOOKUP(AA666,'place of settlement'!A:C,2,FALSE)</f>
        <v>#N/A</v>
      </c>
      <c r="AA666" s="1111" t="e">
        <f t="shared" si="137"/>
        <v>#N/A</v>
      </c>
      <c r="AB666" s="1111" t="e">
        <f t="shared" si="138"/>
        <v>#N/A</v>
      </c>
      <c r="AC666" s="1111" t="e">
        <f>VLOOKUP(AB666,sample!$1:$1048576,2,FALSE)</f>
        <v>#N/A</v>
      </c>
      <c r="AD666" s="1111" t="e">
        <f>VLOOKUP($AB666,sample!$1:$1048576,3,FALSE)</f>
        <v>#N/A</v>
      </c>
      <c r="AE666" s="1104" t="e">
        <f>VLOOKUP($AB666,sample!$1:$1048576,4,FALSE)</f>
        <v>#N/A</v>
      </c>
      <c r="AF666" s="1111" t="e">
        <f>VLOOKUP($AB666,sample!$1:$1048576,5,FALSE)</f>
        <v>#N/A</v>
      </c>
      <c r="AN666" s="1104" t="e">
        <f>VLOOKUP($AB666,sample!$1:$1048576,13,FALSE)</f>
        <v>#N/A</v>
      </c>
      <c r="AP666" s="1111"/>
    </row>
    <row r="667" spans="4:42">
      <c r="D667" s="1127" t="str">
        <f>IFERROR(VLOOKUP(G667,PosAggregate!$B$13:$B$93,1,FALSE),"")</f>
        <v/>
      </c>
      <c r="E667" s="1139" t="e">
        <f>_xll.BDP(G667  &amp; " Equity", "ID_ISIN", "Fill", "")</f>
        <v>#N/A</v>
      </c>
      <c r="F667" s="1132" t="str">
        <f t="shared" si="142"/>
        <v>YES</v>
      </c>
      <c r="I667" s="1133" t="e">
        <f>_xll.BDP(E667 &amp; " Equity","SECURITY_NAME")</f>
        <v>#N/A</v>
      </c>
      <c r="J667" s="1133" t="e">
        <f>_xll.BDP(G667 &amp; " Equity","Crncy")</f>
        <v>#N/A</v>
      </c>
      <c r="N667" s="1135">
        <f t="shared" si="143"/>
        <v>0</v>
      </c>
      <c r="R667" s="1100">
        <f t="shared" si="140"/>
        <v>0</v>
      </c>
      <c r="T667" s="1121" t="e">
        <f t="shared" si="141"/>
        <v>#DIV/0!</v>
      </c>
      <c r="X667" s="1089" t="e">
        <f t="shared" si="139"/>
        <v>#DIV/0!</v>
      </c>
      <c r="Y667" s="690" t="s">
        <v>1763</v>
      </c>
      <c r="Z667" s="1111" t="e">
        <f>VLOOKUP(AA667,'place of settlement'!A:C,2,FALSE)</f>
        <v>#N/A</v>
      </c>
      <c r="AA667" s="1111" t="e">
        <f t="shared" ref="AA667:AA716" si="144">LEFT(E667,2)</f>
        <v>#N/A</v>
      </c>
      <c r="AB667" s="1111" t="e">
        <f t="shared" ref="AB667:AB716" si="145">CONCATENATE(V667,AA667)</f>
        <v>#N/A</v>
      </c>
      <c r="AC667" s="1111" t="e">
        <f>VLOOKUP(AB667,sample!$1:$1048576,2,FALSE)</f>
        <v>#N/A</v>
      </c>
      <c r="AD667" s="1111" t="e">
        <f>VLOOKUP($AB667,sample!$1:$1048576,3,FALSE)</f>
        <v>#N/A</v>
      </c>
      <c r="AE667" s="1104" t="e">
        <f>VLOOKUP($AB667,sample!$1:$1048576,4,FALSE)</f>
        <v>#N/A</v>
      </c>
      <c r="AF667" s="1111" t="e">
        <f>VLOOKUP($AB667,sample!$1:$1048576,5,FALSE)</f>
        <v>#N/A</v>
      </c>
      <c r="AN667" s="1104" t="e">
        <f>VLOOKUP($AB667,sample!$1:$1048576,13,FALSE)</f>
        <v>#N/A</v>
      </c>
      <c r="AP667" s="1111"/>
    </row>
    <row r="668" spans="4:42">
      <c r="D668" s="1127" t="str">
        <f>IFERROR(VLOOKUP(G668,PosAggregate!$B$13:$B$93,1,FALSE),"")</f>
        <v/>
      </c>
      <c r="E668" s="1139" t="e">
        <f>_xll.BDP(G668  &amp; " Equity", "ID_ISIN", "Fill", "")</f>
        <v>#N/A</v>
      </c>
      <c r="F668" s="1132" t="str">
        <f t="shared" si="142"/>
        <v>YES</v>
      </c>
      <c r="I668" s="1133" t="e">
        <f>_xll.BDP(E668 &amp; " Equity","SECURITY_NAME")</f>
        <v>#N/A</v>
      </c>
      <c r="J668" s="1133" t="e">
        <f>_xll.BDP(G668 &amp; " Equity","Crncy")</f>
        <v>#N/A</v>
      </c>
      <c r="N668" s="1135">
        <f t="shared" si="143"/>
        <v>0</v>
      </c>
      <c r="R668" s="1100">
        <f t="shared" si="140"/>
        <v>0</v>
      </c>
      <c r="T668" s="1121" t="e">
        <f t="shared" si="141"/>
        <v>#DIV/0!</v>
      </c>
      <c r="X668" s="1089" t="e">
        <f t="shared" si="139"/>
        <v>#DIV/0!</v>
      </c>
      <c r="Y668" s="690" t="s">
        <v>1763</v>
      </c>
      <c r="Z668" s="1111" t="e">
        <f>VLOOKUP(AA668,'place of settlement'!A:C,2,FALSE)</f>
        <v>#N/A</v>
      </c>
      <c r="AA668" s="1111" t="e">
        <f t="shared" si="144"/>
        <v>#N/A</v>
      </c>
      <c r="AB668" s="1111" t="e">
        <f t="shared" si="145"/>
        <v>#N/A</v>
      </c>
      <c r="AC668" s="1111" t="e">
        <f>VLOOKUP(AB668,sample!$1:$1048576,2,FALSE)</f>
        <v>#N/A</v>
      </c>
      <c r="AD668" s="1111" t="e">
        <f>VLOOKUP($AB668,sample!$1:$1048576,3,FALSE)</f>
        <v>#N/A</v>
      </c>
      <c r="AE668" s="1104" t="e">
        <f>VLOOKUP($AB668,sample!$1:$1048576,4,FALSE)</f>
        <v>#N/A</v>
      </c>
      <c r="AF668" s="1111" t="e">
        <f>VLOOKUP($AB668,sample!$1:$1048576,5,FALSE)</f>
        <v>#N/A</v>
      </c>
      <c r="AN668" s="1104" t="e">
        <f>VLOOKUP($AB668,sample!$1:$1048576,13,FALSE)</f>
        <v>#N/A</v>
      </c>
      <c r="AP668" s="1111"/>
    </row>
    <row r="669" spans="4:42">
      <c r="D669" s="1127" t="str">
        <f>IFERROR(VLOOKUP(G669,PosAggregate!$B$13:$B$93,1,FALSE),"")</f>
        <v/>
      </c>
      <c r="E669" s="1139" t="e">
        <f>_xll.BDP(G669  &amp; " Equity", "ID_ISIN", "Fill", "")</f>
        <v>#N/A</v>
      </c>
      <c r="F669" s="1132" t="str">
        <f t="shared" si="142"/>
        <v>YES</v>
      </c>
      <c r="I669" s="1133" t="e">
        <f>_xll.BDP(E669 &amp; " Equity","SECURITY_NAME")</f>
        <v>#N/A</v>
      </c>
      <c r="J669" s="1133" t="e">
        <f>_xll.BDP(G669 &amp; " Equity","Crncy")</f>
        <v>#N/A</v>
      </c>
      <c r="N669" s="1135">
        <f t="shared" si="143"/>
        <v>0</v>
      </c>
      <c r="R669" s="1100">
        <f t="shared" si="140"/>
        <v>0</v>
      </c>
      <c r="T669" s="1121" t="e">
        <f t="shared" si="141"/>
        <v>#DIV/0!</v>
      </c>
      <c r="X669" s="1089" t="e">
        <f t="shared" si="139"/>
        <v>#DIV/0!</v>
      </c>
      <c r="Y669" s="690" t="s">
        <v>1763</v>
      </c>
      <c r="Z669" s="1111" t="e">
        <f>VLOOKUP(AA669,'place of settlement'!A:C,2,FALSE)</f>
        <v>#N/A</v>
      </c>
      <c r="AA669" s="1111" t="e">
        <f t="shared" si="144"/>
        <v>#N/A</v>
      </c>
      <c r="AB669" s="1111" t="e">
        <f t="shared" si="145"/>
        <v>#N/A</v>
      </c>
      <c r="AC669" s="1111" t="e">
        <f>VLOOKUP(AB669,sample!$1:$1048576,2,FALSE)</f>
        <v>#N/A</v>
      </c>
      <c r="AD669" s="1111" t="e">
        <f>VLOOKUP($AB669,sample!$1:$1048576,3,FALSE)</f>
        <v>#N/A</v>
      </c>
      <c r="AE669" s="1104" t="e">
        <f>VLOOKUP($AB669,sample!$1:$1048576,4,FALSE)</f>
        <v>#N/A</v>
      </c>
      <c r="AF669" s="1111" t="e">
        <f>VLOOKUP($AB669,sample!$1:$1048576,5,FALSE)</f>
        <v>#N/A</v>
      </c>
      <c r="AN669" s="1104" t="e">
        <f>VLOOKUP($AB669,sample!$1:$1048576,13,FALSE)</f>
        <v>#N/A</v>
      </c>
      <c r="AP669" s="1111"/>
    </row>
    <row r="670" spans="4:42">
      <c r="D670" s="1127" t="str">
        <f>IFERROR(VLOOKUP(G670,PosAggregate!$B$13:$B$93,1,FALSE),"")</f>
        <v/>
      </c>
      <c r="E670" s="1139" t="e">
        <f>_xll.BDP(G670  &amp; " Equity", "ID_ISIN", "Fill", "")</f>
        <v>#N/A</v>
      </c>
      <c r="F670" s="1132" t="str">
        <f t="shared" si="142"/>
        <v>YES</v>
      </c>
      <c r="I670" s="1133" t="e">
        <f>_xll.BDP(E670 &amp; " Equity","SECURITY_NAME")</f>
        <v>#N/A</v>
      </c>
      <c r="J670" s="1133" t="e">
        <f>_xll.BDP(G670 &amp; " Equity","Crncy")</f>
        <v>#N/A</v>
      </c>
      <c r="N670" s="1135">
        <f t="shared" si="143"/>
        <v>0</v>
      </c>
      <c r="R670" s="1100">
        <f t="shared" si="140"/>
        <v>0</v>
      </c>
      <c r="T670" s="1121" t="e">
        <f t="shared" si="141"/>
        <v>#DIV/0!</v>
      </c>
      <c r="X670" s="1089" t="e">
        <f t="shared" si="139"/>
        <v>#DIV/0!</v>
      </c>
      <c r="Y670" s="690" t="s">
        <v>1763</v>
      </c>
      <c r="Z670" s="1111" t="e">
        <f>VLOOKUP(AA670,'place of settlement'!A:C,2,FALSE)</f>
        <v>#N/A</v>
      </c>
      <c r="AA670" s="1111" t="e">
        <f t="shared" si="144"/>
        <v>#N/A</v>
      </c>
      <c r="AB670" s="1111" t="e">
        <f t="shared" si="145"/>
        <v>#N/A</v>
      </c>
      <c r="AC670" s="1111" t="e">
        <f>VLOOKUP(AB670,sample!$1:$1048576,2,FALSE)</f>
        <v>#N/A</v>
      </c>
      <c r="AD670" s="1111" t="e">
        <f>VLOOKUP($AB670,sample!$1:$1048576,3,FALSE)</f>
        <v>#N/A</v>
      </c>
      <c r="AE670" s="1104" t="e">
        <f>VLOOKUP($AB670,sample!$1:$1048576,4,FALSE)</f>
        <v>#N/A</v>
      </c>
      <c r="AF670" s="1111" t="e">
        <f>VLOOKUP($AB670,sample!$1:$1048576,5,FALSE)</f>
        <v>#N/A</v>
      </c>
      <c r="AN670" s="1104" t="e">
        <f>VLOOKUP($AB670,sample!$1:$1048576,13,FALSE)</f>
        <v>#N/A</v>
      </c>
      <c r="AP670" s="1111"/>
    </row>
    <row r="671" spans="4:42">
      <c r="D671" s="1127" t="str">
        <f>IFERROR(VLOOKUP(G671,PosAggregate!$B$13:$B$93,1,FALSE),"")</f>
        <v/>
      </c>
      <c r="E671" s="1139" t="e">
        <f>_xll.BDP(G671  &amp; " Equity", "ID_ISIN", "Fill", "")</f>
        <v>#N/A</v>
      </c>
      <c r="F671" s="1132" t="str">
        <f t="shared" si="142"/>
        <v>YES</v>
      </c>
      <c r="I671" s="1133" t="e">
        <f>_xll.BDP(E671 &amp; " Equity","SECURITY_NAME")</f>
        <v>#N/A</v>
      </c>
      <c r="J671" s="1133" t="e">
        <f>_xll.BDP(G671 &amp; " Equity","Crncy")</f>
        <v>#N/A</v>
      </c>
      <c r="N671" s="1135">
        <f t="shared" si="143"/>
        <v>0</v>
      </c>
      <c r="R671" s="1100">
        <f t="shared" si="140"/>
        <v>0</v>
      </c>
      <c r="T671" s="1121" t="e">
        <f t="shared" si="141"/>
        <v>#DIV/0!</v>
      </c>
      <c r="X671" s="1089" t="e">
        <f t="shared" si="139"/>
        <v>#DIV/0!</v>
      </c>
      <c r="Y671" s="690" t="s">
        <v>1763</v>
      </c>
      <c r="Z671" s="1111" t="e">
        <f>VLOOKUP(AA671,'place of settlement'!A:C,2,FALSE)</f>
        <v>#N/A</v>
      </c>
      <c r="AA671" s="1111" t="e">
        <f t="shared" si="144"/>
        <v>#N/A</v>
      </c>
      <c r="AB671" s="1111" t="e">
        <f t="shared" si="145"/>
        <v>#N/A</v>
      </c>
      <c r="AC671" s="1111" t="e">
        <f>VLOOKUP(AB671,sample!$1:$1048576,2,FALSE)</f>
        <v>#N/A</v>
      </c>
      <c r="AD671" s="1111" t="e">
        <f>VLOOKUP($AB671,sample!$1:$1048576,3,FALSE)</f>
        <v>#N/A</v>
      </c>
      <c r="AE671" s="1104" t="e">
        <f>VLOOKUP($AB671,sample!$1:$1048576,4,FALSE)</f>
        <v>#N/A</v>
      </c>
      <c r="AF671" s="1111" t="e">
        <f>VLOOKUP($AB671,sample!$1:$1048576,5,FALSE)</f>
        <v>#N/A</v>
      </c>
      <c r="AN671" s="1104" t="e">
        <f>VLOOKUP($AB671,sample!$1:$1048576,13,FALSE)</f>
        <v>#N/A</v>
      </c>
      <c r="AP671" s="1111"/>
    </row>
    <row r="672" spans="4:42">
      <c r="D672" s="1127" t="str">
        <f>IFERROR(VLOOKUP(G672,PosAggregate!$B$13:$B$93,1,FALSE),"")</f>
        <v/>
      </c>
      <c r="E672" s="1139" t="e">
        <f>_xll.BDP(G672  &amp; " Equity", "ID_ISIN", "Fill", "")</f>
        <v>#N/A</v>
      </c>
      <c r="F672" s="1132" t="str">
        <f t="shared" si="142"/>
        <v>YES</v>
      </c>
      <c r="I672" s="1133" t="e">
        <f>_xll.BDP(E672 &amp; " Equity","SECURITY_NAME")</f>
        <v>#N/A</v>
      </c>
      <c r="J672" s="1133" t="e">
        <f>_xll.BDP(G672 &amp; " Equity","Crncy")</f>
        <v>#N/A</v>
      </c>
      <c r="N672" s="1135">
        <f t="shared" si="143"/>
        <v>0</v>
      </c>
      <c r="R672" s="1100">
        <f t="shared" si="140"/>
        <v>0</v>
      </c>
      <c r="T672" s="1121" t="e">
        <f t="shared" si="141"/>
        <v>#DIV/0!</v>
      </c>
      <c r="X672" s="1089" t="e">
        <f t="shared" si="139"/>
        <v>#DIV/0!</v>
      </c>
      <c r="Y672" s="690" t="s">
        <v>1763</v>
      </c>
      <c r="Z672" s="1111" t="e">
        <f>VLOOKUP(AA672,'place of settlement'!A:C,2,FALSE)</f>
        <v>#N/A</v>
      </c>
      <c r="AA672" s="1111" t="e">
        <f t="shared" si="144"/>
        <v>#N/A</v>
      </c>
      <c r="AB672" s="1111" t="e">
        <f t="shared" si="145"/>
        <v>#N/A</v>
      </c>
      <c r="AC672" s="1111" t="e">
        <f>VLOOKUP(AB672,sample!$1:$1048576,2,FALSE)</f>
        <v>#N/A</v>
      </c>
      <c r="AD672" s="1111" t="e">
        <f>VLOOKUP($AB672,sample!$1:$1048576,3,FALSE)</f>
        <v>#N/A</v>
      </c>
      <c r="AE672" s="1104" t="e">
        <f>VLOOKUP($AB672,sample!$1:$1048576,4,FALSE)</f>
        <v>#N/A</v>
      </c>
      <c r="AF672" s="1111" t="e">
        <f>VLOOKUP($AB672,sample!$1:$1048576,5,FALSE)</f>
        <v>#N/A</v>
      </c>
      <c r="AN672" s="1104" t="e">
        <f>VLOOKUP($AB672,sample!$1:$1048576,13,FALSE)</f>
        <v>#N/A</v>
      </c>
      <c r="AP672" s="1111"/>
    </row>
    <row r="673" spans="4:42">
      <c r="D673" s="1127" t="str">
        <f>IFERROR(VLOOKUP(G673,PosAggregate!$B$13:$B$93,1,FALSE),"")</f>
        <v/>
      </c>
      <c r="E673" s="1139" t="e">
        <f>_xll.BDP(G673  &amp; " Equity", "ID_ISIN", "Fill", "")</f>
        <v>#N/A</v>
      </c>
      <c r="F673" s="1132" t="str">
        <f t="shared" si="142"/>
        <v>YES</v>
      </c>
      <c r="I673" s="1133" t="e">
        <f>_xll.BDP(E673 &amp; " Equity","SECURITY_NAME")</f>
        <v>#N/A</v>
      </c>
      <c r="J673" s="1133" t="e">
        <f>_xll.BDP(G673 &amp; " Equity","Crncy")</f>
        <v>#N/A</v>
      </c>
      <c r="N673" s="1135">
        <f t="shared" si="143"/>
        <v>0</v>
      </c>
      <c r="R673" s="1100">
        <f t="shared" si="140"/>
        <v>0</v>
      </c>
      <c r="T673" s="1121" t="e">
        <f t="shared" si="141"/>
        <v>#DIV/0!</v>
      </c>
      <c r="X673" s="1089" t="e">
        <f t="shared" si="139"/>
        <v>#DIV/0!</v>
      </c>
      <c r="Y673" s="690" t="s">
        <v>1763</v>
      </c>
      <c r="Z673" s="1111" t="e">
        <f>VLOOKUP(AA673,'place of settlement'!A:C,2,FALSE)</f>
        <v>#N/A</v>
      </c>
      <c r="AA673" s="1111" t="e">
        <f t="shared" si="144"/>
        <v>#N/A</v>
      </c>
      <c r="AB673" s="1111" t="e">
        <f t="shared" si="145"/>
        <v>#N/A</v>
      </c>
      <c r="AC673" s="1111" t="e">
        <f>VLOOKUP(AB673,sample!$1:$1048576,2,FALSE)</f>
        <v>#N/A</v>
      </c>
      <c r="AD673" s="1111" t="e">
        <f>VLOOKUP($AB673,sample!$1:$1048576,3,FALSE)</f>
        <v>#N/A</v>
      </c>
      <c r="AE673" s="1104" t="e">
        <f>VLOOKUP($AB673,sample!$1:$1048576,4,FALSE)</f>
        <v>#N/A</v>
      </c>
      <c r="AF673" s="1111" t="e">
        <f>VLOOKUP($AB673,sample!$1:$1048576,5,FALSE)</f>
        <v>#N/A</v>
      </c>
      <c r="AN673" s="1104" t="e">
        <f>VLOOKUP($AB673,sample!$1:$1048576,13,FALSE)</f>
        <v>#N/A</v>
      </c>
      <c r="AP673" s="1111"/>
    </row>
    <row r="674" spans="4:42">
      <c r="D674" s="1127" t="str">
        <f>IFERROR(VLOOKUP(G674,PosAggregate!$B$13:$B$93,1,FALSE),"")</f>
        <v/>
      </c>
      <c r="E674" s="1139" t="e">
        <f>_xll.BDP(G674  &amp; " Equity", "ID_ISIN", "Fill", "")</f>
        <v>#N/A</v>
      </c>
      <c r="F674" s="1132" t="str">
        <f t="shared" si="142"/>
        <v>YES</v>
      </c>
      <c r="I674" s="1133" t="e">
        <f>_xll.BDP(E674 &amp; " Equity","SECURITY_NAME")</f>
        <v>#N/A</v>
      </c>
      <c r="J674" s="1133" t="e">
        <f>_xll.BDP(G674 &amp; " Equity","Crncy")</f>
        <v>#N/A</v>
      </c>
      <c r="N674" s="1135">
        <f t="shared" si="143"/>
        <v>0</v>
      </c>
      <c r="R674" s="1100">
        <f t="shared" si="140"/>
        <v>0</v>
      </c>
      <c r="T674" s="1121" t="e">
        <f t="shared" si="141"/>
        <v>#DIV/0!</v>
      </c>
      <c r="X674" s="1089" t="e">
        <f t="shared" si="139"/>
        <v>#DIV/0!</v>
      </c>
      <c r="Y674" s="690" t="s">
        <v>1763</v>
      </c>
      <c r="Z674" s="1111" t="e">
        <f>VLOOKUP(AA674,'place of settlement'!A:C,2,FALSE)</f>
        <v>#N/A</v>
      </c>
      <c r="AA674" s="1111" t="e">
        <f t="shared" si="144"/>
        <v>#N/A</v>
      </c>
      <c r="AB674" s="1111" t="e">
        <f t="shared" si="145"/>
        <v>#N/A</v>
      </c>
      <c r="AC674" s="1111" t="e">
        <f>VLOOKUP(AB674,sample!$1:$1048576,2,FALSE)</f>
        <v>#N/A</v>
      </c>
      <c r="AD674" s="1111" t="e">
        <f>VLOOKUP($AB674,sample!$1:$1048576,3,FALSE)</f>
        <v>#N/A</v>
      </c>
      <c r="AE674" s="1104" t="e">
        <f>VLOOKUP($AB674,sample!$1:$1048576,4,FALSE)</f>
        <v>#N/A</v>
      </c>
      <c r="AF674" s="1111" t="e">
        <f>VLOOKUP($AB674,sample!$1:$1048576,5,FALSE)</f>
        <v>#N/A</v>
      </c>
      <c r="AN674" s="1104" t="e">
        <f>VLOOKUP($AB674,sample!$1:$1048576,13,FALSE)</f>
        <v>#N/A</v>
      </c>
      <c r="AP674" s="1111"/>
    </row>
    <row r="675" spans="4:42">
      <c r="D675" s="1127" t="str">
        <f>IFERROR(VLOOKUP(G675,PosAggregate!$B$13:$B$93,1,FALSE),"")</f>
        <v/>
      </c>
      <c r="E675" s="1139" t="e">
        <f>_xll.BDP(G675  &amp; " Equity", "ID_ISIN", "Fill", "")</f>
        <v>#N/A</v>
      </c>
      <c r="F675" s="1132" t="str">
        <f t="shared" si="142"/>
        <v>YES</v>
      </c>
      <c r="I675" s="1133" t="e">
        <f>_xll.BDP(E675 &amp; " Equity","SECURITY_NAME")</f>
        <v>#N/A</v>
      </c>
      <c r="J675" s="1133" t="e">
        <f>_xll.BDP(G675 &amp; " Equity","Crncy")</f>
        <v>#N/A</v>
      </c>
      <c r="N675" s="1135">
        <f t="shared" si="143"/>
        <v>0</v>
      </c>
      <c r="R675" s="1100">
        <f t="shared" si="140"/>
        <v>0</v>
      </c>
      <c r="T675" s="1121" t="e">
        <f t="shared" si="141"/>
        <v>#DIV/0!</v>
      </c>
      <c r="X675" s="1089" t="e">
        <f t="shared" si="139"/>
        <v>#DIV/0!</v>
      </c>
      <c r="Y675" s="690" t="s">
        <v>1763</v>
      </c>
      <c r="Z675" s="1111" t="e">
        <f>VLOOKUP(AA675,'place of settlement'!A:C,2,FALSE)</f>
        <v>#N/A</v>
      </c>
      <c r="AA675" s="1111" t="e">
        <f t="shared" si="144"/>
        <v>#N/A</v>
      </c>
      <c r="AB675" s="1111" t="e">
        <f t="shared" si="145"/>
        <v>#N/A</v>
      </c>
      <c r="AC675" s="1111" t="e">
        <f>VLOOKUP(AB675,sample!$1:$1048576,2,FALSE)</f>
        <v>#N/A</v>
      </c>
      <c r="AD675" s="1111" t="e">
        <f>VLOOKUP($AB675,sample!$1:$1048576,3,FALSE)</f>
        <v>#N/A</v>
      </c>
      <c r="AE675" s="1104" t="e">
        <f>VLOOKUP($AB675,sample!$1:$1048576,4,FALSE)</f>
        <v>#N/A</v>
      </c>
      <c r="AF675" s="1111" t="e">
        <f>VLOOKUP($AB675,sample!$1:$1048576,5,FALSE)</f>
        <v>#N/A</v>
      </c>
      <c r="AN675" s="1104" t="e">
        <f>VLOOKUP($AB675,sample!$1:$1048576,13,FALSE)</f>
        <v>#N/A</v>
      </c>
      <c r="AP675" s="1111"/>
    </row>
    <row r="676" spans="4:42">
      <c r="D676" s="1127" t="str">
        <f>IFERROR(VLOOKUP(G676,PosAggregate!$B$13:$B$93,1,FALSE),"")</f>
        <v/>
      </c>
      <c r="E676" s="1139" t="e">
        <f>_xll.BDP(G676  &amp; " Equity", "ID_ISIN", "Fill", "")</f>
        <v>#N/A</v>
      </c>
      <c r="F676" s="1132" t="str">
        <f t="shared" si="142"/>
        <v>YES</v>
      </c>
      <c r="I676" s="1133" t="e">
        <f>_xll.BDP(E676 &amp; " Equity","SECURITY_NAME")</f>
        <v>#N/A</v>
      </c>
      <c r="J676" s="1133" t="e">
        <f>_xll.BDP(G676 &amp; " Equity","Crncy")</f>
        <v>#N/A</v>
      </c>
      <c r="N676" s="1135">
        <f t="shared" si="143"/>
        <v>0</v>
      </c>
      <c r="R676" s="1100">
        <f t="shared" si="140"/>
        <v>0</v>
      </c>
      <c r="T676" s="1121" t="e">
        <f t="shared" si="141"/>
        <v>#DIV/0!</v>
      </c>
      <c r="X676" s="1089" t="e">
        <f t="shared" si="139"/>
        <v>#DIV/0!</v>
      </c>
      <c r="Y676" s="690" t="s">
        <v>1763</v>
      </c>
      <c r="Z676" s="1111" t="e">
        <f>VLOOKUP(AA676,'place of settlement'!A:C,2,FALSE)</f>
        <v>#N/A</v>
      </c>
      <c r="AA676" s="1111" t="e">
        <f t="shared" si="144"/>
        <v>#N/A</v>
      </c>
      <c r="AB676" s="1111" t="e">
        <f t="shared" si="145"/>
        <v>#N/A</v>
      </c>
      <c r="AC676" s="1111" t="e">
        <f>VLOOKUP(AB676,sample!$1:$1048576,2,FALSE)</f>
        <v>#N/A</v>
      </c>
      <c r="AD676" s="1111" t="e">
        <f>VLOOKUP($AB676,sample!$1:$1048576,3,FALSE)</f>
        <v>#N/A</v>
      </c>
      <c r="AE676" s="1104" t="e">
        <f>VLOOKUP($AB676,sample!$1:$1048576,4,FALSE)</f>
        <v>#N/A</v>
      </c>
      <c r="AF676" s="1111" t="e">
        <f>VLOOKUP($AB676,sample!$1:$1048576,5,FALSE)</f>
        <v>#N/A</v>
      </c>
      <c r="AN676" s="1104" t="e">
        <f>VLOOKUP($AB676,sample!$1:$1048576,13,FALSE)</f>
        <v>#N/A</v>
      </c>
      <c r="AP676" s="1111"/>
    </row>
    <row r="677" spans="4:42">
      <c r="D677" s="1127" t="str">
        <f>IFERROR(VLOOKUP(G677,PosAggregate!$B$13:$B$93,1,FALSE),"")</f>
        <v/>
      </c>
      <c r="E677" s="1139" t="e">
        <f>_xll.BDP(G677  &amp; " Equity", "ID_ISIN", "Fill", "")</f>
        <v>#N/A</v>
      </c>
      <c r="F677" s="1132" t="str">
        <f t="shared" si="142"/>
        <v>YES</v>
      </c>
      <c r="I677" s="1133" t="e">
        <f>_xll.BDP(E677 &amp; " Equity","SECURITY_NAME")</f>
        <v>#N/A</v>
      </c>
      <c r="J677" s="1133" t="e">
        <f>_xll.BDP(G677 &amp; " Equity","Crncy")</f>
        <v>#N/A</v>
      </c>
      <c r="N677" s="1135">
        <f t="shared" si="143"/>
        <v>0</v>
      </c>
      <c r="R677" s="1100">
        <f t="shared" si="140"/>
        <v>0</v>
      </c>
      <c r="T677" s="1121" t="e">
        <f t="shared" si="141"/>
        <v>#DIV/0!</v>
      </c>
      <c r="X677" s="1089" t="e">
        <f t="shared" si="139"/>
        <v>#DIV/0!</v>
      </c>
      <c r="Y677" s="690" t="s">
        <v>1763</v>
      </c>
      <c r="Z677" s="1111" t="e">
        <f>VLOOKUP(AA677,'place of settlement'!A:C,2,FALSE)</f>
        <v>#N/A</v>
      </c>
      <c r="AA677" s="1111" t="e">
        <f t="shared" si="144"/>
        <v>#N/A</v>
      </c>
      <c r="AB677" s="1111" t="e">
        <f t="shared" si="145"/>
        <v>#N/A</v>
      </c>
      <c r="AC677" s="1111" t="e">
        <f>VLOOKUP(AB677,sample!$1:$1048576,2,FALSE)</f>
        <v>#N/A</v>
      </c>
      <c r="AD677" s="1111" t="e">
        <f>VLOOKUP($AB677,sample!$1:$1048576,3,FALSE)</f>
        <v>#N/A</v>
      </c>
      <c r="AE677" s="1104" t="e">
        <f>VLOOKUP($AB677,sample!$1:$1048576,4,FALSE)</f>
        <v>#N/A</v>
      </c>
      <c r="AF677" s="1111" t="e">
        <f>VLOOKUP($AB677,sample!$1:$1048576,5,FALSE)</f>
        <v>#N/A</v>
      </c>
      <c r="AN677" s="1104" t="e">
        <f>VLOOKUP($AB677,sample!$1:$1048576,13,FALSE)</f>
        <v>#N/A</v>
      </c>
      <c r="AP677" s="1111"/>
    </row>
    <row r="678" spans="4:42">
      <c r="D678" s="1127" t="str">
        <f>IFERROR(VLOOKUP(G678,PosAggregate!$B$13:$B$93,1,FALSE),"")</f>
        <v/>
      </c>
      <c r="E678" s="1139" t="e">
        <f>_xll.BDP(G678  &amp; " Equity", "ID_ISIN", "Fill", "")</f>
        <v>#N/A</v>
      </c>
      <c r="F678" s="1132" t="str">
        <f t="shared" si="142"/>
        <v>YES</v>
      </c>
      <c r="I678" s="1133" t="e">
        <f>_xll.BDP(E678 &amp; " Equity","SECURITY_NAME")</f>
        <v>#N/A</v>
      </c>
      <c r="J678" s="1133" t="e">
        <f>_xll.BDP(G678 &amp; " Equity","Crncy")</f>
        <v>#N/A</v>
      </c>
      <c r="N678" s="1135">
        <f t="shared" si="143"/>
        <v>0</v>
      </c>
      <c r="R678" s="1100">
        <f t="shared" si="140"/>
        <v>0</v>
      </c>
      <c r="T678" s="1121" t="e">
        <f t="shared" si="141"/>
        <v>#DIV/0!</v>
      </c>
      <c r="X678" s="1089" t="e">
        <f t="shared" si="139"/>
        <v>#DIV/0!</v>
      </c>
      <c r="Y678" s="690" t="s">
        <v>1763</v>
      </c>
      <c r="Z678" s="1111" t="e">
        <f>VLOOKUP(AA678,'place of settlement'!A:C,2,FALSE)</f>
        <v>#N/A</v>
      </c>
      <c r="AA678" s="1111" t="e">
        <f t="shared" si="144"/>
        <v>#N/A</v>
      </c>
      <c r="AB678" s="1111" t="e">
        <f t="shared" si="145"/>
        <v>#N/A</v>
      </c>
      <c r="AC678" s="1111" t="e">
        <f>VLOOKUP(AB678,sample!$1:$1048576,2,FALSE)</f>
        <v>#N/A</v>
      </c>
      <c r="AD678" s="1111" t="e">
        <f>VLOOKUP($AB678,sample!$1:$1048576,3,FALSE)</f>
        <v>#N/A</v>
      </c>
      <c r="AE678" s="1104" t="e">
        <f>VLOOKUP($AB678,sample!$1:$1048576,4,FALSE)</f>
        <v>#N/A</v>
      </c>
      <c r="AF678" s="1111" t="e">
        <f>VLOOKUP($AB678,sample!$1:$1048576,5,FALSE)</f>
        <v>#N/A</v>
      </c>
      <c r="AN678" s="1104" t="e">
        <f>VLOOKUP($AB678,sample!$1:$1048576,13,FALSE)</f>
        <v>#N/A</v>
      </c>
      <c r="AP678" s="1111"/>
    </row>
    <row r="679" spans="4:42">
      <c r="D679" s="1127" t="str">
        <f>IFERROR(VLOOKUP(G679,PosAggregate!$B$13:$B$93,1,FALSE),"")</f>
        <v/>
      </c>
      <c r="E679" s="1139" t="e">
        <f>_xll.BDP(G679  &amp; " Equity", "ID_ISIN", "Fill", "")</f>
        <v>#N/A</v>
      </c>
      <c r="F679" s="1132" t="str">
        <f t="shared" si="142"/>
        <v>YES</v>
      </c>
      <c r="I679" s="1133" t="e">
        <f>_xll.BDP(E679 &amp; " Equity","SECURITY_NAME")</f>
        <v>#N/A</v>
      </c>
      <c r="J679" s="1133" t="e">
        <f>_xll.BDP(G679 &amp; " Equity","Crncy")</f>
        <v>#N/A</v>
      </c>
      <c r="N679" s="1135">
        <f t="shared" si="143"/>
        <v>0</v>
      </c>
      <c r="R679" s="1100">
        <f t="shared" si="140"/>
        <v>0</v>
      </c>
      <c r="T679" s="1121" t="e">
        <f t="shared" si="141"/>
        <v>#DIV/0!</v>
      </c>
      <c r="X679" s="1089" t="e">
        <f t="shared" si="139"/>
        <v>#DIV/0!</v>
      </c>
      <c r="Y679" s="690" t="s">
        <v>1763</v>
      </c>
      <c r="Z679" s="1111" t="e">
        <f>VLOOKUP(AA679,'place of settlement'!A:C,2,FALSE)</f>
        <v>#N/A</v>
      </c>
      <c r="AA679" s="1111" t="e">
        <f t="shared" si="144"/>
        <v>#N/A</v>
      </c>
      <c r="AB679" s="1111" t="e">
        <f t="shared" si="145"/>
        <v>#N/A</v>
      </c>
      <c r="AC679" s="1111" t="e">
        <f>VLOOKUP(AB679,sample!$1:$1048576,2,FALSE)</f>
        <v>#N/A</v>
      </c>
      <c r="AD679" s="1111" t="e">
        <f>VLOOKUP($AB679,sample!$1:$1048576,3,FALSE)</f>
        <v>#N/A</v>
      </c>
      <c r="AE679" s="1104" t="e">
        <f>VLOOKUP($AB679,sample!$1:$1048576,4,FALSE)</f>
        <v>#N/A</v>
      </c>
      <c r="AF679" s="1111" t="e">
        <f>VLOOKUP($AB679,sample!$1:$1048576,5,FALSE)</f>
        <v>#N/A</v>
      </c>
      <c r="AN679" s="1104" t="e">
        <f>VLOOKUP($AB679,sample!$1:$1048576,13,FALSE)</f>
        <v>#N/A</v>
      </c>
      <c r="AP679" s="1111"/>
    </row>
    <row r="680" spans="4:42">
      <c r="D680" s="1127" t="str">
        <f>IFERROR(VLOOKUP(G680,PosAggregate!$B$13:$B$93,1,FALSE),"")</f>
        <v/>
      </c>
      <c r="E680" s="1139" t="e">
        <f>_xll.BDP(G680  &amp; " Equity", "ID_ISIN", "Fill", "")</f>
        <v>#N/A</v>
      </c>
      <c r="F680" s="1132" t="str">
        <f t="shared" si="142"/>
        <v>YES</v>
      </c>
      <c r="I680" s="1133" t="e">
        <f>_xll.BDP(E680 &amp; " Equity","SECURITY_NAME")</f>
        <v>#N/A</v>
      </c>
      <c r="J680" s="1133" t="e">
        <f>_xll.BDP(G680 &amp; " Equity","Crncy")</f>
        <v>#N/A</v>
      </c>
      <c r="N680" s="1135">
        <f t="shared" si="143"/>
        <v>0</v>
      </c>
      <c r="R680" s="1100">
        <f t="shared" si="140"/>
        <v>0</v>
      </c>
      <c r="T680" s="1121" t="e">
        <f t="shared" si="141"/>
        <v>#DIV/0!</v>
      </c>
      <c r="X680" s="1089" t="e">
        <f t="shared" ref="X680:X716" si="146">+O680/N680*100</f>
        <v>#DIV/0!</v>
      </c>
      <c r="Y680" s="690" t="s">
        <v>1763</v>
      </c>
      <c r="Z680" s="1111" t="e">
        <f>VLOOKUP(AA680,'place of settlement'!A:C,2,FALSE)</f>
        <v>#N/A</v>
      </c>
      <c r="AA680" s="1111" t="e">
        <f t="shared" si="144"/>
        <v>#N/A</v>
      </c>
      <c r="AB680" s="1111" t="e">
        <f t="shared" si="145"/>
        <v>#N/A</v>
      </c>
      <c r="AC680" s="1111" t="e">
        <f>VLOOKUP(AB680,sample!$1:$1048576,2,FALSE)</f>
        <v>#N/A</v>
      </c>
      <c r="AD680" s="1111" t="e">
        <f>VLOOKUP($AB680,sample!$1:$1048576,3,FALSE)</f>
        <v>#N/A</v>
      </c>
      <c r="AE680" s="1104" t="e">
        <f>VLOOKUP($AB680,sample!$1:$1048576,4,FALSE)</f>
        <v>#N/A</v>
      </c>
      <c r="AF680" s="1111" t="e">
        <f>VLOOKUP($AB680,sample!$1:$1048576,5,FALSE)</f>
        <v>#N/A</v>
      </c>
      <c r="AN680" s="1104" t="e">
        <f>VLOOKUP($AB680,sample!$1:$1048576,13,FALSE)</f>
        <v>#N/A</v>
      </c>
      <c r="AP680" s="1111"/>
    </row>
    <row r="681" spans="4:42">
      <c r="D681" s="1127" t="str">
        <f>IFERROR(VLOOKUP(G681,PosAggregate!$B$13:$B$93,1,FALSE),"")</f>
        <v/>
      </c>
      <c r="E681" s="1139" t="e">
        <f>_xll.BDP(G681  &amp; " Equity", "ID_ISIN", "Fill", "")</f>
        <v>#N/A</v>
      </c>
      <c r="F681" s="1132" t="str">
        <f t="shared" si="142"/>
        <v>YES</v>
      </c>
      <c r="I681" s="1133" t="e">
        <f>_xll.BDP(E681 &amp; " Equity","SECURITY_NAME")</f>
        <v>#N/A</v>
      </c>
      <c r="J681" s="1133" t="e">
        <f>_xll.BDP(G681 &amp; " Equity","Crncy")</f>
        <v>#N/A</v>
      </c>
      <c r="N681" s="1135">
        <f t="shared" si="143"/>
        <v>0</v>
      </c>
      <c r="R681" s="1100">
        <f t="shared" si="140"/>
        <v>0</v>
      </c>
      <c r="T681" s="1121" t="e">
        <f t="shared" si="141"/>
        <v>#DIV/0!</v>
      </c>
      <c r="X681" s="1089" t="e">
        <f t="shared" si="146"/>
        <v>#DIV/0!</v>
      </c>
      <c r="Y681" s="690" t="s">
        <v>1763</v>
      </c>
      <c r="Z681" s="1111" t="e">
        <f>VLOOKUP(AA681,'place of settlement'!A:C,2,FALSE)</f>
        <v>#N/A</v>
      </c>
      <c r="AA681" s="1111" t="e">
        <f t="shared" si="144"/>
        <v>#N/A</v>
      </c>
      <c r="AB681" s="1111" t="e">
        <f t="shared" si="145"/>
        <v>#N/A</v>
      </c>
      <c r="AC681" s="1111" t="e">
        <f>VLOOKUP(AB681,sample!$1:$1048576,2,FALSE)</f>
        <v>#N/A</v>
      </c>
      <c r="AD681" s="1111" t="e">
        <f>VLOOKUP($AB681,sample!$1:$1048576,3,FALSE)</f>
        <v>#N/A</v>
      </c>
      <c r="AE681" s="1104" t="e">
        <f>VLOOKUP($AB681,sample!$1:$1048576,4,FALSE)</f>
        <v>#N/A</v>
      </c>
      <c r="AF681" s="1111" t="e">
        <f>VLOOKUP($AB681,sample!$1:$1048576,5,FALSE)</f>
        <v>#N/A</v>
      </c>
      <c r="AN681" s="1104" t="e">
        <f>VLOOKUP($AB681,sample!$1:$1048576,13,FALSE)</f>
        <v>#N/A</v>
      </c>
      <c r="AP681" s="1111"/>
    </row>
    <row r="682" spans="4:42">
      <c r="D682" s="1127" t="str">
        <f>IFERROR(VLOOKUP(G682,PosAggregate!$B$13:$B$93,1,FALSE),"")</f>
        <v/>
      </c>
      <c r="E682" s="1139" t="e">
        <f>_xll.BDP(G682  &amp; " Equity", "ID_ISIN", "Fill", "")</f>
        <v>#N/A</v>
      </c>
      <c r="F682" s="1132" t="str">
        <f t="shared" si="142"/>
        <v>YES</v>
      </c>
      <c r="I682" s="1133" t="e">
        <f>_xll.BDP(E682 &amp; " Equity","SECURITY_NAME")</f>
        <v>#N/A</v>
      </c>
      <c r="J682" s="1133" t="e">
        <f>_xll.BDP(G682 &amp; " Equity","Crncy")</f>
        <v>#N/A</v>
      </c>
      <c r="N682" s="1135">
        <f t="shared" si="143"/>
        <v>0</v>
      </c>
      <c r="R682" s="1100">
        <f t="shared" ref="R682:R716" si="147">SUM(N682:Q682)</f>
        <v>0</v>
      </c>
      <c r="T682" s="1121" t="e">
        <f t="shared" si="141"/>
        <v>#DIV/0!</v>
      </c>
      <c r="X682" s="1089" t="e">
        <f t="shared" si="146"/>
        <v>#DIV/0!</v>
      </c>
      <c r="Y682" s="690" t="s">
        <v>1763</v>
      </c>
      <c r="Z682" s="1111" t="e">
        <f>VLOOKUP(AA682,'place of settlement'!A:C,2,FALSE)</f>
        <v>#N/A</v>
      </c>
      <c r="AA682" s="1111" t="e">
        <f t="shared" si="144"/>
        <v>#N/A</v>
      </c>
      <c r="AB682" s="1111" t="e">
        <f t="shared" si="145"/>
        <v>#N/A</v>
      </c>
      <c r="AC682" s="1111" t="e">
        <f>VLOOKUP(AB682,sample!$1:$1048576,2,FALSE)</f>
        <v>#N/A</v>
      </c>
      <c r="AD682" s="1111" t="e">
        <f>VLOOKUP($AB682,sample!$1:$1048576,3,FALSE)</f>
        <v>#N/A</v>
      </c>
      <c r="AE682" s="1104" t="e">
        <f>VLOOKUP($AB682,sample!$1:$1048576,4,FALSE)</f>
        <v>#N/A</v>
      </c>
      <c r="AF682" s="1111" t="e">
        <f>VLOOKUP($AB682,sample!$1:$1048576,5,FALSE)</f>
        <v>#N/A</v>
      </c>
      <c r="AN682" s="1104" t="e">
        <f>VLOOKUP($AB682,sample!$1:$1048576,13,FALSE)</f>
        <v>#N/A</v>
      </c>
      <c r="AP682" s="1111"/>
    </row>
    <row r="683" spans="4:42">
      <c r="D683" s="1127" t="str">
        <f>IFERROR(VLOOKUP(G683,PosAggregate!$B$13:$B$93,1,FALSE),"")</f>
        <v/>
      </c>
      <c r="E683" s="1139" t="e">
        <f>_xll.BDP(G683  &amp; " Equity", "ID_ISIN", "Fill", "")</f>
        <v>#N/A</v>
      </c>
      <c r="F683" s="1132" t="str">
        <f t="shared" si="142"/>
        <v>YES</v>
      </c>
      <c r="I683" s="1133" t="e">
        <f>_xll.BDP(E683 &amp; " Equity","SECURITY_NAME")</f>
        <v>#N/A</v>
      </c>
      <c r="J683" s="1133" t="e">
        <f>_xll.BDP(G683 &amp; " Equity","Crncy")</f>
        <v>#N/A</v>
      </c>
      <c r="N683" s="1135">
        <f t="shared" si="143"/>
        <v>0</v>
      </c>
      <c r="R683" s="1100">
        <f t="shared" si="147"/>
        <v>0</v>
      </c>
      <c r="T683" s="1121" t="e">
        <f t="shared" si="141"/>
        <v>#DIV/0!</v>
      </c>
      <c r="X683" s="1089" t="e">
        <f t="shared" si="146"/>
        <v>#DIV/0!</v>
      </c>
      <c r="Y683" s="690" t="s">
        <v>1763</v>
      </c>
      <c r="Z683" s="1111" t="e">
        <f>VLOOKUP(AA683,'place of settlement'!A:C,2,FALSE)</f>
        <v>#N/A</v>
      </c>
      <c r="AA683" s="1111" t="e">
        <f t="shared" si="144"/>
        <v>#N/A</v>
      </c>
      <c r="AB683" s="1111" t="e">
        <f t="shared" si="145"/>
        <v>#N/A</v>
      </c>
      <c r="AC683" s="1111" t="e">
        <f>VLOOKUP(AB683,sample!$1:$1048576,2,FALSE)</f>
        <v>#N/A</v>
      </c>
      <c r="AD683" s="1111" t="e">
        <f>VLOOKUP($AB683,sample!$1:$1048576,3,FALSE)</f>
        <v>#N/A</v>
      </c>
      <c r="AE683" s="1104" t="e">
        <f>VLOOKUP($AB683,sample!$1:$1048576,4,FALSE)</f>
        <v>#N/A</v>
      </c>
      <c r="AF683" s="1111" t="e">
        <f>VLOOKUP($AB683,sample!$1:$1048576,5,FALSE)</f>
        <v>#N/A</v>
      </c>
      <c r="AN683" s="1104" t="e">
        <f>VLOOKUP($AB683,sample!$1:$1048576,13,FALSE)</f>
        <v>#N/A</v>
      </c>
      <c r="AP683" s="1111"/>
    </row>
    <row r="684" spans="4:42">
      <c r="D684" s="1127" t="str">
        <f>IFERROR(VLOOKUP(G684,PosAggregate!$B$13:$B$93,1,FALSE),"")</f>
        <v/>
      </c>
      <c r="E684" s="1139" t="e">
        <f>_xll.BDP(G684  &amp; " Equity", "ID_ISIN", "Fill", "")</f>
        <v>#N/A</v>
      </c>
      <c r="F684" s="1132" t="str">
        <f t="shared" si="142"/>
        <v>YES</v>
      </c>
      <c r="I684" s="1133" t="e">
        <f>_xll.BDP(E684 &amp; " Equity","SECURITY_NAME")</f>
        <v>#N/A</v>
      </c>
      <c r="J684" s="1133" t="e">
        <f>_xll.BDP(G684 &amp; " Equity","Crncy")</f>
        <v>#N/A</v>
      </c>
      <c r="N684" s="1135">
        <f t="shared" si="143"/>
        <v>0</v>
      </c>
      <c r="R684" s="1100">
        <f t="shared" si="147"/>
        <v>0</v>
      </c>
      <c r="T684" s="1121" t="e">
        <f t="shared" si="141"/>
        <v>#DIV/0!</v>
      </c>
      <c r="X684" s="1089" t="e">
        <f t="shared" si="146"/>
        <v>#DIV/0!</v>
      </c>
      <c r="Y684" s="690" t="s">
        <v>1763</v>
      </c>
      <c r="Z684" s="1111" t="e">
        <f>VLOOKUP(AA684,'place of settlement'!A:C,2,FALSE)</f>
        <v>#N/A</v>
      </c>
      <c r="AA684" s="1111" t="e">
        <f t="shared" si="144"/>
        <v>#N/A</v>
      </c>
      <c r="AB684" s="1111" t="e">
        <f t="shared" si="145"/>
        <v>#N/A</v>
      </c>
      <c r="AC684" s="1111" t="e">
        <f>VLOOKUP(AB684,sample!$1:$1048576,2,FALSE)</f>
        <v>#N/A</v>
      </c>
      <c r="AD684" s="1111" t="e">
        <f>VLOOKUP($AB684,sample!$1:$1048576,3,FALSE)</f>
        <v>#N/A</v>
      </c>
      <c r="AE684" s="1104" t="e">
        <f>VLOOKUP($AB684,sample!$1:$1048576,4,FALSE)</f>
        <v>#N/A</v>
      </c>
      <c r="AF684" s="1111" t="e">
        <f>VLOOKUP($AB684,sample!$1:$1048576,5,FALSE)</f>
        <v>#N/A</v>
      </c>
      <c r="AN684" s="1104" t="e">
        <f>VLOOKUP($AB684,sample!$1:$1048576,13,FALSE)</f>
        <v>#N/A</v>
      </c>
      <c r="AP684" s="1111"/>
    </row>
    <row r="685" spans="4:42">
      <c r="D685" s="1127" t="str">
        <f>IFERROR(VLOOKUP(G685,PosAggregate!$B$13:$B$93,1,FALSE),"")</f>
        <v/>
      </c>
      <c r="E685" s="1139" t="e">
        <f>_xll.BDP(G685  &amp; " Equity", "ID_ISIN", "Fill", "")</f>
        <v>#N/A</v>
      </c>
      <c r="F685" s="1132" t="str">
        <f t="shared" si="142"/>
        <v>YES</v>
      </c>
      <c r="I685" s="1133" t="e">
        <f>_xll.BDP(E685 &amp; " Equity","SECURITY_NAME")</f>
        <v>#N/A</v>
      </c>
      <c r="J685" s="1133" t="e">
        <f>_xll.BDP(G685 &amp; " Equity","Crncy")</f>
        <v>#N/A</v>
      </c>
      <c r="N685" s="1135">
        <f t="shared" si="143"/>
        <v>0</v>
      </c>
      <c r="R685" s="1100">
        <f t="shared" si="147"/>
        <v>0</v>
      </c>
      <c r="T685" s="1121" t="e">
        <f t="shared" si="141"/>
        <v>#DIV/0!</v>
      </c>
      <c r="X685" s="1089" t="e">
        <f t="shared" si="146"/>
        <v>#DIV/0!</v>
      </c>
      <c r="Y685" s="690" t="s">
        <v>1763</v>
      </c>
      <c r="Z685" s="1111" t="e">
        <f>VLOOKUP(AA685,'place of settlement'!A:C,2,FALSE)</f>
        <v>#N/A</v>
      </c>
      <c r="AA685" s="1111" t="e">
        <f t="shared" si="144"/>
        <v>#N/A</v>
      </c>
      <c r="AB685" s="1111" t="e">
        <f t="shared" si="145"/>
        <v>#N/A</v>
      </c>
      <c r="AC685" s="1111" t="e">
        <f>VLOOKUP(AB685,sample!$1:$1048576,2,FALSE)</f>
        <v>#N/A</v>
      </c>
      <c r="AD685" s="1111" t="e">
        <f>VLOOKUP($AB685,sample!$1:$1048576,3,FALSE)</f>
        <v>#N/A</v>
      </c>
      <c r="AE685" s="1104" t="e">
        <f>VLOOKUP($AB685,sample!$1:$1048576,4,FALSE)</f>
        <v>#N/A</v>
      </c>
      <c r="AF685" s="1111" t="e">
        <f>VLOOKUP($AB685,sample!$1:$1048576,5,FALSE)</f>
        <v>#N/A</v>
      </c>
      <c r="AN685" s="1104" t="e">
        <f>VLOOKUP($AB685,sample!$1:$1048576,13,FALSE)</f>
        <v>#N/A</v>
      </c>
      <c r="AP685" s="1111"/>
    </row>
    <row r="686" spans="4:42">
      <c r="D686" s="1127" t="str">
        <f>IFERROR(VLOOKUP(G686,PosAggregate!$B$13:$B$93,1,FALSE),"")</f>
        <v/>
      </c>
      <c r="E686" s="1139" t="e">
        <f>_xll.BDP(G686  &amp; " Equity", "ID_ISIN", "Fill", "")</f>
        <v>#N/A</v>
      </c>
      <c r="F686" s="1132" t="str">
        <f t="shared" si="142"/>
        <v>YES</v>
      </c>
      <c r="I686" s="1133" t="e">
        <f>_xll.BDP(E686 &amp; " Equity","SECURITY_NAME")</f>
        <v>#N/A</v>
      </c>
      <c r="J686" s="1133" t="e">
        <f>_xll.BDP(G686 &amp; " Equity","Crncy")</f>
        <v>#N/A</v>
      </c>
      <c r="N686" s="1135">
        <f t="shared" si="143"/>
        <v>0</v>
      </c>
      <c r="R686" s="1100">
        <f t="shared" si="147"/>
        <v>0</v>
      </c>
      <c r="T686" s="1121" t="e">
        <f t="shared" si="141"/>
        <v>#DIV/0!</v>
      </c>
      <c r="X686" s="1089" t="e">
        <f t="shared" si="146"/>
        <v>#DIV/0!</v>
      </c>
      <c r="Y686" s="690" t="s">
        <v>1763</v>
      </c>
      <c r="Z686" s="1111" t="e">
        <f>VLOOKUP(AA686,'place of settlement'!A:C,2,FALSE)</f>
        <v>#N/A</v>
      </c>
      <c r="AA686" s="1111" t="e">
        <f t="shared" si="144"/>
        <v>#N/A</v>
      </c>
      <c r="AB686" s="1111" t="e">
        <f t="shared" si="145"/>
        <v>#N/A</v>
      </c>
      <c r="AC686" s="1111" t="e">
        <f>VLOOKUP(AB686,sample!$1:$1048576,2,FALSE)</f>
        <v>#N/A</v>
      </c>
      <c r="AD686" s="1111" t="e">
        <f>VLOOKUP($AB686,sample!$1:$1048576,3,FALSE)</f>
        <v>#N/A</v>
      </c>
      <c r="AE686" s="1104" t="e">
        <f>VLOOKUP($AB686,sample!$1:$1048576,4,FALSE)</f>
        <v>#N/A</v>
      </c>
      <c r="AF686" s="1111" t="e">
        <f>VLOOKUP($AB686,sample!$1:$1048576,5,FALSE)</f>
        <v>#N/A</v>
      </c>
      <c r="AN686" s="1104" t="e">
        <f>VLOOKUP($AB686,sample!$1:$1048576,13,FALSE)</f>
        <v>#N/A</v>
      </c>
      <c r="AP686" s="1111"/>
    </row>
    <row r="687" spans="4:42">
      <c r="D687" s="1127" t="str">
        <f>IFERROR(VLOOKUP(G687,PosAggregate!$B$13:$B$93,1,FALSE),"")</f>
        <v/>
      </c>
      <c r="E687" s="1139" t="e">
        <f>_xll.BDP(G687  &amp; " Equity", "ID_ISIN", "Fill", "")</f>
        <v>#N/A</v>
      </c>
      <c r="F687" s="1132" t="str">
        <f t="shared" si="142"/>
        <v>YES</v>
      </c>
      <c r="I687" s="1133" t="e">
        <f>_xll.BDP(E687 &amp; " Equity","SECURITY_NAME")</f>
        <v>#N/A</v>
      </c>
      <c r="J687" s="1133" t="e">
        <f>_xll.BDP(G687 &amp; " Equity","Crncy")</f>
        <v>#N/A</v>
      </c>
      <c r="N687" s="1135">
        <f t="shared" si="143"/>
        <v>0</v>
      </c>
      <c r="R687" s="1100">
        <f t="shared" si="147"/>
        <v>0</v>
      </c>
      <c r="T687" s="1121" t="e">
        <f t="shared" si="141"/>
        <v>#DIV/0!</v>
      </c>
      <c r="X687" s="1089" t="e">
        <f t="shared" si="146"/>
        <v>#DIV/0!</v>
      </c>
      <c r="Y687" s="690" t="s">
        <v>1763</v>
      </c>
      <c r="Z687" s="1111" t="e">
        <f>VLOOKUP(AA687,'place of settlement'!A:C,2,FALSE)</f>
        <v>#N/A</v>
      </c>
      <c r="AA687" s="1111" t="e">
        <f t="shared" si="144"/>
        <v>#N/A</v>
      </c>
      <c r="AB687" s="1111" t="e">
        <f t="shared" si="145"/>
        <v>#N/A</v>
      </c>
      <c r="AC687" s="1111" t="e">
        <f>VLOOKUP(AB687,sample!$1:$1048576,2,FALSE)</f>
        <v>#N/A</v>
      </c>
      <c r="AD687" s="1111" t="e">
        <f>VLOOKUP($AB687,sample!$1:$1048576,3,FALSE)</f>
        <v>#N/A</v>
      </c>
      <c r="AE687" s="1104" t="e">
        <f>VLOOKUP($AB687,sample!$1:$1048576,4,FALSE)</f>
        <v>#N/A</v>
      </c>
      <c r="AF687" s="1111" t="e">
        <f>VLOOKUP($AB687,sample!$1:$1048576,5,FALSE)</f>
        <v>#N/A</v>
      </c>
      <c r="AN687" s="1104" t="e">
        <f>VLOOKUP($AB687,sample!$1:$1048576,13,FALSE)</f>
        <v>#N/A</v>
      </c>
      <c r="AP687" s="1111"/>
    </row>
    <row r="688" spans="4:42">
      <c r="D688" s="1127" t="str">
        <f>IFERROR(VLOOKUP(G688,PosAggregate!$B$13:$B$93,1,FALSE),"")</f>
        <v/>
      </c>
      <c r="E688" s="1139" t="e">
        <f>_xll.BDP(G688  &amp; " Equity", "ID_ISIN", "Fill", "")</f>
        <v>#N/A</v>
      </c>
      <c r="F688" s="1132" t="str">
        <f t="shared" si="142"/>
        <v>YES</v>
      </c>
      <c r="I688" s="1133" t="e">
        <f>_xll.BDP(E688 &amp; " Equity","SECURITY_NAME")</f>
        <v>#N/A</v>
      </c>
      <c r="J688" s="1133" t="e">
        <f>_xll.BDP(G688 &amp; " Equity","Crncy")</f>
        <v>#N/A</v>
      </c>
      <c r="N688" s="1135">
        <f t="shared" si="143"/>
        <v>0</v>
      </c>
      <c r="R688" s="1100">
        <f t="shared" si="147"/>
        <v>0</v>
      </c>
      <c r="T688" s="1121" t="e">
        <f t="shared" si="141"/>
        <v>#DIV/0!</v>
      </c>
      <c r="X688" s="1089" t="e">
        <f t="shared" si="146"/>
        <v>#DIV/0!</v>
      </c>
      <c r="Y688" s="690" t="s">
        <v>1763</v>
      </c>
      <c r="Z688" s="1111" t="e">
        <f>VLOOKUP(AA688,'place of settlement'!A:C,2,FALSE)</f>
        <v>#N/A</v>
      </c>
      <c r="AA688" s="1111" t="e">
        <f t="shared" si="144"/>
        <v>#N/A</v>
      </c>
      <c r="AB688" s="1111" t="e">
        <f t="shared" si="145"/>
        <v>#N/A</v>
      </c>
      <c r="AC688" s="1111" t="e">
        <f>VLOOKUP(AB688,sample!$1:$1048576,2,FALSE)</f>
        <v>#N/A</v>
      </c>
      <c r="AD688" s="1111" t="e">
        <f>VLOOKUP($AB688,sample!$1:$1048576,3,FALSE)</f>
        <v>#N/A</v>
      </c>
      <c r="AE688" s="1104" t="e">
        <f>VLOOKUP($AB688,sample!$1:$1048576,4,FALSE)</f>
        <v>#N/A</v>
      </c>
      <c r="AF688" s="1111" t="e">
        <f>VLOOKUP($AB688,sample!$1:$1048576,5,FALSE)</f>
        <v>#N/A</v>
      </c>
      <c r="AN688" s="1104" t="e">
        <f>VLOOKUP($AB688,sample!$1:$1048576,13,FALSE)</f>
        <v>#N/A</v>
      </c>
      <c r="AP688" s="1111"/>
    </row>
    <row r="689" spans="4:42">
      <c r="D689" s="1127" t="str">
        <f>IFERROR(VLOOKUP(G689,PosAggregate!$B$13:$B$93,1,FALSE),"")</f>
        <v/>
      </c>
      <c r="E689" s="1139" t="e">
        <f>_xll.BDP(G689  &amp; " Equity", "ID_ISIN", "Fill", "")</f>
        <v>#N/A</v>
      </c>
      <c r="F689" s="1132" t="str">
        <f t="shared" si="142"/>
        <v>YES</v>
      </c>
      <c r="I689" s="1133" t="e">
        <f>_xll.BDP(E689 &amp; " Equity","SECURITY_NAME")</f>
        <v>#N/A</v>
      </c>
      <c r="J689" s="1133" t="e">
        <f>_xll.BDP(G689 &amp; " Equity","Crncy")</f>
        <v>#N/A</v>
      </c>
      <c r="N689" s="1135">
        <f t="shared" si="143"/>
        <v>0</v>
      </c>
      <c r="R689" s="1100">
        <f t="shared" si="147"/>
        <v>0</v>
      </c>
      <c r="T689" s="1121" t="e">
        <f t="shared" si="141"/>
        <v>#DIV/0!</v>
      </c>
      <c r="X689" s="1089" t="e">
        <f t="shared" si="146"/>
        <v>#DIV/0!</v>
      </c>
      <c r="Y689" s="690" t="s">
        <v>1763</v>
      </c>
      <c r="Z689" s="1111" t="e">
        <f>VLOOKUP(AA689,'place of settlement'!A:C,2,FALSE)</f>
        <v>#N/A</v>
      </c>
      <c r="AA689" s="1111" t="e">
        <f t="shared" si="144"/>
        <v>#N/A</v>
      </c>
      <c r="AB689" s="1111" t="e">
        <f t="shared" si="145"/>
        <v>#N/A</v>
      </c>
      <c r="AC689" s="1111" t="e">
        <f>VLOOKUP(AB689,sample!$1:$1048576,2,FALSE)</f>
        <v>#N/A</v>
      </c>
      <c r="AD689" s="1111" t="e">
        <f>VLOOKUP($AB689,sample!$1:$1048576,3,FALSE)</f>
        <v>#N/A</v>
      </c>
      <c r="AE689" s="1104" t="e">
        <f>VLOOKUP($AB689,sample!$1:$1048576,4,FALSE)</f>
        <v>#N/A</v>
      </c>
      <c r="AF689" s="1111" t="e">
        <f>VLOOKUP($AB689,sample!$1:$1048576,5,FALSE)</f>
        <v>#N/A</v>
      </c>
      <c r="AN689" s="1104" t="e">
        <f>VLOOKUP($AB689,sample!$1:$1048576,13,FALSE)</f>
        <v>#N/A</v>
      </c>
      <c r="AP689" s="1111"/>
    </row>
    <row r="690" spans="4:42">
      <c r="D690" s="1127" t="str">
        <f>IFERROR(VLOOKUP(G690,PosAggregate!$B$13:$B$93,1,FALSE),"")</f>
        <v/>
      </c>
      <c r="E690" s="1139" t="e">
        <f>_xll.BDP(G690  &amp; " Equity", "ID_ISIN", "Fill", "")</f>
        <v>#N/A</v>
      </c>
      <c r="F690" s="1132" t="str">
        <f t="shared" si="142"/>
        <v>YES</v>
      </c>
      <c r="I690" s="1133" t="e">
        <f>_xll.BDP(E690 &amp; " Equity","SECURITY_NAME")</f>
        <v>#N/A</v>
      </c>
      <c r="J690" s="1133" t="e">
        <f>_xll.BDP(G690 &amp; " Equity","Crncy")</f>
        <v>#N/A</v>
      </c>
      <c r="N690" s="1135">
        <f t="shared" si="143"/>
        <v>0</v>
      </c>
      <c r="R690" s="1100">
        <f t="shared" si="147"/>
        <v>0</v>
      </c>
      <c r="T690" s="1121" t="e">
        <f t="shared" si="141"/>
        <v>#DIV/0!</v>
      </c>
      <c r="X690" s="1089" t="e">
        <f t="shared" si="146"/>
        <v>#DIV/0!</v>
      </c>
      <c r="Y690" s="690" t="s">
        <v>1763</v>
      </c>
      <c r="Z690" s="1111" t="e">
        <f>VLOOKUP(AA690,'place of settlement'!A:C,2,FALSE)</f>
        <v>#N/A</v>
      </c>
      <c r="AA690" s="1111" t="e">
        <f t="shared" si="144"/>
        <v>#N/A</v>
      </c>
      <c r="AB690" s="1111" t="e">
        <f t="shared" si="145"/>
        <v>#N/A</v>
      </c>
      <c r="AC690" s="1111" t="e">
        <f>VLOOKUP(AB690,sample!$1:$1048576,2,FALSE)</f>
        <v>#N/A</v>
      </c>
      <c r="AD690" s="1111" t="e">
        <f>VLOOKUP($AB690,sample!$1:$1048576,3,FALSE)</f>
        <v>#N/A</v>
      </c>
      <c r="AE690" s="1104" t="e">
        <f>VLOOKUP($AB690,sample!$1:$1048576,4,FALSE)</f>
        <v>#N/A</v>
      </c>
      <c r="AF690" s="1111" t="e">
        <f>VLOOKUP($AB690,sample!$1:$1048576,5,FALSE)</f>
        <v>#N/A</v>
      </c>
      <c r="AN690" s="1104" t="e">
        <f>VLOOKUP($AB690,sample!$1:$1048576,13,FALSE)</f>
        <v>#N/A</v>
      </c>
      <c r="AP690" s="1111"/>
    </row>
    <row r="691" spans="4:42">
      <c r="D691" s="1127" t="str">
        <f>IFERROR(VLOOKUP(G691,PosAggregate!$B$13:$B$93,1,FALSE),"")</f>
        <v/>
      </c>
      <c r="E691" s="1139" t="e">
        <f>_xll.BDP(G691  &amp; " Equity", "ID_ISIN", "Fill", "")</f>
        <v>#N/A</v>
      </c>
      <c r="F691" s="1132" t="str">
        <f t="shared" si="142"/>
        <v>YES</v>
      </c>
      <c r="I691" s="1133" t="e">
        <f>_xll.BDP(E691 &amp; " Equity","SECURITY_NAME")</f>
        <v>#N/A</v>
      </c>
      <c r="J691" s="1133" t="e">
        <f>_xll.BDP(G691 &amp; " Equity","Crncy")</f>
        <v>#N/A</v>
      </c>
      <c r="N691" s="1135">
        <f t="shared" si="143"/>
        <v>0</v>
      </c>
      <c r="R691" s="1100">
        <f t="shared" si="147"/>
        <v>0</v>
      </c>
      <c r="T691" s="1121" t="e">
        <f t="shared" si="141"/>
        <v>#DIV/0!</v>
      </c>
      <c r="X691" s="1089" t="e">
        <f t="shared" si="146"/>
        <v>#DIV/0!</v>
      </c>
      <c r="Y691" s="690" t="s">
        <v>1763</v>
      </c>
      <c r="Z691" s="1111" t="e">
        <f>VLOOKUP(AA691,'place of settlement'!A:C,2,FALSE)</f>
        <v>#N/A</v>
      </c>
      <c r="AA691" s="1111" t="e">
        <f t="shared" si="144"/>
        <v>#N/A</v>
      </c>
      <c r="AB691" s="1111" t="e">
        <f t="shared" si="145"/>
        <v>#N/A</v>
      </c>
      <c r="AC691" s="1111" t="e">
        <f>VLOOKUP(AB691,sample!$1:$1048576,2,FALSE)</f>
        <v>#N/A</v>
      </c>
      <c r="AD691" s="1111" t="e">
        <f>VLOOKUP($AB691,sample!$1:$1048576,3,FALSE)</f>
        <v>#N/A</v>
      </c>
      <c r="AE691" s="1104" t="e">
        <f>VLOOKUP($AB691,sample!$1:$1048576,4,FALSE)</f>
        <v>#N/A</v>
      </c>
      <c r="AF691" s="1111" t="e">
        <f>VLOOKUP($AB691,sample!$1:$1048576,5,FALSE)</f>
        <v>#N/A</v>
      </c>
      <c r="AN691" s="1104" t="e">
        <f>VLOOKUP($AB691,sample!$1:$1048576,13,FALSE)</f>
        <v>#N/A</v>
      </c>
      <c r="AP691" s="1111"/>
    </row>
    <row r="692" spans="4:42">
      <c r="D692" s="1127" t="str">
        <f>IFERROR(VLOOKUP(G692,PosAggregate!$B$13:$B$93,1,FALSE),"")</f>
        <v/>
      </c>
      <c r="E692" s="1139" t="e">
        <f>_xll.BDP(G692  &amp; " Equity", "ID_ISIN", "Fill", "")</f>
        <v>#N/A</v>
      </c>
      <c r="F692" s="1132" t="str">
        <f t="shared" si="142"/>
        <v>YES</v>
      </c>
      <c r="I692" s="1133" t="e">
        <f>_xll.BDP(E692 &amp; " Equity","SECURITY_NAME")</f>
        <v>#N/A</v>
      </c>
      <c r="J692" s="1133" t="e">
        <f>_xll.BDP(G692 &amp; " Equity","Crncy")</f>
        <v>#N/A</v>
      </c>
      <c r="N692" s="1135">
        <f t="shared" si="143"/>
        <v>0</v>
      </c>
      <c r="R692" s="1100">
        <f t="shared" si="147"/>
        <v>0</v>
      </c>
      <c r="T692" s="1121" t="e">
        <f t="shared" si="141"/>
        <v>#DIV/0!</v>
      </c>
      <c r="X692" s="1089" t="e">
        <f t="shared" si="146"/>
        <v>#DIV/0!</v>
      </c>
      <c r="Y692" s="690" t="s">
        <v>1763</v>
      </c>
      <c r="Z692" s="1111" t="e">
        <f>VLOOKUP(AA692,'place of settlement'!A:C,2,FALSE)</f>
        <v>#N/A</v>
      </c>
      <c r="AA692" s="1111" t="e">
        <f t="shared" si="144"/>
        <v>#N/A</v>
      </c>
      <c r="AB692" s="1111" t="e">
        <f t="shared" si="145"/>
        <v>#N/A</v>
      </c>
      <c r="AC692" s="1111" t="e">
        <f>VLOOKUP(AB692,sample!$1:$1048576,2,FALSE)</f>
        <v>#N/A</v>
      </c>
      <c r="AD692" s="1111" t="e">
        <f>VLOOKUP($AB692,sample!$1:$1048576,3,FALSE)</f>
        <v>#N/A</v>
      </c>
      <c r="AE692" s="1104" t="e">
        <f>VLOOKUP($AB692,sample!$1:$1048576,4,FALSE)</f>
        <v>#N/A</v>
      </c>
      <c r="AF692" s="1111" t="e">
        <f>VLOOKUP($AB692,sample!$1:$1048576,5,FALSE)</f>
        <v>#N/A</v>
      </c>
      <c r="AN692" s="1104" t="e">
        <f>VLOOKUP($AB692,sample!$1:$1048576,13,FALSE)</f>
        <v>#N/A</v>
      </c>
      <c r="AP692" s="1111"/>
    </row>
    <row r="693" spans="4:42">
      <c r="D693" s="1127" t="str">
        <f>IFERROR(VLOOKUP(G693,PosAggregate!$B$13:$B$93,1,FALSE),"")</f>
        <v/>
      </c>
      <c r="E693" s="1139" t="e">
        <f>_xll.BDP(G693  &amp; " Equity", "ID_ISIN", "Fill", "")</f>
        <v>#N/A</v>
      </c>
      <c r="F693" s="1132" t="str">
        <f t="shared" si="142"/>
        <v>YES</v>
      </c>
      <c r="I693" s="1133" t="e">
        <f>_xll.BDP(E693 &amp; " Equity","SECURITY_NAME")</f>
        <v>#N/A</v>
      </c>
      <c r="J693" s="1133" t="e">
        <f>_xll.BDP(G693 &amp; " Equity","Crncy")</f>
        <v>#N/A</v>
      </c>
      <c r="N693" s="1135">
        <f t="shared" si="143"/>
        <v>0</v>
      </c>
      <c r="R693" s="1100">
        <f t="shared" si="147"/>
        <v>0</v>
      </c>
      <c r="T693" s="1121" t="e">
        <f t="shared" si="141"/>
        <v>#DIV/0!</v>
      </c>
      <c r="X693" s="1089" t="e">
        <f t="shared" si="146"/>
        <v>#DIV/0!</v>
      </c>
      <c r="Y693" s="690" t="s">
        <v>1763</v>
      </c>
      <c r="Z693" s="1111" t="e">
        <f>VLOOKUP(AA693,'place of settlement'!A:C,2,FALSE)</f>
        <v>#N/A</v>
      </c>
      <c r="AA693" s="1111" t="e">
        <f t="shared" si="144"/>
        <v>#N/A</v>
      </c>
      <c r="AB693" s="1111" t="e">
        <f t="shared" si="145"/>
        <v>#N/A</v>
      </c>
      <c r="AC693" s="1111" t="e">
        <f>VLOOKUP(AB693,sample!$1:$1048576,2,FALSE)</f>
        <v>#N/A</v>
      </c>
      <c r="AD693" s="1111" t="e">
        <f>VLOOKUP($AB693,sample!$1:$1048576,3,FALSE)</f>
        <v>#N/A</v>
      </c>
      <c r="AE693" s="1104" t="e">
        <f>VLOOKUP($AB693,sample!$1:$1048576,4,FALSE)</f>
        <v>#N/A</v>
      </c>
      <c r="AF693" s="1111" t="e">
        <f>VLOOKUP($AB693,sample!$1:$1048576,5,FALSE)</f>
        <v>#N/A</v>
      </c>
      <c r="AP693" s="1111"/>
    </row>
    <row r="694" spans="4:42">
      <c r="D694" s="1127" t="str">
        <f>IFERROR(VLOOKUP(G694,PosAggregate!$B$13:$B$93,1,FALSE),"")</f>
        <v/>
      </c>
      <c r="E694" s="1139" t="e">
        <f>_xll.BDP(G694  &amp; " Equity", "ID_ISIN", "Fill", "")</f>
        <v>#N/A</v>
      </c>
      <c r="F694" s="1132" t="str">
        <f t="shared" si="142"/>
        <v>YES</v>
      </c>
      <c r="I694" s="1133" t="e">
        <f>_xll.BDP(E694 &amp; " Equity","SECURITY_NAME")</f>
        <v>#N/A</v>
      </c>
      <c r="J694" s="1133" t="e">
        <f>_xll.BDP(G694 &amp; " Equity","Crncy")</f>
        <v>#N/A</v>
      </c>
      <c r="N694" s="1135">
        <f t="shared" si="143"/>
        <v>0</v>
      </c>
      <c r="R694" s="1100">
        <f t="shared" si="147"/>
        <v>0</v>
      </c>
      <c r="T694" s="1121" t="e">
        <f t="shared" si="141"/>
        <v>#DIV/0!</v>
      </c>
      <c r="X694" s="1089" t="e">
        <f t="shared" si="146"/>
        <v>#DIV/0!</v>
      </c>
      <c r="Y694" s="690" t="s">
        <v>1763</v>
      </c>
      <c r="Z694" s="1111" t="e">
        <f>VLOOKUP(AA694,'place of settlement'!A:C,2,FALSE)</f>
        <v>#N/A</v>
      </c>
      <c r="AA694" s="1111" t="e">
        <f t="shared" si="144"/>
        <v>#N/A</v>
      </c>
      <c r="AB694" s="1111" t="e">
        <f t="shared" si="145"/>
        <v>#N/A</v>
      </c>
      <c r="AC694" s="1111" t="e">
        <f>VLOOKUP(AB694,sample!$1:$1048576,2,FALSE)</f>
        <v>#N/A</v>
      </c>
      <c r="AD694" s="1111" t="e">
        <f>VLOOKUP($AB694,sample!$1:$1048576,3,FALSE)</f>
        <v>#N/A</v>
      </c>
      <c r="AE694" s="1104" t="e">
        <f>VLOOKUP($AB694,sample!$1:$1048576,4,FALSE)</f>
        <v>#N/A</v>
      </c>
      <c r="AF694" s="1111" t="e">
        <f>VLOOKUP($AB694,sample!$1:$1048576,5,FALSE)</f>
        <v>#N/A</v>
      </c>
      <c r="AP694" s="1111"/>
    </row>
    <row r="695" spans="4:42">
      <c r="D695" s="1127" t="str">
        <f>IFERROR(VLOOKUP(G695,PosAggregate!$B$13:$B$93,1,FALSE),"")</f>
        <v/>
      </c>
      <c r="E695" s="1139" t="e">
        <f>_xll.BDP(G695  &amp; " Equity", "ID_ISIN", "Fill", "")</f>
        <v>#N/A</v>
      </c>
      <c r="F695" s="1132" t="str">
        <f t="shared" si="142"/>
        <v>YES</v>
      </c>
      <c r="I695" s="1133" t="e">
        <f>_xll.BDP(E695 &amp; " Equity","SECURITY_NAME")</f>
        <v>#N/A</v>
      </c>
      <c r="J695" s="1133" t="e">
        <f>_xll.BDP(G695 &amp; " Equity","Crncy")</f>
        <v>#N/A</v>
      </c>
      <c r="N695" s="1135">
        <f t="shared" si="143"/>
        <v>0</v>
      </c>
      <c r="R695" s="1100">
        <f t="shared" si="147"/>
        <v>0</v>
      </c>
      <c r="T695" s="1121" t="e">
        <f t="shared" si="141"/>
        <v>#DIV/0!</v>
      </c>
      <c r="X695" s="1089" t="e">
        <f t="shared" si="146"/>
        <v>#DIV/0!</v>
      </c>
      <c r="Y695" s="690" t="s">
        <v>1763</v>
      </c>
      <c r="Z695" s="1111" t="e">
        <f>VLOOKUP(AA695,'place of settlement'!A:C,2,FALSE)</f>
        <v>#N/A</v>
      </c>
      <c r="AA695" s="1111" t="e">
        <f t="shared" si="144"/>
        <v>#N/A</v>
      </c>
      <c r="AB695" s="1111" t="e">
        <f t="shared" si="145"/>
        <v>#N/A</v>
      </c>
      <c r="AC695" s="1111" t="e">
        <f>VLOOKUP(AB695,sample!$1:$1048576,2,FALSE)</f>
        <v>#N/A</v>
      </c>
      <c r="AD695" s="1111" t="e">
        <f>VLOOKUP($AB695,sample!$1:$1048576,3,FALSE)</f>
        <v>#N/A</v>
      </c>
      <c r="AE695" s="1104" t="e">
        <f>VLOOKUP($AB695,sample!$1:$1048576,4,FALSE)</f>
        <v>#N/A</v>
      </c>
      <c r="AF695" s="1111" t="e">
        <f>VLOOKUP($AB695,sample!$1:$1048576,5,FALSE)</f>
        <v>#N/A</v>
      </c>
      <c r="AP695" s="1111"/>
    </row>
    <row r="696" spans="4:42">
      <c r="D696" s="1127" t="str">
        <f>IFERROR(VLOOKUP(G696,PosAggregate!$B$13:$B$93,1,FALSE),"")</f>
        <v/>
      </c>
      <c r="E696" s="1139" t="e">
        <f>_xll.BDP(G696  &amp; " Equity", "ID_ISIN", "Fill", "")</f>
        <v>#N/A</v>
      </c>
      <c r="F696" s="1132" t="str">
        <f t="shared" si="142"/>
        <v>YES</v>
      </c>
      <c r="I696" s="1133" t="e">
        <f>_xll.BDP(E696 &amp; " Equity","SECURITY_NAME")</f>
        <v>#N/A</v>
      </c>
      <c r="J696" s="1133" t="e">
        <f>_xll.BDP(G696 &amp; " Equity","Crncy")</f>
        <v>#N/A</v>
      </c>
      <c r="N696" s="1135">
        <f t="shared" si="143"/>
        <v>0</v>
      </c>
      <c r="R696" s="1100">
        <f t="shared" si="147"/>
        <v>0</v>
      </c>
      <c r="T696" s="1121" t="e">
        <f t="shared" si="141"/>
        <v>#DIV/0!</v>
      </c>
      <c r="X696" s="1089" t="e">
        <f t="shared" si="146"/>
        <v>#DIV/0!</v>
      </c>
      <c r="Y696" s="690" t="s">
        <v>1763</v>
      </c>
      <c r="Z696" s="1111" t="e">
        <f>VLOOKUP(AA696,'place of settlement'!A:C,2,FALSE)</f>
        <v>#N/A</v>
      </c>
      <c r="AA696" s="1111" t="e">
        <f t="shared" si="144"/>
        <v>#N/A</v>
      </c>
      <c r="AB696" s="1111" t="e">
        <f t="shared" si="145"/>
        <v>#N/A</v>
      </c>
      <c r="AC696" s="1111" t="e">
        <f>VLOOKUP(AB696,sample!$1:$1048576,2,FALSE)</f>
        <v>#N/A</v>
      </c>
      <c r="AD696" s="1111" t="e">
        <f>VLOOKUP($AB696,sample!$1:$1048576,3,FALSE)</f>
        <v>#N/A</v>
      </c>
      <c r="AE696" s="1104" t="e">
        <f>VLOOKUP($AB696,sample!$1:$1048576,4,FALSE)</f>
        <v>#N/A</v>
      </c>
      <c r="AF696" s="1111" t="e">
        <f>VLOOKUP($AB696,sample!$1:$1048576,5,FALSE)</f>
        <v>#N/A</v>
      </c>
      <c r="AP696" s="1111"/>
    </row>
    <row r="697" spans="4:42">
      <c r="D697" s="1127" t="str">
        <f>IFERROR(VLOOKUP(G697,PosAggregate!$B$13:$B$93,1,FALSE),"")</f>
        <v/>
      </c>
      <c r="E697" s="1139" t="e">
        <f>_xll.BDP(G697  &amp; " Equity", "ID_ISIN", "Fill", "")</f>
        <v>#N/A</v>
      </c>
      <c r="F697" s="1132" t="str">
        <f t="shared" si="142"/>
        <v>YES</v>
      </c>
      <c r="I697" s="1133" t="e">
        <f>_xll.BDP(E697 &amp; " Equity","SECURITY_NAME")</f>
        <v>#N/A</v>
      </c>
      <c r="J697" s="1133" t="e">
        <f>_xll.BDP(G697 &amp; " Equity","Crncy")</f>
        <v>#N/A</v>
      </c>
      <c r="N697" s="1135">
        <f t="shared" si="143"/>
        <v>0</v>
      </c>
      <c r="R697" s="1100">
        <f t="shared" si="147"/>
        <v>0</v>
      </c>
      <c r="T697" s="1121" t="e">
        <f t="shared" si="141"/>
        <v>#DIV/0!</v>
      </c>
      <c r="X697" s="1089" t="e">
        <f t="shared" si="146"/>
        <v>#DIV/0!</v>
      </c>
      <c r="Y697" s="690" t="s">
        <v>1763</v>
      </c>
      <c r="Z697" s="1111" t="e">
        <f>VLOOKUP(AA697,'place of settlement'!A:C,2,FALSE)</f>
        <v>#N/A</v>
      </c>
      <c r="AA697" s="1111" t="e">
        <f t="shared" si="144"/>
        <v>#N/A</v>
      </c>
      <c r="AB697" s="1111" t="e">
        <f t="shared" si="145"/>
        <v>#N/A</v>
      </c>
      <c r="AC697" s="1111" t="e">
        <f>VLOOKUP(AB697,sample!$1:$1048576,2,FALSE)</f>
        <v>#N/A</v>
      </c>
      <c r="AD697" s="1111" t="e">
        <f>VLOOKUP($AB697,sample!$1:$1048576,3,FALSE)</f>
        <v>#N/A</v>
      </c>
      <c r="AE697" s="1104" t="e">
        <f>VLOOKUP($AB697,sample!$1:$1048576,4,FALSE)</f>
        <v>#N/A</v>
      </c>
      <c r="AF697" s="1111" t="e">
        <f>VLOOKUP($AB697,sample!$1:$1048576,5,FALSE)</f>
        <v>#N/A</v>
      </c>
      <c r="AP697" s="1111"/>
    </row>
    <row r="698" spans="4:42">
      <c r="D698" s="1127" t="str">
        <f>IFERROR(VLOOKUP(G698,PosAggregate!$B$13:$B$93,1,FALSE),"")</f>
        <v/>
      </c>
      <c r="E698" s="1139" t="e">
        <f>_xll.BDP(G698  &amp; " Equity", "ID_ISIN", "Fill", "")</f>
        <v>#N/A</v>
      </c>
      <c r="F698" s="1132" t="str">
        <f t="shared" si="142"/>
        <v>YES</v>
      </c>
      <c r="I698" s="1133" t="e">
        <f>_xll.BDP(E698 &amp; " Equity","SECURITY_NAME")</f>
        <v>#N/A</v>
      </c>
      <c r="J698" s="1133" t="e">
        <f>_xll.BDP(G698 &amp; " Equity","Crncy")</f>
        <v>#N/A</v>
      </c>
      <c r="N698" s="1135">
        <f t="shared" si="143"/>
        <v>0</v>
      </c>
      <c r="R698" s="1100">
        <f t="shared" si="147"/>
        <v>0</v>
      </c>
      <c r="T698" s="1121" t="e">
        <f t="shared" si="141"/>
        <v>#DIV/0!</v>
      </c>
      <c r="X698" s="1089" t="e">
        <f t="shared" si="146"/>
        <v>#DIV/0!</v>
      </c>
      <c r="Y698" s="690" t="s">
        <v>1763</v>
      </c>
      <c r="Z698" s="1111" t="e">
        <f>VLOOKUP(AA698,'place of settlement'!A:C,2,FALSE)</f>
        <v>#N/A</v>
      </c>
      <c r="AA698" s="1111" t="e">
        <f t="shared" si="144"/>
        <v>#N/A</v>
      </c>
      <c r="AB698" s="1111" t="e">
        <f t="shared" si="145"/>
        <v>#N/A</v>
      </c>
      <c r="AC698" s="1111" t="e">
        <f>VLOOKUP(AB698,sample!$1:$1048576,2,FALSE)</f>
        <v>#N/A</v>
      </c>
      <c r="AD698" s="1111" t="e">
        <f>VLOOKUP($AB698,sample!$1:$1048576,3,FALSE)</f>
        <v>#N/A</v>
      </c>
      <c r="AE698" s="1104" t="e">
        <f>VLOOKUP($AB698,sample!$1:$1048576,4,FALSE)</f>
        <v>#N/A</v>
      </c>
      <c r="AF698" s="1111" t="e">
        <f>VLOOKUP($AB698,sample!$1:$1048576,5,FALSE)</f>
        <v>#N/A</v>
      </c>
      <c r="AP698" s="1111"/>
    </row>
    <row r="699" spans="4:42">
      <c r="D699" s="1127" t="str">
        <f>IFERROR(VLOOKUP(G699,PosAggregate!$B$13:$B$93,1,FALSE),"")</f>
        <v/>
      </c>
      <c r="E699" s="1139" t="e">
        <f>_xll.BDP(G699  &amp; " Equity", "ID_ISIN", "Fill", "")</f>
        <v>#N/A</v>
      </c>
      <c r="F699" s="1132" t="str">
        <f t="shared" si="142"/>
        <v>YES</v>
      </c>
      <c r="I699" s="1133" t="e">
        <f>_xll.BDP(E699 &amp; " Equity","SECURITY_NAME")</f>
        <v>#N/A</v>
      </c>
      <c r="J699" s="1133" t="e">
        <f>_xll.BDP(G699 &amp; " Equity","Crncy")</f>
        <v>#N/A</v>
      </c>
      <c r="N699" s="1135">
        <f t="shared" si="143"/>
        <v>0</v>
      </c>
      <c r="R699" s="1100">
        <f t="shared" si="147"/>
        <v>0</v>
      </c>
      <c r="T699" s="1121" t="e">
        <f t="shared" si="141"/>
        <v>#DIV/0!</v>
      </c>
      <c r="X699" s="1089" t="e">
        <f t="shared" si="146"/>
        <v>#DIV/0!</v>
      </c>
      <c r="Y699" s="690" t="s">
        <v>1763</v>
      </c>
      <c r="Z699" s="1111" t="e">
        <f>VLOOKUP(AA699,'place of settlement'!A:C,2,FALSE)</f>
        <v>#N/A</v>
      </c>
      <c r="AA699" s="1111" t="e">
        <f t="shared" si="144"/>
        <v>#N/A</v>
      </c>
      <c r="AB699" s="1111" t="e">
        <f t="shared" si="145"/>
        <v>#N/A</v>
      </c>
      <c r="AC699" s="1111" t="e">
        <f>VLOOKUP(AB699,sample!$1:$1048576,2,FALSE)</f>
        <v>#N/A</v>
      </c>
      <c r="AD699" s="1111" t="e">
        <f>VLOOKUP($AB699,sample!$1:$1048576,3,FALSE)</f>
        <v>#N/A</v>
      </c>
      <c r="AE699" s="1104" t="e">
        <f>VLOOKUP($AB699,sample!$1:$1048576,4,FALSE)</f>
        <v>#N/A</v>
      </c>
      <c r="AF699" s="1111" t="e">
        <f>VLOOKUP($AB699,sample!$1:$1048576,5,FALSE)</f>
        <v>#N/A</v>
      </c>
      <c r="AP699" s="1111"/>
    </row>
    <row r="700" spans="4:42">
      <c r="D700" s="1127" t="str">
        <f>IFERROR(VLOOKUP(G700,PosAggregate!$B$13:$B$93,1,FALSE),"")</f>
        <v/>
      </c>
      <c r="E700" s="1139" t="e">
        <f>_xll.BDP(G700  &amp; " Equity", "ID_ISIN", "Fill", "")</f>
        <v>#N/A</v>
      </c>
      <c r="F700" s="1132" t="str">
        <f t="shared" si="142"/>
        <v>YES</v>
      </c>
      <c r="I700" s="1133" t="e">
        <f>_xll.BDP(E700 &amp; " Equity","SECURITY_NAME")</f>
        <v>#N/A</v>
      </c>
      <c r="J700" s="1133" t="e">
        <f>_xll.BDP(G700 &amp; " Equity","Crncy")</f>
        <v>#N/A</v>
      </c>
      <c r="N700" s="1135">
        <f t="shared" si="143"/>
        <v>0</v>
      </c>
      <c r="R700" s="1100">
        <f t="shared" si="147"/>
        <v>0</v>
      </c>
      <c r="T700" s="1121" t="e">
        <f t="shared" ref="T700:T716" si="148">+R700/S700</f>
        <v>#DIV/0!</v>
      </c>
      <c r="X700" s="1089" t="e">
        <f t="shared" si="146"/>
        <v>#DIV/0!</v>
      </c>
      <c r="Y700" s="690" t="s">
        <v>1763</v>
      </c>
      <c r="Z700" s="1111" t="e">
        <f>VLOOKUP(AA700,'place of settlement'!A:C,2,FALSE)</f>
        <v>#N/A</v>
      </c>
      <c r="AA700" s="1111" t="e">
        <f t="shared" si="144"/>
        <v>#N/A</v>
      </c>
      <c r="AB700" s="1111" t="e">
        <f t="shared" si="145"/>
        <v>#N/A</v>
      </c>
      <c r="AC700" s="1111" t="e">
        <f>VLOOKUP(AB700,sample!$1:$1048576,2,FALSE)</f>
        <v>#N/A</v>
      </c>
      <c r="AD700" s="1111" t="e">
        <f>VLOOKUP($AB700,sample!$1:$1048576,3,FALSE)</f>
        <v>#N/A</v>
      </c>
      <c r="AE700" s="1104" t="e">
        <f>VLOOKUP($AB700,sample!$1:$1048576,4,FALSE)</f>
        <v>#N/A</v>
      </c>
      <c r="AF700" s="1111" t="e">
        <f>VLOOKUP($AB700,sample!$1:$1048576,5,FALSE)</f>
        <v>#N/A</v>
      </c>
      <c r="AP700" s="1111"/>
    </row>
    <row r="701" spans="4:42">
      <c r="D701" s="1127" t="str">
        <f>IFERROR(VLOOKUP(G701,PosAggregate!$B$13:$B$93,1,FALSE),"")</f>
        <v/>
      </c>
      <c r="E701" s="1139" t="e">
        <f>_xll.BDP(G701  &amp; " Equity", "ID_ISIN", "Fill", "")</f>
        <v>#N/A</v>
      </c>
      <c r="F701" s="1132" t="str">
        <f t="shared" si="142"/>
        <v>YES</v>
      </c>
      <c r="I701" s="1133" t="e">
        <f>_xll.BDP(E701 &amp; " Equity","SECURITY_NAME")</f>
        <v>#N/A</v>
      </c>
      <c r="J701" s="1133" t="e">
        <f>_xll.BDP(G701 &amp; " Equity","Crncy")</f>
        <v>#N/A</v>
      </c>
      <c r="N701" s="1135">
        <f t="shared" si="143"/>
        <v>0</v>
      </c>
      <c r="R701" s="1100">
        <f t="shared" si="147"/>
        <v>0</v>
      </c>
      <c r="T701" s="1121" t="e">
        <f t="shared" si="148"/>
        <v>#DIV/0!</v>
      </c>
      <c r="X701" s="1089" t="e">
        <f t="shared" si="146"/>
        <v>#DIV/0!</v>
      </c>
      <c r="Y701" s="690" t="s">
        <v>1763</v>
      </c>
      <c r="Z701" s="1111" t="e">
        <f>VLOOKUP(AA701,'place of settlement'!A:C,2,FALSE)</f>
        <v>#N/A</v>
      </c>
      <c r="AA701" s="1111" t="e">
        <f t="shared" si="144"/>
        <v>#N/A</v>
      </c>
      <c r="AB701" s="1111" t="e">
        <f t="shared" si="145"/>
        <v>#N/A</v>
      </c>
      <c r="AC701" s="1111" t="e">
        <f>VLOOKUP(AB701,sample!$1:$1048576,2,FALSE)</f>
        <v>#N/A</v>
      </c>
      <c r="AD701" s="1111" t="e">
        <f>VLOOKUP($AB701,sample!$1:$1048576,3,FALSE)</f>
        <v>#N/A</v>
      </c>
      <c r="AE701" s="1104" t="e">
        <f>VLOOKUP($AB701,sample!$1:$1048576,4,FALSE)</f>
        <v>#N/A</v>
      </c>
      <c r="AF701" s="1111" t="e">
        <f>VLOOKUP($AB701,sample!$1:$1048576,5,FALSE)</f>
        <v>#N/A</v>
      </c>
      <c r="AP701" s="1111"/>
    </row>
    <row r="702" spans="4:42">
      <c r="D702" s="1127" t="str">
        <f>IFERROR(VLOOKUP(G702,PosAggregate!$B$13:$B$93,1,FALSE),"")</f>
        <v/>
      </c>
      <c r="E702" s="1139" t="e">
        <f>_xll.BDP(G702  &amp; " Equity", "ID_ISIN", "Fill", "")</f>
        <v>#N/A</v>
      </c>
      <c r="F702" s="1132" t="str">
        <f t="shared" si="142"/>
        <v>YES</v>
      </c>
      <c r="I702" s="1133" t="e">
        <f>_xll.BDP(E702 &amp; " Equity","SECURITY_NAME")</f>
        <v>#N/A</v>
      </c>
      <c r="J702" s="1133" t="e">
        <f>_xll.BDP(G702 &amp; " Equity","Crncy")</f>
        <v>#N/A</v>
      </c>
      <c r="N702" s="1135">
        <f t="shared" si="143"/>
        <v>0</v>
      </c>
      <c r="R702" s="1100">
        <f t="shared" si="147"/>
        <v>0</v>
      </c>
      <c r="T702" s="1121" t="e">
        <f t="shared" si="148"/>
        <v>#DIV/0!</v>
      </c>
      <c r="X702" s="1089" t="e">
        <f t="shared" si="146"/>
        <v>#DIV/0!</v>
      </c>
      <c r="Y702" s="690" t="s">
        <v>1763</v>
      </c>
      <c r="Z702" s="1111" t="e">
        <f>VLOOKUP(AA702,'place of settlement'!A:C,2,FALSE)</f>
        <v>#N/A</v>
      </c>
      <c r="AA702" s="1111" t="e">
        <f t="shared" si="144"/>
        <v>#N/A</v>
      </c>
      <c r="AB702" s="1111" t="e">
        <f t="shared" si="145"/>
        <v>#N/A</v>
      </c>
      <c r="AC702" s="1111" t="e">
        <f>VLOOKUP(AB702,sample!$1:$1048576,2,FALSE)</f>
        <v>#N/A</v>
      </c>
      <c r="AD702" s="1111" t="e">
        <f>VLOOKUP($AB702,sample!$1:$1048576,3,FALSE)</f>
        <v>#N/A</v>
      </c>
      <c r="AE702" s="1104" t="e">
        <f>VLOOKUP($AB702,sample!$1:$1048576,4,FALSE)</f>
        <v>#N/A</v>
      </c>
      <c r="AF702" s="1111" t="e">
        <f>VLOOKUP($AB702,sample!$1:$1048576,5,FALSE)</f>
        <v>#N/A</v>
      </c>
      <c r="AP702" s="1111"/>
    </row>
    <row r="703" spans="4:42">
      <c r="D703" s="1127" t="str">
        <f>IFERROR(VLOOKUP(G703,PosAggregate!$B$13:$B$93,1,FALSE),"")</f>
        <v/>
      </c>
      <c r="E703" s="1139" t="e">
        <f>_xll.BDP(G703  &amp; " Equity", "ID_ISIN", "Fill", "")</f>
        <v>#N/A</v>
      </c>
      <c r="F703" s="1132" t="str">
        <f t="shared" si="142"/>
        <v>YES</v>
      </c>
      <c r="I703" s="1133" t="e">
        <f>_xll.BDP(E703 &amp; " Equity","SECURITY_NAME")</f>
        <v>#N/A</v>
      </c>
      <c r="J703" s="1133" t="e">
        <f>_xll.BDP(G703 &amp; " Equity","Crncy")</f>
        <v>#N/A</v>
      </c>
      <c r="N703" s="1135">
        <f t="shared" si="143"/>
        <v>0</v>
      </c>
      <c r="R703" s="1100">
        <f t="shared" si="147"/>
        <v>0</v>
      </c>
      <c r="T703" s="1121" t="e">
        <f t="shared" si="148"/>
        <v>#DIV/0!</v>
      </c>
      <c r="X703" s="1089" t="e">
        <f t="shared" si="146"/>
        <v>#DIV/0!</v>
      </c>
      <c r="Y703" s="690" t="s">
        <v>1763</v>
      </c>
      <c r="Z703" s="1111" t="e">
        <f>VLOOKUP(AA703,'place of settlement'!A:C,2,FALSE)</f>
        <v>#N/A</v>
      </c>
      <c r="AA703" s="1111" t="e">
        <f t="shared" si="144"/>
        <v>#N/A</v>
      </c>
      <c r="AB703" s="1111" t="e">
        <f t="shared" si="145"/>
        <v>#N/A</v>
      </c>
      <c r="AC703" s="1111" t="e">
        <f>VLOOKUP(AB703,sample!$1:$1048576,2,FALSE)</f>
        <v>#N/A</v>
      </c>
      <c r="AD703" s="1111" t="e">
        <f>VLOOKUP($AB703,sample!$1:$1048576,3,FALSE)</f>
        <v>#N/A</v>
      </c>
      <c r="AE703" s="1104" t="e">
        <f>VLOOKUP($AB703,sample!$1:$1048576,4,FALSE)</f>
        <v>#N/A</v>
      </c>
      <c r="AF703" s="1111" t="e">
        <f>VLOOKUP($AB703,sample!$1:$1048576,5,FALSE)</f>
        <v>#N/A</v>
      </c>
      <c r="AP703" s="1111"/>
    </row>
    <row r="704" spans="4:42">
      <c r="D704" s="1127" t="str">
        <f>IFERROR(VLOOKUP(G704,PosAggregate!$B$13:$B$93,1,FALSE),"")</f>
        <v/>
      </c>
      <c r="E704" s="1139" t="e">
        <f>_xll.BDP(G704  &amp; " Equity", "ID_ISIN", "Fill", "")</f>
        <v>#N/A</v>
      </c>
      <c r="F704" s="1132" t="str">
        <f t="shared" si="142"/>
        <v>YES</v>
      </c>
      <c r="I704" s="1133" t="e">
        <f>_xll.BDP(E704 &amp; " Equity","SECURITY_NAME")</f>
        <v>#N/A</v>
      </c>
      <c r="J704" s="1133" t="e">
        <f>_xll.BDP(G704 &amp; " Equity","Crncy")</f>
        <v>#N/A</v>
      </c>
      <c r="N704" s="1135">
        <f t="shared" si="143"/>
        <v>0</v>
      </c>
      <c r="R704" s="1100">
        <f t="shared" si="147"/>
        <v>0</v>
      </c>
      <c r="T704" s="1121" t="e">
        <f t="shared" si="148"/>
        <v>#DIV/0!</v>
      </c>
      <c r="X704" s="1089" t="e">
        <f t="shared" si="146"/>
        <v>#DIV/0!</v>
      </c>
      <c r="Y704" s="690" t="s">
        <v>1763</v>
      </c>
      <c r="Z704" s="1111" t="e">
        <f>VLOOKUP(AA704,'place of settlement'!A:C,2,FALSE)</f>
        <v>#N/A</v>
      </c>
      <c r="AA704" s="1111" t="e">
        <f t="shared" si="144"/>
        <v>#N/A</v>
      </c>
      <c r="AB704" s="1111" t="e">
        <f t="shared" si="145"/>
        <v>#N/A</v>
      </c>
      <c r="AC704" s="1111" t="e">
        <f>VLOOKUP(AB704,sample!$1:$1048576,2,FALSE)</f>
        <v>#N/A</v>
      </c>
      <c r="AD704" s="1111" t="e">
        <f>VLOOKUP($AB704,sample!$1:$1048576,3,FALSE)</f>
        <v>#N/A</v>
      </c>
      <c r="AE704" s="1104" t="e">
        <f>VLOOKUP($AB704,sample!$1:$1048576,4,FALSE)</f>
        <v>#N/A</v>
      </c>
      <c r="AF704" s="1111" t="e">
        <f>VLOOKUP($AB704,sample!$1:$1048576,5,FALSE)</f>
        <v>#N/A</v>
      </c>
      <c r="AP704" s="1111"/>
    </row>
    <row r="705" spans="4:42">
      <c r="D705" s="1127" t="str">
        <f>IFERROR(VLOOKUP(G705,PosAggregate!$B$13:$B$93,1,FALSE),"")</f>
        <v/>
      </c>
      <c r="E705" s="1139" t="e">
        <f>_xll.BDP(G705  &amp; " Equity", "ID_ISIN", "Fill", "")</f>
        <v>#N/A</v>
      </c>
      <c r="F705" s="1132" t="str">
        <f t="shared" si="142"/>
        <v>YES</v>
      </c>
      <c r="I705" s="1133" t="e">
        <f>_xll.BDP(E705 &amp; " Equity","SECURITY_NAME")</f>
        <v>#N/A</v>
      </c>
      <c r="J705" s="1133" t="e">
        <f>_xll.BDP(G705 &amp; " Equity","Crncy")</f>
        <v>#N/A</v>
      </c>
      <c r="N705" s="1135">
        <f t="shared" si="143"/>
        <v>0</v>
      </c>
      <c r="R705" s="1100">
        <f t="shared" si="147"/>
        <v>0</v>
      </c>
      <c r="T705" s="1121" t="e">
        <f t="shared" si="148"/>
        <v>#DIV/0!</v>
      </c>
      <c r="X705" s="1089" t="e">
        <f t="shared" si="146"/>
        <v>#DIV/0!</v>
      </c>
      <c r="Y705" s="690" t="s">
        <v>1763</v>
      </c>
      <c r="Z705" s="1111" t="e">
        <f>VLOOKUP(AA705,'place of settlement'!A:C,2,FALSE)</f>
        <v>#N/A</v>
      </c>
      <c r="AA705" s="1111" t="e">
        <f t="shared" si="144"/>
        <v>#N/A</v>
      </c>
      <c r="AB705" s="1111" t="e">
        <f t="shared" si="145"/>
        <v>#N/A</v>
      </c>
      <c r="AC705" s="1111" t="e">
        <f>VLOOKUP(AB705,sample!$1:$1048576,2,FALSE)</f>
        <v>#N/A</v>
      </c>
      <c r="AD705" s="1111" t="e">
        <f>VLOOKUP($AB705,sample!$1:$1048576,3,FALSE)</f>
        <v>#N/A</v>
      </c>
      <c r="AE705" s="1104" t="e">
        <f>VLOOKUP($AB705,sample!$1:$1048576,4,FALSE)</f>
        <v>#N/A</v>
      </c>
      <c r="AF705" s="1111" t="e">
        <f>VLOOKUP($AB705,sample!$1:$1048576,5,FALSE)</f>
        <v>#N/A</v>
      </c>
      <c r="AP705" s="1111"/>
    </row>
    <row r="706" spans="4:42">
      <c r="D706" s="1127" t="str">
        <f>IFERROR(VLOOKUP(G706,PosAggregate!$B$13:$B$93,1,FALSE),"")</f>
        <v/>
      </c>
      <c r="E706" s="1139" t="e">
        <f>_xll.BDP(G706  &amp; " Equity", "ID_ISIN", "Fill", "")</f>
        <v>#N/A</v>
      </c>
      <c r="F706" s="1132" t="str">
        <f t="shared" si="142"/>
        <v>YES</v>
      </c>
      <c r="I706" s="1133" t="e">
        <f>_xll.BDP(E706 &amp; " Equity","SECURITY_NAME")</f>
        <v>#N/A</v>
      </c>
      <c r="J706" s="1133" t="e">
        <f>_xll.BDP(G706 &amp; " Equity","Crncy")</f>
        <v>#N/A</v>
      </c>
      <c r="N706" s="1135">
        <f t="shared" si="143"/>
        <v>0</v>
      </c>
      <c r="R706" s="1100">
        <f t="shared" si="147"/>
        <v>0</v>
      </c>
      <c r="T706" s="1121" t="e">
        <f t="shared" si="148"/>
        <v>#DIV/0!</v>
      </c>
      <c r="X706" s="1089" t="e">
        <f t="shared" si="146"/>
        <v>#DIV/0!</v>
      </c>
      <c r="Y706" s="690" t="s">
        <v>1763</v>
      </c>
      <c r="Z706" s="1111" t="e">
        <f>VLOOKUP(AA706,'place of settlement'!A:C,2,FALSE)</f>
        <v>#N/A</v>
      </c>
      <c r="AA706" s="1111" t="e">
        <f t="shared" si="144"/>
        <v>#N/A</v>
      </c>
      <c r="AB706" s="1111" t="e">
        <f t="shared" si="145"/>
        <v>#N/A</v>
      </c>
      <c r="AC706" s="1111" t="e">
        <f>VLOOKUP(AB706,sample!$1:$1048576,2,FALSE)</f>
        <v>#N/A</v>
      </c>
      <c r="AD706" s="1111" t="e">
        <f>VLOOKUP($AB706,sample!$1:$1048576,3,FALSE)</f>
        <v>#N/A</v>
      </c>
      <c r="AE706" s="1104" t="e">
        <f>VLOOKUP($AB706,sample!$1:$1048576,4,FALSE)</f>
        <v>#N/A</v>
      </c>
      <c r="AF706" s="1111" t="e">
        <f>VLOOKUP($AB706,sample!$1:$1048576,5,FALSE)</f>
        <v>#N/A</v>
      </c>
      <c r="AP706" s="1111"/>
    </row>
    <row r="707" spans="4:42">
      <c r="D707" s="1127" t="str">
        <f>IFERROR(VLOOKUP(G707,PosAggregate!$B$13:$B$93,1,FALSE),"")</f>
        <v/>
      </c>
      <c r="E707" s="1139" t="e">
        <f>_xll.BDP(G707  &amp; " Equity", "ID_ISIN", "Fill", "")</f>
        <v>#N/A</v>
      </c>
      <c r="F707" s="1132" t="str">
        <f t="shared" si="142"/>
        <v>YES</v>
      </c>
      <c r="I707" s="1133" t="e">
        <f>_xll.BDP(E707 &amp; " Equity","SECURITY_NAME")</f>
        <v>#N/A</v>
      </c>
      <c r="J707" s="1133" t="e">
        <f>_xll.BDP(G707 &amp; " Equity","Crncy")</f>
        <v>#N/A</v>
      </c>
      <c r="N707" s="1135">
        <f t="shared" si="143"/>
        <v>0</v>
      </c>
      <c r="R707" s="1100">
        <f t="shared" si="147"/>
        <v>0</v>
      </c>
      <c r="T707" s="1121" t="e">
        <f t="shared" si="148"/>
        <v>#DIV/0!</v>
      </c>
      <c r="X707" s="1089" t="e">
        <f t="shared" si="146"/>
        <v>#DIV/0!</v>
      </c>
      <c r="Y707" s="690" t="s">
        <v>1763</v>
      </c>
      <c r="Z707" s="1111" t="e">
        <f>VLOOKUP(AA707,'place of settlement'!A:C,2,FALSE)</f>
        <v>#N/A</v>
      </c>
      <c r="AA707" s="1111" t="e">
        <f t="shared" si="144"/>
        <v>#N/A</v>
      </c>
      <c r="AB707" s="1111" t="e">
        <f t="shared" si="145"/>
        <v>#N/A</v>
      </c>
      <c r="AC707" s="1111" t="e">
        <f>VLOOKUP(AB707,sample!$1:$1048576,2,FALSE)</f>
        <v>#N/A</v>
      </c>
      <c r="AD707" s="1111" t="e">
        <f>VLOOKUP($AB707,sample!$1:$1048576,3,FALSE)</f>
        <v>#N/A</v>
      </c>
      <c r="AE707" s="1104" t="e">
        <f>VLOOKUP($AB707,sample!$1:$1048576,4,FALSE)</f>
        <v>#N/A</v>
      </c>
      <c r="AF707" s="1111" t="e">
        <f>VLOOKUP($AB707,sample!$1:$1048576,5,FALSE)</f>
        <v>#N/A</v>
      </c>
      <c r="AP707" s="1111"/>
    </row>
    <row r="708" spans="4:42">
      <c r="D708" s="1127" t="str">
        <f>IFERROR(VLOOKUP(G708,PosAggregate!$B$13:$B$93,1,FALSE),"")</f>
        <v/>
      </c>
      <c r="E708" s="1139" t="e">
        <f>_xll.BDP(G708  &amp; " Equity", "ID_ISIN", "Fill", "")</f>
        <v>#N/A</v>
      </c>
      <c r="F708" s="1132" t="str">
        <f t="shared" ref="F708:F716" si="149">IF(D708=G708,"YES","NO")</f>
        <v>YES</v>
      </c>
      <c r="I708" s="1133" t="e">
        <f>_xll.BDP(E708 &amp; " Equity","SECURITY_NAME")</f>
        <v>#N/A</v>
      </c>
      <c r="J708" s="1133" t="e">
        <f>_xll.BDP(G708 &amp; " Equity","Crncy")</f>
        <v>#N/A</v>
      </c>
      <c r="N708" s="1135">
        <f t="shared" si="143"/>
        <v>0</v>
      </c>
      <c r="R708" s="1100">
        <f t="shared" si="147"/>
        <v>0</v>
      </c>
      <c r="T708" s="1121" t="e">
        <f t="shared" si="148"/>
        <v>#DIV/0!</v>
      </c>
      <c r="X708" s="1089" t="e">
        <f t="shared" si="146"/>
        <v>#DIV/0!</v>
      </c>
      <c r="Y708" s="690" t="s">
        <v>1763</v>
      </c>
      <c r="Z708" s="1111" t="e">
        <f>VLOOKUP(AA708,'place of settlement'!A:C,2,FALSE)</f>
        <v>#N/A</v>
      </c>
      <c r="AA708" s="1111" t="e">
        <f t="shared" si="144"/>
        <v>#N/A</v>
      </c>
      <c r="AB708" s="1111" t="e">
        <f t="shared" si="145"/>
        <v>#N/A</v>
      </c>
      <c r="AC708" s="1111" t="e">
        <f>VLOOKUP(AB708,sample!$1:$1048576,2,FALSE)</f>
        <v>#N/A</v>
      </c>
      <c r="AD708" s="1111" t="e">
        <f>VLOOKUP($AB708,sample!$1:$1048576,3,FALSE)</f>
        <v>#N/A</v>
      </c>
      <c r="AE708" s="1104" t="e">
        <f>VLOOKUP($AB708,sample!$1:$1048576,4,FALSE)</f>
        <v>#N/A</v>
      </c>
      <c r="AF708" s="1111" t="e">
        <f>VLOOKUP($AB708,sample!$1:$1048576,5,FALSE)</f>
        <v>#N/A</v>
      </c>
      <c r="AP708" s="1111"/>
    </row>
    <row r="709" spans="4:42">
      <c r="D709" s="1127" t="str">
        <f>IFERROR(VLOOKUP(G709,PosAggregate!$B$13:$B$93,1,FALSE),"")</f>
        <v/>
      </c>
      <c r="E709" s="1139" t="e">
        <f>_xll.BDP(G709  &amp; " Equity", "ID_ISIN", "Fill", "")</f>
        <v>#N/A</v>
      </c>
      <c r="F709" s="1132" t="str">
        <f t="shared" si="149"/>
        <v>YES</v>
      </c>
      <c r="I709" s="1133" t="e">
        <f>_xll.BDP(E709 &amp; " Equity","SECURITY_NAME")</f>
        <v>#N/A</v>
      </c>
      <c r="J709" s="1133" t="e">
        <f>_xll.BDP(G709 &amp; " Equity","Crncy")</f>
        <v>#N/A</v>
      </c>
      <c r="N709" s="1135">
        <f t="shared" si="143"/>
        <v>0</v>
      </c>
      <c r="R709" s="1100">
        <f t="shared" si="147"/>
        <v>0</v>
      </c>
      <c r="T709" s="1121" t="e">
        <f t="shared" si="148"/>
        <v>#DIV/0!</v>
      </c>
      <c r="X709" s="1089" t="e">
        <f t="shared" si="146"/>
        <v>#DIV/0!</v>
      </c>
      <c r="Y709" s="690" t="s">
        <v>1763</v>
      </c>
      <c r="Z709" s="1111" t="e">
        <f>VLOOKUP(AA709,'place of settlement'!A:C,2,FALSE)</f>
        <v>#N/A</v>
      </c>
      <c r="AA709" s="1111" t="e">
        <f t="shared" si="144"/>
        <v>#N/A</v>
      </c>
      <c r="AB709" s="1111" t="e">
        <f t="shared" si="145"/>
        <v>#N/A</v>
      </c>
      <c r="AC709" s="1111" t="e">
        <f>VLOOKUP(AB709,sample!$1:$1048576,2,FALSE)</f>
        <v>#N/A</v>
      </c>
      <c r="AD709" s="1111" t="e">
        <f>VLOOKUP($AB709,sample!$1:$1048576,3,FALSE)</f>
        <v>#N/A</v>
      </c>
      <c r="AE709" s="1104" t="e">
        <f>VLOOKUP($AB709,sample!$1:$1048576,4,FALSE)</f>
        <v>#N/A</v>
      </c>
      <c r="AF709" s="1111" t="e">
        <f>VLOOKUP($AB709,sample!$1:$1048576,5,FALSE)</f>
        <v>#N/A</v>
      </c>
      <c r="AP709" s="1111"/>
    </row>
    <row r="710" spans="4:42">
      <c r="D710" s="1127" t="str">
        <f>IFERROR(VLOOKUP(G710,PosAggregate!$B$13:$B$93,1,FALSE),"")</f>
        <v/>
      </c>
      <c r="E710" s="1139" t="e">
        <f>_xll.BDP(G710  &amp; " Equity", "ID_ISIN", "Fill", "")</f>
        <v>#N/A</v>
      </c>
      <c r="F710" s="1132" t="str">
        <f t="shared" si="149"/>
        <v>YES</v>
      </c>
      <c r="I710" s="1133" t="e">
        <f>_xll.BDP(E710 &amp; " Equity","SECURITY_NAME")</f>
        <v>#N/A</v>
      </c>
      <c r="J710" s="1133" t="e">
        <f>_xll.BDP(G710 &amp; " Equity","Crncy")</f>
        <v>#N/A</v>
      </c>
      <c r="N710" s="1135">
        <f t="shared" si="143"/>
        <v>0</v>
      </c>
      <c r="R710" s="1100">
        <f t="shared" si="147"/>
        <v>0</v>
      </c>
      <c r="T710" s="1121" t="e">
        <f t="shared" si="148"/>
        <v>#DIV/0!</v>
      </c>
      <c r="X710" s="1089" t="e">
        <f t="shared" si="146"/>
        <v>#DIV/0!</v>
      </c>
      <c r="Y710" s="690" t="s">
        <v>1763</v>
      </c>
      <c r="Z710" s="1111" t="e">
        <f>VLOOKUP(AA710,'place of settlement'!A:C,2,FALSE)</f>
        <v>#N/A</v>
      </c>
      <c r="AA710" s="1111" t="e">
        <f t="shared" si="144"/>
        <v>#N/A</v>
      </c>
      <c r="AB710" s="1111" t="e">
        <f t="shared" si="145"/>
        <v>#N/A</v>
      </c>
      <c r="AC710" s="1111" t="e">
        <f>VLOOKUP(AB710,sample!$1:$1048576,2,FALSE)</f>
        <v>#N/A</v>
      </c>
      <c r="AD710" s="1111" t="e">
        <f>VLOOKUP($AB710,sample!$1:$1048576,3,FALSE)</f>
        <v>#N/A</v>
      </c>
      <c r="AE710" s="1104" t="e">
        <f>VLOOKUP($AB710,sample!$1:$1048576,4,FALSE)</f>
        <v>#N/A</v>
      </c>
      <c r="AF710" s="1111" t="e">
        <f>VLOOKUP($AB710,sample!$1:$1048576,5,FALSE)</f>
        <v>#N/A</v>
      </c>
      <c r="AP710" s="1111"/>
    </row>
    <row r="711" spans="4:42">
      <c r="D711" s="1127" t="str">
        <f>IFERROR(VLOOKUP(G711,PosAggregate!$B$13:$B$93,1,FALSE),"")</f>
        <v/>
      </c>
      <c r="E711" s="1139" t="e">
        <f>_xll.BDP(G711  &amp; " Equity", "ID_ISIN", "Fill", "")</f>
        <v>#N/A</v>
      </c>
      <c r="F711" s="1132" t="str">
        <f t="shared" si="149"/>
        <v>YES</v>
      </c>
      <c r="I711" s="1133" t="e">
        <f>_xll.BDP(E711 &amp; " Equity","SECURITY_NAME")</f>
        <v>#N/A</v>
      </c>
      <c r="J711" s="1133" t="e">
        <f>_xll.BDP(G711 &amp; " Equity","Crncy")</f>
        <v>#N/A</v>
      </c>
      <c r="N711" s="1135">
        <f t="shared" si="143"/>
        <v>0</v>
      </c>
      <c r="R711" s="1100">
        <f t="shared" si="147"/>
        <v>0</v>
      </c>
      <c r="T711" s="1121" t="e">
        <f t="shared" si="148"/>
        <v>#DIV/0!</v>
      </c>
      <c r="X711" s="1089" t="e">
        <f t="shared" si="146"/>
        <v>#DIV/0!</v>
      </c>
      <c r="Y711" s="690" t="s">
        <v>1763</v>
      </c>
      <c r="Z711" s="1111" t="e">
        <f>VLOOKUP(AA711,'place of settlement'!A:C,2,FALSE)</f>
        <v>#N/A</v>
      </c>
      <c r="AA711" s="1111" t="e">
        <f t="shared" si="144"/>
        <v>#N/A</v>
      </c>
      <c r="AB711" s="1111" t="e">
        <f t="shared" si="145"/>
        <v>#N/A</v>
      </c>
      <c r="AC711" s="1111" t="e">
        <f>VLOOKUP(AB711,sample!$1:$1048576,2,FALSE)</f>
        <v>#N/A</v>
      </c>
      <c r="AD711" s="1111" t="e">
        <f>VLOOKUP($AB711,sample!$1:$1048576,3,FALSE)</f>
        <v>#N/A</v>
      </c>
      <c r="AE711" s="1104" t="e">
        <f>VLOOKUP($AB711,sample!$1:$1048576,4,FALSE)</f>
        <v>#N/A</v>
      </c>
      <c r="AF711" s="1111" t="e">
        <f>VLOOKUP($AB711,sample!$1:$1048576,5,FALSE)</f>
        <v>#N/A</v>
      </c>
      <c r="AP711" s="1111"/>
    </row>
    <row r="712" spans="4:42">
      <c r="D712" s="1142" t="str">
        <f>IFERROR(VLOOKUP(G712,PosAggregate!$B$13:$B$93,1,FALSE),"")</f>
        <v/>
      </c>
      <c r="E712" s="1139" t="e">
        <f>_xll.BDP(G712  &amp; " Equity", "ID_ISIN", "Fill", "")</f>
        <v>#N/A</v>
      </c>
      <c r="F712" s="1132" t="str">
        <f t="shared" si="149"/>
        <v>YES</v>
      </c>
      <c r="I712" s="1133" t="e">
        <f>_xll.BDP(E712 &amp; " Equity","SECURITY_NAME")</f>
        <v>#N/A</v>
      </c>
      <c r="J712" s="1133" t="e">
        <f>_xll.BDP(G712 &amp; " Equity","Crncy")</f>
        <v>#N/A</v>
      </c>
      <c r="N712" s="1135">
        <f t="shared" si="143"/>
        <v>0</v>
      </c>
      <c r="R712" s="1100">
        <f t="shared" si="147"/>
        <v>0</v>
      </c>
      <c r="T712" s="1121" t="e">
        <f t="shared" si="148"/>
        <v>#DIV/0!</v>
      </c>
      <c r="X712" s="1089" t="e">
        <f t="shared" si="146"/>
        <v>#DIV/0!</v>
      </c>
      <c r="Y712" s="690" t="s">
        <v>1763</v>
      </c>
      <c r="Z712" s="1111" t="e">
        <f>VLOOKUP(AA712,'place of settlement'!A:C,2,FALSE)</f>
        <v>#N/A</v>
      </c>
      <c r="AA712" s="1111" t="e">
        <f t="shared" si="144"/>
        <v>#N/A</v>
      </c>
      <c r="AB712" s="1111" t="e">
        <f t="shared" si="145"/>
        <v>#N/A</v>
      </c>
      <c r="AC712" s="1111" t="e">
        <f>VLOOKUP(AB712,sample!$1:$1048576,2,FALSE)</f>
        <v>#N/A</v>
      </c>
      <c r="AD712" s="1111" t="e">
        <f>VLOOKUP($AB712,sample!$1:$1048576,3,FALSE)</f>
        <v>#N/A</v>
      </c>
      <c r="AE712" s="1104" t="e">
        <f>VLOOKUP($AB712,sample!$1:$1048576,4,FALSE)</f>
        <v>#N/A</v>
      </c>
      <c r="AF712" s="1111" t="e">
        <f>VLOOKUP($AB712,sample!$1:$1048576,5,FALSE)</f>
        <v>#N/A</v>
      </c>
      <c r="AP712" s="1111"/>
    </row>
    <row r="713" spans="4:42">
      <c r="D713" s="1142" t="str">
        <f>IFERROR(VLOOKUP(G713,PosAggregate!$B$13:$B$93,1,FALSE),"")</f>
        <v/>
      </c>
      <c r="E713" s="1139" t="e">
        <f>_xll.BDP(G713  &amp; " Equity", "ID_ISIN", "Fill", "")</f>
        <v>#N/A</v>
      </c>
      <c r="F713" s="1132" t="str">
        <f t="shared" si="149"/>
        <v>YES</v>
      </c>
      <c r="I713" s="1133" t="e">
        <f>_xll.BDP(E713 &amp; " Equity","SECURITY_NAME")</f>
        <v>#N/A</v>
      </c>
      <c r="J713" s="1133" t="e">
        <f>_xll.BDP(G713 &amp; " Equity","Crncy")</f>
        <v>#N/A</v>
      </c>
      <c r="N713" s="1135">
        <f t="shared" si="143"/>
        <v>0</v>
      </c>
      <c r="R713" s="1100">
        <f t="shared" si="147"/>
        <v>0</v>
      </c>
      <c r="T713" s="1121" t="e">
        <f t="shared" si="148"/>
        <v>#DIV/0!</v>
      </c>
      <c r="X713" s="1089" t="e">
        <f t="shared" si="146"/>
        <v>#DIV/0!</v>
      </c>
      <c r="Y713" s="690" t="s">
        <v>1763</v>
      </c>
      <c r="Z713" s="1111" t="e">
        <f>VLOOKUP(AA713,'place of settlement'!A:C,2,FALSE)</f>
        <v>#N/A</v>
      </c>
      <c r="AA713" s="1111" t="e">
        <f t="shared" si="144"/>
        <v>#N/A</v>
      </c>
      <c r="AB713" s="1111" t="e">
        <f t="shared" si="145"/>
        <v>#N/A</v>
      </c>
      <c r="AC713" s="1111" t="e">
        <f>VLOOKUP(AB713,sample!$1:$1048576,2,FALSE)</f>
        <v>#N/A</v>
      </c>
      <c r="AD713" s="1111" t="e">
        <f>VLOOKUP($AB713,sample!$1:$1048576,3,FALSE)</f>
        <v>#N/A</v>
      </c>
      <c r="AE713" s="1104" t="e">
        <f>VLOOKUP($AB713,sample!$1:$1048576,4,FALSE)</f>
        <v>#N/A</v>
      </c>
      <c r="AF713" s="1111" t="e">
        <f>VLOOKUP($AB713,sample!$1:$1048576,5,FALSE)</f>
        <v>#N/A</v>
      </c>
      <c r="AP713" s="1111"/>
    </row>
    <row r="714" spans="4:42">
      <c r="D714" s="1142" t="str">
        <f>IFERROR(VLOOKUP(G714,PosAggregate!$B$13:$B$93,1,FALSE),"")</f>
        <v/>
      </c>
      <c r="E714" s="1139" t="e">
        <f>_xll.BDP(G714  &amp; " Equity", "ID_ISIN", "Fill", "")</f>
        <v>#N/A</v>
      </c>
      <c r="F714" s="1132" t="str">
        <f t="shared" si="149"/>
        <v>YES</v>
      </c>
      <c r="I714" s="1133" t="e">
        <f>_xll.BDP(E714 &amp; " Equity","SECURITY_NAME")</f>
        <v>#N/A</v>
      </c>
      <c r="J714" s="1133" t="e">
        <f>_xll.BDP(G714 &amp; " Equity","Crncy")</f>
        <v>#N/A</v>
      </c>
      <c r="N714" s="1135">
        <f t="shared" si="143"/>
        <v>0</v>
      </c>
      <c r="R714" s="1100">
        <f t="shared" si="147"/>
        <v>0</v>
      </c>
      <c r="T714" s="1121" t="e">
        <f t="shared" si="148"/>
        <v>#DIV/0!</v>
      </c>
      <c r="X714" s="1089" t="e">
        <f t="shared" si="146"/>
        <v>#DIV/0!</v>
      </c>
      <c r="Y714" s="690" t="s">
        <v>1763</v>
      </c>
      <c r="Z714" s="1111" t="e">
        <f>VLOOKUP(AA714,'place of settlement'!A:C,2,FALSE)</f>
        <v>#N/A</v>
      </c>
      <c r="AA714" s="1111" t="e">
        <f t="shared" si="144"/>
        <v>#N/A</v>
      </c>
      <c r="AB714" s="1111" t="e">
        <f t="shared" si="145"/>
        <v>#N/A</v>
      </c>
      <c r="AC714" s="1111" t="e">
        <f>VLOOKUP(AB714,sample!$1:$1048576,2,FALSE)</f>
        <v>#N/A</v>
      </c>
      <c r="AD714" s="1111" t="e">
        <f>VLOOKUP($AB714,sample!$1:$1048576,3,FALSE)</f>
        <v>#N/A</v>
      </c>
      <c r="AE714" s="1104" t="e">
        <f>VLOOKUP($AB714,sample!$1:$1048576,4,FALSE)</f>
        <v>#N/A</v>
      </c>
      <c r="AF714" s="1111" t="e">
        <f>VLOOKUP($AB714,sample!$1:$1048576,5,FALSE)</f>
        <v>#N/A</v>
      </c>
      <c r="AP714" s="1111"/>
    </row>
    <row r="715" spans="4:42">
      <c r="D715" s="1142" t="str">
        <f>IFERROR(VLOOKUP(G715,PosAggregate!$B$13:$B$93,1,FALSE),"")</f>
        <v/>
      </c>
      <c r="E715" s="1139" t="e">
        <f>_xll.BDP(G715  &amp; " Equity", "ID_ISIN", "Fill", "")</f>
        <v>#N/A</v>
      </c>
      <c r="F715" s="1132" t="str">
        <f t="shared" si="149"/>
        <v>YES</v>
      </c>
      <c r="I715" s="1133" t="e">
        <f>_xll.BDP(E715 &amp; " Equity","SECURITY_NAME")</f>
        <v>#N/A</v>
      </c>
      <c r="J715" s="1133" t="e">
        <f>_xll.BDP(G715 &amp; " Equity","Crncy")</f>
        <v>#N/A</v>
      </c>
      <c r="N715" s="1135">
        <f t="shared" si="143"/>
        <v>0</v>
      </c>
      <c r="R715" s="1100">
        <f t="shared" si="147"/>
        <v>0</v>
      </c>
      <c r="T715" s="1121" t="e">
        <f t="shared" si="148"/>
        <v>#DIV/0!</v>
      </c>
      <c r="X715" s="1089" t="e">
        <f t="shared" si="146"/>
        <v>#DIV/0!</v>
      </c>
      <c r="Y715" s="690" t="s">
        <v>1763</v>
      </c>
      <c r="Z715" s="1111" t="e">
        <f>VLOOKUP(AA715,'place of settlement'!A:C,2,FALSE)</f>
        <v>#N/A</v>
      </c>
      <c r="AA715" s="1111" t="e">
        <f t="shared" si="144"/>
        <v>#N/A</v>
      </c>
      <c r="AB715" s="1111" t="e">
        <f t="shared" si="145"/>
        <v>#N/A</v>
      </c>
      <c r="AC715" s="1111" t="e">
        <f>VLOOKUP(AB715,sample!$1:$1048576,2,FALSE)</f>
        <v>#N/A</v>
      </c>
      <c r="AD715" s="1111" t="e">
        <f>VLOOKUP($AB715,sample!$1:$1048576,3,FALSE)</f>
        <v>#N/A</v>
      </c>
      <c r="AE715" s="1104" t="e">
        <f>VLOOKUP($AB715,sample!$1:$1048576,4,FALSE)</f>
        <v>#N/A</v>
      </c>
      <c r="AF715" s="1111" t="e">
        <f>VLOOKUP($AB715,sample!$1:$1048576,5,FALSE)</f>
        <v>#N/A</v>
      </c>
      <c r="AP715" s="1111"/>
    </row>
    <row r="716" spans="4:42">
      <c r="D716" s="1142" t="str">
        <f>IFERROR(VLOOKUP(G716,PosAggregate!$B$13:$B$93,1,FALSE),"")</f>
        <v/>
      </c>
      <c r="E716" s="1139" t="e">
        <f>_xll.BDP(G716  &amp; " Equity", "ID_ISIN", "Fill", "")</f>
        <v>#N/A</v>
      </c>
      <c r="F716" s="1132" t="str">
        <f t="shared" si="149"/>
        <v>YES</v>
      </c>
      <c r="I716" s="1133" t="e">
        <f>_xll.BDP(E716 &amp; " Equity","SECURITY_NAME")</f>
        <v>#N/A</v>
      </c>
      <c r="J716" s="1133" t="e">
        <f>_xll.BDP(G716 &amp; " Equity","Crncy")</f>
        <v>#N/A</v>
      </c>
      <c r="N716" s="1135">
        <f t="shared" si="143"/>
        <v>0</v>
      </c>
      <c r="R716" s="1100">
        <f t="shared" si="147"/>
        <v>0</v>
      </c>
      <c r="T716" s="1121" t="e">
        <f t="shared" si="148"/>
        <v>#DIV/0!</v>
      </c>
      <c r="X716" s="1089" t="e">
        <f t="shared" si="146"/>
        <v>#DIV/0!</v>
      </c>
      <c r="Y716" s="690" t="s">
        <v>1763</v>
      </c>
      <c r="Z716" s="1111" t="e">
        <f>VLOOKUP(AA716,'place of settlement'!A:C,2,FALSE)</f>
        <v>#N/A</v>
      </c>
      <c r="AA716" s="1111" t="e">
        <f t="shared" si="144"/>
        <v>#N/A</v>
      </c>
      <c r="AB716" s="1111" t="e">
        <f t="shared" si="145"/>
        <v>#N/A</v>
      </c>
      <c r="AC716" s="1111" t="e">
        <f>VLOOKUP(AB716,sample!$1:$1048576,2,FALSE)</f>
        <v>#N/A</v>
      </c>
      <c r="AD716" s="1111" t="e">
        <f>VLOOKUP($AB716,sample!$1:$1048576,3,FALSE)</f>
        <v>#N/A</v>
      </c>
      <c r="AE716" s="1104" t="e">
        <f>VLOOKUP($AB716,sample!$1:$1048576,4,FALSE)</f>
        <v>#N/A</v>
      </c>
      <c r="AF716" s="1111" t="e">
        <f>VLOOKUP($AB716,sample!$1:$1048576,5,FALSE)</f>
        <v>#N/A</v>
      </c>
      <c r="AP716" s="1111"/>
    </row>
    <row r="717" spans="4:42">
      <c r="D717" s="1142" t="str">
        <f>IFERROR(VLOOKUP(G717,PosAggregate!$B$13:$B$93,1,FALSE),"")</f>
        <v/>
      </c>
      <c r="I717" s="1133" t="e">
        <f>_xll.BDP(E717 &amp; " Equity","SECURITY_NAME")</f>
        <v>#N/A</v>
      </c>
      <c r="AP717" s="1111"/>
    </row>
  </sheetData>
  <autoFilter ref="A10:XFC717" xr:uid="{00000000-0001-0000-0100-000000000000}"/>
  <phoneticPr fontId="83" type="noConversion"/>
  <conditionalFormatting sqref="I11:J19 J59 I65 I23:J50 V107:V117 I88:J119 R11:R94 V11:V105 R99:R239 N11:N239 D232:E239 I232:J239 V124:V228 D11:F11 D195:E230 D189:D193 E189:E194 D52:E188 D51 I52:J58 J51 N241:N267 I241:J267 D241:E267 I121:J230 I269:J297 D269:E296 N269:N298 R241:R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F12:F480 E480 D480:D481 I472:J480 E481:F481 R472:R481 N472:N481 I487:J491 I483:J484 N483:N484 R483:R484 D483 F483:F484 I481 J492:J494 D487:D500 N487:N500 F487:F500 E482:E500 I495:J500 I502:J502 N502 D502:F502 I505:J519 N505:N519 D505:F509 D511:F513 E510:F519 D509:D519 D522:F533 I522:J533 R487:R533 R535:R546 I535:J546 E535:F546 N522:N546 D534:D546 D548:D717 N548:N716 E548:F716 I548:I717 J548:J716 R548:R716">
    <cfRule type="expression" dxfId="398" priority="276">
      <formula>$C11="SELL"</formula>
    </cfRule>
  </conditionalFormatting>
  <conditionalFormatting sqref="F1:F481 F483:F484 F487:F500 F502 F505:F519 F522:F533 F535:F546 F548:F1048576">
    <cfRule type="containsText" dxfId="397" priority="194" operator="containsText" text="NO">
      <formula>NOT(ISERROR(SEARCH("NO",F1)))</formula>
    </cfRule>
  </conditionalFormatting>
  <conditionalFormatting sqref="I59:I64">
    <cfRule type="expression" dxfId="396" priority="193">
      <formula>$C59="SELL"</formula>
    </cfRule>
  </conditionalFormatting>
  <conditionalFormatting sqref="J60:J65">
    <cfRule type="expression" dxfId="395" priority="191">
      <formula>$C60="SELL"</formula>
    </cfRule>
  </conditionalFormatting>
  <conditionalFormatting sqref="R95:R98">
    <cfRule type="expression" dxfId="394" priority="190">
      <formula>$C95="SELL"</formula>
    </cfRule>
  </conditionalFormatting>
  <conditionalFormatting sqref="I20:J22">
    <cfRule type="expression" dxfId="393" priority="189">
      <formula>$C20="SELL"</formula>
    </cfRule>
  </conditionalFormatting>
  <conditionalFormatting sqref="V118:V119">
    <cfRule type="expression" dxfId="392" priority="188">
      <formula>$C118="SELL"</formula>
    </cfRule>
  </conditionalFormatting>
  <conditionalFormatting sqref="I120:J120">
    <cfRule type="expression" dxfId="391" priority="183">
      <formula>$C120="SELL"</formula>
    </cfRule>
  </conditionalFormatting>
  <conditionalFormatting sqref="I87:J87">
    <cfRule type="expression" dxfId="390" priority="177">
      <formula>$C87="SELL"</formula>
    </cfRule>
  </conditionalFormatting>
  <conditionalFormatting sqref="G170:G173">
    <cfRule type="expression" dxfId="389" priority="173">
      <formula>$C170="SELL"</formula>
    </cfRule>
  </conditionalFormatting>
  <conditionalFormatting sqref="G170:G175">
    <cfRule type="containsText" dxfId="388" priority="172" operator="containsText" text="NO">
      <formula>NOT(ISERROR(SEARCH("NO",G170)))</formula>
    </cfRule>
  </conditionalFormatting>
  <conditionalFormatting sqref="G176:G179">
    <cfRule type="containsText" dxfId="387" priority="171" operator="containsText" text="NO">
      <formula>NOT(ISERROR(SEARCH("NO",G176)))</formula>
    </cfRule>
  </conditionalFormatting>
  <conditionalFormatting sqref="I231:J231 D231:E231">
    <cfRule type="expression" dxfId="386" priority="169">
      <formula>$C231="SELL"</formula>
    </cfRule>
  </conditionalFormatting>
  <conditionalFormatting sqref="R240 N240 D240:E240 I240:J240">
    <cfRule type="expression" dxfId="385" priority="167">
      <formula>$C240="SELL"</formula>
    </cfRule>
  </conditionalFormatting>
  <conditionalFormatting sqref="N268:N269 I268:J269 D268:E269">
    <cfRule type="expression" dxfId="384" priority="161">
      <formula>$C268="SELL"</formula>
    </cfRule>
  </conditionalFormatting>
  <conditionalFormatting sqref="G284">
    <cfRule type="expression" dxfId="383" priority="159">
      <formula>$A284="SELL"</formula>
    </cfRule>
  </conditionalFormatting>
  <conditionalFormatting sqref="I51">
    <cfRule type="expression" dxfId="382" priority="157">
      <formula>$C51="SELL"</formula>
    </cfRule>
  </conditionalFormatting>
  <conditionalFormatting sqref="E299 R299 N299 I299:J299">
    <cfRule type="expression" dxfId="381" priority="156">
      <formula>$C299="SELL"</formula>
    </cfRule>
  </conditionalFormatting>
  <conditionalFormatting sqref="I298:J298 E298">
    <cfRule type="expression" dxfId="380" priority="154">
      <formula>$C298="SELL"</formula>
    </cfRule>
  </conditionalFormatting>
  <conditionalFormatting sqref="E300 R300 N300 I300:J300 I302:J302 N302 R302 E302">
    <cfRule type="expression" dxfId="379" priority="151">
      <formula>$C300="SELL"</formula>
    </cfRule>
  </conditionalFormatting>
  <conditionalFormatting sqref="R302 N302">
    <cfRule type="expression" dxfId="378" priority="149">
      <formula>$C302="SELL"</formula>
    </cfRule>
  </conditionalFormatting>
  <conditionalFormatting sqref="R303 N303">
    <cfRule type="expression" dxfId="377" priority="148">
      <formula>$C303="SELL"</formula>
    </cfRule>
  </conditionalFormatting>
  <conditionalFormatting sqref="D301">
    <cfRule type="expression" dxfId="376" priority="147">
      <formula>$C301="SELL"</formula>
    </cfRule>
  </conditionalFormatting>
  <conditionalFormatting sqref="E301 R301 N301 I301:J301">
    <cfRule type="expression" dxfId="375" priority="146">
      <formula>$C301="SELL"</formula>
    </cfRule>
  </conditionalFormatting>
  <conditionalFormatting sqref="I306:J306 D306:E306 R306 N306">
    <cfRule type="expression" dxfId="374" priority="141">
      <formula>$C306="SELL"</formula>
    </cfRule>
  </conditionalFormatting>
  <conditionalFormatting sqref="I308:J308 D308:E308 R308 N308">
    <cfRule type="expression" dxfId="373" priority="137">
      <formula>$C308="SELL"</formula>
    </cfRule>
  </conditionalFormatting>
  <conditionalFormatting sqref="N311:N313 R311:R313 D311:E313 I311:J313">
    <cfRule type="expression" dxfId="372" priority="130">
      <formula>$C311="SELL"</formula>
    </cfRule>
  </conditionalFormatting>
  <conditionalFormatting sqref="N314 R314 D314:E314 I314:J314">
    <cfRule type="expression" dxfId="371" priority="127">
      <formula>$C314="SELL"</formula>
    </cfRule>
  </conditionalFormatting>
  <conditionalFormatting sqref="D315:E315 I315:J315">
    <cfRule type="expression" dxfId="370" priority="124">
      <formula>$C315="SELL"</formula>
    </cfRule>
  </conditionalFormatting>
  <conditionalFormatting sqref="D316:E316 I316:J316">
    <cfRule type="expression" dxfId="369" priority="117">
      <formula>$C316="SELL"</formula>
    </cfRule>
  </conditionalFormatting>
  <conditionalFormatting sqref="I330 D330:E330">
    <cfRule type="expression" dxfId="368" priority="112">
      <formula>$C330="SELL"</formula>
    </cfRule>
  </conditionalFormatting>
  <conditionalFormatting sqref="I334 D334:E334 R334 N334">
    <cfRule type="expression" dxfId="367" priority="110">
      <formula>$C334="SELL"</formula>
    </cfRule>
  </conditionalFormatting>
  <conditionalFormatting sqref="I335:I336 E335:E336 R335:R336 N335:N336">
    <cfRule type="expression" dxfId="366" priority="108">
      <formula>$C335="SELL"</formula>
    </cfRule>
  </conditionalFormatting>
  <conditionalFormatting sqref="D339:D340">
    <cfRule type="expression" dxfId="365" priority="106">
      <formula>$C339="SELL"</formula>
    </cfRule>
  </conditionalFormatting>
  <conditionalFormatting sqref="I339:I340 E339:E340 R339:R340 N339:N340">
    <cfRule type="expression" dxfId="364" priority="105">
      <formula>$C339="SELL"</formula>
    </cfRule>
  </conditionalFormatting>
  <conditionalFormatting sqref="D341:D347">
    <cfRule type="expression" dxfId="363" priority="103">
      <formula>$C341="SELL"</formula>
    </cfRule>
  </conditionalFormatting>
  <conditionalFormatting sqref="E341:E347 N341:N351 R341:R351 N355:N357 R355:R364">
    <cfRule type="expression" dxfId="362" priority="102">
      <formula>$C341="SELL"</formula>
    </cfRule>
  </conditionalFormatting>
  <conditionalFormatting sqref="I350 D350:E350">
    <cfRule type="expression" dxfId="361" priority="99">
      <formula>$C350="SELL"</formula>
    </cfRule>
  </conditionalFormatting>
  <conditionalFormatting sqref="D355:E355 I355:J355">
    <cfRule type="expression" dxfId="360" priority="96">
      <formula>$C355="SELL"</formula>
    </cfRule>
  </conditionalFormatting>
  <conditionalFormatting sqref="D352:E352 I352:J352">
    <cfRule type="expression" dxfId="359" priority="93">
      <formula>$C352="SELL"</formula>
    </cfRule>
  </conditionalFormatting>
  <conditionalFormatting sqref="N352 R352">
    <cfRule type="expression" dxfId="358" priority="91">
      <formula>$C352="SELL"</formula>
    </cfRule>
  </conditionalFormatting>
  <conditionalFormatting sqref="D353:E353 I353:J353 D354:D357 D359">
    <cfRule type="expression" dxfId="357" priority="90">
      <formula>$C353="SELL"</formula>
    </cfRule>
  </conditionalFormatting>
  <conditionalFormatting sqref="N353 R353">
    <cfRule type="expression" dxfId="356" priority="88">
      <formula>$C353="SELL"</formula>
    </cfRule>
  </conditionalFormatting>
  <conditionalFormatting sqref="E354:E357 I354:J357 I359:J359 E359">
    <cfRule type="expression" dxfId="355" priority="87">
      <formula>$C354="SELL"</formula>
    </cfRule>
  </conditionalFormatting>
  <conditionalFormatting sqref="N354:N357 N359 R354:R364">
    <cfRule type="expression" dxfId="354" priority="85">
      <formula>$C354="SELL"</formula>
    </cfRule>
  </conditionalFormatting>
  <conditionalFormatting sqref="I359:J359 D359:E359">
    <cfRule type="expression" dxfId="353" priority="84">
      <formula>$C359="SELL"</formula>
    </cfRule>
  </conditionalFormatting>
  <conditionalFormatting sqref="N359">
    <cfRule type="expression" dxfId="352" priority="82">
      <formula>$C359="SELL"</formula>
    </cfRule>
  </conditionalFormatting>
  <conditionalFormatting sqref="N358">
    <cfRule type="expression" dxfId="351" priority="68">
      <formula>$C358="SELL"</formula>
    </cfRule>
  </conditionalFormatting>
  <conditionalFormatting sqref="I358:J358 D358:E358">
    <cfRule type="expression" dxfId="350" priority="74">
      <formula>$C358="SELL"</formula>
    </cfRule>
  </conditionalFormatting>
  <conditionalFormatting sqref="N358">
    <cfRule type="expression" dxfId="349" priority="72">
      <formula>$C358="SELL"</formula>
    </cfRule>
  </conditionalFormatting>
  <conditionalFormatting sqref="D358">
    <cfRule type="expression" dxfId="348" priority="71">
      <formula>$C358="SELL"</formula>
    </cfRule>
  </conditionalFormatting>
  <conditionalFormatting sqref="E358 I358:J358">
    <cfRule type="expression" dxfId="347" priority="70">
      <formula>$C358="SELL"</formula>
    </cfRule>
  </conditionalFormatting>
  <conditionalFormatting sqref="D363:E363 I363:J363 N363">
    <cfRule type="expression" dxfId="346" priority="67">
      <formula>$C363="SELL"</formula>
    </cfRule>
  </conditionalFormatting>
  <conditionalFormatting sqref="I365:J365 D365:E365">
    <cfRule type="expression" dxfId="345" priority="65">
      <formula>$C365="SELL"</formula>
    </cfRule>
  </conditionalFormatting>
  <conditionalFormatting sqref="G373">
    <cfRule type="expression" dxfId="344" priority="60">
      <formula>$C373="SELL"</formula>
    </cfRule>
  </conditionalFormatting>
  <conditionalFormatting sqref="N380 I380:J380 D380:E380 R380">
    <cfRule type="expression" dxfId="343" priority="59">
      <formula>$C380="SELL"</formula>
    </cfRule>
  </conditionalFormatting>
  <conditionalFormatting sqref="R389:R395 D389:E391 N389:N395 I389:J395 E392:E395 D392:D407 D409 D419:D430 D414:D417 D445:D448">
    <cfRule type="expression" dxfId="342" priority="57">
      <formula>$C389="SELL"</formula>
    </cfRule>
  </conditionalFormatting>
  <conditionalFormatting sqref="I408:J408 E408 N408 R408">
    <cfRule type="expression" dxfId="341" priority="55">
      <formula>$C408="SELL"</formula>
    </cfRule>
  </conditionalFormatting>
  <conditionalFormatting sqref="D408">
    <cfRule type="expression" dxfId="340" priority="53">
      <formula>$C408="SELL"</formula>
    </cfRule>
  </conditionalFormatting>
  <conditionalFormatting sqref="R410 E410 I410:J410">
    <cfRule type="expression" dxfId="339" priority="52">
      <formula>$C410="SELL"</formula>
    </cfRule>
  </conditionalFormatting>
  <conditionalFormatting sqref="D410">
    <cfRule type="expression" dxfId="338" priority="50">
      <formula>$C410="SELL"</formula>
    </cfRule>
  </conditionalFormatting>
  <conditionalFormatting sqref="R411 E411 I411:J411">
    <cfRule type="expression" dxfId="337" priority="49">
      <formula>$C411="SELL"</formula>
    </cfRule>
  </conditionalFormatting>
  <conditionalFormatting sqref="D411">
    <cfRule type="expression" dxfId="336" priority="47">
      <formula>$C411="SELL"</formula>
    </cfRule>
  </conditionalFormatting>
  <conditionalFormatting sqref="R412:R415 E412:E415 I412:J415">
    <cfRule type="expression" dxfId="335" priority="46">
      <formula>$C412="SELL"</formula>
    </cfRule>
  </conditionalFormatting>
  <conditionalFormatting sqref="D412:D417">
    <cfRule type="expression" dxfId="334" priority="44">
      <formula>$C412="SELL"</formula>
    </cfRule>
  </conditionalFormatting>
  <conditionalFormatting sqref="E418 R418 N418 I418:J418">
    <cfRule type="expression" dxfId="333" priority="43">
      <formula>$C418="SELL"</formula>
    </cfRule>
  </conditionalFormatting>
  <conditionalFormatting sqref="D418">
    <cfRule type="expression" dxfId="332" priority="41">
      <formula>$C418="SELL"</formula>
    </cfRule>
  </conditionalFormatting>
  <conditionalFormatting sqref="E431 I431:J431 N431 R431">
    <cfRule type="expression" dxfId="331" priority="39">
      <formula>$C431="SELL"</formula>
    </cfRule>
  </conditionalFormatting>
  <conditionalFormatting sqref="D431">
    <cfRule type="expression" dxfId="330" priority="37">
      <formula>$C431="SELL"</formula>
    </cfRule>
  </conditionalFormatting>
  <conditionalFormatting sqref="I443:J449">
    <cfRule type="expression" dxfId="329" priority="36">
      <formula>$C443="SELL"</formula>
    </cfRule>
  </conditionalFormatting>
  <conditionalFormatting sqref="D443:D448">
    <cfRule type="expression" dxfId="328" priority="34">
      <formula>$C443="SELL"</formula>
    </cfRule>
  </conditionalFormatting>
  <conditionalFormatting sqref="E417">
    <cfRule type="expression" dxfId="327" priority="32">
      <formula>$C410="SELL"</formula>
    </cfRule>
  </conditionalFormatting>
  <conditionalFormatting sqref="N448:N449 R448:R449">
    <cfRule type="expression" dxfId="326" priority="31">
      <formula>$C448="SELL"</formula>
    </cfRule>
  </conditionalFormatting>
  <conditionalFormatting sqref="I448:J449">
    <cfRule type="expression" dxfId="325" priority="29">
      <formula>$C448="SELL"</formula>
    </cfRule>
  </conditionalFormatting>
  <conditionalFormatting sqref="N471 R471 D471:E471 I471:J471">
    <cfRule type="expression" dxfId="324" priority="914">
      <formula>$B471="SELL"</formula>
    </cfRule>
  </conditionalFormatting>
  <conditionalFormatting sqref="E51">
    <cfRule type="duplicateValues" dxfId="323" priority="24"/>
  </conditionalFormatting>
  <conditionalFormatting sqref="I485:J485 R485 N485 D485:D486 F485">
    <cfRule type="expression" dxfId="322" priority="23">
      <formula>$C485="SELL"</formula>
    </cfRule>
  </conditionalFormatting>
  <conditionalFormatting sqref="F485">
    <cfRule type="containsText" dxfId="321" priority="22" operator="containsText" text="NO">
      <formula>NOT(ISERROR(SEARCH("NO",F485)))</formula>
    </cfRule>
  </conditionalFormatting>
  <conditionalFormatting sqref="N486 R486 I486:J486 F486">
    <cfRule type="expression" dxfId="320" priority="21">
      <formula>$C486="SELL"</formula>
    </cfRule>
  </conditionalFormatting>
  <conditionalFormatting sqref="F486">
    <cfRule type="containsText" dxfId="319" priority="20" operator="containsText" text="NO">
      <formula>NOT(ISERROR(SEARCH("NO",F486)))</formula>
    </cfRule>
  </conditionalFormatting>
  <conditionalFormatting sqref="D482">
    <cfRule type="expression" dxfId="318" priority="19">
      <formula>$C482="SELL"</formula>
    </cfRule>
  </conditionalFormatting>
  <conditionalFormatting sqref="R482 N482 I482:J482 F482 J481">
    <cfRule type="expression" dxfId="317" priority="18">
      <formula>$C481="SELL"</formula>
    </cfRule>
  </conditionalFormatting>
  <conditionalFormatting sqref="F482">
    <cfRule type="containsText" dxfId="316" priority="17" operator="containsText" text="NO">
      <formula>NOT(ISERROR(SEARCH("NO",F482)))</formula>
    </cfRule>
  </conditionalFormatting>
  <conditionalFormatting sqref="I492:I494">
    <cfRule type="expression" dxfId="315" priority="15">
      <formula>$C492="SELL"</formula>
    </cfRule>
  </conditionalFormatting>
  <conditionalFormatting sqref="N501 D501:F501 I501:J501">
    <cfRule type="expression" dxfId="314" priority="14">
      <formula>$C501="SELL"</formula>
    </cfRule>
  </conditionalFormatting>
  <conditionalFormatting sqref="F501">
    <cfRule type="containsText" dxfId="313" priority="13" operator="containsText" text="NO">
      <formula>NOT(ISERROR(SEARCH("NO",F501)))</formula>
    </cfRule>
  </conditionalFormatting>
  <conditionalFormatting sqref="I503:J503 N503 D503:F503">
    <cfRule type="expression" dxfId="312" priority="12">
      <formula>$C503="SELL"</formula>
    </cfRule>
  </conditionalFormatting>
  <conditionalFormatting sqref="F503">
    <cfRule type="containsText" dxfId="311" priority="11" operator="containsText" text="NO">
      <formula>NOT(ISERROR(SEARCH("NO",F503)))</formula>
    </cfRule>
  </conditionalFormatting>
  <conditionalFormatting sqref="I504:J504 N504 D504:F504">
    <cfRule type="expression" dxfId="310" priority="10">
      <formula>$C504="SELL"</formula>
    </cfRule>
  </conditionalFormatting>
  <conditionalFormatting sqref="F504">
    <cfRule type="containsText" dxfId="309" priority="9" operator="containsText" text="NO">
      <formula>NOT(ISERROR(SEARCH("NO",F504)))</formula>
    </cfRule>
  </conditionalFormatting>
  <conditionalFormatting sqref="I520:J530 N520:N530 D520:F530">
    <cfRule type="expression" dxfId="308" priority="6">
      <formula>$C520="SELL"</formula>
    </cfRule>
  </conditionalFormatting>
  <conditionalFormatting sqref="F520:F530">
    <cfRule type="containsText" dxfId="307" priority="5" operator="containsText" text="NO">
      <formula>NOT(ISERROR(SEARCH("NO",F520)))</formula>
    </cfRule>
  </conditionalFormatting>
  <conditionalFormatting sqref="E534:F534 I534:J534 R534">
    <cfRule type="expression" dxfId="306" priority="4">
      <formula>$C534="SELL"</formula>
    </cfRule>
  </conditionalFormatting>
  <conditionalFormatting sqref="F534">
    <cfRule type="containsText" dxfId="305" priority="3" operator="containsText" text="NO">
      <formula>NOT(ISERROR(SEARCH("NO",F534)))</formula>
    </cfRule>
  </conditionalFormatting>
  <conditionalFormatting sqref="R547:R549 I547:J549 N547:N549 D547:F549">
    <cfRule type="expression" dxfId="304" priority="2">
      <formula>$C547="SELL"</formula>
    </cfRule>
  </conditionalFormatting>
  <conditionalFormatting sqref="F547:F549">
    <cfRule type="containsText" dxfId="303" priority="1" operator="containsText" text="NO">
      <formula>NOT(ISERROR(SEARCH("NO",F547)))</formula>
    </cfRule>
  </conditionalFormatting>
  <dataValidations count="1">
    <dataValidation allowBlank="1" showInputMessage="1" showErrorMessage="1" sqref="D11:D193 G373 D195:D483 D485:D509 D511:D717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O447"/>
  <sheetViews>
    <sheetView zoomScale="70" zoomScaleNormal="70" workbookViewId="0">
      <pane xSplit="4" ySplit="11" topLeftCell="E156" activePane="bottomRight" state="frozen"/>
      <selection pane="topRight" activeCell="E1" sqref="E1"/>
      <selection pane="bottomLeft" activeCell="A12" sqref="A12"/>
      <selection pane="bottomRight" activeCell="A160" sqref="A160:K166"/>
    </sheetView>
  </sheetViews>
  <sheetFormatPr defaultColWidth="9" defaultRowHeight="14.5" outlineLevelCol="2"/>
  <cols>
    <col min="1" max="1" width="27.6328125" style="827" bestFit="1" customWidth="1"/>
    <col min="2" max="2" width="18.08984375" style="701" bestFit="1" customWidth="1"/>
    <col min="3" max="3" width="16.26953125" style="701" customWidth="1" outlineLevel="1"/>
    <col min="4" max="4" width="30.81640625" style="701" customWidth="1" outlineLevel="2"/>
    <col min="5" max="5" width="31.26953125" style="701" customWidth="1"/>
    <col min="6" max="6" width="12.36328125" style="701" hidden="1" customWidth="1"/>
    <col min="7" max="7" width="15.26953125" style="701" hidden="1" customWidth="1"/>
    <col min="8" max="8" width="17.36328125" style="701" hidden="1" customWidth="1"/>
    <col min="9" max="9" width="11.54296875" style="701" customWidth="1"/>
    <col min="10" max="10" width="17" style="701" customWidth="1"/>
    <col min="11" max="11" width="11.54296875" style="701" customWidth="1"/>
    <col min="12" max="12" width="13" style="701" customWidth="1"/>
    <col min="13" max="13" width="12.26953125" style="701" customWidth="1"/>
    <col min="14" max="14" width="17.81640625" style="701" customWidth="1"/>
    <col min="15" max="18" width="9.26953125" style="701" customWidth="1"/>
    <col min="19" max="19" width="14.26953125" style="701" customWidth="1"/>
    <col min="20" max="20" width="12" style="926" customWidth="1"/>
    <col min="21" max="21" width="14.81640625" style="926" customWidth="1"/>
    <col min="22" max="22" width="12.1796875" style="701" customWidth="1"/>
    <col min="23" max="23" width="15.36328125" style="701" customWidth="1"/>
    <col min="24" max="24" width="17.7265625" style="701" customWidth="1"/>
    <col min="25" max="27" width="10" style="701" customWidth="1"/>
    <col min="28" max="28" width="11.81640625" style="701" customWidth="1"/>
    <col min="29" max="29" width="12" style="701" customWidth="1"/>
    <col min="30" max="30" width="7.54296875" style="827" customWidth="1"/>
    <col min="31" max="31" width="9" style="670" customWidth="1"/>
    <col min="32" max="32" width="31.26953125" style="670" customWidth="1"/>
    <col min="33" max="33" width="26.81640625" style="670" customWidth="1"/>
    <col min="34" max="34" width="9" style="734" customWidth="1"/>
    <col min="35" max="35" width="13.54296875" style="670" bestFit="1" customWidth="1"/>
    <col min="36" max="36" width="17" style="670" customWidth="1"/>
    <col min="37" max="37" width="27.26953125" style="670" customWidth="1"/>
    <col min="38" max="39" width="24.26953125" style="664" bestFit="1" customWidth="1"/>
    <col min="40" max="40" width="16" style="664" customWidth="1"/>
    <col min="41" max="41" width="13.26953125" style="664" customWidth="1"/>
    <col min="42" max="43" width="16" style="664" customWidth="1"/>
    <col min="44" max="44" width="19.26953125" style="664" bestFit="1" customWidth="1"/>
    <col min="45" max="45" width="2.81640625" style="664" bestFit="1" customWidth="1"/>
    <col min="46" max="46" width="13.7265625" style="664" customWidth="1"/>
    <col min="47" max="47" width="7.7265625" style="664" customWidth="1"/>
    <col min="48" max="49" width="22.26953125" style="664" customWidth="1"/>
    <col min="50" max="50" width="14.81640625" style="664" bestFit="1" customWidth="1"/>
    <col min="51" max="51" width="7.7265625" style="664" customWidth="1"/>
    <col min="52" max="52" width="19" style="806" bestFit="1" customWidth="1"/>
    <col min="53" max="53" width="14.81640625" style="670" bestFit="1" customWidth="1"/>
    <col min="54" max="54" width="13.26953125" style="219" bestFit="1" customWidth="1"/>
    <col min="55" max="55" width="7" style="670" customWidth="1"/>
    <col min="56" max="56" width="13.54296875" style="670" bestFit="1" customWidth="1"/>
    <col min="57" max="57" width="10.26953125" style="670" bestFit="1" customWidth="1"/>
    <col min="58" max="59" width="9" style="670"/>
    <col min="60" max="60" width="12.26953125" style="670" bestFit="1" customWidth="1"/>
    <col min="61" max="93" width="9" style="670"/>
    <col min="94" max="16384" width="9" style="827"/>
  </cols>
  <sheetData>
    <row r="1" spans="1:93" s="670" customFormat="1" ht="13">
      <c r="B1" s="664"/>
      <c r="I1" s="664"/>
      <c r="J1" s="664"/>
      <c r="K1" s="664"/>
      <c r="T1" s="734"/>
      <c r="U1" s="734"/>
      <c r="V1" s="664"/>
      <c r="Y1" s="664"/>
      <c r="Z1" s="664"/>
      <c r="AH1" s="734"/>
      <c r="AL1" s="664"/>
      <c r="AM1" s="664"/>
      <c r="AN1" s="664"/>
      <c r="AO1" s="664"/>
      <c r="AP1" s="664"/>
      <c r="AQ1" s="664"/>
      <c r="AR1" s="664"/>
      <c r="AS1" s="664"/>
      <c r="AT1" s="664"/>
      <c r="AU1" s="664"/>
      <c r="AV1" s="664"/>
      <c r="AW1" s="664"/>
      <c r="AX1" s="664"/>
      <c r="AY1" s="664"/>
      <c r="AZ1" s="806"/>
    </row>
    <row r="2" spans="1:93" s="670" customFormat="1">
      <c r="A2" s="664"/>
      <c r="B2" s="664"/>
      <c r="C2" s="664"/>
      <c r="D2" s="664"/>
      <c r="E2" s="664"/>
      <c r="I2" s="664"/>
      <c r="J2" s="664"/>
      <c r="K2" s="664"/>
      <c r="L2" s="664"/>
      <c r="T2" s="734"/>
      <c r="U2" s="734"/>
      <c r="V2" s="664"/>
      <c r="Y2" s="664"/>
      <c r="Z2" s="664"/>
      <c r="AH2" s="734"/>
      <c r="AL2" s="807"/>
      <c r="AM2" s="807"/>
      <c r="AN2" s="807"/>
      <c r="AO2" s="807"/>
      <c r="AP2" s="807"/>
      <c r="AQ2" s="807"/>
      <c r="AR2" s="807"/>
      <c r="AS2" s="807"/>
      <c r="AT2" s="807"/>
      <c r="AU2" s="807"/>
      <c r="AV2" s="808"/>
      <c r="AW2" s="808"/>
      <c r="AX2" s="809"/>
      <c r="AY2" s="218"/>
      <c r="BC2" s="675" t="s">
        <v>136</v>
      </c>
    </row>
    <row r="3" spans="1:93" s="670" customFormat="1">
      <c r="A3" s="664"/>
      <c r="B3" s="664"/>
      <c r="C3" s="664"/>
      <c r="D3" s="664"/>
      <c r="E3" s="664"/>
      <c r="I3" s="664"/>
      <c r="J3" s="664"/>
      <c r="K3" s="664"/>
      <c r="L3" s="664"/>
      <c r="T3" s="734"/>
      <c r="U3" s="734"/>
      <c r="V3" s="664"/>
      <c r="Y3" s="664"/>
      <c r="Z3" s="664"/>
      <c r="AH3" s="734"/>
      <c r="AL3" s="664"/>
      <c r="AM3" s="664"/>
      <c r="AN3" s="664"/>
      <c r="AO3" s="664"/>
      <c r="AP3" s="664"/>
      <c r="AQ3" s="664"/>
      <c r="AR3" s="664"/>
      <c r="AS3" s="664"/>
      <c r="AT3" s="664"/>
      <c r="AU3" s="664"/>
      <c r="AV3" s="810"/>
      <c r="AW3" s="810"/>
      <c r="AX3" s="811"/>
      <c r="AY3" s="218"/>
      <c r="AZ3" s="806"/>
    </row>
    <row r="4" spans="1:93" s="670" customFormat="1">
      <c r="A4" s="664"/>
      <c r="B4" s="664"/>
      <c r="C4" s="664"/>
      <c r="D4" s="664"/>
      <c r="E4" s="664"/>
      <c r="I4" s="664"/>
      <c r="J4" s="664"/>
      <c r="K4" s="664"/>
      <c r="L4" s="664"/>
      <c r="T4" s="734"/>
      <c r="U4" s="734"/>
      <c r="V4" s="664"/>
      <c r="Y4" s="664"/>
      <c r="Z4" s="664"/>
      <c r="AH4" s="734"/>
      <c r="AJ4" s="812"/>
      <c r="AK4" s="812"/>
      <c r="AL4" s="813"/>
      <c r="AM4" s="813"/>
      <c r="AN4" s="813"/>
      <c r="AO4" s="813"/>
      <c r="AP4" s="813"/>
      <c r="AQ4" s="813"/>
      <c r="AR4" s="813"/>
      <c r="AS4" s="813"/>
      <c r="AT4" s="813"/>
      <c r="AU4" s="813"/>
      <c r="AV4" s="814"/>
      <c r="AW4" s="814"/>
      <c r="AX4" s="815"/>
      <c r="AY4" s="816"/>
      <c r="AZ4" s="817"/>
      <c r="BA4" s="818"/>
      <c r="BC4" s="819"/>
    </row>
    <row r="5" spans="1:93" s="670" customFormat="1">
      <c r="A5" s="664"/>
      <c r="B5" s="664"/>
      <c r="C5" s="664"/>
      <c r="D5" s="664"/>
      <c r="E5" s="664"/>
      <c r="I5" s="664"/>
      <c r="J5" s="664"/>
      <c r="K5" s="664"/>
      <c r="L5" s="664"/>
      <c r="T5" s="734"/>
      <c r="U5" s="734"/>
      <c r="V5" s="664"/>
      <c r="Y5" s="664"/>
      <c r="Z5" s="664"/>
      <c r="AH5" s="734"/>
      <c r="AJ5" s="812"/>
      <c r="AK5" s="812"/>
      <c r="AL5" s="820"/>
      <c r="AM5" s="820"/>
      <c r="AN5" s="820"/>
      <c r="AO5" s="820"/>
      <c r="AP5" s="816"/>
      <c r="AQ5" s="816"/>
      <c r="AR5" s="816"/>
      <c r="AS5" s="816"/>
      <c r="AT5" s="816"/>
      <c r="AU5" s="816"/>
      <c r="AV5" s="821"/>
      <c r="AW5" s="821"/>
      <c r="AX5" s="815"/>
      <c r="AY5" s="821"/>
      <c r="AZ5" s="822"/>
      <c r="BA5" s="823"/>
    </row>
    <row r="6" spans="1:93">
      <c r="A6" s="670"/>
      <c r="B6" s="664"/>
      <c r="C6" s="664"/>
      <c r="D6" s="664"/>
      <c r="E6" s="664"/>
      <c r="F6" s="664"/>
      <c r="G6" s="664"/>
      <c r="H6" s="664"/>
      <c r="I6" s="664"/>
      <c r="J6" s="664"/>
      <c r="K6" s="664"/>
      <c r="L6" s="664"/>
      <c r="M6" s="664"/>
      <c r="N6" s="664"/>
      <c r="O6" s="664"/>
      <c r="P6" s="664"/>
      <c r="Q6" s="664"/>
      <c r="R6" s="664"/>
      <c r="S6" s="664"/>
      <c r="T6" s="736"/>
      <c r="U6" s="736"/>
      <c r="V6" s="664"/>
      <c r="W6" s="664"/>
      <c r="X6" s="664"/>
      <c r="Y6" s="664"/>
      <c r="Z6" s="664"/>
      <c r="AA6" s="664"/>
      <c r="AB6" s="664"/>
      <c r="AC6" s="664"/>
      <c r="AD6" s="670"/>
      <c r="AJ6" s="812"/>
      <c r="AK6" s="812"/>
      <c r="AL6" s="820"/>
      <c r="AM6" s="820"/>
      <c r="AN6" s="820"/>
      <c r="AO6" s="820"/>
      <c r="AP6" s="816"/>
      <c r="AQ6" s="816"/>
      <c r="AR6" s="816"/>
      <c r="AS6" s="816"/>
      <c r="AT6" s="816"/>
      <c r="AU6" s="816"/>
      <c r="AV6" s="815"/>
      <c r="AW6" s="815"/>
      <c r="AX6" s="815"/>
      <c r="AY6" s="824"/>
      <c r="AZ6" s="822"/>
      <c r="BA6" s="825"/>
      <c r="BC6" s="826"/>
    </row>
    <row r="7" spans="1:93">
      <c r="A7" s="676"/>
      <c r="B7" s="664"/>
      <c r="C7" s="664"/>
      <c r="D7" s="664"/>
      <c r="E7" s="664"/>
      <c r="F7" s="664"/>
      <c r="G7" s="664"/>
      <c r="H7" s="664"/>
      <c r="I7" s="664"/>
      <c r="J7" s="664"/>
      <c r="K7" s="664"/>
      <c r="L7" s="664"/>
      <c r="M7" s="664"/>
      <c r="N7" s="664"/>
      <c r="O7" s="664"/>
      <c r="P7" s="664"/>
      <c r="Q7" s="664"/>
      <c r="R7" s="664"/>
      <c r="S7" s="664"/>
      <c r="T7" s="736"/>
      <c r="U7" s="736"/>
      <c r="V7" s="664"/>
      <c r="W7" s="664"/>
      <c r="X7" s="664"/>
      <c r="Y7" s="664"/>
      <c r="Z7" s="664"/>
      <c r="AA7" s="664"/>
      <c r="AB7" s="664"/>
      <c r="AC7" s="664"/>
      <c r="AD7" s="670"/>
      <c r="AJ7" s="812"/>
      <c r="AK7" s="812"/>
      <c r="AL7" s="820"/>
      <c r="AM7" s="820"/>
      <c r="AN7" s="820"/>
      <c r="AO7" s="820"/>
      <c r="AP7" s="816"/>
      <c r="AQ7" s="816"/>
      <c r="AR7" s="816"/>
      <c r="AS7" s="816"/>
      <c r="AT7" s="816"/>
      <c r="AU7" s="816"/>
      <c r="AV7" s="828"/>
      <c r="AW7" s="828"/>
      <c r="AX7" s="815"/>
      <c r="AY7" s="816"/>
      <c r="AZ7" s="822"/>
      <c r="BA7" s="812"/>
    </row>
    <row r="8" spans="1:93" hidden="1">
      <c r="A8" s="676" t="s">
        <v>22</v>
      </c>
      <c r="B8" s="664"/>
      <c r="C8" s="664"/>
      <c r="D8" s="664"/>
      <c r="E8" s="602">
        <f ca="1">TODAY()-1</f>
        <v>44727</v>
      </c>
      <c r="F8" s="664"/>
      <c r="G8" s="664"/>
      <c r="H8" s="664"/>
      <c r="I8" s="664"/>
      <c r="J8" s="664"/>
      <c r="K8" s="664"/>
      <c r="L8" s="829"/>
      <c r="M8" s="664"/>
      <c r="N8" s="664"/>
      <c r="O8" s="664"/>
      <c r="P8" s="664"/>
      <c r="Q8" s="664"/>
      <c r="R8" s="664"/>
      <c r="S8" s="664"/>
      <c r="T8" s="736"/>
      <c r="U8" s="736"/>
      <c r="V8" s="664"/>
      <c r="W8" s="664"/>
      <c r="X8" s="664"/>
      <c r="Y8" s="664"/>
      <c r="Z8" s="664"/>
      <c r="AA8" s="664"/>
      <c r="AB8" s="664"/>
      <c r="AC8" s="664"/>
      <c r="AD8" s="670"/>
      <c r="AJ8" s="812"/>
      <c r="AK8" s="812"/>
      <c r="AL8" s="820"/>
      <c r="AM8" s="820"/>
      <c r="AN8" s="820"/>
      <c r="AO8" s="820"/>
      <c r="AP8" s="816"/>
      <c r="AQ8" s="816"/>
      <c r="AR8" s="816"/>
      <c r="AS8" s="816"/>
      <c r="AT8" s="816"/>
      <c r="AU8" s="816"/>
      <c r="AV8" s="816"/>
      <c r="AW8" s="816"/>
      <c r="AX8" s="816"/>
      <c r="AY8" s="816"/>
      <c r="AZ8" s="822"/>
      <c r="BA8" s="812"/>
    </row>
    <row r="9" spans="1:93" ht="15.5">
      <c r="A9" s="670"/>
      <c r="B9" s="830"/>
      <c r="C9" s="664"/>
      <c r="D9" s="664"/>
      <c r="E9" s="664"/>
      <c r="F9" s="664"/>
      <c r="G9" s="664"/>
      <c r="H9" s="664"/>
      <c r="I9" s="664"/>
      <c r="J9" s="664"/>
      <c r="K9" s="664"/>
      <c r="L9" s="664"/>
      <c r="M9" s="664"/>
      <c r="N9" s="664"/>
      <c r="O9" s="664"/>
      <c r="P9" s="664"/>
      <c r="Q9" s="664"/>
      <c r="R9" s="664"/>
      <c r="S9" s="664"/>
      <c r="T9" s="736"/>
      <c r="U9" s="736"/>
      <c r="V9" s="831"/>
      <c r="W9" s="664"/>
      <c r="X9" s="664"/>
      <c r="Y9" s="664"/>
      <c r="Z9" s="664"/>
      <c r="AA9" s="664"/>
      <c r="AB9" s="664"/>
      <c r="AC9" s="664"/>
      <c r="AD9" s="670"/>
      <c r="AJ9" s="812"/>
      <c r="AK9" s="812"/>
      <c r="AL9" s="820"/>
      <c r="AM9" s="820"/>
      <c r="AN9" s="820"/>
      <c r="AO9" s="820"/>
      <c r="AP9" s="816"/>
      <c r="AQ9" s="816"/>
      <c r="AR9" s="832"/>
      <c r="AS9" s="832"/>
      <c r="AT9" s="833"/>
      <c r="AU9" s="834"/>
      <c r="AV9" s="816"/>
      <c r="AW9" s="816"/>
      <c r="AX9" s="816"/>
      <c r="AY9" s="816"/>
      <c r="AZ9" s="822"/>
      <c r="BA9" s="812"/>
    </row>
    <row r="10" spans="1:93" s="837" customFormat="1" ht="39.75" customHeight="1">
      <c r="A10" s="683" t="s">
        <v>0</v>
      </c>
      <c r="B10" s="677" t="s">
        <v>4</v>
      </c>
      <c r="C10" s="677"/>
      <c r="D10" s="672" t="s">
        <v>143</v>
      </c>
      <c r="E10" s="677"/>
      <c r="F10" s="677"/>
      <c r="G10" s="677"/>
      <c r="H10" s="677"/>
      <c r="I10" s="677" t="s">
        <v>21</v>
      </c>
      <c r="J10" s="677"/>
      <c r="K10" s="677" t="s">
        <v>1</v>
      </c>
      <c r="L10" s="677" t="s">
        <v>23</v>
      </c>
      <c r="M10" s="677" t="s">
        <v>54</v>
      </c>
      <c r="N10" s="677" t="s">
        <v>24</v>
      </c>
      <c r="O10" s="678" t="s">
        <v>6</v>
      </c>
      <c r="P10" s="678" t="s">
        <v>7</v>
      </c>
      <c r="Q10" s="678" t="s">
        <v>8</v>
      </c>
      <c r="R10" s="678" t="s">
        <v>9</v>
      </c>
      <c r="S10" s="678"/>
      <c r="T10" s="679"/>
      <c r="U10" s="679" t="s">
        <v>127</v>
      </c>
      <c r="V10" s="677" t="s">
        <v>67</v>
      </c>
      <c r="W10" s="677" t="s">
        <v>62</v>
      </c>
      <c r="X10" s="672" t="s">
        <v>56</v>
      </c>
      <c r="Y10" s="680" t="s">
        <v>57</v>
      </c>
      <c r="Z10" s="681" t="s">
        <v>58</v>
      </c>
      <c r="AA10" s="672" t="s">
        <v>55</v>
      </c>
      <c r="AB10" s="672" t="s">
        <v>60</v>
      </c>
      <c r="AC10" s="682" t="s">
        <v>12725</v>
      </c>
      <c r="AD10" s="819"/>
      <c r="AE10" s="819"/>
      <c r="AF10" s="819"/>
      <c r="AG10" s="819"/>
      <c r="AH10" s="835"/>
      <c r="AI10" s="819"/>
      <c r="AJ10" s="672" t="s">
        <v>1299</v>
      </c>
      <c r="AK10" s="672" t="s">
        <v>0</v>
      </c>
      <c r="AL10" s="672" t="s">
        <v>1300</v>
      </c>
      <c r="AM10" s="672" t="s">
        <v>1301</v>
      </c>
      <c r="AN10" s="672" t="s">
        <v>1302</v>
      </c>
      <c r="AO10" s="672" t="s">
        <v>1303</v>
      </c>
      <c r="AP10" s="836"/>
      <c r="AQ10" s="836"/>
      <c r="AR10" s="836"/>
      <c r="AS10" s="836"/>
      <c r="AT10" s="836"/>
      <c r="AU10" s="836"/>
      <c r="AV10" s="836"/>
      <c r="AW10" s="836"/>
      <c r="AX10" s="836"/>
      <c r="AY10" s="836"/>
      <c r="AZ10" s="822"/>
      <c r="BA10" s="812"/>
      <c r="BB10" s="819"/>
      <c r="BC10" s="670"/>
      <c r="BD10" s="819"/>
      <c r="BE10" s="819"/>
      <c r="BF10" s="819"/>
      <c r="BG10" s="819"/>
      <c r="BH10" s="819"/>
      <c r="BI10" s="819"/>
      <c r="BJ10" s="819"/>
      <c r="BK10" s="819"/>
      <c r="BL10" s="819"/>
      <c r="BM10" s="819"/>
      <c r="BN10" s="819"/>
      <c r="BO10" s="819"/>
      <c r="BP10" s="819"/>
      <c r="BQ10" s="819"/>
      <c r="BR10" s="819"/>
      <c r="BS10" s="819"/>
      <c r="BT10" s="819"/>
      <c r="BU10" s="819"/>
      <c r="BV10" s="819"/>
      <c r="BW10" s="819"/>
      <c r="BX10" s="819"/>
      <c r="BY10" s="819"/>
      <c r="BZ10" s="819"/>
      <c r="CA10" s="819"/>
      <c r="CB10" s="819"/>
      <c r="CC10" s="819"/>
      <c r="CD10" s="819"/>
      <c r="CE10" s="819"/>
      <c r="CF10" s="819"/>
      <c r="CG10" s="819"/>
      <c r="CH10" s="819"/>
      <c r="CI10" s="819"/>
      <c r="CJ10" s="819"/>
      <c r="CK10" s="819"/>
      <c r="CL10" s="819"/>
      <c r="CM10" s="819"/>
      <c r="CN10" s="819"/>
      <c r="CO10" s="819"/>
    </row>
    <row r="11" spans="1:93">
      <c r="A11" s="684" t="s">
        <v>12946</v>
      </c>
      <c r="B11" s="685"/>
      <c r="C11" s="685"/>
      <c r="D11" s="685"/>
      <c r="E11" s="685"/>
      <c r="F11" s="685"/>
      <c r="G11" s="685"/>
      <c r="H11" s="685"/>
      <c r="I11" s="685"/>
      <c r="J11" s="685"/>
      <c r="K11" s="838"/>
      <c r="L11" s="685"/>
      <c r="M11" s="685"/>
      <c r="N11" s="685"/>
      <c r="O11" s="678"/>
      <c r="P11" s="678"/>
      <c r="Q11" s="678"/>
      <c r="R11" s="678"/>
      <c r="S11" s="678"/>
      <c r="T11" s="839"/>
      <c r="U11" s="839"/>
      <c r="V11" s="603" t="e">
        <f ca="1">SUM(V13:V154)+E164+E165</f>
        <v>#NAME?</v>
      </c>
      <c r="W11" s="684"/>
      <c r="X11" s="685" t="s">
        <v>59</v>
      </c>
      <c r="Y11" s="604">
        <f ca="1">TODAY()-1</f>
        <v>44727</v>
      </c>
      <c r="Z11" s="604">
        <f ca="1">+Y11</f>
        <v>44727</v>
      </c>
      <c r="AA11" s="685" t="s">
        <v>59</v>
      </c>
      <c r="AB11" s="684"/>
      <c r="AC11" s="604">
        <f ca="1">TODAY()-1</f>
        <v>44727</v>
      </c>
      <c r="AD11" s="670"/>
      <c r="AE11" s="840"/>
      <c r="AF11" s="840"/>
      <c r="AM11" s="841"/>
      <c r="AP11" s="816"/>
      <c r="AQ11" s="816"/>
      <c r="AR11" s="842"/>
      <c r="AS11" s="842"/>
      <c r="AT11" s="816"/>
      <c r="AU11" s="816"/>
      <c r="AV11" s="842"/>
      <c r="AW11" s="842"/>
      <c r="AX11" s="816"/>
      <c r="AY11" s="816"/>
      <c r="AZ11" s="842"/>
      <c r="BA11" s="843"/>
      <c r="BC11" s="736"/>
      <c r="BD11" s="843"/>
      <c r="BE11" s="843"/>
      <c r="BF11" s="736"/>
      <c r="BG11" s="736"/>
      <c r="BH11" s="736"/>
    </row>
    <row r="12" spans="1:93" s="670" customFormat="1" ht="14.65" customHeight="1">
      <c r="A12" s="844"/>
      <c r="B12" s="845"/>
      <c r="C12" s="845"/>
      <c r="D12" s="686" t="s">
        <v>143</v>
      </c>
      <c r="E12" s="845"/>
      <c r="F12" s="845"/>
      <c r="G12" s="845"/>
      <c r="H12" s="845"/>
      <c r="I12" s="845"/>
      <c r="J12" s="687" t="s">
        <v>1</v>
      </c>
      <c r="K12" s="687" t="s">
        <v>1</v>
      </c>
      <c r="L12" s="845"/>
      <c r="M12" s="846"/>
      <c r="N12" s="845"/>
      <c r="O12" s="846"/>
      <c r="P12" s="846"/>
      <c r="Q12" s="846"/>
      <c r="R12" s="846"/>
      <c r="S12" s="845"/>
      <c r="T12" s="847"/>
      <c r="U12" s="848"/>
      <c r="V12" s="849"/>
      <c r="W12" s="850"/>
      <c r="X12" s="850"/>
      <c r="Y12" s="850"/>
      <c r="Z12" s="850"/>
      <c r="AA12" s="850"/>
      <c r="AC12" s="850"/>
      <c r="AF12" s="663" t="s">
        <v>117</v>
      </c>
      <c r="AG12" s="605" t="str">
        <f t="shared" ref="AG12:AG50" si="0">+D12</f>
        <v>CAST_PARENT_ID</v>
      </c>
      <c r="AH12" s="606" t="str">
        <f t="shared" ref="AH12:AH50" si="1">+J12</f>
        <v>% Wgt (P)</v>
      </c>
      <c r="AL12" s="664"/>
      <c r="AM12" s="664"/>
      <c r="AN12" s="664"/>
      <c r="AO12" s="664"/>
      <c r="AP12" s="816"/>
      <c r="AQ12" s="816"/>
      <c r="AR12" s="688" t="s">
        <v>1304</v>
      </c>
      <c r="AS12" s="688"/>
      <c r="AT12" s="607" t="e">
        <f ca="1">+AO63</f>
        <v>#NAME?</v>
      </c>
      <c r="AU12" s="689" t="s">
        <v>1305</v>
      </c>
      <c r="AV12" s="218"/>
      <c r="AW12" s="218"/>
      <c r="AX12" s="218"/>
      <c r="AY12" s="218"/>
      <c r="AZ12" s="219"/>
      <c r="BB12" s="219"/>
      <c r="BD12" s="812"/>
      <c r="BE12" s="812"/>
      <c r="BH12" s="736"/>
    </row>
    <row r="13" spans="1:93">
      <c r="A13" s="670" t="s">
        <v>1232</v>
      </c>
      <c r="B13" s="664" t="s">
        <v>12889</v>
      </c>
      <c r="C13" s="608" t="str">
        <f t="shared" ref="C13:C40" si="2">IF(B13="","",B13)</f>
        <v>6752 JP</v>
      </c>
      <c r="D13" s="609" t="str">
        <f ca="1">IFERROR(_xll.BDP(C13&amp; " Equity","CAST_PARENT_NAME"),"")</f>
        <v/>
      </c>
      <c r="E13" s="610" t="e">
        <f ca="1">_xll.BDP(A13 &amp; " Equity","SECURITY_NAME")</f>
        <v>#NAME?</v>
      </c>
      <c r="F13" s="608" t="e">
        <f ca="1">+("EUR"&amp;N13&amp; " Curncy")</f>
        <v>#NAME?</v>
      </c>
      <c r="G13" s="611" t="e">
        <f ca="1">IF(N13="EUR",1,IF(N13="GBp",_xll.BDP(F13,"PX LAST")*100,_xll.BDP(F13,"PX LAST")))</f>
        <v>#NAME?</v>
      </c>
      <c r="H13" s="612" t="e">
        <f ca="1">+M13/G13</f>
        <v>#NAME?</v>
      </c>
      <c r="I13" s="612" t="e">
        <f ca="1">+H13</f>
        <v>#NAME?</v>
      </c>
      <c r="J13" s="613" t="e">
        <f t="shared" ref="J13:J40" ca="1" si="3">+K13</f>
        <v>#NAME?</v>
      </c>
      <c r="K13" s="614" t="e">
        <f ca="1">+V13/$V$11</f>
        <v>#NAME?</v>
      </c>
      <c r="L13" s="615">
        <f ca="1">SUMIF(TradesEquity!$E$11:$E$1823,A13,TradesEquity!$M$11:$M$1823)</f>
        <v>192500</v>
      </c>
      <c r="M13" s="616" t="e">
        <f ca="1">_xll.BDP(C13 &amp; " Equity","PX_LAST")</f>
        <v>#NAME?</v>
      </c>
      <c r="N13" s="617" t="e">
        <f ca="1">_xll.BDP(C13 &amp; " Equity","Crncy")</f>
        <v>#NAME?</v>
      </c>
      <c r="O13" s="665"/>
      <c r="P13" s="665"/>
      <c r="Q13" s="665"/>
      <c r="R13" s="665"/>
      <c r="S13" s="664"/>
      <c r="T13" s="616" t="e">
        <f ca="1">M13</f>
        <v>#NAME?</v>
      </c>
      <c r="U13" s="624" t="e">
        <f ca="1">+T13*L13</f>
        <v>#NAME?</v>
      </c>
      <c r="V13" s="625" t="e">
        <f ca="1">+I13*L13</f>
        <v>#NAME?</v>
      </c>
      <c r="W13" s="856"/>
      <c r="X13" s="629" t="e">
        <f t="shared" ref="X13:X40" ca="1" si="4">+M13/W13-1</f>
        <v>#NAME?</v>
      </c>
      <c r="Y13" s="630" t="e">
        <f ca="1">_xll.BDH(C13 &amp; " Equity","PX_LAST",$Y$11,$Y$11,"days=a","fill=p")</f>
        <v>#NAME?</v>
      </c>
      <c r="Z13" s="630" t="e">
        <f ca="1">IF(F13="EUREUR Curncy",1,_xll.BDH(F13,"last_price",Z$11,Z$11,"days=a","fill=p"))</f>
        <v>#NAME?</v>
      </c>
      <c r="AA13" s="629" t="e">
        <f t="shared" ref="AA13:AA40" ca="1" si="5">+M13/Y13-1</f>
        <v>#NAME?</v>
      </c>
      <c r="AB13" s="631" t="e">
        <f ca="1">+IF(N13="GBp",(V13-(L13*Y13/Z13/100)),V13-(L13*Y13/Z13))</f>
        <v>#NAME?</v>
      </c>
      <c r="AC13" s="666" t="s">
        <v>12726</v>
      </c>
      <c r="AD13" s="670"/>
      <c r="AF13" s="608" t="str">
        <f ca="1">D13</f>
        <v/>
      </c>
      <c r="AG13" s="636" t="str">
        <f t="shared" ca="1" si="0"/>
        <v/>
      </c>
      <c r="AH13" s="614" t="e">
        <f t="shared" ca="1" si="1"/>
        <v>#NAME?</v>
      </c>
      <c r="AJ13" s="636" t="str">
        <f>+A13</f>
        <v>JP3866800000</v>
      </c>
      <c r="AK13" s="636" t="e">
        <f ca="1">+E13</f>
        <v>#NAME?</v>
      </c>
      <c r="AL13" s="608" t="e">
        <f ca="1">_xll.BDP(C13 &amp; " Equity","COUNTRY")</f>
        <v>#NAME?</v>
      </c>
      <c r="AM13" s="608" t="e">
        <f ca="1">_xll.BDP(C13 &amp; " Equity","COUNTRY")</f>
        <v>#NAME?</v>
      </c>
      <c r="AN13" s="608" t="e">
        <f t="shared" ref="AN13:AN58" ca="1" si="6">N13</f>
        <v>#NAME?</v>
      </c>
      <c r="AO13" s="625" t="e">
        <f t="shared" ref="AO13:AO38" ca="1" si="7">+Y13/Z13*L13</f>
        <v>#NAME?</v>
      </c>
      <c r="AP13" s="762"/>
      <c r="AQ13" s="218"/>
      <c r="AR13" s="859"/>
      <c r="AS13" s="859"/>
      <c r="AT13" s="859"/>
      <c r="AU13" s="859"/>
      <c r="AV13" s="859"/>
      <c r="AW13" s="859"/>
      <c r="AX13" s="859"/>
      <c r="AY13" s="859"/>
      <c r="AZ13" s="219"/>
      <c r="BB13" s="819"/>
      <c r="BD13" s="691"/>
      <c r="BE13" s="691"/>
      <c r="BF13" s="819"/>
      <c r="BG13" s="819"/>
      <c r="BH13" s="736"/>
    </row>
    <row r="14" spans="1:93">
      <c r="A14" s="670" t="s">
        <v>1233</v>
      </c>
      <c r="B14" s="664" t="s">
        <v>12890</v>
      </c>
      <c r="C14" s="608" t="str">
        <f t="shared" si="2"/>
        <v>5713 JP</v>
      </c>
      <c r="D14" s="609" t="str">
        <f ca="1">IFERROR(_xll.BDP(C14&amp; " Equity","CAST_PARENT_NAME"),"")</f>
        <v/>
      </c>
      <c r="E14" s="610" t="e">
        <f ca="1">_xll.BDP(A14 &amp; " Equity","SECURITY_NAME")</f>
        <v>#NAME?</v>
      </c>
      <c r="F14" s="608" t="e">
        <f t="shared" ref="F14:F58" ca="1" si="8">+("EUR"&amp;N14&amp; " Curncy")</f>
        <v>#NAME?</v>
      </c>
      <c r="G14" s="611" t="e">
        <f ca="1">IF(N14="EUR",1,IF(N14="GBp",_xll.BDP(F14,"PX LAST")*100,_xll.BDP(F14,"PX LAST")))</f>
        <v>#NAME?</v>
      </c>
      <c r="H14" s="612" t="e">
        <f t="shared" ref="H14:H34" ca="1" si="9">+M14/G14</f>
        <v>#NAME?</v>
      </c>
      <c r="I14" s="612" t="e">
        <f t="shared" ref="I14:I49" ca="1" si="10">+H14</f>
        <v>#NAME?</v>
      </c>
      <c r="J14" s="613" t="e">
        <f t="shared" ca="1" si="3"/>
        <v>#NAME?</v>
      </c>
      <c r="K14" s="613" t="e">
        <f ca="1">+V14/$V$11</f>
        <v>#NAME?</v>
      </c>
      <c r="L14" s="615">
        <f ca="1">SUMIF(TradesEquity!$E$11:$E$1823,A14,TradesEquity!$M$11:$M$1823)</f>
        <v>17900</v>
      </c>
      <c r="M14" s="616" t="e">
        <f ca="1">_xll.BDP(C14 &amp; " Equity","PX_LAST")</f>
        <v>#NAME?</v>
      </c>
      <c r="N14" s="617" t="e">
        <f ca="1">_xll.BDP(C14 &amp; " Equity","Crncy")</f>
        <v>#NAME?</v>
      </c>
      <c r="O14" s="665"/>
      <c r="P14" s="665"/>
      <c r="Q14" s="665"/>
      <c r="R14" s="665"/>
      <c r="S14" s="664"/>
      <c r="T14" s="616" t="e">
        <f t="shared" ref="T14:T58" ca="1" si="11">M14</f>
        <v>#NAME?</v>
      </c>
      <c r="U14" s="624" t="e">
        <f ca="1">+T14*L14</f>
        <v>#NAME?</v>
      </c>
      <c r="V14" s="625" t="e">
        <f t="shared" ref="V14:V50" ca="1" si="12">+I14*L14</f>
        <v>#NAME?</v>
      </c>
      <c r="W14" s="856"/>
      <c r="X14" s="629" t="e">
        <f t="shared" ca="1" si="4"/>
        <v>#NAME?</v>
      </c>
      <c r="Y14" s="630" t="e">
        <f ca="1">_xll.BDH(C14 &amp; " Equity","PX_LAST",$Y$11,$Y$11,"days=a","fill=p")</f>
        <v>#NAME?</v>
      </c>
      <c r="Z14" s="630" t="e">
        <f ca="1">IF(F14="EUREUR Curncy",1,_xll.BDH(F14,"last_price",Z$11,Z$11,"days=a","fill=p"))</f>
        <v>#NAME?</v>
      </c>
      <c r="AA14" s="629" t="e">
        <f t="shared" ca="1" si="5"/>
        <v>#NAME?</v>
      </c>
      <c r="AB14" s="631" t="e">
        <f ca="1">+IF(N14="GBp",(V14-(L14*Y14/Z14/100)),V14-(L14*Y14/Z14))</f>
        <v>#NAME?</v>
      </c>
      <c r="AC14" s="666" t="s">
        <v>12726</v>
      </c>
      <c r="AD14" s="670"/>
      <c r="AF14" s="608" t="str">
        <f t="shared" ref="AF14:AF58" ca="1" si="13">D14</f>
        <v/>
      </c>
      <c r="AG14" s="636" t="str">
        <f t="shared" ca="1" si="0"/>
        <v/>
      </c>
      <c r="AH14" s="614" t="e">
        <f t="shared" ca="1" si="1"/>
        <v>#NAME?</v>
      </c>
      <c r="AJ14" s="636" t="str">
        <f t="shared" ref="AJ14:AJ39" si="14">+A14</f>
        <v>JP3402600005</v>
      </c>
      <c r="AK14" s="636" t="e">
        <f t="shared" ref="AK14:AK39" ca="1" si="15">+E14</f>
        <v>#NAME?</v>
      </c>
      <c r="AL14" s="608" t="e">
        <f ca="1">_xll.BDP(C14 &amp; " Equity","COUNTRY")</f>
        <v>#NAME?</v>
      </c>
      <c r="AM14" s="608" t="e">
        <f ca="1">_xll.BDP(C14 &amp; " Equity","COUNTRY")</f>
        <v>#NAME?</v>
      </c>
      <c r="AN14" s="608" t="e">
        <f t="shared" ca="1" si="6"/>
        <v>#NAME?</v>
      </c>
      <c r="AO14" s="625" t="e">
        <f t="shared" ca="1" si="7"/>
        <v>#NAME?</v>
      </c>
      <c r="AP14" s="762"/>
      <c r="AQ14" s="218"/>
      <c r="AR14" s="695" t="s">
        <v>1306</v>
      </c>
      <c r="AS14" s="695"/>
      <c r="AT14" s="860"/>
      <c r="AU14" s="218"/>
      <c r="AV14" s="695" t="s">
        <v>1301</v>
      </c>
      <c r="AW14" s="695"/>
      <c r="AX14" s="860"/>
      <c r="AY14" s="218"/>
      <c r="AZ14" s="695" t="s">
        <v>1307</v>
      </c>
      <c r="BA14" s="861"/>
      <c r="BC14" s="736"/>
      <c r="BD14" s="691"/>
      <c r="BE14" s="691" t="s">
        <v>1633</v>
      </c>
      <c r="BF14" s="736"/>
      <c r="BG14" s="736"/>
      <c r="BH14" s="736"/>
    </row>
    <row r="15" spans="1:93" s="690" customFormat="1">
      <c r="A15" s="690" t="s">
        <v>1234</v>
      </c>
      <c r="B15" s="667" t="s">
        <v>12914</v>
      </c>
      <c r="C15" s="618" t="str">
        <f t="shared" si="2"/>
        <v>4080 JP</v>
      </c>
      <c r="D15" s="609" t="str">
        <f ca="1">IFERROR(_xll.BDP(C15&amp; " Equity","CAST_PARENT_NAME"),"")</f>
        <v/>
      </c>
      <c r="E15" s="610" t="e">
        <f ca="1">_xll.BDP(A15 &amp; " Equity","SECURITY_NAME")</f>
        <v>#NAME?</v>
      </c>
      <c r="F15" s="608" t="e">
        <f t="shared" ca="1" si="8"/>
        <v>#NAME?</v>
      </c>
      <c r="G15" s="611" t="e">
        <f ca="1">IF(N15="EUR",1,IF(N15="GBp",_xll.BDP(F15,"PX LAST")*100,_xll.BDP(F15,"PX LAST")))</f>
        <v>#NAME?</v>
      </c>
      <c r="H15" s="619" t="e">
        <f t="shared" ca="1" si="9"/>
        <v>#NAME?</v>
      </c>
      <c r="I15" s="619" t="e">
        <f t="shared" ca="1" si="10"/>
        <v>#NAME?</v>
      </c>
      <c r="J15" s="620" t="e">
        <f t="shared" ca="1" si="3"/>
        <v>#NAME?</v>
      </c>
      <c r="K15" s="620" t="e">
        <f t="shared" ref="K15:K33" ca="1" si="16">+V15/$V$11</f>
        <v>#NAME?</v>
      </c>
      <c r="L15" s="615">
        <f ca="1">SUMIF(TradesEquity!$E$11:$E$1823,A15,TradesEquity!$M$11:$M$1823)</f>
        <v>16900</v>
      </c>
      <c r="M15" s="616" t="e">
        <f ca="1">_xll.BDP(C15 &amp; " Equity","PX_LAST")</f>
        <v>#NAME?</v>
      </c>
      <c r="N15" s="617" t="e">
        <f ca="1">_xll.BDP(C15 &amp; " Equity","Crncy")</f>
        <v>#NAME?</v>
      </c>
      <c r="O15" s="862"/>
      <c r="P15" s="862"/>
      <c r="Q15" s="862"/>
      <c r="R15" s="862"/>
      <c r="S15" s="667"/>
      <c r="T15" s="616" t="e">
        <f t="shared" ca="1" si="11"/>
        <v>#NAME?</v>
      </c>
      <c r="U15" s="626" t="e">
        <f t="shared" ref="U15:U33" ca="1" si="17">+T15*L15</f>
        <v>#NAME?</v>
      </c>
      <c r="V15" s="625" t="e">
        <f t="shared" ca="1" si="12"/>
        <v>#NAME?</v>
      </c>
      <c r="W15" s="863"/>
      <c r="X15" s="632" t="e">
        <f t="shared" ca="1" si="4"/>
        <v>#NAME?</v>
      </c>
      <c r="Y15" s="630" t="e">
        <f ca="1">_xll.BDH(C15 &amp; " Equity","PX_LAST",$Y$11,$Y$11,"days=a","fill=p")</f>
        <v>#NAME?</v>
      </c>
      <c r="Z15" s="630" t="e">
        <f ca="1">IF(F15="EUREUR Curncy",1,_xll.BDH(F15,"last_price",Z$11,Z$11,"days=a","fill=p"))</f>
        <v>#NAME?</v>
      </c>
      <c r="AA15" s="632" t="e">
        <f t="shared" ca="1" si="5"/>
        <v>#NAME?</v>
      </c>
      <c r="AB15" s="633" t="e">
        <f t="shared" ref="AB15:AB33" ca="1" si="18">+IF(N15="GBp",(V15-(L15*Y15/Z15/100)),V15-(L15*Y15/Z15))</f>
        <v>#NAME?</v>
      </c>
      <c r="AC15" s="666" t="s">
        <v>12726</v>
      </c>
      <c r="AF15" s="608" t="str">
        <f t="shared" ca="1" si="13"/>
        <v/>
      </c>
      <c r="AG15" s="636" t="str">
        <f t="shared" ca="1" si="0"/>
        <v/>
      </c>
      <c r="AH15" s="614" t="e">
        <f t="shared" ca="1" si="1"/>
        <v>#NAME?</v>
      </c>
      <c r="AJ15" s="636" t="e">
        <f ca="1">_xll.BDP("AAPL US EQUITY", "COUNTRY_FULL_NAME")</f>
        <v>#NAME?</v>
      </c>
      <c r="AK15" s="636" t="e">
        <f t="shared" ca="1" si="15"/>
        <v>#NAME?</v>
      </c>
      <c r="AL15" s="608" t="e">
        <f ca="1">_xll.BDP(C15 &amp; " Equity","COUNTRY")</f>
        <v>#NAME?</v>
      </c>
      <c r="AM15" s="608" t="e">
        <f ca="1">_xll.BDP(C15 &amp; " Equity","COUNTRY")</f>
        <v>#NAME?</v>
      </c>
      <c r="AN15" s="608" t="e">
        <f t="shared" ca="1" si="6"/>
        <v>#NAME?</v>
      </c>
      <c r="AO15" s="625" t="e">
        <f t="shared" ca="1" si="7"/>
        <v>#NAME?</v>
      </c>
      <c r="AP15" s="864"/>
      <c r="AQ15" s="865"/>
      <c r="AR15" s="696" t="s">
        <v>1308</v>
      </c>
      <c r="AS15" s="696"/>
      <c r="AT15" s="866"/>
      <c r="AU15" s="765"/>
      <c r="AV15" s="696" t="s">
        <v>1308</v>
      </c>
      <c r="AW15" s="696"/>
      <c r="AX15" s="866"/>
      <c r="AY15" s="765"/>
      <c r="AZ15" s="696" t="s">
        <v>1308</v>
      </c>
      <c r="BA15" s="867"/>
      <c r="BC15" s="868"/>
      <c r="BD15" s="692"/>
      <c r="BE15" s="692" t="s">
        <v>1634</v>
      </c>
      <c r="BF15" s="868"/>
      <c r="BG15" s="868"/>
      <c r="BH15" s="868"/>
    </row>
    <row r="16" spans="1:93">
      <c r="A16" s="670" t="s">
        <v>1235</v>
      </c>
      <c r="B16" s="664" t="s">
        <v>12915</v>
      </c>
      <c r="C16" s="608" t="str">
        <f t="shared" si="2"/>
        <v>4092 JP</v>
      </c>
      <c r="D16" s="609" t="str">
        <f ca="1">IFERROR(_xll.BDP(C16&amp; " Equity","CAST_PARENT_NAME"),"")</f>
        <v/>
      </c>
      <c r="E16" s="610" t="e">
        <f ca="1">_xll.BDP(A16 &amp; " Equity","SECURITY_NAME")</f>
        <v>#NAME?</v>
      </c>
      <c r="F16" s="608" t="e">
        <f t="shared" ca="1" si="8"/>
        <v>#NAME?</v>
      </c>
      <c r="G16" s="611" t="e">
        <f ca="1">IF(N16="EUR",1,IF(N16="GBp",_xll.BDP(F16,"PX LAST")*100,_xll.BDP(F16,"PX LAST")))</f>
        <v>#NAME?</v>
      </c>
      <c r="H16" s="612" t="e">
        <f t="shared" ca="1" si="9"/>
        <v>#NAME?</v>
      </c>
      <c r="I16" s="612" t="e">
        <f t="shared" ca="1" si="10"/>
        <v>#NAME?</v>
      </c>
      <c r="J16" s="613" t="e">
        <f t="shared" ca="1" si="3"/>
        <v>#NAME?</v>
      </c>
      <c r="K16" s="613" t="e">
        <f t="shared" ca="1" si="16"/>
        <v>#NAME?</v>
      </c>
      <c r="L16" s="615">
        <f ca="1">SUMIF(TradesEquity!$E$11:$E$1823,A16,TradesEquity!$M$11:$M$1823)</f>
        <v>12000</v>
      </c>
      <c r="M16" s="616" t="e">
        <f ca="1">_xll.BDP(C16 &amp; " Equity","PX_LAST")</f>
        <v>#NAME?</v>
      </c>
      <c r="N16" s="617" t="e">
        <f ca="1">_xll.BDP(C16 &amp; " Equity","Crncy")</f>
        <v>#NAME?</v>
      </c>
      <c r="O16" s="665"/>
      <c r="P16" s="665"/>
      <c r="Q16" s="665"/>
      <c r="R16" s="665"/>
      <c r="S16" s="664"/>
      <c r="T16" s="616" t="e">
        <f t="shared" ca="1" si="11"/>
        <v>#NAME?</v>
      </c>
      <c r="U16" s="624" t="e">
        <f t="shared" ca="1" si="17"/>
        <v>#NAME?</v>
      </c>
      <c r="V16" s="625" t="e">
        <f t="shared" ca="1" si="12"/>
        <v>#NAME?</v>
      </c>
      <c r="W16" s="856"/>
      <c r="X16" s="629" t="e">
        <f t="shared" ca="1" si="4"/>
        <v>#NAME?</v>
      </c>
      <c r="Y16" s="630" t="e">
        <f ca="1">_xll.BDH(C16 &amp; " Equity","PX_LAST",$Y$11,$Y$11,"days=a","fill=p")</f>
        <v>#NAME?</v>
      </c>
      <c r="Z16" s="630" t="e">
        <f ca="1">IF(F16="EUREUR Curncy",1,_xll.BDH(F16,"last_price",Z$11,Z$11,"days=a","fill=p"))</f>
        <v>#NAME?</v>
      </c>
      <c r="AA16" s="629" t="e">
        <f t="shared" ca="1" si="5"/>
        <v>#NAME?</v>
      </c>
      <c r="AB16" s="631" t="e">
        <f t="shared" ca="1" si="18"/>
        <v>#NAME?</v>
      </c>
      <c r="AC16" s="666" t="s">
        <v>12726</v>
      </c>
      <c r="AD16" s="670"/>
      <c r="AF16" s="608" t="str">
        <f t="shared" ca="1" si="13"/>
        <v/>
      </c>
      <c r="AG16" s="636" t="str">
        <f t="shared" ca="1" si="0"/>
        <v/>
      </c>
      <c r="AH16" s="614" t="e">
        <f t="shared" ca="1" si="1"/>
        <v>#NAME?</v>
      </c>
      <c r="AJ16" s="636" t="str">
        <f t="shared" si="14"/>
        <v>JP3691600005</v>
      </c>
      <c r="AK16" s="636" t="e">
        <f t="shared" ca="1" si="15"/>
        <v>#NAME?</v>
      </c>
      <c r="AL16" s="608" t="e">
        <f ca="1">_xll.BDP(C16 &amp; " Equity","COUNTRY")</f>
        <v>#NAME?</v>
      </c>
      <c r="AM16" s="608" t="e">
        <f ca="1">_xll.BDP(C16 &amp; " Equity","COUNTRY")</f>
        <v>#NAME?</v>
      </c>
      <c r="AN16" s="608" t="e">
        <f t="shared" ca="1" si="6"/>
        <v>#NAME?</v>
      </c>
      <c r="AO16" s="625" t="e">
        <f t="shared" ca="1" si="7"/>
        <v>#NAME?</v>
      </c>
      <c r="AP16" s="869"/>
      <c r="AQ16" s="816"/>
      <c r="AR16" s="694" t="s">
        <v>1309</v>
      </c>
      <c r="AS16" s="694" t="s">
        <v>12948</v>
      </c>
      <c r="AT16" s="642">
        <f ca="1">SUMIF($AL$13:$AL$174,AS16,$AO$13:$AO$175)</f>
        <v>0</v>
      </c>
      <c r="AU16" s="218"/>
      <c r="AV16" s="694" t="s">
        <v>1309</v>
      </c>
      <c r="AW16" s="694" t="s">
        <v>12948</v>
      </c>
      <c r="AX16" s="639">
        <f ca="1">SUMIF($AM$13:$AM$175,AW16,$AO$13:$AO$176)</f>
        <v>0</v>
      </c>
      <c r="AY16" s="218"/>
      <c r="AZ16" s="694" t="s">
        <v>123</v>
      </c>
      <c r="BA16" s="641">
        <f ca="1">SUMIF($AN$13:$AN$173,AZ16,$AO$13:$AO$176)</f>
        <v>0</v>
      </c>
      <c r="BC16" s="736"/>
      <c r="BD16" s="691" t="s">
        <v>1635</v>
      </c>
      <c r="BE16" s="693" t="s">
        <v>151</v>
      </c>
      <c r="BF16" s="736"/>
      <c r="BG16" s="736"/>
      <c r="BH16" s="736"/>
    </row>
    <row r="17" spans="1:60">
      <c r="A17" s="670" t="s">
        <v>1236</v>
      </c>
      <c r="B17" s="664" t="s">
        <v>12916</v>
      </c>
      <c r="C17" s="608" t="str">
        <f t="shared" si="2"/>
        <v>4100 JP</v>
      </c>
      <c r="D17" s="609" t="str">
        <f ca="1">IFERROR(_xll.BDP(C17&amp; " Equity","CAST_PARENT_NAME"),"")</f>
        <v/>
      </c>
      <c r="E17" s="610" t="e">
        <f ca="1">_xll.BDP(A17 &amp; " Equity","SECURITY_NAME")</f>
        <v>#NAME?</v>
      </c>
      <c r="F17" s="608" t="e">
        <f t="shared" ca="1" si="8"/>
        <v>#NAME?</v>
      </c>
      <c r="G17" s="611" t="e">
        <f ca="1">IF(N17="EUR",1,IF(N17="GBp",_xll.BDP(F17,"PX LAST")*100,_xll.BDP(F17,"PX LAST")))</f>
        <v>#NAME?</v>
      </c>
      <c r="H17" s="612" t="e">
        <f t="shared" ca="1" si="9"/>
        <v>#NAME?</v>
      </c>
      <c r="I17" s="612" t="e">
        <f t="shared" ca="1" si="10"/>
        <v>#NAME?</v>
      </c>
      <c r="J17" s="613" t="e">
        <f t="shared" ca="1" si="3"/>
        <v>#NAME?</v>
      </c>
      <c r="K17" s="613" t="e">
        <f t="shared" ca="1" si="16"/>
        <v>#NAME?</v>
      </c>
      <c r="L17" s="615">
        <f ca="1">SUMIF(TradesEquity!$E$11:$E$1823,A17,TradesEquity!$M$11:$M$1823)</f>
        <v>50000</v>
      </c>
      <c r="M17" s="616" t="e">
        <f ca="1">_xll.BDP(C17 &amp; " Equity","PX_LAST")</f>
        <v>#NAME?</v>
      </c>
      <c r="N17" s="617" t="e">
        <f ca="1">_xll.BDP(C17 &amp; " Equity","Crncy")</f>
        <v>#NAME?</v>
      </c>
      <c r="O17" s="665"/>
      <c r="P17" s="665"/>
      <c r="Q17" s="665"/>
      <c r="R17" s="665"/>
      <c r="S17" s="664"/>
      <c r="T17" s="616" t="e">
        <f t="shared" ca="1" si="11"/>
        <v>#NAME?</v>
      </c>
      <c r="U17" s="624" t="e">
        <f t="shared" ca="1" si="17"/>
        <v>#NAME?</v>
      </c>
      <c r="V17" s="625" t="e">
        <f t="shared" ca="1" si="12"/>
        <v>#NAME?</v>
      </c>
      <c r="W17" s="856"/>
      <c r="X17" s="629" t="e">
        <f t="shared" ca="1" si="4"/>
        <v>#NAME?</v>
      </c>
      <c r="Y17" s="630" t="e">
        <f ca="1">_xll.BDH(C17 &amp; " Equity","PX_LAST",$Y$11,$Y$11,"days=a","fill=p")</f>
        <v>#NAME?</v>
      </c>
      <c r="Z17" s="630" t="e">
        <f ca="1">IF(F17="EUREUR Curncy",1,_xll.BDH(F17,"last_price",Z$11,Z$11,"days=a","fill=p"))</f>
        <v>#NAME?</v>
      </c>
      <c r="AA17" s="629" t="e">
        <f t="shared" ca="1" si="5"/>
        <v>#NAME?</v>
      </c>
      <c r="AB17" s="631" t="e">
        <f t="shared" ca="1" si="18"/>
        <v>#NAME?</v>
      </c>
      <c r="AC17" s="666" t="s">
        <v>12726</v>
      </c>
      <c r="AD17" s="670"/>
      <c r="AF17" s="608" t="str">
        <f t="shared" ca="1" si="13"/>
        <v/>
      </c>
      <c r="AG17" s="636" t="str">
        <f t="shared" ca="1" si="0"/>
        <v/>
      </c>
      <c r="AH17" s="614" t="e">
        <f t="shared" ca="1" si="1"/>
        <v>#NAME?</v>
      </c>
      <c r="AJ17" s="636" t="str">
        <f t="shared" si="14"/>
        <v>JP3627400009</v>
      </c>
      <c r="AK17" s="636" t="e">
        <f t="shared" ca="1" si="15"/>
        <v>#NAME?</v>
      </c>
      <c r="AL17" s="608" t="e">
        <f ca="1">_xll.BDP(C17 &amp; " Equity","COUNTRY")</f>
        <v>#NAME?</v>
      </c>
      <c r="AM17" s="608" t="e">
        <f ca="1">_xll.BDP(C17 &amp; " Equity","COUNTRY")</f>
        <v>#NAME?</v>
      </c>
      <c r="AN17" s="608" t="e">
        <f t="shared" ca="1" si="6"/>
        <v>#NAME?</v>
      </c>
      <c r="AO17" s="625" t="e">
        <f t="shared" ca="1" si="7"/>
        <v>#NAME?</v>
      </c>
      <c r="AP17" s="869"/>
      <c r="AQ17" s="816"/>
      <c r="AR17" s="694" t="s">
        <v>1310</v>
      </c>
      <c r="AS17" s="694" t="s">
        <v>12947</v>
      </c>
      <c r="AT17" s="642">
        <f ca="1">SUMIF($AL$13:$AL$174,AS17,$AO$13:$AO$175)</f>
        <v>0</v>
      </c>
      <c r="AU17" s="870"/>
      <c r="AV17" s="694" t="s">
        <v>1310</v>
      </c>
      <c r="AW17" s="694" t="s">
        <v>12947</v>
      </c>
      <c r="AX17" s="639">
        <f ca="1">SUMIF($AM$13:$AM$175,AW17,$AO$13:$AO$176)</f>
        <v>0</v>
      </c>
      <c r="AY17" s="218"/>
      <c r="AZ17" s="694" t="s">
        <v>125</v>
      </c>
      <c r="BA17" s="641">
        <f ca="1">SUMIF($AN$13:$AN$173,AZ17,$AO$13:$AO$176)</f>
        <v>0</v>
      </c>
      <c r="BC17" s="736"/>
      <c r="BD17" s="691" t="s">
        <v>1635</v>
      </c>
      <c r="BE17" s="693" t="s">
        <v>151</v>
      </c>
      <c r="BF17" s="736"/>
      <c r="BG17" s="736"/>
      <c r="BH17" s="736"/>
    </row>
    <row r="18" spans="1:60">
      <c r="A18" s="670" t="s">
        <v>1237</v>
      </c>
      <c r="B18" s="664" t="s">
        <v>12891</v>
      </c>
      <c r="C18" s="608" t="str">
        <f t="shared" si="2"/>
        <v>4004 JP</v>
      </c>
      <c r="D18" s="609" t="str">
        <f ca="1">IFERROR(_xll.BDP(C18&amp; " Equity","CAST_PARENT_NAME"),"")</f>
        <v/>
      </c>
      <c r="E18" s="610" t="e">
        <f ca="1">_xll.BDP(A18 &amp; " Equity","SECURITY_NAME")</f>
        <v>#NAME?</v>
      </c>
      <c r="F18" s="608" t="e">
        <f t="shared" ca="1" si="8"/>
        <v>#NAME?</v>
      </c>
      <c r="G18" s="611" t="e">
        <f ca="1">IF(N18="EUR",1,IF(N18="GBp",_xll.BDP(F18,"PX LAST")*100,_xll.BDP(F18,"PX LAST")))</f>
        <v>#NAME?</v>
      </c>
      <c r="H18" s="612" t="e">
        <f t="shared" ca="1" si="9"/>
        <v>#NAME?</v>
      </c>
      <c r="I18" s="612" t="e">
        <f t="shared" ca="1" si="10"/>
        <v>#NAME?</v>
      </c>
      <c r="J18" s="613" t="e">
        <f t="shared" ca="1" si="3"/>
        <v>#NAME?</v>
      </c>
      <c r="K18" s="613" t="e">
        <f t="shared" ca="1" si="16"/>
        <v>#NAME?</v>
      </c>
      <c r="L18" s="615">
        <f ca="1">SUMIF(TradesEquity!$E$11:$E$1823,A18,TradesEquity!$M$11:$M$1823)</f>
        <v>26700</v>
      </c>
      <c r="M18" s="616" t="e">
        <f ca="1">_xll.BDP(C18 &amp; " Equity","PX_LAST")</f>
        <v>#NAME?</v>
      </c>
      <c r="N18" s="617" t="e">
        <f ca="1">_xll.BDP(C18 &amp; " Equity","Crncy")</f>
        <v>#NAME?</v>
      </c>
      <c r="O18" s="665"/>
      <c r="P18" s="665"/>
      <c r="Q18" s="665"/>
      <c r="R18" s="665"/>
      <c r="S18" s="664"/>
      <c r="T18" s="616" t="e">
        <f t="shared" ca="1" si="11"/>
        <v>#NAME?</v>
      </c>
      <c r="U18" s="624" t="e">
        <f t="shared" ca="1" si="17"/>
        <v>#NAME?</v>
      </c>
      <c r="V18" s="625" t="e">
        <f t="shared" ca="1" si="12"/>
        <v>#NAME?</v>
      </c>
      <c r="W18" s="856"/>
      <c r="X18" s="629" t="e">
        <f t="shared" ca="1" si="4"/>
        <v>#NAME?</v>
      </c>
      <c r="Y18" s="630" t="e">
        <f ca="1">_xll.BDH(C18 &amp; " Equity","PX_LAST",$Y$11,$Y$11,"days=a","fill=p")</f>
        <v>#NAME?</v>
      </c>
      <c r="Z18" s="630" t="e">
        <f ca="1">IF(F18="EUREUR Curncy",1,_xll.BDH(F18,"last_price",Z$11,Z$11,"days=a","fill=p"))</f>
        <v>#NAME?</v>
      </c>
      <c r="AA18" s="629" t="e">
        <f t="shared" ca="1" si="5"/>
        <v>#NAME?</v>
      </c>
      <c r="AB18" s="631" t="e">
        <f t="shared" ca="1" si="18"/>
        <v>#NAME?</v>
      </c>
      <c r="AC18" s="666" t="s">
        <v>12726</v>
      </c>
      <c r="AD18" s="670"/>
      <c r="AF18" s="608" t="str">
        <f t="shared" ca="1" si="13"/>
        <v/>
      </c>
      <c r="AG18" s="636" t="str">
        <f t="shared" ca="1" si="0"/>
        <v/>
      </c>
      <c r="AH18" s="614" t="e">
        <f t="shared" ca="1" si="1"/>
        <v>#NAME?</v>
      </c>
      <c r="AJ18" s="636" t="str">
        <f t="shared" si="14"/>
        <v>JP3368000000</v>
      </c>
      <c r="AK18" s="636" t="e">
        <f t="shared" ca="1" si="15"/>
        <v>#NAME?</v>
      </c>
      <c r="AL18" s="608" t="e">
        <f ca="1">_xll.BDP(C18 &amp; " Equity","COUNTRY")</f>
        <v>#NAME?</v>
      </c>
      <c r="AM18" s="608" t="e">
        <f ca="1">_xll.BDP(C18 &amp; " Equity","COUNTRY")</f>
        <v>#NAME?</v>
      </c>
      <c r="AN18" s="608" t="e">
        <f t="shared" ca="1" si="6"/>
        <v>#NAME?</v>
      </c>
      <c r="AO18" s="625" t="e">
        <f t="shared" ca="1" si="7"/>
        <v>#NAME?</v>
      </c>
      <c r="AP18" s="869"/>
      <c r="AQ18" s="816"/>
      <c r="AR18" s="694" t="s">
        <v>1311</v>
      </c>
      <c r="AS18" s="694" t="s">
        <v>1516</v>
      </c>
      <c r="AT18" s="642">
        <f ca="1">SUMIF($AL$13:$AL$174,AS18,$AO$13:$AO$175)</f>
        <v>0</v>
      </c>
      <c r="AU18" s="218"/>
      <c r="AV18" s="694" t="s">
        <v>1311</v>
      </c>
      <c r="AW18" s="694" t="s">
        <v>1516</v>
      </c>
      <c r="AX18" s="639">
        <f ca="1">SUMIF($AM$13:$AM$175,AW18,$AO$13:$AO$176)</f>
        <v>0</v>
      </c>
      <c r="AY18" s="218"/>
      <c r="AZ18" s="694" t="s">
        <v>1100</v>
      </c>
      <c r="BA18" s="641">
        <f ca="1">SUMIF($AN$13:$AN$173,AZ18,$AO$13:$AO$176)</f>
        <v>0</v>
      </c>
      <c r="BC18" s="736"/>
      <c r="BD18" s="691"/>
      <c r="BE18" s="693"/>
      <c r="BF18" s="736"/>
      <c r="BG18" s="736"/>
      <c r="BH18" s="736"/>
    </row>
    <row r="19" spans="1:60">
      <c r="A19" s="670" t="s">
        <v>1239</v>
      </c>
      <c r="B19" s="664" t="s">
        <v>12917</v>
      </c>
      <c r="C19" s="608" t="str">
        <f t="shared" si="2"/>
        <v>5302 JP</v>
      </c>
      <c r="D19" s="609" t="str">
        <f ca="1">IFERROR(_xll.BDP(C19&amp; " Equity","CAST_PARENT_NAME"),"")</f>
        <v/>
      </c>
      <c r="E19" s="610" t="e">
        <f ca="1">_xll.BDP(A19 &amp; " Equity","SECURITY_NAME")</f>
        <v>#NAME?</v>
      </c>
      <c r="F19" s="608" t="e">
        <f t="shared" ca="1" si="8"/>
        <v>#NAME?</v>
      </c>
      <c r="G19" s="611" t="e">
        <f ca="1">IF(N19="EUR",1,IF(N19="GBp",_xll.BDP(F19,"PX LAST")*100,_xll.BDP(F19,"PX LAST")))</f>
        <v>#NAME?</v>
      </c>
      <c r="H19" s="612" t="e">
        <f t="shared" ca="1" si="9"/>
        <v>#NAME?</v>
      </c>
      <c r="I19" s="612" t="e">
        <f t="shared" ca="1" si="10"/>
        <v>#NAME?</v>
      </c>
      <c r="J19" s="613" t="e">
        <f t="shared" ca="1" si="3"/>
        <v>#NAME?</v>
      </c>
      <c r="K19" s="613" t="e">
        <f t="shared" ca="1" si="16"/>
        <v>#NAME?</v>
      </c>
      <c r="L19" s="615">
        <f ca="1">SUMIF(TradesEquity!$E$11:$E$1823,A19,TradesEquity!$M$11:$M$1823)</f>
        <v>3800</v>
      </c>
      <c r="M19" s="616" t="e">
        <f ca="1">_xll.BDP(C19 &amp; " Equity","PX_LAST")</f>
        <v>#NAME?</v>
      </c>
      <c r="N19" s="617" t="e">
        <f ca="1">_xll.BDP(C19 &amp; " Equity","Crncy")</f>
        <v>#NAME?</v>
      </c>
      <c r="O19" s="665"/>
      <c r="P19" s="665"/>
      <c r="Q19" s="665"/>
      <c r="R19" s="665"/>
      <c r="S19" s="664"/>
      <c r="T19" s="616" t="e">
        <f t="shared" ca="1" si="11"/>
        <v>#NAME?</v>
      </c>
      <c r="U19" s="624" t="e">
        <f t="shared" ca="1" si="17"/>
        <v>#NAME?</v>
      </c>
      <c r="V19" s="625" t="e">
        <f t="shared" ca="1" si="12"/>
        <v>#NAME?</v>
      </c>
      <c r="W19" s="856"/>
      <c r="X19" s="629" t="e">
        <f t="shared" ca="1" si="4"/>
        <v>#NAME?</v>
      </c>
      <c r="Y19" s="630" t="e">
        <f ca="1">_xll.BDH(C19 &amp; " Equity","PX_LAST",$Y$11,$Y$11,"days=a","fill=p")</f>
        <v>#NAME?</v>
      </c>
      <c r="Z19" s="630" t="e">
        <f ca="1">IF(F19="EUREUR Curncy",1,_xll.BDH(F19,"last_price",Z$11,Z$11,"days=a","fill=p"))</f>
        <v>#NAME?</v>
      </c>
      <c r="AA19" s="629" t="e">
        <f t="shared" ca="1" si="5"/>
        <v>#NAME?</v>
      </c>
      <c r="AB19" s="631" t="e">
        <f t="shared" ca="1" si="18"/>
        <v>#NAME?</v>
      </c>
      <c r="AC19" s="666" t="s">
        <v>12726</v>
      </c>
      <c r="AD19" s="670"/>
      <c r="AF19" s="608" t="str">
        <f t="shared" ca="1" si="13"/>
        <v/>
      </c>
      <c r="AG19" s="636" t="str">
        <f t="shared" ca="1" si="0"/>
        <v/>
      </c>
      <c r="AH19" s="614" t="e">
        <f t="shared" ca="1" si="1"/>
        <v>#NAME?</v>
      </c>
      <c r="AJ19" s="636" t="str">
        <f t="shared" si="14"/>
        <v>JP3690400001</v>
      </c>
      <c r="AK19" s="636" t="e">
        <f t="shared" ca="1" si="15"/>
        <v>#NAME?</v>
      </c>
      <c r="AL19" s="608" t="e">
        <f ca="1">_xll.BDP(C19 &amp; " Equity","COUNTRY")</f>
        <v>#NAME?</v>
      </c>
      <c r="AM19" s="608" t="e">
        <f ca="1">_xll.BDP(C19 &amp; " Equity","COUNTRY")</f>
        <v>#NAME?</v>
      </c>
      <c r="AN19" s="608" t="e">
        <f t="shared" ca="1" si="6"/>
        <v>#NAME?</v>
      </c>
      <c r="AO19" s="625" t="e">
        <f t="shared" ca="1" si="7"/>
        <v>#NAME?</v>
      </c>
      <c r="AP19" s="869"/>
      <c r="AQ19" s="816"/>
      <c r="AR19" s="694" t="s">
        <v>1312</v>
      </c>
      <c r="AS19" s="694" t="s">
        <v>1772</v>
      </c>
      <c r="AT19" s="642">
        <f ca="1">SUMIF($AL$13:$AL$174,AS19,$AO$13:$AO$175)</f>
        <v>0</v>
      </c>
      <c r="AU19" s="218"/>
      <c r="AV19" s="694" t="s">
        <v>1312</v>
      </c>
      <c r="AW19" s="694" t="s">
        <v>1772</v>
      </c>
      <c r="AX19" s="639">
        <f ca="1">SUMIF($AM$13:$AM$175,AW19,$AO$13:$AO$176)</f>
        <v>0</v>
      </c>
      <c r="AY19" s="218"/>
      <c r="AZ19" s="694" t="s">
        <v>1104</v>
      </c>
      <c r="BA19" s="641">
        <f ca="1">SUMIF($AN$13:$AN$173,AZ19,$AO$13:$AO$176)</f>
        <v>0</v>
      </c>
      <c r="BF19" s="736"/>
      <c r="BG19" s="736"/>
      <c r="BH19" s="736"/>
    </row>
    <row r="20" spans="1:60">
      <c r="A20" s="670" t="s">
        <v>1240</v>
      </c>
      <c r="B20" s="664" t="s">
        <v>12939</v>
      </c>
      <c r="C20" s="608" t="str">
        <f t="shared" si="2"/>
        <v>5310 JP</v>
      </c>
      <c r="D20" s="609" t="str">
        <f ca="1">IFERROR(_xll.BDP(C20&amp; " Equity","CAST_PARENT_NAME"),"")</f>
        <v/>
      </c>
      <c r="E20" s="610" t="e">
        <f ca="1">_xll.BDP(A20 &amp; " Equity","SECURITY_NAME")</f>
        <v>#NAME?</v>
      </c>
      <c r="F20" s="608" t="e">
        <f t="shared" ca="1" si="8"/>
        <v>#NAME?</v>
      </c>
      <c r="G20" s="611" t="e">
        <f ca="1">IF(N20="EUR",1,IF(N20="GBp",_xll.BDP(F20,"PX LAST")*100,_xll.BDP(F20,"PX LAST")))</f>
        <v>#NAME?</v>
      </c>
      <c r="H20" s="612" t="e">
        <f t="shared" ca="1" si="9"/>
        <v>#NAME?</v>
      </c>
      <c r="I20" s="612" t="e">
        <f t="shared" ca="1" si="10"/>
        <v>#NAME?</v>
      </c>
      <c r="J20" s="613" t="e">
        <f t="shared" ca="1" si="3"/>
        <v>#NAME?</v>
      </c>
      <c r="K20" s="613" t="e">
        <f t="shared" ca="1" si="16"/>
        <v>#NAME?</v>
      </c>
      <c r="L20" s="615">
        <f ca="1">SUMIF(TradesEquity!$E$11:$E$1823,A20,TradesEquity!$M$11:$M$1823)</f>
        <v>5400</v>
      </c>
      <c r="M20" s="616" t="e">
        <f ca="1">_xll.BDP(C20 &amp; " Equity","PX_LAST")</f>
        <v>#NAME?</v>
      </c>
      <c r="N20" s="617" t="e">
        <f ca="1">_xll.BDP(C20 &amp; " Equity","Crncy")</f>
        <v>#NAME?</v>
      </c>
      <c r="O20" s="665"/>
      <c r="P20" s="665"/>
      <c r="Q20" s="665"/>
      <c r="R20" s="665"/>
      <c r="S20" s="664"/>
      <c r="T20" s="616" t="e">
        <f t="shared" ca="1" si="11"/>
        <v>#NAME?</v>
      </c>
      <c r="U20" s="624" t="e">
        <f t="shared" ca="1" si="17"/>
        <v>#NAME?</v>
      </c>
      <c r="V20" s="625" t="e">
        <f t="shared" ca="1" si="12"/>
        <v>#NAME?</v>
      </c>
      <c r="W20" s="856"/>
      <c r="X20" s="629" t="e">
        <f t="shared" ca="1" si="4"/>
        <v>#NAME?</v>
      </c>
      <c r="Y20" s="630" t="e">
        <f ca="1">_xll.BDH(C20 &amp; " Equity","PX_LAST",$Y$11,$Y$11,"days=a","fill=p")</f>
        <v>#NAME?</v>
      </c>
      <c r="Z20" s="630" t="e">
        <f ca="1">IF(F20="EUREUR Curncy",1,_xll.BDH(F20,"last_price",Z$11,Z$11,"days=a","fill=p"))</f>
        <v>#NAME?</v>
      </c>
      <c r="AA20" s="629" t="e">
        <f t="shared" ca="1" si="5"/>
        <v>#NAME?</v>
      </c>
      <c r="AB20" s="631" t="e">
        <f t="shared" ca="1" si="18"/>
        <v>#NAME?</v>
      </c>
      <c r="AC20" s="666" t="s">
        <v>12726</v>
      </c>
      <c r="AD20" s="670"/>
      <c r="AF20" s="608" t="str">
        <f t="shared" ca="1" si="13"/>
        <v/>
      </c>
      <c r="AG20" s="636" t="str">
        <f t="shared" ca="1" si="0"/>
        <v/>
      </c>
      <c r="AH20" s="614" t="e">
        <f t="shared" ca="1" si="1"/>
        <v>#NAME?</v>
      </c>
      <c r="AJ20" s="636" t="str">
        <f t="shared" si="14"/>
        <v>JP3616000000</v>
      </c>
      <c r="AK20" s="636" t="e">
        <f t="shared" ca="1" si="15"/>
        <v>#NAME?</v>
      </c>
      <c r="AL20" s="608" t="e">
        <f ca="1">_xll.BDP(C20 &amp; " Equity","COUNTRY")</f>
        <v>#NAME?</v>
      </c>
      <c r="AM20" s="608" t="e">
        <f ca="1">_xll.BDP(C20 &amp; " Equity","COUNTRY")</f>
        <v>#NAME?</v>
      </c>
      <c r="AN20" s="608" t="e">
        <f t="shared" ca="1" si="6"/>
        <v>#NAME?</v>
      </c>
      <c r="AO20" s="625" t="e">
        <f t="shared" ca="1" si="7"/>
        <v>#NAME?</v>
      </c>
      <c r="AP20" s="762"/>
      <c r="AQ20" s="218"/>
      <c r="AR20" s="697" t="s">
        <v>1313</v>
      </c>
      <c r="AS20" s="697"/>
      <c r="AT20" s="640">
        <f ca="1">SUM(AT16:AT19)</f>
        <v>0</v>
      </c>
      <c r="AU20" s="218"/>
      <c r="AV20" s="697" t="s">
        <v>1313</v>
      </c>
      <c r="AW20" s="697"/>
      <c r="AX20" s="640">
        <f ca="1">SUM(AX16:AX19)</f>
        <v>0</v>
      </c>
      <c r="AY20" s="218"/>
      <c r="AZ20" s="697" t="s">
        <v>1313</v>
      </c>
      <c r="BA20" s="640">
        <f ca="1">SUM(BA16:BA19)</f>
        <v>0</v>
      </c>
      <c r="BF20" s="736"/>
      <c r="BG20" s="736"/>
    </row>
    <row r="21" spans="1:60">
      <c r="A21" s="670" t="s">
        <v>1242</v>
      </c>
      <c r="B21" s="664" t="s">
        <v>12892</v>
      </c>
      <c r="C21" s="608" t="str">
        <f t="shared" si="2"/>
        <v>4005 JP</v>
      </c>
      <c r="D21" s="609" t="str">
        <f ca="1">IFERROR(_xll.BDP(C21&amp; " Equity","CAST_PARENT_NAME"),"")</f>
        <v/>
      </c>
      <c r="E21" s="610" t="e">
        <f ca="1">_xll.BDP(A21 &amp; " Equity","SECURITY_NAME")</f>
        <v>#NAME?</v>
      </c>
      <c r="F21" s="608" t="e">
        <f t="shared" ca="1" si="8"/>
        <v>#NAME?</v>
      </c>
      <c r="G21" s="611" t="e">
        <f ca="1">IF(N21="EUR",1,IF(N21="GBp",_xll.BDP(F21,"PX LAST")*100,_xll.BDP(F21,"PX LAST")))</f>
        <v>#NAME?</v>
      </c>
      <c r="H21" s="612" t="e">
        <f t="shared" ca="1" si="9"/>
        <v>#NAME?</v>
      </c>
      <c r="I21" s="612" t="e">
        <f t="shared" ca="1" si="10"/>
        <v>#NAME?</v>
      </c>
      <c r="J21" s="613" t="e">
        <f t="shared" ca="1" si="3"/>
        <v>#NAME?</v>
      </c>
      <c r="K21" s="613" t="e">
        <f ca="1">+V21/$V$11</f>
        <v>#NAME?</v>
      </c>
      <c r="L21" s="615">
        <f ca="1">SUMIF(TradesEquity!$E$11:$E$1823,A21,TradesEquity!$M$11:$M$1823)</f>
        <v>67000</v>
      </c>
      <c r="M21" s="616" t="e">
        <f ca="1">_xll.BDP(C21 &amp; " Equity","PX_LAST")</f>
        <v>#NAME?</v>
      </c>
      <c r="N21" s="617" t="e">
        <f ca="1">_xll.BDP(C21 &amp; " Equity","Crncy")</f>
        <v>#NAME?</v>
      </c>
      <c r="O21" s="665"/>
      <c r="P21" s="665"/>
      <c r="Q21" s="665"/>
      <c r="R21" s="665"/>
      <c r="S21" s="664"/>
      <c r="T21" s="616" t="e">
        <f t="shared" ca="1" si="11"/>
        <v>#NAME?</v>
      </c>
      <c r="U21" s="624" t="e">
        <f t="shared" ca="1" si="17"/>
        <v>#NAME?</v>
      </c>
      <c r="V21" s="625" t="e">
        <f t="shared" ca="1" si="12"/>
        <v>#NAME?</v>
      </c>
      <c r="W21" s="856"/>
      <c r="X21" s="629" t="e">
        <f t="shared" ca="1" si="4"/>
        <v>#NAME?</v>
      </c>
      <c r="Y21" s="630" t="e">
        <f ca="1">_xll.BDH(C21 &amp; " Equity","PX_LAST",$Y$11,$Y$11,"days=a","fill=p")</f>
        <v>#NAME?</v>
      </c>
      <c r="Z21" s="630" t="e">
        <f ca="1">IF(F21="EUREUR Curncy",1,_xll.BDH(F21,"last_price",Z$11,Z$11,"days=a","fill=p"))</f>
        <v>#NAME?</v>
      </c>
      <c r="AA21" s="629" t="e">
        <f t="shared" ca="1" si="5"/>
        <v>#NAME?</v>
      </c>
      <c r="AB21" s="631" t="e">
        <f t="shared" ca="1" si="18"/>
        <v>#NAME?</v>
      </c>
      <c r="AC21" s="666" t="s">
        <v>12726</v>
      </c>
      <c r="AD21" s="670"/>
      <c r="AF21" s="608" t="str">
        <f t="shared" ca="1" si="13"/>
        <v/>
      </c>
      <c r="AG21" s="636" t="str">
        <f t="shared" ca="1" si="0"/>
        <v/>
      </c>
      <c r="AH21" s="614" t="e">
        <f t="shared" ca="1" si="1"/>
        <v>#NAME?</v>
      </c>
      <c r="AJ21" s="636" t="str">
        <f t="shared" si="14"/>
        <v>JP3401400001</v>
      </c>
      <c r="AK21" s="636" t="e">
        <f t="shared" ca="1" si="15"/>
        <v>#NAME?</v>
      </c>
      <c r="AL21" s="608" t="e">
        <f ca="1">_xll.BDP(C21 &amp; " Equity","COUNTRY")</f>
        <v>#NAME?</v>
      </c>
      <c r="AM21" s="608" t="e">
        <f ca="1">_xll.BDP(C21 &amp; " Equity","COUNTRY")</f>
        <v>#NAME?</v>
      </c>
      <c r="AN21" s="608" t="e">
        <f t="shared" ca="1" si="6"/>
        <v>#NAME?</v>
      </c>
      <c r="AO21" s="625" t="e">
        <f t="shared" ca="1" si="7"/>
        <v>#NAME?</v>
      </c>
      <c r="AP21" s="762"/>
      <c r="AQ21" s="218"/>
      <c r="AR21" s="697" t="s">
        <v>1315</v>
      </c>
      <c r="AS21" s="697"/>
      <c r="AT21" s="643" t="e">
        <f ca="1">+AT20/V11</f>
        <v>#NAME?</v>
      </c>
      <c r="AU21" s="218"/>
      <c r="AV21" s="218"/>
      <c r="AW21" s="218"/>
      <c r="AX21" s="218"/>
      <c r="AY21" s="218"/>
      <c r="BB21" s="756"/>
      <c r="BD21" s="691"/>
      <c r="BE21" s="693" t="s">
        <v>1636</v>
      </c>
      <c r="BF21" s="736"/>
      <c r="BG21" s="736"/>
    </row>
    <row r="22" spans="1:60">
      <c r="A22" s="670" t="s">
        <v>1243</v>
      </c>
      <c r="B22" s="664" t="s">
        <v>12893</v>
      </c>
      <c r="C22" s="608" t="str">
        <f t="shared" si="2"/>
        <v>3401 JP</v>
      </c>
      <c r="D22" s="609" t="str">
        <f ca="1">IFERROR(_xll.BDP(C22&amp; " Equity","CAST_PARENT_NAME"),"")</f>
        <v/>
      </c>
      <c r="E22" s="610" t="e">
        <f ca="1">_xll.BDP(A22 &amp; " Equity","SECURITY_NAME")</f>
        <v>#NAME?</v>
      </c>
      <c r="F22" s="608" t="e">
        <f t="shared" ca="1" si="8"/>
        <v>#NAME?</v>
      </c>
      <c r="G22" s="611" t="e">
        <f ca="1">IF(N22="EUR",1,IF(N22="GBp",_xll.BDP(F22,"PX LAST")*100,_xll.BDP(F22,"PX LAST")))</f>
        <v>#NAME?</v>
      </c>
      <c r="H22" s="612" t="e">
        <f t="shared" ca="1" si="9"/>
        <v>#NAME?</v>
      </c>
      <c r="I22" s="612" t="e">
        <f t="shared" ca="1" si="10"/>
        <v>#NAME?</v>
      </c>
      <c r="J22" s="613" t="e">
        <f t="shared" ca="1" si="3"/>
        <v>#NAME?</v>
      </c>
      <c r="K22" s="613" t="e">
        <f ca="1">+V22/$V$11</f>
        <v>#NAME?</v>
      </c>
      <c r="L22" s="615">
        <f ca="1">SUMIF(TradesEquity!$E$11:$E$1823,A22,TradesEquity!$M$11:$M$1823)</f>
        <v>67000</v>
      </c>
      <c r="M22" s="616" t="e">
        <f ca="1">_xll.BDP(C22 &amp; " Equity","PX_LAST")</f>
        <v>#NAME?</v>
      </c>
      <c r="N22" s="617" t="e">
        <f ca="1">_xll.BDP(C22 &amp; " Equity","Crncy")</f>
        <v>#NAME?</v>
      </c>
      <c r="O22" s="665"/>
      <c r="P22" s="665"/>
      <c r="Q22" s="665"/>
      <c r="R22" s="665"/>
      <c r="S22" s="664"/>
      <c r="T22" s="616" t="e">
        <f t="shared" ca="1" si="11"/>
        <v>#NAME?</v>
      </c>
      <c r="U22" s="624" t="e">
        <f t="shared" ca="1" si="17"/>
        <v>#NAME?</v>
      </c>
      <c r="V22" s="625" t="e">
        <f t="shared" ca="1" si="12"/>
        <v>#NAME?</v>
      </c>
      <c r="W22" s="856"/>
      <c r="X22" s="629" t="e">
        <f t="shared" ca="1" si="4"/>
        <v>#NAME?</v>
      </c>
      <c r="Y22" s="630" t="e">
        <f ca="1">_xll.BDH(C22 &amp; " Equity","PX_LAST",$Y$11,$Y$11,"days=a","fill=p")</f>
        <v>#NAME?</v>
      </c>
      <c r="Z22" s="630" t="e">
        <f ca="1">IF(F22="EUREUR Curncy",1,_xll.BDH(F22,"last_price",Z$11,Z$11,"days=a","fill=p"))</f>
        <v>#NAME?</v>
      </c>
      <c r="AA22" s="629" t="e">
        <f t="shared" ca="1" si="5"/>
        <v>#NAME?</v>
      </c>
      <c r="AB22" s="631" t="e">
        <f t="shared" ca="1" si="18"/>
        <v>#NAME?</v>
      </c>
      <c r="AC22" s="666" t="s">
        <v>12726</v>
      </c>
      <c r="AD22" s="670"/>
      <c r="AF22" s="608" t="str">
        <f t="shared" ca="1" si="13"/>
        <v/>
      </c>
      <c r="AG22" s="636" t="str">
        <f t="shared" ca="1" si="0"/>
        <v/>
      </c>
      <c r="AH22" s="614" t="e">
        <f t="shared" ca="1" si="1"/>
        <v>#NAME?</v>
      </c>
      <c r="AJ22" s="636" t="str">
        <f t="shared" si="14"/>
        <v>JP3544000007</v>
      </c>
      <c r="AK22" s="636" t="e">
        <f t="shared" ca="1" si="15"/>
        <v>#NAME?</v>
      </c>
      <c r="AL22" s="608" t="e">
        <f ca="1">_xll.BDP(C22 &amp; " Equity","COUNTRY")</f>
        <v>#NAME?</v>
      </c>
      <c r="AM22" s="608" t="e">
        <f ca="1">_xll.BDP(C22 &amp; " Equity","COUNTRY")</f>
        <v>#NAME?</v>
      </c>
      <c r="AN22" s="608" t="e">
        <f t="shared" ca="1" si="6"/>
        <v>#NAME?</v>
      </c>
      <c r="AO22" s="625" t="e">
        <f t="shared" ca="1" si="7"/>
        <v>#NAME?</v>
      </c>
      <c r="AP22" s="762"/>
      <c r="AQ22" s="218"/>
      <c r="BD22" s="698"/>
      <c r="BE22" s="698" t="s">
        <v>1634</v>
      </c>
      <c r="BH22" s="736"/>
    </row>
    <row r="23" spans="1:60">
      <c r="A23" s="670" t="s">
        <v>1252</v>
      </c>
      <c r="B23" s="664" t="s">
        <v>12894</v>
      </c>
      <c r="C23" s="608" t="str">
        <f t="shared" si="2"/>
        <v>051915 KS</v>
      </c>
      <c r="D23" s="609" t="str">
        <f ca="1">IFERROR(_xll.BDP(C23&amp; " Equity","CAST_PARENT_NAME"),"")</f>
        <v/>
      </c>
      <c r="E23" s="610" t="e">
        <f ca="1">_xll.BDP(A23 &amp; " Equity","SECURITY_NAME")</f>
        <v>#NAME?</v>
      </c>
      <c r="F23" s="608" t="e">
        <f t="shared" ca="1" si="8"/>
        <v>#NAME?</v>
      </c>
      <c r="G23" s="611" t="e">
        <f ca="1">IF(N23="EUR",1,IF(N23="GBp",_xll.BDP(F23,"PX LAST")*100,_xll.BDP(F23,"PX LAST")))</f>
        <v>#NAME?</v>
      </c>
      <c r="H23" s="612" t="e">
        <f t="shared" ca="1" si="9"/>
        <v>#NAME?</v>
      </c>
      <c r="I23" s="612" t="e">
        <f t="shared" ca="1" si="10"/>
        <v>#NAME?</v>
      </c>
      <c r="J23" s="613" t="e">
        <f t="shared" ca="1" si="3"/>
        <v>#NAME?</v>
      </c>
      <c r="K23" s="613" t="e">
        <f t="shared" ca="1" si="16"/>
        <v>#NAME?</v>
      </c>
      <c r="L23" s="615">
        <f ca="1">SUMIF(TradesEquity!$E$11:$E$1823,A23,TradesEquity!$M$11:$M$1823)</f>
        <v>1100</v>
      </c>
      <c r="M23" s="616" t="e">
        <f ca="1">_xll.BDP(C23 &amp; " Equity","PX_LAST")</f>
        <v>#NAME?</v>
      </c>
      <c r="N23" s="617" t="e">
        <f ca="1">_xll.BDP(C23 &amp; " Equity","Crncy")</f>
        <v>#NAME?</v>
      </c>
      <c r="O23" s="665"/>
      <c r="P23" s="665"/>
      <c r="Q23" s="665"/>
      <c r="R23" s="665"/>
      <c r="S23" s="664"/>
      <c r="T23" s="616" t="e">
        <f t="shared" ca="1" si="11"/>
        <v>#NAME?</v>
      </c>
      <c r="U23" s="627" t="e">
        <f t="shared" ca="1" si="17"/>
        <v>#NAME?</v>
      </c>
      <c r="V23" s="625" t="e">
        <f t="shared" ca="1" si="12"/>
        <v>#NAME?</v>
      </c>
      <c r="W23" s="856"/>
      <c r="X23" s="629" t="e">
        <f t="shared" ca="1" si="4"/>
        <v>#NAME?</v>
      </c>
      <c r="Y23" s="630" t="e">
        <f ca="1">_xll.BDH(C23 &amp; " Equity","PX_LAST",$Y$11,$Y$11,"days=a","fill=p")</f>
        <v>#NAME?</v>
      </c>
      <c r="Z23" s="630" t="e">
        <f ca="1">IF(F23="EUREUR Curncy",1,_xll.BDH(F23,"last_price",Z$11,Z$11,"days=a","fill=p"))</f>
        <v>#NAME?</v>
      </c>
      <c r="AA23" s="629" t="e">
        <f t="shared" ca="1" si="5"/>
        <v>#NAME?</v>
      </c>
      <c r="AB23" s="631" t="e">
        <f t="shared" ca="1" si="18"/>
        <v>#NAME?</v>
      </c>
      <c r="AC23" s="666" t="s">
        <v>12726</v>
      </c>
      <c r="AD23" s="670"/>
      <c r="AF23" s="608" t="str">
        <f t="shared" ca="1" si="13"/>
        <v/>
      </c>
      <c r="AG23" s="636" t="str">
        <f t="shared" ca="1" si="0"/>
        <v/>
      </c>
      <c r="AH23" s="614" t="e">
        <f t="shared" ca="1" si="1"/>
        <v>#NAME?</v>
      </c>
      <c r="AJ23" s="636" t="str">
        <f t="shared" si="14"/>
        <v>KR7051911006</v>
      </c>
      <c r="AK23" s="636" t="e">
        <f t="shared" ca="1" si="15"/>
        <v>#NAME?</v>
      </c>
      <c r="AL23" s="608" t="e">
        <f ca="1">_xll.BDP(C23 &amp; " Equity","COUNTRY")</f>
        <v>#NAME?</v>
      </c>
      <c r="AM23" s="608" t="e">
        <f ca="1">_xll.BDP(C23 &amp; " Equity","COUNTRY")</f>
        <v>#NAME?</v>
      </c>
      <c r="AN23" s="608" t="e">
        <f t="shared" ca="1" si="6"/>
        <v>#NAME?</v>
      </c>
      <c r="AO23" s="625" t="e">
        <f t="shared" ca="1" si="7"/>
        <v>#NAME?</v>
      </c>
      <c r="AP23" s="762"/>
      <c r="AQ23" s="218"/>
      <c r="AR23" s="218"/>
      <c r="AS23" s="218"/>
      <c r="AT23" s="218"/>
      <c r="AU23" s="218"/>
      <c r="AV23" s="218"/>
      <c r="AW23" s="218"/>
      <c r="AX23" s="218"/>
      <c r="AY23" s="218"/>
      <c r="AZ23" s="872"/>
      <c r="BA23" s="831"/>
    </row>
    <row r="24" spans="1:60">
      <c r="A24" s="670" t="s">
        <v>1254</v>
      </c>
      <c r="B24" s="664" t="s">
        <v>12895</v>
      </c>
      <c r="C24" s="608" t="str">
        <f t="shared" si="2"/>
        <v>006405 KS</v>
      </c>
      <c r="D24" s="609" t="str">
        <f ca="1">IFERROR(_xll.BDP(C24&amp; " Equity","CAST_PARENT_NAME"),"")</f>
        <v/>
      </c>
      <c r="E24" s="610" t="e">
        <f ca="1">_xll.BDP(A24 &amp; " Equity","SECURITY_NAME")</f>
        <v>#NAME?</v>
      </c>
      <c r="F24" s="608" t="e">
        <f t="shared" ca="1" si="8"/>
        <v>#NAME?</v>
      </c>
      <c r="G24" s="611" t="e">
        <f ca="1">IF(N24="EUR",1,IF(N24="GBp",_xll.BDP(F24,"PX LAST")*100,_xll.BDP(F24,"PX LAST")))</f>
        <v>#NAME?</v>
      </c>
      <c r="H24" s="612" t="e">
        <f t="shared" ca="1" si="9"/>
        <v>#NAME?</v>
      </c>
      <c r="I24" s="612" t="e">
        <f t="shared" ca="1" si="10"/>
        <v>#NAME?</v>
      </c>
      <c r="J24" s="613" t="e">
        <f t="shared" ca="1" si="3"/>
        <v>#NAME?</v>
      </c>
      <c r="K24" s="613" t="e">
        <f ca="1">+V24/$V$11</f>
        <v>#NAME?</v>
      </c>
      <c r="L24" s="615">
        <f ca="1">SUMIF(TradesEquity!$E$11:$E$1823,A24,TradesEquity!$M$11:$M$1823)</f>
        <v>690</v>
      </c>
      <c r="M24" s="616" t="e">
        <f ca="1">_xll.BDP(C24 &amp; " Equity","PX_LAST")</f>
        <v>#NAME?</v>
      </c>
      <c r="N24" s="617" t="e">
        <f ca="1">_xll.BDP(C24 &amp; " Equity","Crncy")</f>
        <v>#NAME?</v>
      </c>
      <c r="O24" s="665"/>
      <c r="P24" s="665"/>
      <c r="Q24" s="665"/>
      <c r="R24" s="665"/>
      <c r="S24" s="664"/>
      <c r="T24" s="616" t="e">
        <f t="shared" ca="1" si="11"/>
        <v>#NAME?</v>
      </c>
      <c r="U24" s="627" t="e">
        <f t="shared" ca="1" si="17"/>
        <v>#NAME?</v>
      </c>
      <c r="V24" s="625" t="e">
        <f t="shared" ca="1" si="12"/>
        <v>#NAME?</v>
      </c>
      <c r="W24" s="856"/>
      <c r="X24" s="629" t="e">
        <f t="shared" ca="1" si="4"/>
        <v>#NAME?</v>
      </c>
      <c r="Y24" s="630" t="e">
        <f ca="1">_xll.BDH(C24 &amp; " Equity","PX_LAST",$Y$11,$Y$11,"days=a","fill=p")</f>
        <v>#NAME?</v>
      </c>
      <c r="Z24" s="630" t="e">
        <f ca="1">IF(F24="EUREUR Curncy",1,_xll.BDH(F24,"last_price",Z$11,Z$11,"days=a","fill=p"))</f>
        <v>#NAME?</v>
      </c>
      <c r="AA24" s="629" t="e">
        <f t="shared" ca="1" si="5"/>
        <v>#NAME?</v>
      </c>
      <c r="AB24" s="631" t="e">
        <f t="shared" ca="1" si="18"/>
        <v>#NAME?</v>
      </c>
      <c r="AC24" s="666" t="s">
        <v>12726</v>
      </c>
      <c r="AD24" s="670"/>
      <c r="AF24" s="608" t="str">
        <f t="shared" ca="1" si="13"/>
        <v/>
      </c>
      <c r="AG24" s="636" t="str">
        <f t="shared" ca="1" si="0"/>
        <v/>
      </c>
      <c r="AH24" s="614" t="e">
        <f t="shared" ca="1" si="1"/>
        <v>#NAME?</v>
      </c>
      <c r="AJ24" s="636" t="str">
        <f t="shared" si="14"/>
        <v>KR7006401004</v>
      </c>
      <c r="AK24" s="636" t="e">
        <f t="shared" ca="1" si="15"/>
        <v>#NAME?</v>
      </c>
      <c r="AL24" s="608" t="e">
        <f ca="1">_xll.BDP(C24 &amp; " Equity","COUNTRY")</f>
        <v>#NAME?</v>
      </c>
      <c r="AM24" s="608" t="e">
        <f ca="1">_xll.BDP(C24 &amp; " Equity","COUNTRY")</f>
        <v>#NAME?</v>
      </c>
      <c r="AN24" s="608" t="e">
        <f t="shared" ca="1" si="6"/>
        <v>#NAME?</v>
      </c>
      <c r="AO24" s="625" t="e">
        <f t="shared" ca="1" si="7"/>
        <v>#NAME?</v>
      </c>
      <c r="AP24" s="762"/>
      <c r="AQ24" s="218"/>
      <c r="AR24" s="218"/>
      <c r="AS24" s="218"/>
      <c r="AT24" s="218"/>
      <c r="AU24" s="218"/>
      <c r="AV24" s="218"/>
      <c r="AW24" s="218"/>
      <c r="AX24" s="218"/>
      <c r="AY24" s="218"/>
      <c r="AZ24" s="872"/>
      <c r="BA24" s="831"/>
      <c r="BC24" s="736"/>
      <c r="BD24" s="736"/>
      <c r="BE24" s="736"/>
      <c r="BF24" s="736"/>
      <c r="BG24" s="736"/>
      <c r="BH24" s="736"/>
    </row>
    <row r="25" spans="1:60">
      <c r="A25" s="670" t="s">
        <v>1255</v>
      </c>
      <c r="B25" s="664" t="s">
        <v>12896</v>
      </c>
      <c r="C25" s="608" t="str">
        <f t="shared" si="2"/>
        <v>096775 KS</v>
      </c>
      <c r="D25" s="609" t="str">
        <f ca="1">IFERROR(_xll.BDP(C25&amp; " Equity","CAST_PARENT_NAME"),"")</f>
        <v/>
      </c>
      <c r="E25" s="610" t="e">
        <f ca="1">_xll.BDP(A25 &amp; " Equity","SECURITY_NAME")</f>
        <v>#NAME?</v>
      </c>
      <c r="F25" s="608" t="e">
        <f t="shared" ca="1" si="8"/>
        <v>#NAME?</v>
      </c>
      <c r="G25" s="611" t="e">
        <f ca="1">IF(N25="EUR",1,IF(N25="GBp",_xll.BDP(F25,"PX LAST")*100,_xll.BDP(F25,"PX LAST")))</f>
        <v>#NAME?</v>
      </c>
      <c r="H25" s="612" t="e">
        <f t="shared" ca="1" si="9"/>
        <v>#NAME?</v>
      </c>
      <c r="I25" s="612" t="e">
        <f t="shared" ca="1" si="10"/>
        <v>#NAME?</v>
      </c>
      <c r="J25" s="613" t="e">
        <f t="shared" ca="1" si="3"/>
        <v>#NAME?</v>
      </c>
      <c r="K25" s="613" t="e">
        <f t="shared" ca="1" si="16"/>
        <v>#NAME?</v>
      </c>
      <c r="L25" s="615">
        <f ca="1">SUMIF(TradesEquity!$E$11:$E$1823,A25,TradesEquity!$M$11:$M$1823)</f>
        <v>2370</v>
      </c>
      <c r="M25" s="616" t="e">
        <f ca="1">_xll.BDP(C25 &amp; " Equity","PX_LAST")</f>
        <v>#NAME?</v>
      </c>
      <c r="N25" s="617" t="e">
        <f ca="1">_xll.BDP(C25 &amp; " Equity","Crncy")</f>
        <v>#NAME?</v>
      </c>
      <c r="O25" s="665"/>
      <c r="P25" s="665"/>
      <c r="Q25" s="665"/>
      <c r="R25" s="665"/>
      <c r="S25" s="664"/>
      <c r="T25" s="616" t="e">
        <f t="shared" ca="1" si="11"/>
        <v>#NAME?</v>
      </c>
      <c r="U25" s="627" t="e">
        <f t="shared" ca="1" si="17"/>
        <v>#NAME?</v>
      </c>
      <c r="V25" s="625" t="e">
        <f ca="1">+I25*L25</f>
        <v>#NAME?</v>
      </c>
      <c r="W25" s="856"/>
      <c r="X25" s="629" t="e">
        <f t="shared" ca="1" si="4"/>
        <v>#NAME?</v>
      </c>
      <c r="Y25" s="630" t="e">
        <f ca="1">_xll.BDH(C25 &amp; " Equity","PX_LAST",$Y$11,$Y$11,"days=a","fill=p")</f>
        <v>#NAME?</v>
      </c>
      <c r="Z25" s="630" t="e">
        <f ca="1">IF(F25="EUREUR Curncy",1,_xll.BDH(F25,"last_price",Z$11,Z$11,"days=a","fill=p"))</f>
        <v>#NAME?</v>
      </c>
      <c r="AA25" s="629" t="e">
        <f t="shared" ca="1" si="5"/>
        <v>#NAME?</v>
      </c>
      <c r="AB25" s="631" t="e">
        <f t="shared" ca="1" si="18"/>
        <v>#NAME?</v>
      </c>
      <c r="AC25" s="666" t="s">
        <v>12726</v>
      </c>
      <c r="AD25" s="670"/>
      <c r="AF25" s="608" t="str">
        <f t="shared" ca="1" si="13"/>
        <v/>
      </c>
      <c r="AG25" s="636" t="str">
        <f t="shared" ca="1" si="0"/>
        <v/>
      </c>
      <c r="AH25" s="614" t="e">
        <f t="shared" ca="1" si="1"/>
        <v>#NAME?</v>
      </c>
      <c r="AJ25" s="636" t="str">
        <f t="shared" si="14"/>
        <v>KR7096771001</v>
      </c>
      <c r="AK25" s="636" t="e">
        <f t="shared" ca="1" si="15"/>
        <v>#NAME?</v>
      </c>
      <c r="AL25" s="608" t="e">
        <f ca="1">_xll.BDP(C25 &amp; " Equity","COUNTRY")</f>
        <v>#NAME?</v>
      </c>
      <c r="AM25" s="608" t="e">
        <f ca="1">_xll.BDP(C25 &amp; " Equity","COUNTRY")</f>
        <v>#NAME?</v>
      </c>
      <c r="AN25" s="608" t="e">
        <f t="shared" ca="1" si="6"/>
        <v>#NAME?</v>
      </c>
      <c r="AO25" s="625" t="e">
        <f t="shared" ca="1" si="7"/>
        <v>#NAME?</v>
      </c>
      <c r="AP25" s="762"/>
      <c r="AQ25" s="218"/>
      <c r="AR25" s="218"/>
      <c r="AS25" s="218"/>
      <c r="AT25" s="218"/>
      <c r="AU25" s="218"/>
      <c r="AV25" s="218"/>
      <c r="AW25" s="218"/>
      <c r="AX25" s="218"/>
      <c r="AY25" s="218"/>
      <c r="AZ25" s="872"/>
      <c r="BA25" s="831"/>
    </row>
    <row r="26" spans="1:60">
      <c r="A26" s="670" t="s">
        <v>1258</v>
      </c>
      <c r="B26" s="664" t="s">
        <v>13088</v>
      </c>
      <c r="C26" s="608" t="str">
        <f t="shared" si="2"/>
        <v>036830 KS</v>
      </c>
      <c r="D26" s="609" t="str">
        <f ca="1">IFERROR(_xll.BDP(C26&amp; " Equity","CAST_PARENT_NAME"),"")</f>
        <v/>
      </c>
      <c r="E26" s="610" t="e">
        <f ca="1">_xll.BDP(A26 &amp; " Equity","SECURITY_NAME")</f>
        <v>#NAME?</v>
      </c>
      <c r="F26" s="608" t="e">
        <f t="shared" ca="1" si="8"/>
        <v>#NAME?</v>
      </c>
      <c r="G26" s="611" t="e">
        <f ca="1">IF(N26="EUR",1,IF(N26="GBp",_xll.BDP(F26,"PX LAST")*100,_xll.BDP(F26,"PX LAST")))</f>
        <v>#NAME?</v>
      </c>
      <c r="H26" s="612" t="e">
        <f t="shared" ca="1" si="9"/>
        <v>#NAME?</v>
      </c>
      <c r="I26" s="612" t="e">
        <f t="shared" ca="1" si="10"/>
        <v>#NAME?</v>
      </c>
      <c r="J26" s="613" t="e">
        <f t="shared" ca="1" si="3"/>
        <v>#NAME?</v>
      </c>
      <c r="K26" s="613" t="e">
        <f t="shared" ca="1" si="16"/>
        <v>#NAME?</v>
      </c>
      <c r="L26" s="615">
        <f ca="1">SUMIF(TradesEquity!$E$11:$E$1823,A26,TradesEquity!$M$11:$M$1823)</f>
        <v>6900</v>
      </c>
      <c r="M26" s="616" t="e">
        <f ca="1">_xll.BDP(C26 &amp; " Equity","PX_LAST")</f>
        <v>#NAME?</v>
      </c>
      <c r="N26" s="617" t="e">
        <f ca="1">_xll.BDP(C26 &amp; " Equity","Crncy")</f>
        <v>#NAME?</v>
      </c>
      <c r="O26" s="665"/>
      <c r="P26" s="665"/>
      <c r="Q26" s="665"/>
      <c r="R26" s="665"/>
      <c r="S26" s="664"/>
      <c r="T26" s="616" t="e">
        <f t="shared" ca="1" si="11"/>
        <v>#NAME?</v>
      </c>
      <c r="U26" s="627" t="e">
        <f t="shared" ca="1" si="17"/>
        <v>#NAME?</v>
      </c>
      <c r="V26" s="625" t="e">
        <f t="shared" ca="1" si="12"/>
        <v>#NAME?</v>
      </c>
      <c r="W26" s="856"/>
      <c r="X26" s="629" t="e">
        <f t="shared" ca="1" si="4"/>
        <v>#NAME?</v>
      </c>
      <c r="Y26" s="630" t="e">
        <f ca="1">_xll.BDH(C26 &amp; " Equity","PX_LAST",$Y$11,$Y$11,"days=a","fill=p")</f>
        <v>#NAME?</v>
      </c>
      <c r="Z26" s="630" t="e">
        <f ca="1">IF(F26="EUREUR Curncy",1,_xll.BDH(F26,"last_price",Z$11,Z$11,"days=a","fill=p"))</f>
        <v>#NAME?</v>
      </c>
      <c r="AA26" s="629" t="e">
        <f t="shared" ca="1" si="5"/>
        <v>#NAME?</v>
      </c>
      <c r="AB26" s="631" t="e">
        <f t="shared" ca="1" si="18"/>
        <v>#NAME?</v>
      </c>
      <c r="AC26" s="666" t="s">
        <v>12726</v>
      </c>
      <c r="AD26" s="670"/>
      <c r="AF26" s="608" t="str">
        <f t="shared" ca="1" si="13"/>
        <v/>
      </c>
      <c r="AG26" s="636" t="str">
        <f t="shared" ca="1" si="0"/>
        <v/>
      </c>
      <c r="AH26" s="614" t="e">
        <f t="shared" ca="1" si="1"/>
        <v>#NAME?</v>
      </c>
      <c r="AJ26" s="636" t="str">
        <f t="shared" si="14"/>
        <v>KR7036830008</v>
      </c>
      <c r="AK26" s="636" t="e">
        <f t="shared" ca="1" si="15"/>
        <v>#NAME?</v>
      </c>
      <c r="AL26" s="608" t="e">
        <f ca="1">_xll.BDP(C26 &amp; " Equity","COUNTRY")</f>
        <v>#NAME?</v>
      </c>
      <c r="AM26" s="608" t="e">
        <f ca="1">_xll.BDP(C26 &amp; " Equity","COUNTRY")</f>
        <v>#NAME?</v>
      </c>
      <c r="AN26" s="608" t="e">
        <f t="shared" ca="1" si="6"/>
        <v>#NAME?</v>
      </c>
      <c r="AO26" s="625" t="e">
        <f t="shared" ca="1" si="7"/>
        <v>#NAME?</v>
      </c>
      <c r="AP26" s="762"/>
      <c r="AR26" s="218"/>
      <c r="AS26" s="218"/>
      <c r="AT26" s="218"/>
      <c r="AU26" s="218"/>
      <c r="AV26" s="218"/>
      <c r="AW26" s="218"/>
      <c r="AX26" s="218"/>
      <c r="AY26" s="218"/>
      <c r="AZ26" s="872"/>
      <c r="BA26" s="831"/>
    </row>
    <row r="27" spans="1:60">
      <c r="A27" s="670" t="s">
        <v>1260</v>
      </c>
      <c r="B27" s="664" t="s">
        <v>12897</v>
      </c>
      <c r="C27" s="608" t="str">
        <f t="shared" si="2"/>
        <v>NK FP</v>
      </c>
      <c r="D27" s="609" t="str">
        <f ca="1">IFERROR(_xll.BDP(C27&amp; " Equity","CAST_PARENT_NAME"),"")</f>
        <v/>
      </c>
      <c r="E27" s="610" t="e">
        <f ca="1">_xll.BDP(A27 &amp; " Equity","SECURITY_NAME")</f>
        <v>#NAME?</v>
      </c>
      <c r="F27" s="608" t="e">
        <f t="shared" ca="1" si="8"/>
        <v>#NAME?</v>
      </c>
      <c r="G27" s="611" t="e">
        <f ca="1">IF(N27="EUR",1,IF(N27="GBp",_xll.BDP(F27,"PX LAST")*100,_xll.BDP(F27,"PX LAST")))</f>
        <v>#NAME?</v>
      </c>
      <c r="H27" s="612" t="e">
        <f t="shared" ca="1" si="9"/>
        <v>#NAME?</v>
      </c>
      <c r="I27" s="612" t="e">
        <f t="shared" ca="1" si="10"/>
        <v>#NAME?</v>
      </c>
      <c r="J27" s="613" t="e">
        <f t="shared" ca="1" si="3"/>
        <v>#NAME?</v>
      </c>
      <c r="K27" s="613" t="e">
        <f t="shared" ca="1" si="16"/>
        <v>#NAME?</v>
      </c>
      <c r="L27" s="615">
        <f ca="1">SUMIF(TradesEquity!$E$11:$E$1823,A27,TradesEquity!$M$11:$M$1823)</f>
        <v>6975</v>
      </c>
      <c r="M27" s="616" t="e">
        <f ca="1">_xll.BDP(C27 &amp; " Equity","PX_LAST")</f>
        <v>#NAME?</v>
      </c>
      <c r="N27" s="617" t="e">
        <f ca="1">_xll.BDP(C27 &amp; " Equity","Crncy")</f>
        <v>#NAME?</v>
      </c>
      <c r="O27" s="665"/>
      <c r="P27" s="665"/>
      <c r="Q27" s="665"/>
      <c r="R27" s="665"/>
      <c r="S27" s="664"/>
      <c r="T27" s="616" t="e">
        <f t="shared" ca="1" si="11"/>
        <v>#NAME?</v>
      </c>
      <c r="U27" s="627" t="e">
        <f t="shared" ca="1" si="17"/>
        <v>#NAME?</v>
      </c>
      <c r="V27" s="625" t="e">
        <f t="shared" ca="1" si="12"/>
        <v>#NAME?</v>
      </c>
      <c r="W27" s="856"/>
      <c r="X27" s="629" t="e">
        <f t="shared" ca="1" si="4"/>
        <v>#NAME?</v>
      </c>
      <c r="Y27" s="630" t="e">
        <f ca="1">_xll.BDH(C27 &amp; " Equity","PX_LAST",$Y$11,$Y$11,"days=a","fill=p")</f>
        <v>#NAME?</v>
      </c>
      <c r="Z27" s="630" t="e">
        <f ca="1">IF(F27="EUREUR Curncy",1,_xll.BDH(F27,"last_price",Z$11,Z$11,"days=a","fill=p"))</f>
        <v>#NAME?</v>
      </c>
      <c r="AA27" s="629" t="e">
        <f t="shared" ca="1" si="5"/>
        <v>#NAME?</v>
      </c>
      <c r="AB27" s="631" t="e">
        <f t="shared" ca="1" si="18"/>
        <v>#NAME?</v>
      </c>
      <c r="AC27" s="666" t="s">
        <v>12726</v>
      </c>
      <c r="AD27" s="670"/>
      <c r="AF27" s="608" t="str">
        <f t="shared" ca="1" si="13"/>
        <v/>
      </c>
      <c r="AG27" s="636" t="str">
        <f t="shared" ca="1" si="0"/>
        <v/>
      </c>
      <c r="AH27" s="614" t="e">
        <f t="shared" ca="1" si="1"/>
        <v>#NAME?</v>
      </c>
      <c r="AJ27" s="636" t="str">
        <f t="shared" si="14"/>
        <v>FR0000120859</v>
      </c>
      <c r="AK27" s="636" t="e">
        <f t="shared" ca="1" si="15"/>
        <v>#NAME?</v>
      </c>
      <c r="AL27" s="608" t="e">
        <f ca="1">_xll.BDP(C27 &amp; " Equity","COUNTRY")</f>
        <v>#NAME?</v>
      </c>
      <c r="AM27" s="608" t="e">
        <f ca="1">_xll.BDP(C27 &amp; " Equity","COUNTRY")</f>
        <v>#NAME?</v>
      </c>
      <c r="AN27" s="608" t="e">
        <f t="shared" ca="1" si="6"/>
        <v>#NAME?</v>
      </c>
      <c r="AO27" s="625" t="e">
        <f t="shared" ca="1" si="7"/>
        <v>#NAME?</v>
      </c>
      <c r="AP27" s="762"/>
      <c r="AQ27" s="218"/>
      <c r="AR27" s="218"/>
      <c r="AS27" s="218"/>
      <c r="AT27" s="218"/>
      <c r="AU27" s="218"/>
      <c r="AV27" s="218"/>
      <c r="AW27" s="218"/>
      <c r="AX27" s="218"/>
      <c r="AY27" s="218"/>
      <c r="AZ27" s="872"/>
      <c r="BA27" s="831"/>
    </row>
    <row r="28" spans="1:60" s="670" customFormat="1">
      <c r="A28" s="670" t="s">
        <v>1261</v>
      </c>
      <c r="B28" s="664" t="s">
        <v>12898</v>
      </c>
      <c r="C28" s="608" t="str">
        <f t="shared" si="2"/>
        <v>ERA FP</v>
      </c>
      <c r="D28" s="609" t="str">
        <f ca="1">IFERROR(_xll.BDP(C28&amp; " Equity","CAST_PARENT_NAME"),"")</f>
        <v/>
      </c>
      <c r="E28" s="610" t="e">
        <f ca="1">_xll.BDP(A28 &amp; " Equity","SECURITY_NAME")</f>
        <v>#NAME?</v>
      </c>
      <c r="F28" s="608" t="e">
        <f t="shared" ca="1" si="8"/>
        <v>#NAME?</v>
      </c>
      <c r="G28" s="611" t="e">
        <f ca="1">IF(N28="EUR",1,IF(N28="GBp",_xll.BDP(F28,"PX LAST")*100,_xll.BDP(F28,"PX LAST")))</f>
        <v>#NAME?</v>
      </c>
      <c r="H28" s="612" t="e">
        <f t="shared" ca="1" si="9"/>
        <v>#NAME?</v>
      </c>
      <c r="I28" s="612" t="e">
        <f t="shared" ca="1" si="10"/>
        <v>#NAME?</v>
      </c>
      <c r="J28" s="613" t="e">
        <f t="shared" ca="1" si="3"/>
        <v>#NAME?</v>
      </c>
      <c r="K28" s="613" t="e">
        <f t="shared" ca="1" si="16"/>
        <v>#NAME?</v>
      </c>
      <c r="L28" s="615">
        <f ca="1">SUMIF(TradesEquity!$E$11:$E$1823,A28,TradesEquity!$M$11:$M$1823)</f>
        <v>6610</v>
      </c>
      <c r="M28" s="616" t="e">
        <f ca="1">_xll.BDP(C28 &amp; " Equity","PX_LAST")</f>
        <v>#NAME?</v>
      </c>
      <c r="N28" s="617" t="e">
        <f ca="1">_xll.BDP(C28 &amp; " Equity","Crncy")</f>
        <v>#NAME?</v>
      </c>
      <c r="O28" s="665"/>
      <c r="P28" s="665"/>
      <c r="Q28" s="665"/>
      <c r="R28" s="665"/>
      <c r="S28" s="664"/>
      <c r="T28" s="616" t="e">
        <f t="shared" ca="1" si="11"/>
        <v>#NAME?</v>
      </c>
      <c r="U28" s="627" t="e">
        <f t="shared" ca="1" si="17"/>
        <v>#NAME?</v>
      </c>
      <c r="V28" s="625" t="e">
        <f t="shared" ca="1" si="12"/>
        <v>#NAME?</v>
      </c>
      <c r="W28" s="856"/>
      <c r="X28" s="629" t="e">
        <f t="shared" ca="1" si="4"/>
        <v>#NAME?</v>
      </c>
      <c r="Y28" s="630" t="e">
        <f ca="1">_xll.BDH(C28 &amp; " Equity","PX_LAST",$Y$11,$Y$11,"days=a","fill=p")</f>
        <v>#NAME?</v>
      </c>
      <c r="Z28" s="630" t="e">
        <f ca="1">IF(F28="EUREUR Curncy",1,_xll.BDH(F28,"last_price",Z$11,Z$11,"days=a","fill=p"))</f>
        <v>#NAME?</v>
      </c>
      <c r="AA28" s="629" t="e">
        <f t="shared" ca="1" si="5"/>
        <v>#NAME?</v>
      </c>
      <c r="AB28" s="631" t="e">
        <f t="shared" ca="1" si="18"/>
        <v>#NAME?</v>
      </c>
      <c r="AC28" s="666" t="s">
        <v>12726</v>
      </c>
      <c r="AE28" s="699" t="s">
        <v>1711</v>
      </c>
      <c r="AF28" s="608" t="str">
        <f t="shared" ca="1" si="13"/>
        <v/>
      </c>
      <c r="AG28" s="636" t="str">
        <f t="shared" ca="1" si="0"/>
        <v/>
      </c>
      <c r="AH28" s="614" t="e">
        <f t="shared" ca="1" si="1"/>
        <v>#NAME?</v>
      </c>
      <c r="AJ28" s="636" t="str">
        <f t="shared" si="14"/>
        <v>FR0000131757</v>
      </c>
      <c r="AK28" s="636" t="e">
        <f t="shared" ca="1" si="15"/>
        <v>#NAME?</v>
      </c>
      <c r="AL28" s="608" t="e">
        <f ca="1">_xll.BDP(C28 &amp; " Equity","COUNTRY")</f>
        <v>#NAME?</v>
      </c>
      <c r="AM28" s="608" t="e">
        <f ca="1">_xll.BDP(C28 &amp; " Equity","COUNTRY")</f>
        <v>#NAME?</v>
      </c>
      <c r="AN28" s="608" t="e">
        <f t="shared" ca="1" si="6"/>
        <v>#NAME?</v>
      </c>
      <c r="AO28" s="625" t="e">
        <f t="shared" ca="1" si="7"/>
        <v>#NAME?</v>
      </c>
      <c r="AP28" s="762"/>
      <c r="AQ28" s="218"/>
      <c r="AR28" s="218"/>
      <c r="AS28" s="218"/>
      <c r="AT28" s="218"/>
      <c r="AU28" s="218"/>
      <c r="AV28" s="218"/>
      <c r="AW28" s="218"/>
      <c r="AX28" s="218"/>
      <c r="AY28" s="218"/>
      <c r="AZ28" s="872"/>
      <c r="BA28" s="831"/>
      <c r="BB28" s="219"/>
      <c r="BC28" s="736"/>
      <c r="BD28" s="736"/>
      <c r="BE28" s="736"/>
      <c r="BF28" s="736"/>
      <c r="BG28" s="736"/>
      <c r="BH28" s="736"/>
    </row>
    <row r="29" spans="1:60">
      <c r="A29" s="670" t="s">
        <v>1263</v>
      </c>
      <c r="B29" s="664" t="s">
        <v>12899</v>
      </c>
      <c r="C29" s="608" t="str">
        <f t="shared" si="2"/>
        <v>FR FP</v>
      </c>
      <c r="D29" s="609" t="str">
        <f ca="1">IFERROR(_xll.BDP(C29&amp; " Equity","CAST_PARENT_NAME"),"")</f>
        <v/>
      </c>
      <c r="E29" s="610" t="e">
        <f ca="1">_xll.BDP(A29 &amp; " Equity","SECURITY_NAME")</f>
        <v>#NAME?</v>
      </c>
      <c r="F29" s="608" t="e">
        <f t="shared" ca="1" si="8"/>
        <v>#NAME?</v>
      </c>
      <c r="G29" s="611" t="e">
        <f ca="1">IF(N29="EUR",1,IF(N29="GBp",_xll.BDP(F29,"PX LAST")*100,_xll.BDP(F29,"PX LAST")))</f>
        <v>#NAME?</v>
      </c>
      <c r="H29" s="612" t="e">
        <f t="shared" ca="1" si="9"/>
        <v>#NAME?</v>
      </c>
      <c r="I29" s="612" t="e">
        <f t="shared" ca="1" si="10"/>
        <v>#NAME?</v>
      </c>
      <c r="J29" s="613" t="e">
        <f t="shared" ca="1" si="3"/>
        <v>#NAME?</v>
      </c>
      <c r="K29" s="613" t="e">
        <f t="shared" ca="1" si="16"/>
        <v>#NAME?</v>
      </c>
      <c r="L29" s="615">
        <f ca="1">SUMIF(TradesEquity!$E$11:$E$1823,A29,TradesEquity!$M$11:$M$1823)</f>
        <v>33000</v>
      </c>
      <c r="M29" s="616" t="e">
        <f ca="1">_xll.BDP(C29 &amp; " Equity","PX_LAST")</f>
        <v>#NAME?</v>
      </c>
      <c r="N29" s="617" t="e">
        <f ca="1">_xll.BDP(C29 &amp; " Equity","Crncy")</f>
        <v>#NAME?</v>
      </c>
      <c r="O29" s="665"/>
      <c r="P29" s="665"/>
      <c r="Q29" s="665"/>
      <c r="R29" s="665"/>
      <c r="S29" s="664"/>
      <c r="T29" s="616" t="e">
        <f t="shared" ca="1" si="11"/>
        <v>#NAME?</v>
      </c>
      <c r="U29" s="627" t="e">
        <f t="shared" ca="1" si="17"/>
        <v>#NAME?</v>
      </c>
      <c r="V29" s="625" t="e">
        <f t="shared" ca="1" si="12"/>
        <v>#NAME?</v>
      </c>
      <c r="W29" s="856"/>
      <c r="X29" s="629" t="e">
        <f t="shared" ca="1" si="4"/>
        <v>#NAME?</v>
      </c>
      <c r="Y29" s="630" t="e">
        <f ca="1">_xll.BDH(C29 &amp; " Equity","PX_LAST",$Y$11,$Y$11,"days=a","fill=p")</f>
        <v>#NAME?</v>
      </c>
      <c r="Z29" s="630" t="e">
        <f ca="1">IF(F29="EUREUR Curncy",1,_xll.BDH(F29,"last_price",Z$11,Z$11,"days=a","fill=p"))</f>
        <v>#NAME?</v>
      </c>
      <c r="AA29" s="629" t="e">
        <f t="shared" ca="1" si="5"/>
        <v>#NAME?</v>
      </c>
      <c r="AB29" s="631" t="e">
        <f t="shared" ca="1" si="18"/>
        <v>#NAME?</v>
      </c>
      <c r="AC29" s="666" t="s">
        <v>12726</v>
      </c>
      <c r="AD29" s="670"/>
      <c r="AF29" s="608" t="str">
        <f t="shared" ca="1" si="13"/>
        <v/>
      </c>
      <c r="AG29" s="636" t="str">
        <f t="shared" ca="1" si="0"/>
        <v/>
      </c>
      <c r="AH29" s="614" t="e">
        <f t="shared" ca="1" si="1"/>
        <v>#NAME?</v>
      </c>
      <c r="AJ29" s="636" t="str">
        <f t="shared" si="14"/>
        <v>FR0013176526</v>
      </c>
      <c r="AK29" s="636" t="e">
        <f t="shared" ca="1" si="15"/>
        <v>#NAME?</v>
      </c>
      <c r="AL29" s="608" t="e">
        <f ca="1">_xll.BDP(C29 &amp; " Equity","COUNTRY")</f>
        <v>#NAME?</v>
      </c>
      <c r="AM29" s="608" t="e">
        <f ca="1">_xll.BDP(C29 &amp; " Equity","COUNTRY")</f>
        <v>#NAME?</v>
      </c>
      <c r="AN29" s="608" t="e">
        <f t="shared" ca="1" si="6"/>
        <v>#NAME?</v>
      </c>
      <c r="AO29" s="625" t="e">
        <f t="shared" ca="1" si="7"/>
        <v>#NAME?</v>
      </c>
      <c r="AP29" s="762"/>
      <c r="AQ29" s="218"/>
      <c r="AR29" s="218"/>
      <c r="AS29" s="218"/>
      <c r="AT29" s="218"/>
      <c r="AU29" s="218"/>
      <c r="AV29" s="218"/>
      <c r="AW29" s="218"/>
      <c r="AX29" s="218"/>
      <c r="AY29" s="218"/>
      <c r="AZ29" s="872"/>
      <c r="BA29" s="831"/>
    </row>
    <row r="30" spans="1:60">
      <c r="A30" s="670" t="s">
        <v>1264</v>
      </c>
      <c r="B30" s="664" t="s">
        <v>12900</v>
      </c>
      <c r="C30" s="608" t="str">
        <f t="shared" si="2"/>
        <v>CON GR</v>
      </c>
      <c r="D30" s="609" t="str">
        <f ca="1">IFERROR(_xll.BDP(C30&amp; " Equity","CAST_PARENT_NAME"),"")</f>
        <v/>
      </c>
      <c r="E30" s="610" t="e">
        <f ca="1">_xll.BDP(A30 &amp; " Equity","SECURITY_NAME")</f>
        <v>#NAME?</v>
      </c>
      <c r="F30" s="608" t="e">
        <f t="shared" ca="1" si="8"/>
        <v>#NAME?</v>
      </c>
      <c r="G30" s="611" t="e">
        <f ca="1">IF(N30="EUR",1,IF(N30="GBp",_xll.BDP(F30,"PX LAST")*100,_xll.BDP(F30,"PX LAST")))</f>
        <v>#NAME?</v>
      </c>
      <c r="H30" s="612" t="e">
        <f t="shared" ca="1" si="9"/>
        <v>#NAME?</v>
      </c>
      <c r="I30" s="612" t="e">
        <f t="shared" ca="1" si="10"/>
        <v>#NAME?</v>
      </c>
      <c r="J30" s="613" t="e">
        <f t="shared" ca="1" si="3"/>
        <v>#NAME?</v>
      </c>
      <c r="K30" s="613" t="e">
        <f ca="1">+V30/$V$11</f>
        <v>#NAME?</v>
      </c>
      <c r="L30" s="615">
        <f ca="1">SUMIF(TradesEquity!$E$11:$E$1823,A30,TradesEquity!$M$11:$M$1823)</f>
        <v>3300</v>
      </c>
      <c r="M30" s="616" t="e">
        <f ca="1">_xll.BDP(C30 &amp; " Equity","PX_LAST")</f>
        <v>#NAME?</v>
      </c>
      <c r="N30" s="617" t="e">
        <f ca="1">_xll.BDP(C30 &amp; " Equity","Crncy")</f>
        <v>#NAME?</v>
      </c>
      <c r="O30" s="665"/>
      <c r="P30" s="665"/>
      <c r="Q30" s="665"/>
      <c r="R30" s="665"/>
      <c r="S30" s="664"/>
      <c r="T30" s="616" t="e">
        <f t="shared" ca="1" si="11"/>
        <v>#NAME?</v>
      </c>
      <c r="U30" s="627" t="e">
        <f t="shared" ca="1" si="17"/>
        <v>#NAME?</v>
      </c>
      <c r="V30" s="625" t="e">
        <f t="shared" ca="1" si="12"/>
        <v>#NAME?</v>
      </c>
      <c r="W30" s="856"/>
      <c r="X30" s="629" t="e">
        <f t="shared" ca="1" si="4"/>
        <v>#NAME?</v>
      </c>
      <c r="Y30" s="630" t="e">
        <f ca="1">_xll.BDH(C30 &amp; " Equity","PX_LAST",$Y$11,$Y$11,"days=a","fill=p")</f>
        <v>#NAME?</v>
      </c>
      <c r="Z30" s="630" t="e">
        <f ca="1">IF(F30="EUREUR Curncy",1,_xll.BDH(F30,"last_price",Z$11,Z$11,"days=a","fill=p"))</f>
        <v>#NAME?</v>
      </c>
      <c r="AA30" s="629" t="e">
        <f t="shared" ca="1" si="5"/>
        <v>#NAME?</v>
      </c>
      <c r="AB30" s="631" t="e">
        <f t="shared" ca="1" si="18"/>
        <v>#NAME?</v>
      </c>
      <c r="AC30" s="666" t="s">
        <v>12726</v>
      </c>
      <c r="AD30" s="670"/>
      <c r="AF30" s="608" t="str">
        <f t="shared" ca="1" si="13"/>
        <v/>
      </c>
      <c r="AG30" s="636" t="str">
        <f t="shared" ca="1" si="0"/>
        <v/>
      </c>
      <c r="AH30" s="614" t="e">
        <f t="shared" ca="1" si="1"/>
        <v>#NAME?</v>
      </c>
      <c r="AJ30" s="636" t="str">
        <f t="shared" si="14"/>
        <v>DE0005439004</v>
      </c>
      <c r="AK30" s="636" t="e">
        <f t="shared" ca="1" si="15"/>
        <v>#NAME?</v>
      </c>
      <c r="AL30" s="608" t="e">
        <f ca="1">_xll.BDP(C30 &amp; " Equity","COUNTRY")</f>
        <v>#NAME?</v>
      </c>
      <c r="AM30" s="608" t="e">
        <f ca="1">_xll.BDP(C30 &amp; " Equity","COUNTRY")</f>
        <v>#NAME?</v>
      </c>
      <c r="AN30" s="608" t="e">
        <f t="shared" ca="1" si="6"/>
        <v>#NAME?</v>
      </c>
      <c r="AO30" s="625" t="e">
        <f t="shared" ca="1" si="7"/>
        <v>#NAME?</v>
      </c>
      <c r="AP30" s="762"/>
      <c r="AQ30" s="218"/>
      <c r="AR30" s="218"/>
      <c r="AS30" s="218"/>
      <c r="AT30" s="218"/>
      <c r="AU30" s="218"/>
      <c r="AV30" s="218"/>
      <c r="AW30" s="218"/>
      <c r="AX30" s="218"/>
      <c r="AY30" s="218"/>
      <c r="AZ30" s="872"/>
      <c r="BA30" s="831"/>
      <c r="BC30" s="736"/>
      <c r="BD30" s="736"/>
      <c r="BE30" s="736"/>
      <c r="BF30" s="736"/>
      <c r="BG30" s="736"/>
      <c r="BH30" s="736"/>
    </row>
    <row r="31" spans="1:60">
      <c r="A31" s="670" t="s">
        <v>1268</v>
      </c>
      <c r="B31" s="664" t="s">
        <v>12901</v>
      </c>
      <c r="C31" s="608" t="str">
        <f t="shared" si="2"/>
        <v>RNO FP</v>
      </c>
      <c r="D31" s="609" t="str">
        <f ca="1">IFERROR(_xll.BDP(C31&amp; " Equity","CAST_PARENT_NAME"),"")</f>
        <v/>
      </c>
      <c r="E31" s="610" t="e">
        <f ca="1">_xll.BDP(A31 &amp; " Equity","SECURITY_NAME")</f>
        <v>#NAME?</v>
      </c>
      <c r="F31" s="608" t="e">
        <f t="shared" ca="1" si="8"/>
        <v>#NAME?</v>
      </c>
      <c r="G31" s="611" t="e">
        <f ca="1">IF(N31="EUR",1,IF(N31="GBp",_xll.BDP(F31,"PX LAST")*100,_xll.BDP(F31,"PX LAST")))</f>
        <v>#NAME?</v>
      </c>
      <c r="H31" s="612" t="e">
        <f t="shared" ca="1" si="9"/>
        <v>#NAME?</v>
      </c>
      <c r="I31" s="612" t="e">
        <f t="shared" ca="1" si="10"/>
        <v>#NAME?</v>
      </c>
      <c r="J31" s="613" t="e">
        <f t="shared" ca="1" si="3"/>
        <v>#NAME?</v>
      </c>
      <c r="K31" s="613" t="e">
        <f t="shared" ca="1" si="16"/>
        <v>#NAME?</v>
      </c>
      <c r="L31" s="615">
        <f ca="1">SUMIF(TradesEquity!$E$11:$E$1823,A31,TradesEquity!$M$11:$M$1823)</f>
        <v>17900</v>
      </c>
      <c r="M31" s="616" t="e">
        <f ca="1">_xll.BDP(C31 &amp; " Equity","PX_LAST")</f>
        <v>#NAME?</v>
      </c>
      <c r="N31" s="617" t="e">
        <f ca="1">_xll.BDP(C31 &amp; " Equity","Crncy")</f>
        <v>#NAME?</v>
      </c>
      <c r="O31" s="665"/>
      <c r="P31" s="665"/>
      <c r="Q31" s="665"/>
      <c r="R31" s="665"/>
      <c r="S31" s="664"/>
      <c r="T31" s="616" t="e">
        <f t="shared" ca="1" si="11"/>
        <v>#NAME?</v>
      </c>
      <c r="U31" s="627" t="e">
        <f t="shared" ca="1" si="17"/>
        <v>#NAME?</v>
      </c>
      <c r="V31" s="625" t="e">
        <f t="shared" ca="1" si="12"/>
        <v>#NAME?</v>
      </c>
      <c r="W31" s="856"/>
      <c r="X31" s="629" t="e">
        <f t="shared" ca="1" si="4"/>
        <v>#NAME?</v>
      </c>
      <c r="Y31" s="630" t="e">
        <f ca="1">_xll.BDH(C31 &amp; " Equity","PX_LAST",$Y$11,$Y$11,"days=a","fill=p")</f>
        <v>#NAME?</v>
      </c>
      <c r="Z31" s="630" t="e">
        <f ca="1">IF(F31="EUREUR Curncy",1,_xll.BDH(F31,"last_price",Z$11,Z$11,"days=a","fill=p"))</f>
        <v>#NAME?</v>
      </c>
      <c r="AA31" s="629" t="e">
        <f t="shared" ca="1" si="5"/>
        <v>#NAME?</v>
      </c>
      <c r="AB31" s="631" t="e">
        <f t="shared" ca="1" si="18"/>
        <v>#NAME?</v>
      </c>
      <c r="AC31" s="666" t="s">
        <v>12726</v>
      </c>
      <c r="AD31" s="670"/>
      <c r="AF31" s="608" t="str">
        <f t="shared" ca="1" si="13"/>
        <v/>
      </c>
      <c r="AG31" s="636" t="str">
        <f t="shared" ca="1" si="0"/>
        <v/>
      </c>
      <c r="AH31" s="614" t="e">
        <f t="shared" ca="1" si="1"/>
        <v>#NAME?</v>
      </c>
      <c r="AJ31" s="636" t="str">
        <f t="shared" si="14"/>
        <v>FR0000131906</v>
      </c>
      <c r="AK31" s="636" t="e">
        <f t="shared" ca="1" si="15"/>
        <v>#NAME?</v>
      </c>
      <c r="AL31" s="608" t="e">
        <f ca="1">_xll.BDP(C31 &amp; " Equity","COUNTRY")</f>
        <v>#NAME?</v>
      </c>
      <c r="AM31" s="608" t="e">
        <f ca="1">_xll.BDP(C31 &amp; " Equity","COUNTRY")</f>
        <v>#NAME?</v>
      </c>
      <c r="AN31" s="608" t="e">
        <f t="shared" ca="1" si="6"/>
        <v>#NAME?</v>
      </c>
      <c r="AO31" s="625" t="e">
        <f t="shared" ca="1" si="7"/>
        <v>#NAME?</v>
      </c>
      <c r="AP31" s="762"/>
      <c r="AQ31" s="218"/>
      <c r="AR31" s="218"/>
      <c r="AS31" s="218"/>
      <c r="AT31" s="218"/>
      <c r="AU31" s="218"/>
      <c r="AV31" s="218"/>
      <c r="AW31" s="218"/>
      <c r="AX31" s="218"/>
      <c r="AY31" s="218"/>
      <c r="AZ31" s="872"/>
      <c r="BA31" s="831"/>
    </row>
    <row r="32" spans="1:60" s="671" customFormat="1">
      <c r="A32" s="671" t="s">
        <v>12724</v>
      </c>
      <c r="B32" s="668" t="s">
        <v>12920</v>
      </c>
      <c r="C32" s="621" t="str">
        <f t="shared" si="2"/>
        <v>NKL CN</v>
      </c>
      <c r="D32" s="609" t="str">
        <f ca="1">IFERROR(_xll.BDP(C32&amp; " Equity","CAST_PARENT_NAME"),"")</f>
        <v/>
      </c>
      <c r="E32" s="610" t="e">
        <f ca="1">_xll.BDP(A32 &amp; " Equity","SECURITY_NAME")</f>
        <v>#NAME?</v>
      </c>
      <c r="F32" s="608" t="e">
        <f t="shared" ca="1" si="8"/>
        <v>#NAME?</v>
      </c>
      <c r="G32" s="611" t="e">
        <f ca="1">IF(N32="EUR",1,IF(N32="GBp",_xll.BDP(F32,"PX LAST")*100,_xll.BDP(F32,"PX LAST")))</f>
        <v>#NAME?</v>
      </c>
      <c r="H32" s="622" t="e">
        <f t="shared" ca="1" si="9"/>
        <v>#NAME?</v>
      </c>
      <c r="I32" s="622" t="e">
        <f t="shared" ca="1" si="10"/>
        <v>#NAME?</v>
      </c>
      <c r="J32" s="623" t="e">
        <f t="shared" ca="1" si="3"/>
        <v>#NAME?</v>
      </c>
      <c r="K32" s="623" t="e">
        <f t="shared" ca="1" si="16"/>
        <v>#NAME?</v>
      </c>
      <c r="L32" s="615">
        <f ca="1">SUMIF(TradesEquity!$E$11:$E$1823,A32,TradesEquity!$M$11:$M$1823)</f>
        <v>24000</v>
      </c>
      <c r="M32" s="616" t="e">
        <f ca="1">_xll.BDP(C32 &amp; " Equity","PX_LAST")</f>
        <v>#NAME?</v>
      </c>
      <c r="N32" s="617" t="e">
        <f ca="1">_xll.BDP(C32 &amp; " Equity","Crncy")</f>
        <v>#NAME?</v>
      </c>
      <c r="O32" s="873"/>
      <c r="P32" s="873"/>
      <c r="Q32" s="873"/>
      <c r="R32" s="873"/>
      <c r="S32" s="668"/>
      <c r="T32" s="616" t="e">
        <f t="shared" ca="1" si="11"/>
        <v>#NAME?</v>
      </c>
      <c r="U32" s="624" t="e">
        <f t="shared" ca="1" si="17"/>
        <v>#NAME?</v>
      </c>
      <c r="V32" s="628" t="e">
        <f t="shared" ca="1" si="12"/>
        <v>#NAME?</v>
      </c>
      <c r="W32" s="875"/>
      <c r="X32" s="634" t="e">
        <f t="shared" ca="1" si="4"/>
        <v>#NAME?</v>
      </c>
      <c r="Y32" s="630" t="e">
        <f ca="1">_xll.BDH(C32 &amp; " Equity","PX_LAST",$Y$11,$Y$11,"days=a","fill=p")</f>
        <v>#NAME?</v>
      </c>
      <c r="Z32" s="630" t="e">
        <f ca="1">IF(F32="EUREUR Curncy",1,_xll.BDH(F32,"last_price",Z$11,Z$11,"days=a","fill=p"))</f>
        <v>#NAME?</v>
      </c>
      <c r="AA32" s="634" t="e">
        <f t="shared" ca="1" si="5"/>
        <v>#NAME?</v>
      </c>
      <c r="AB32" s="635" t="e">
        <f t="shared" ca="1" si="18"/>
        <v>#NAME?</v>
      </c>
      <c r="AC32" s="669" t="s">
        <v>12726</v>
      </c>
      <c r="AF32" s="608" t="str">
        <f t="shared" ca="1" si="13"/>
        <v/>
      </c>
      <c r="AG32" s="637" t="str">
        <f t="shared" ca="1" si="0"/>
        <v/>
      </c>
      <c r="AH32" s="638" t="e">
        <f t="shared" ca="1" si="1"/>
        <v>#NAME?</v>
      </c>
      <c r="AJ32" s="637" t="str">
        <f t="shared" si="14"/>
        <v>CA65401N1078</v>
      </c>
      <c r="AK32" s="637" t="e">
        <f t="shared" ca="1" si="15"/>
        <v>#NAME?</v>
      </c>
      <c r="AL32" s="608" t="e">
        <f ca="1">_xll.BDP(C32 &amp; " Equity","COUNTRY")</f>
        <v>#NAME?</v>
      </c>
      <c r="AM32" s="608" t="e">
        <f ca="1">_xll.BDP(C32 &amp; " Equity","COUNTRY")</f>
        <v>#NAME?</v>
      </c>
      <c r="AN32" s="608" t="e">
        <f t="shared" ca="1" si="6"/>
        <v>#NAME?</v>
      </c>
      <c r="AO32" s="628" t="e">
        <f t="shared" ca="1" si="7"/>
        <v>#NAME?</v>
      </c>
      <c r="AP32" s="876"/>
      <c r="AQ32" s="217"/>
      <c r="AR32" s="217"/>
      <c r="AS32" s="217"/>
      <c r="AT32" s="217"/>
      <c r="AU32" s="217"/>
      <c r="AV32" s="217"/>
      <c r="AW32" s="217"/>
      <c r="AX32" s="217"/>
      <c r="AY32" s="217"/>
      <c r="AZ32" s="877"/>
      <c r="BA32" s="874"/>
      <c r="BB32" s="878"/>
      <c r="BC32" s="879"/>
      <c r="BD32" s="879"/>
      <c r="BE32" s="879"/>
      <c r="BF32" s="879"/>
      <c r="BG32" s="879"/>
      <c r="BH32" s="879"/>
    </row>
    <row r="33" spans="1:60">
      <c r="A33" s="670" t="s">
        <v>1273</v>
      </c>
      <c r="B33" s="664" t="s">
        <v>12902</v>
      </c>
      <c r="C33" s="608" t="str">
        <f t="shared" si="2"/>
        <v>SYR AU</v>
      </c>
      <c r="D33" s="609" t="str">
        <f ca="1">IFERROR(_xll.BDP(C33&amp; " Equity","CAST_PARENT_NAME"),"")</f>
        <v/>
      </c>
      <c r="E33" s="610" t="e">
        <f ca="1">_xll.BDP(A33 &amp; " Equity","SECURITY_NAME")</f>
        <v>#NAME?</v>
      </c>
      <c r="F33" s="608" t="e">
        <f t="shared" ca="1" si="8"/>
        <v>#NAME?</v>
      </c>
      <c r="G33" s="611" t="e">
        <f ca="1">IF(N33="EUR",1,IF(N33="GBp",_xll.BDP(F33,"PX LAST")*100,_xll.BDP(F33,"PX LAST")))</f>
        <v>#NAME?</v>
      </c>
      <c r="H33" s="612" t="e">
        <f t="shared" ca="1" si="9"/>
        <v>#NAME?</v>
      </c>
      <c r="I33" s="612" t="e">
        <f t="shared" ca="1" si="10"/>
        <v>#NAME?</v>
      </c>
      <c r="J33" s="613" t="e">
        <f t="shared" ca="1" si="3"/>
        <v>#NAME?</v>
      </c>
      <c r="K33" s="613" t="e">
        <f t="shared" ca="1" si="16"/>
        <v>#NAME?</v>
      </c>
      <c r="L33" s="615">
        <f ca="1">SUMIF(TradesEquity!$E$11:$E$1823,A33,TradesEquity!$M$11:$M$1823)</f>
        <v>900000</v>
      </c>
      <c r="M33" s="616" t="e">
        <f ca="1">_xll.BDP(C33 &amp; " Equity","PX_LAST")</f>
        <v>#NAME?</v>
      </c>
      <c r="N33" s="617" t="e">
        <f ca="1">_xll.BDP(C33 &amp; " Equity","Crncy")</f>
        <v>#NAME?</v>
      </c>
      <c r="O33" s="665"/>
      <c r="P33" s="665"/>
      <c r="Q33" s="665"/>
      <c r="R33" s="665"/>
      <c r="S33" s="664"/>
      <c r="T33" s="616" t="e">
        <f t="shared" ca="1" si="11"/>
        <v>#NAME?</v>
      </c>
      <c r="U33" s="627" t="e">
        <f t="shared" ca="1" si="17"/>
        <v>#NAME?</v>
      </c>
      <c r="V33" s="625" t="e">
        <f t="shared" ca="1" si="12"/>
        <v>#NAME?</v>
      </c>
      <c r="W33" s="856"/>
      <c r="X33" s="629" t="e">
        <f t="shared" ca="1" si="4"/>
        <v>#NAME?</v>
      </c>
      <c r="Y33" s="630" t="e">
        <f ca="1">_xll.BDH(C33 &amp; " Equity","PX_LAST",$Y$11,$Y$11,"days=a","fill=p")</f>
        <v>#NAME?</v>
      </c>
      <c r="Z33" s="630" t="e">
        <f ca="1">IF(F33="EUREUR Curncy",1,_xll.BDH(F33,"last_price",Z$11,Z$11,"days=a","fill=p"))</f>
        <v>#NAME?</v>
      </c>
      <c r="AA33" s="629" t="e">
        <f t="shared" ca="1" si="5"/>
        <v>#NAME?</v>
      </c>
      <c r="AB33" s="631" t="e">
        <f t="shared" ca="1" si="18"/>
        <v>#NAME?</v>
      </c>
      <c r="AC33" s="666" t="s">
        <v>12726</v>
      </c>
      <c r="AD33" s="670"/>
      <c r="AF33" s="608" t="str">
        <f t="shared" ca="1" si="13"/>
        <v/>
      </c>
      <c r="AG33" s="636" t="str">
        <f t="shared" ca="1" si="0"/>
        <v/>
      </c>
      <c r="AH33" s="614" t="e">
        <f t="shared" ca="1" si="1"/>
        <v>#NAME?</v>
      </c>
      <c r="AJ33" s="636" t="str">
        <f t="shared" si="14"/>
        <v>AU000000SYR9</v>
      </c>
      <c r="AK33" s="636" t="e">
        <f t="shared" ca="1" si="15"/>
        <v>#NAME?</v>
      </c>
      <c r="AL33" s="608" t="e">
        <f ca="1">_xll.BDP(C33 &amp; " Equity","COUNTRY")</f>
        <v>#NAME?</v>
      </c>
      <c r="AM33" s="608" t="e">
        <f ca="1">_xll.BDP(C33 &amp; " Equity","COUNTRY")</f>
        <v>#NAME?</v>
      </c>
      <c r="AN33" s="608" t="e">
        <f t="shared" ca="1" si="6"/>
        <v>#NAME?</v>
      </c>
      <c r="AO33" s="625" t="e">
        <f t="shared" ca="1" si="7"/>
        <v>#NAME?</v>
      </c>
      <c r="AP33" s="762"/>
      <c r="AQ33" s="218"/>
      <c r="AR33" s="218"/>
      <c r="AS33" s="218"/>
      <c r="AT33" s="218"/>
      <c r="AU33" s="218"/>
      <c r="AV33" s="218"/>
      <c r="AW33" s="218"/>
      <c r="AX33" s="218"/>
      <c r="AY33" s="218"/>
      <c r="AZ33" s="872"/>
      <c r="BA33" s="831"/>
    </row>
    <row r="34" spans="1:60">
      <c r="A34" s="670" t="s">
        <v>1274</v>
      </c>
      <c r="B34" s="664" t="s">
        <v>12921</v>
      </c>
      <c r="C34" s="608" t="str">
        <f t="shared" si="2"/>
        <v>ALELIO SS</v>
      </c>
      <c r="D34" s="609" t="str">
        <f ca="1">IFERROR(_xll.BDP(C34&amp; " Equity","CAST_PARENT_NAME"),"")</f>
        <v/>
      </c>
      <c r="E34" s="610" t="e">
        <f ca="1">_xll.BDP(A34 &amp; " Equity","SECURITY_NAME")</f>
        <v>#NAME?</v>
      </c>
      <c r="F34" s="608" t="e">
        <f t="shared" ca="1" si="8"/>
        <v>#NAME?</v>
      </c>
      <c r="G34" s="611" t="e">
        <f ca="1">IF(N34="EUR",1,IF(N34="GBp",_xll.BDP(F34,"PX LAST")*100,_xll.BDP(F34,"PX LAST")))</f>
        <v>#NAME?</v>
      </c>
      <c r="H34" s="612" t="e">
        <f t="shared" ca="1" si="9"/>
        <v>#NAME?</v>
      </c>
      <c r="I34" s="612" t="e">
        <f t="shared" ca="1" si="10"/>
        <v>#NAME?</v>
      </c>
      <c r="J34" s="613" t="e">
        <f t="shared" ca="1" si="3"/>
        <v>#NAME?</v>
      </c>
      <c r="K34" s="613" t="e">
        <f t="shared" ref="K34:K57" ca="1" si="19">+V34/$V$11</f>
        <v>#NAME?</v>
      </c>
      <c r="L34" s="615">
        <f ca="1">SUMIF(TradesEquity!$E$11:$E$1823,A34,TradesEquity!$M$11:$M$1823)</f>
        <v>310265</v>
      </c>
      <c r="M34" s="616" t="e">
        <f ca="1">_xll.BDP(C34 &amp; " Equity","PX_LAST")</f>
        <v>#NAME?</v>
      </c>
      <c r="N34" s="617" t="e">
        <f ca="1">_xll.BDP(C34 &amp; " Equity","Crncy")</f>
        <v>#NAME?</v>
      </c>
      <c r="O34" s="665"/>
      <c r="P34" s="665"/>
      <c r="Q34" s="665"/>
      <c r="R34" s="665"/>
      <c r="S34" s="664"/>
      <c r="T34" s="616" t="e">
        <f t="shared" ca="1" si="11"/>
        <v>#NAME?</v>
      </c>
      <c r="U34" s="627" t="e">
        <f t="shared" ref="U34:U57" ca="1" si="20">+T34*L34</f>
        <v>#NAME?</v>
      </c>
      <c r="V34" s="625" t="e">
        <f t="shared" ca="1" si="12"/>
        <v>#NAME?</v>
      </c>
      <c r="W34" s="856"/>
      <c r="X34" s="629" t="e">
        <f t="shared" ca="1" si="4"/>
        <v>#NAME?</v>
      </c>
      <c r="Y34" s="630" t="e">
        <f ca="1">_xll.BDH(C34 &amp; " Equity","PX_LAST",$Y$11,$Y$11,"days=a","fill=p")</f>
        <v>#NAME?</v>
      </c>
      <c r="Z34" s="630" t="e">
        <f ca="1">IF(F34="EUREUR Curncy",1,_xll.BDH(F34,"last_price",Z$11,Z$11,"days=a","fill=p"))</f>
        <v>#NAME?</v>
      </c>
      <c r="AA34" s="629" t="e">
        <f t="shared" ca="1" si="5"/>
        <v>#NAME?</v>
      </c>
      <c r="AB34" s="631" t="e">
        <f t="shared" ref="AB34:AB49" ca="1" si="21">+IF(N34="GBp",(V34-(L34*Y34/Z34/100)),V34-(L34*Y34/Z34))</f>
        <v>#NAME?</v>
      </c>
      <c r="AC34" s="666" t="s">
        <v>12726</v>
      </c>
      <c r="AD34" s="670"/>
      <c r="AF34" s="608" t="str">
        <f t="shared" ca="1" si="13"/>
        <v/>
      </c>
      <c r="AG34" s="636" t="str">
        <f t="shared" ca="1" si="0"/>
        <v/>
      </c>
      <c r="AH34" s="614" t="e">
        <f t="shared" ca="1" si="1"/>
        <v>#NAME?</v>
      </c>
      <c r="AJ34" s="636" t="str">
        <f t="shared" si="14"/>
        <v>SE0008348072</v>
      </c>
      <c r="AK34" s="636" t="e">
        <f t="shared" ca="1" si="15"/>
        <v>#NAME?</v>
      </c>
      <c r="AL34" s="608" t="e">
        <f ca="1">_xll.BDP(C34 &amp; " Equity","COUNTRY")</f>
        <v>#NAME?</v>
      </c>
      <c r="AM34" s="608" t="e">
        <f ca="1">_xll.BDP(C34 &amp; " Equity","COUNTRY")</f>
        <v>#NAME?</v>
      </c>
      <c r="AN34" s="608" t="e">
        <f t="shared" ca="1" si="6"/>
        <v>#NAME?</v>
      </c>
      <c r="AO34" s="625" t="e">
        <f t="shared" ca="1" si="7"/>
        <v>#NAME?</v>
      </c>
      <c r="AP34" s="762"/>
      <c r="AQ34" s="218"/>
      <c r="AR34" s="218"/>
      <c r="AS34" s="218"/>
      <c r="AT34" s="218"/>
      <c r="AU34" s="218"/>
      <c r="AV34" s="218"/>
      <c r="AW34" s="218"/>
      <c r="AX34" s="218"/>
      <c r="AY34" s="218"/>
      <c r="AZ34" s="872"/>
      <c r="BA34" s="831"/>
      <c r="BC34" s="736"/>
      <c r="BD34" s="736"/>
      <c r="BE34" s="736"/>
      <c r="BF34" s="736"/>
      <c r="BG34" s="736"/>
      <c r="BH34" s="736"/>
    </row>
    <row r="35" spans="1:60">
      <c r="A35" s="670" t="s">
        <v>1674</v>
      </c>
      <c r="B35" s="664" t="s">
        <v>12903</v>
      </c>
      <c r="C35" s="608" t="str">
        <f t="shared" si="2"/>
        <v>EAF US</v>
      </c>
      <c r="D35" s="609" t="str">
        <f ca="1">IFERROR(_xll.BDP(C35&amp; " Equity","CAST_PARENT_NAME"),"")</f>
        <v/>
      </c>
      <c r="E35" s="610" t="e">
        <f ca="1">_xll.BDP(A35 &amp; " Equity","SECURITY_NAME")</f>
        <v>#NAME?</v>
      </c>
      <c r="F35" s="608" t="e">
        <f t="shared" ca="1" si="8"/>
        <v>#NAME?</v>
      </c>
      <c r="G35" s="611" t="e">
        <f ca="1">IF(N35="EUR",1,IF(N35="GBp",_xll.BDP(F35,"PX LAST")*100,_xll.BDP(F35,"PX LAST")))</f>
        <v>#NAME?</v>
      </c>
      <c r="H35" s="612" t="e">
        <f t="shared" ref="H35:H58" ca="1" si="22">+M35/G35</f>
        <v>#NAME?</v>
      </c>
      <c r="I35" s="612" t="e">
        <f t="shared" ca="1" si="10"/>
        <v>#NAME?</v>
      </c>
      <c r="J35" s="613" t="e">
        <f t="shared" ca="1" si="3"/>
        <v>#NAME?</v>
      </c>
      <c r="K35" s="613" t="e">
        <f t="shared" ca="1" si="19"/>
        <v>#NAME?</v>
      </c>
      <c r="L35" s="615">
        <f ca="1">SUMIF(TradesEquity!$E$11:$E$1823,A35,TradesEquity!$M$11:$M$1823)</f>
        <v>14400</v>
      </c>
      <c r="M35" s="616" t="e">
        <f ca="1">_xll.BDP(C35 &amp; " Equity","PX_LAST")</f>
        <v>#NAME?</v>
      </c>
      <c r="N35" s="617" t="e">
        <f ca="1">_xll.BDP(C35 &amp; " Equity","Crncy")</f>
        <v>#NAME?</v>
      </c>
      <c r="O35" s="665"/>
      <c r="P35" s="665"/>
      <c r="Q35" s="665"/>
      <c r="R35" s="665"/>
      <c r="S35" s="664"/>
      <c r="T35" s="616" t="e">
        <f t="shared" ca="1" si="11"/>
        <v>#NAME?</v>
      </c>
      <c r="U35" s="627" t="e">
        <f t="shared" ca="1" si="20"/>
        <v>#NAME?</v>
      </c>
      <c r="V35" s="625" t="e">
        <f t="shared" ca="1" si="12"/>
        <v>#NAME?</v>
      </c>
      <c r="W35" s="856"/>
      <c r="X35" s="629" t="e">
        <f t="shared" ca="1" si="4"/>
        <v>#NAME?</v>
      </c>
      <c r="Y35" s="630" t="e">
        <f ca="1">_xll.BDH(C35 &amp; " Equity","PX_LAST",$Y$11,$Y$11,"days=a","fill=p")</f>
        <v>#NAME?</v>
      </c>
      <c r="Z35" s="630" t="e">
        <f ca="1">IF(F35="EUREUR Curncy",1,_xll.BDH(F35,"last_price",Z$11,Z$11,"days=a","fill=p"))</f>
        <v>#NAME?</v>
      </c>
      <c r="AA35" s="629" t="e">
        <f t="shared" ca="1" si="5"/>
        <v>#NAME?</v>
      </c>
      <c r="AB35" s="631" t="e">
        <f t="shared" ca="1" si="21"/>
        <v>#NAME?</v>
      </c>
      <c r="AC35" s="666" t="s">
        <v>12726</v>
      </c>
      <c r="AD35" s="670"/>
      <c r="AF35" s="608" t="str">
        <f t="shared" ca="1" si="13"/>
        <v/>
      </c>
      <c r="AG35" s="636" t="str">
        <f t="shared" ca="1" si="0"/>
        <v/>
      </c>
      <c r="AH35" s="614" t="e">
        <f t="shared" ca="1" si="1"/>
        <v>#NAME?</v>
      </c>
      <c r="AJ35" s="636" t="str">
        <f t="shared" si="14"/>
        <v>US3843135084</v>
      </c>
      <c r="AK35" s="636" t="e">
        <f t="shared" ca="1" si="15"/>
        <v>#NAME?</v>
      </c>
      <c r="AL35" s="608" t="e">
        <f ca="1">_xll.BDP(C35 &amp; " Equity","COUNTRY")</f>
        <v>#NAME?</v>
      </c>
      <c r="AM35" s="608" t="e">
        <f ca="1">_xll.BDP(C35 &amp; " Equity","COUNTRY")</f>
        <v>#NAME?</v>
      </c>
      <c r="AN35" s="608" t="e">
        <f t="shared" ca="1" si="6"/>
        <v>#NAME?</v>
      </c>
      <c r="AO35" s="625" t="e">
        <f t="shared" ca="1" si="7"/>
        <v>#NAME?</v>
      </c>
      <c r="AP35" s="762"/>
      <c r="AQ35" s="218"/>
      <c r="AR35" s="218"/>
      <c r="AS35" s="218"/>
      <c r="AT35" s="218"/>
      <c r="AU35" s="218"/>
      <c r="AV35" s="218"/>
      <c r="AW35" s="218"/>
      <c r="AX35" s="218"/>
      <c r="AY35" s="218"/>
      <c r="AZ35" s="872"/>
      <c r="BA35" s="831"/>
      <c r="BC35" s="736"/>
      <c r="BD35" s="736"/>
      <c r="BE35" s="736"/>
      <c r="BF35" s="736"/>
      <c r="BG35" s="736"/>
      <c r="BH35" s="736"/>
    </row>
    <row r="36" spans="1:60">
      <c r="A36" s="670" t="s">
        <v>1676</v>
      </c>
      <c r="B36" s="664" t="s">
        <v>12904</v>
      </c>
      <c r="C36" s="608" t="str">
        <f t="shared" si="2"/>
        <v>8053 JP</v>
      </c>
      <c r="D36" s="609" t="str">
        <f ca="1">IFERROR(_xll.BDP(C36&amp; " Equity","CAST_PARENT_NAME"),"")</f>
        <v/>
      </c>
      <c r="E36" s="610" t="e">
        <f ca="1">_xll.BDP(A36 &amp; " Equity","SECURITY_NAME")</f>
        <v>#NAME?</v>
      </c>
      <c r="F36" s="608" t="e">
        <f t="shared" ca="1" si="8"/>
        <v>#NAME?</v>
      </c>
      <c r="G36" s="611" t="e">
        <f ca="1">IF(N36="EUR",1,IF(N36="GBp",_xll.BDP(F36,"PX LAST")*100,_xll.BDP(F36,"PX LAST")))</f>
        <v>#NAME?</v>
      </c>
      <c r="H36" s="612" t="e">
        <f t="shared" ca="1" si="22"/>
        <v>#NAME?</v>
      </c>
      <c r="I36" s="612" t="e">
        <f t="shared" ca="1" si="10"/>
        <v>#NAME?</v>
      </c>
      <c r="J36" s="613" t="e">
        <f t="shared" ca="1" si="3"/>
        <v>#NAME?</v>
      </c>
      <c r="K36" s="613" t="e">
        <f t="shared" ca="1" si="19"/>
        <v>#NAME?</v>
      </c>
      <c r="L36" s="615">
        <f ca="1">SUMIF(TradesEquity!$E$11:$E$1823,A36,TradesEquity!$M$11:$M$1823)</f>
        <v>6400</v>
      </c>
      <c r="M36" s="616" t="e">
        <f ca="1">_xll.BDP(C36 &amp; " Equity","PX_LAST")</f>
        <v>#NAME?</v>
      </c>
      <c r="N36" s="617" t="e">
        <f ca="1">_xll.BDP(C36 &amp; " Equity","Crncy")</f>
        <v>#NAME?</v>
      </c>
      <c r="O36" s="665"/>
      <c r="P36" s="665"/>
      <c r="Q36" s="665"/>
      <c r="R36" s="665"/>
      <c r="S36" s="664"/>
      <c r="T36" s="616" t="e">
        <f t="shared" ca="1" si="11"/>
        <v>#NAME?</v>
      </c>
      <c r="U36" s="627" t="e">
        <f t="shared" ca="1" si="20"/>
        <v>#NAME?</v>
      </c>
      <c r="V36" s="625" t="e">
        <f t="shared" ca="1" si="12"/>
        <v>#NAME?</v>
      </c>
      <c r="W36" s="856"/>
      <c r="X36" s="629" t="e">
        <f t="shared" ca="1" si="4"/>
        <v>#NAME?</v>
      </c>
      <c r="Y36" s="630" t="e">
        <f ca="1">_xll.BDH(C36 &amp; " Equity","PX_LAST",$Y$11,$Y$11,"days=a","fill=p")</f>
        <v>#NAME?</v>
      </c>
      <c r="Z36" s="630" t="e">
        <f ca="1">IF(F36="EUREUR Curncy",1,_xll.BDH(F36,"last_price",Z$11,Z$11,"days=a","fill=p"))</f>
        <v>#NAME?</v>
      </c>
      <c r="AA36" s="629" t="e">
        <f t="shared" ca="1" si="5"/>
        <v>#NAME?</v>
      </c>
      <c r="AB36" s="631" t="e">
        <f t="shared" ca="1" si="21"/>
        <v>#NAME?</v>
      </c>
      <c r="AC36" s="666" t="s">
        <v>12726</v>
      </c>
      <c r="AD36" s="670"/>
      <c r="AF36" s="608" t="str">
        <f t="shared" ca="1" si="13"/>
        <v/>
      </c>
      <c r="AG36" s="636" t="str">
        <f t="shared" ca="1" si="0"/>
        <v/>
      </c>
      <c r="AH36" s="614" t="e">
        <f t="shared" ca="1" si="1"/>
        <v>#NAME?</v>
      </c>
      <c r="AJ36" s="636" t="str">
        <f t="shared" si="14"/>
        <v>JP3404600003</v>
      </c>
      <c r="AK36" s="636" t="e">
        <f t="shared" ca="1" si="15"/>
        <v>#NAME?</v>
      </c>
      <c r="AL36" s="608" t="e">
        <f ca="1">_xll.BDP(C36 &amp; " Equity","COUNTRY")</f>
        <v>#NAME?</v>
      </c>
      <c r="AM36" s="608" t="e">
        <f ca="1">_xll.BDP(C36 &amp; " Equity","COUNTRY")</f>
        <v>#NAME?</v>
      </c>
      <c r="AN36" s="608" t="e">
        <f t="shared" ca="1" si="6"/>
        <v>#NAME?</v>
      </c>
      <c r="AO36" s="625" t="e">
        <f t="shared" ca="1" si="7"/>
        <v>#NAME?</v>
      </c>
      <c r="AP36" s="762"/>
      <c r="AQ36" s="218"/>
      <c r="BC36" s="736"/>
      <c r="BD36" s="736"/>
      <c r="BE36" s="736"/>
      <c r="BF36" s="736"/>
      <c r="BG36" s="736"/>
      <c r="BH36" s="736"/>
    </row>
    <row r="37" spans="1:60">
      <c r="A37" s="670" t="s">
        <v>1677</v>
      </c>
      <c r="B37" s="664" t="s">
        <v>12905</v>
      </c>
      <c r="C37" s="608" t="str">
        <f t="shared" si="2"/>
        <v>1958 HK</v>
      </c>
      <c r="D37" s="609" t="str">
        <f ca="1">IFERROR(_xll.BDP(C37&amp; " Equity","CAST_PARENT_NAME"),"")</f>
        <v/>
      </c>
      <c r="E37" s="610" t="e">
        <f ca="1">_xll.BDP(A37 &amp; " Equity","SECURITY_NAME")</f>
        <v>#NAME?</v>
      </c>
      <c r="F37" s="608" t="e">
        <f t="shared" ca="1" si="8"/>
        <v>#NAME?</v>
      </c>
      <c r="G37" s="611" t="e">
        <f ca="1">IF(N37="EUR",1,IF(N37="GBp",_xll.BDP(F37,"PX LAST")*100,_xll.BDP(F37,"PX LAST")))</f>
        <v>#NAME?</v>
      </c>
      <c r="H37" s="612" t="e">
        <f t="shared" ca="1" si="22"/>
        <v>#NAME?</v>
      </c>
      <c r="I37" s="612" t="e">
        <f t="shared" ca="1" si="10"/>
        <v>#NAME?</v>
      </c>
      <c r="J37" s="613" t="e">
        <f t="shared" ca="1" si="3"/>
        <v>#NAME?</v>
      </c>
      <c r="K37" s="613" t="e">
        <f t="shared" ca="1" si="19"/>
        <v>#NAME?</v>
      </c>
      <c r="L37" s="615">
        <f ca="1">SUMIF(TradesEquity!$E$11:$E$1823,A37,TradesEquity!$M$11:$M$1823)</f>
        <v>2000000</v>
      </c>
      <c r="M37" s="616" t="e">
        <f ca="1">_xll.BDP(C37 &amp; " Equity","PX_LAST")</f>
        <v>#NAME?</v>
      </c>
      <c r="N37" s="617" t="e">
        <f ca="1">_xll.BDP(C37 &amp; " Equity","Crncy")</f>
        <v>#NAME?</v>
      </c>
      <c r="O37" s="665"/>
      <c r="P37" s="665"/>
      <c r="Q37" s="665"/>
      <c r="R37" s="665"/>
      <c r="S37" s="664"/>
      <c r="T37" s="616" t="e">
        <f t="shared" ca="1" si="11"/>
        <v>#NAME?</v>
      </c>
      <c r="U37" s="627" t="e">
        <f t="shared" ca="1" si="20"/>
        <v>#NAME?</v>
      </c>
      <c r="V37" s="625" t="e">
        <f t="shared" ca="1" si="12"/>
        <v>#NAME?</v>
      </c>
      <c r="W37" s="856"/>
      <c r="X37" s="629" t="e">
        <f t="shared" ca="1" si="4"/>
        <v>#NAME?</v>
      </c>
      <c r="Y37" s="630" t="e">
        <f ca="1">_xll.BDH(C37 &amp; " Equity","PX_LAST",$Y$11,$Y$11,"days=a","fill=p")</f>
        <v>#NAME?</v>
      </c>
      <c r="Z37" s="630" t="e">
        <f ca="1">IF(F37="EUREUR Curncy",1,_xll.BDH(F37,"last_price",Z$11,Z$11,"days=a","fill=p"))</f>
        <v>#NAME?</v>
      </c>
      <c r="AA37" s="629" t="e">
        <f t="shared" ca="1" si="5"/>
        <v>#NAME?</v>
      </c>
      <c r="AB37" s="631" t="e">
        <f t="shared" ca="1" si="21"/>
        <v>#NAME?</v>
      </c>
      <c r="AC37" s="666" t="s">
        <v>12726</v>
      </c>
      <c r="AD37" s="670"/>
      <c r="AF37" s="608" t="str">
        <f t="shared" ca="1" si="13"/>
        <v/>
      </c>
      <c r="AG37" s="636" t="str">
        <f t="shared" ca="1" si="0"/>
        <v/>
      </c>
      <c r="AH37" s="614" t="e">
        <f t="shared" ca="1" si="1"/>
        <v>#NAME?</v>
      </c>
      <c r="AJ37" s="636" t="str">
        <f t="shared" si="14"/>
        <v>CNE100001TJ4</v>
      </c>
      <c r="AK37" s="636" t="e">
        <f t="shared" ca="1" si="15"/>
        <v>#NAME?</v>
      </c>
      <c r="AL37" s="608" t="e">
        <f ca="1">_xll.BDP(C37 &amp; " Equity","COUNTRY")</f>
        <v>#NAME?</v>
      </c>
      <c r="AM37" s="608" t="e">
        <f ca="1">_xll.BDP(C37 &amp; " Equity","COUNTRY")</f>
        <v>#NAME?</v>
      </c>
      <c r="AN37" s="608" t="e">
        <f t="shared" ca="1" si="6"/>
        <v>#NAME?</v>
      </c>
      <c r="AO37" s="625" t="e">
        <f t="shared" ca="1" si="7"/>
        <v>#NAME?</v>
      </c>
      <c r="AP37" s="762"/>
      <c r="AQ37" s="218"/>
      <c r="AR37" s="218"/>
      <c r="AS37" s="218"/>
      <c r="AT37" s="218"/>
      <c r="AU37" s="218"/>
      <c r="AV37" s="218"/>
      <c r="AW37" s="218"/>
      <c r="AX37" s="218"/>
      <c r="AY37" s="218"/>
      <c r="AZ37" s="872"/>
      <c r="BA37" s="831"/>
      <c r="BC37" s="736"/>
      <c r="BF37" s="736"/>
      <c r="BG37" s="736"/>
      <c r="BH37" s="736"/>
    </row>
    <row r="38" spans="1:60">
      <c r="A38" s="670" t="s">
        <v>1683</v>
      </c>
      <c r="B38" s="664" t="s">
        <v>12923</v>
      </c>
      <c r="C38" s="608" t="str">
        <f t="shared" si="2"/>
        <v>4094 JP</v>
      </c>
      <c r="D38" s="609" t="str">
        <f ca="1">IFERROR(_xll.BDP(C38&amp; " Equity","CAST_PARENT_NAME"),"")</f>
        <v/>
      </c>
      <c r="E38" s="610" t="e">
        <f ca="1">_xll.BDP(A38 &amp; " Equity","SECURITY_NAME")</f>
        <v>#NAME?</v>
      </c>
      <c r="F38" s="608" t="e">
        <f t="shared" ca="1" si="8"/>
        <v>#NAME?</v>
      </c>
      <c r="G38" s="611" t="e">
        <f ca="1">IF(N38="EUR",1,IF(N38="GBp",_xll.BDP(F38,"PX LAST")*100,_xll.BDP(F38,"PX LAST")))</f>
        <v>#NAME?</v>
      </c>
      <c r="H38" s="612" t="e">
        <f t="shared" ca="1" si="22"/>
        <v>#NAME?</v>
      </c>
      <c r="I38" s="612" t="e">
        <f t="shared" ca="1" si="10"/>
        <v>#NAME?</v>
      </c>
      <c r="J38" s="613" t="e">
        <f t="shared" ca="1" si="3"/>
        <v>#NAME?</v>
      </c>
      <c r="K38" s="613" t="e">
        <f t="shared" ca="1" si="19"/>
        <v>#NAME?</v>
      </c>
      <c r="L38" s="615">
        <f ca="1">SUMIF(TradesEquity!$E$11:$E$1823,A38,TradesEquity!$M$11:$M$1823)</f>
        <v>17000</v>
      </c>
      <c r="M38" s="616" t="e">
        <f ca="1">_xll.BDP(C38 &amp; " Equity","PX_LAST")</f>
        <v>#NAME?</v>
      </c>
      <c r="N38" s="617" t="e">
        <f ca="1">_xll.BDP(C38 &amp; " Equity","Crncy")</f>
        <v>#NAME?</v>
      </c>
      <c r="O38" s="665"/>
      <c r="P38" s="665"/>
      <c r="Q38" s="665"/>
      <c r="R38" s="665"/>
      <c r="S38" s="664"/>
      <c r="T38" s="616" t="e">
        <f t="shared" ca="1" si="11"/>
        <v>#NAME?</v>
      </c>
      <c r="U38" s="627" t="e">
        <f t="shared" ca="1" si="20"/>
        <v>#NAME?</v>
      </c>
      <c r="V38" s="625" t="e">
        <f t="shared" ca="1" si="12"/>
        <v>#NAME?</v>
      </c>
      <c r="W38" s="856"/>
      <c r="X38" s="629" t="e">
        <f t="shared" ca="1" si="4"/>
        <v>#NAME?</v>
      </c>
      <c r="Y38" s="630" t="e">
        <f ca="1">_xll.BDH(C38 &amp; " Equity","PX_LAST",$Y$11,$Y$11,"days=a","fill=p")</f>
        <v>#NAME?</v>
      </c>
      <c r="Z38" s="630" t="e">
        <f ca="1">IF(F38="EUREUR Curncy",1,_xll.BDH(F38,"last_price",Z$11,Z$11,"days=a","fill=p"))</f>
        <v>#NAME?</v>
      </c>
      <c r="AA38" s="629" t="e">
        <f t="shared" ca="1" si="5"/>
        <v>#NAME?</v>
      </c>
      <c r="AB38" s="631" t="e">
        <f t="shared" ca="1" si="21"/>
        <v>#NAME?</v>
      </c>
      <c r="AC38" s="666" t="s">
        <v>12726</v>
      </c>
      <c r="AD38" s="670"/>
      <c r="AF38" s="608" t="str">
        <f t="shared" ca="1" si="13"/>
        <v/>
      </c>
      <c r="AG38" s="636" t="str">
        <f t="shared" ca="1" si="0"/>
        <v/>
      </c>
      <c r="AH38" s="614" t="e">
        <f t="shared" ca="1" si="1"/>
        <v>#NAME?</v>
      </c>
      <c r="AJ38" s="636" t="str">
        <f t="shared" si="14"/>
        <v>JP3692000007</v>
      </c>
      <c r="AK38" s="636" t="e">
        <f t="shared" ca="1" si="15"/>
        <v>#NAME?</v>
      </c>
      <c r="AL38" s="608" t="e">
        <f ca="1">_xll.BDP(C38 &amp; " Equity","COUNTRY")</f>
        <v>#NAME?</v>
      </c>
      <c r="AM38" s="608" t="e">
        <f ca="1">_xll.BDP(C38 &amp; " Equity","COUNTRY")</f>
        <v>#NAME?</v>
      </c>
      <c r="AN38" s="608" t="e">
        <f t="shared" ca="1" si="6"/>
        <v>#NAME?</v>
      </c>
      <c r="AO38" s="625" t="e">
        <f t="shared" ca="1" si="7"/>
        <v>#NAME?</v>
      </c>
      <c r="AP38" s="762"/>
      <c r="AQ38" s="218"/>
      <c r="AR38" s="218"/>
      <c r="AS38" s="218"/>
      <c r="AT38" s="218"/>
      <c r="AU38" s="218"/>
      <c r="AV38" s="218"/>
      <c r="AW38" s="218"/>
      <c r="AX38" s="218"/>
      <c r="AY38" s="218"/>
    </row>
    <row r="39" spans="1:60">
      <c r="A39" s="670" t="s">
        <v>1698</v>
      </c>
      <c r="B39" s="664" t="s">
        <v>12924</v>
      </c>
      <c r="C39" s="608" t="str">
        <f t="shared" si="2"/>
        <v>NILSY US</v>
      </c>
      <c r="D39" s="609" t="str">
        <f ca="1">IFERROR(_xll.BDP(C39&amp; " Equity","CAST_PARENT_NAME"),"")</f>
        <v/>
      </c>
      <c r="E39" s="610" t="e">
        <f ca="1">_xll.BDP(A39 &amp; " Equity","SECURITY_NAME")</f>
        <v>#NAME?</v>
      </c>
      <c r="F39" s="608" t="e">
        <f t="shared" ca="1" si="8"/>
        <v>#NAME?</v>
      </c>
      <c r="G39" s="611" t="e">
        <f ca="1">IF(N39="EUR",1,IF(N39="GBp",_xll.BDP(F39,"PX LAST")*100,_xll.BDP(F39,"PX LAST")))</f>
        <v>#NAME?</v>
      </c>
      <c r="H39" s="612" t="e">
        <f t="shared" ca="1" si="22"/>
        <v>#NAME?</v>
      </c>
      <c r="I39" s="612" t="e">
        <f t="shared" ca="1" si="10"/>
        <v>#NAME?</v>
      </c>
      <c r="J39" s="613" t="e">
        <f t="shared" ca="1" si="3"/>
        <v>#NAME?</v>
      </c>
      <c r="K39" s="613" t="e">
        <f t="shared" ca="1" si="19"/>
        <v>#NAME?</v>
      </c>
      <c r="L39" s="615">
        <f ca="1">SUMIF(TradesEquity!$E$11:$E$1823,A39,TradesEquity!$M$11:$M$1823)</f>
        <v>7170</v>
      </c>
      <c r="M39" s="616" t="e">
        <f ca="1">_xll.BDP(C39 &amp; " Equity","PX_LAST")</f>
        <v>#NAME?</v>
      </c>
      <c r="N39" s="617" t="e">
        <f ca="1">_xll.BDP(C39 &amp; " Equity","Crncy")</f>
        <v>#NAME?</v>
      </c>
      <c r="O39" s="665"/>
      <c r="P39" s="665"/>
      <c r="Q39" s="665"/>
      <c r="R39" s="665"/>
      <c r="S39" s="664"/>
      <c r="T39" s="616" t="e">
        <f t="shared" ca="1" si="11"/>
        <v>#NAME?</v>
      </c>
      <c r="U39" s="627" t="e">
        <f t="shared" ca="1" si="20"/>
        <v>#NAME?</v>
      </c>
      <c r="V39" s="625" t="e">
        <f t="shared" ca="1" si="12"/>
        <v>#NAME?</v>
      </c>
      <c r="W39" s="856"/>
      <c r="X39" s="629" t="e">
        <f t="shared" ca="1" si="4"/>
        <v>#NAME?</v>
      </c>
      <c r="Y39" s="630" t="e">
        <f ca="1">_xll.BDH(C39 &amp; " Equity","PX_LAST",$Y$11,$Y$11,"days=a","fill=p")</f>
        <v>#NAME?</v>
      </c>
      <c r="Z39" s="630" t="e">
        <f ca="1">IF(F39="EUREUR Curncy",1,_xll.BDH(F39,"last_price",Z$11,Z$11,"days=a","fill=p"))</f>
        <v>#NAME?</v>
      </c>
      <c r="AA39" s="629" t="e">
        <f t="shared" ca="1" si="5"/>
        <v>#NAME?</v>
      </c>
      <c r="AB39" s="631" t="e">
        <f t="shared" ca="1" si="21"/>
        <v>#NAME?</v>
      </c>
      <c r="AC39" s="666" t="s">
        <v>12726</v>
      </c>
      <c r="AD39" s="670"/>
      <c r="AF39" s="608" t="str">
        <f t="shared" ca="1" si="13"/>
        <v/>
      </c>
      <c r="AG39" s="636" t="str">
        <f t="shared" ca="1" si="0"/>
        <v/>
      </c>
      <c r="AH39" s="614" t="e">
        <f t="shared" ca="1" si="1"/>
        <v>#NAME?</v>
      </c>
      <c r="AJ39" s="636" t="str">
        <f t="shared" si="14"/>
        <v>US55315J1025</v>
      </c>
      <c r="AK39" s="636" t="e">
        <f t="shared" ca="1" si="15"/>
        <v>#NAME?</v>
      </c>
      <c r="AL39" s="608" t="e">
        <f ca="1">_xll.BDP(C39 &amp; " Equity","COUNTRY")</f>
        <v>#NAME?</v>
      </c>
      <c r="AM39" s="608" t="e">
        <f ca="1">_xll.BDP(C39 &amp; " Equity","COUNTRY")</f>
        <v>#NAME?</v>
      </c>
      <c r="AN39" s="608" t="e">
        <f t="shared" ca="1" si="6"/>
        <v>#NAME?</v>
      </c>
      <c r="AO39" s="625" t="e">
        <f t="shared" ref="AO39:AO50" ca="1" si="23">+Y39/Z39*L39</f>
        <v>#NAME?</v>
      </c>
      <c r="AP39" s="762"/>
      <c r="AQ39" s="218"/>
      <c r="AR39" s="218"/>
      <c r="AS39" s="218"/>
      <c r="AT39" s="218"/>
      <c r="AU39" s="218"/>
      <c r="AV39" s="218"/>
      <c r="AW39" s="218"/>
      <c r="AX39" s="218"/>
      <c r="AY39" s="218"/>
    </row>
    <row r="40" spans="1:60">
      <c r="A40" s="670" t="s">
        <v>1697</v>
      </c>
      <c r="B40" s="664" t="s">
        <v>12925</v>
      </c>
      <c r="C40" s="608" t="str">
        <f t="shared" si="2"/>
        <v>4109 JP</v>
      </c>
      <c r="D40" s="609" t="str">
        <f ca="1">IFERROR(_xll.BDP(C40&amp; " Equity","CAST_PARENT_NAME"),"")</f>
        <v/>
      </c>
      <c r="E40" s="610" t="e">
        <f ca="1">_xll.BDP(A40 &amp; " Equity","SECURITY_NAME")</f>
        <v>#NAME?</v>
      </c>
      <c r="F40" s="608" t="e">
        <f t="shared" ca="1" si="8"/>
        <v>#NAME?</v>
      </c>
      <c r="G40" s="611" t="e">
        <f ca="1">IF(N40="EUR",1,IF(N40="GBp",_xll.BDP(F40,"PX LAST")*100,_xll.BDP(F40,"PX LAST")))</f>
        <v>#NAME?</v>
      </c>
      <c r="H40" s="612" t="e">
        <f t="shared" ca="1" si="22"/>
        <v>#NAME?</v>
      </c>
      <c r="I40" s="612" t="e">
        <f t="shared" ca="1" si="10"/>
        <v>#NAME?</v>
      </c>
      <c r="J40" s="613" t="e">
        <f t="shared" ca="1" si="3"/>
        <v>#NAME?</v>
      </c>
      <c r="K40" s="613" t="e">
        <f t="shared" ca="1" si="19"/>
        <v>#NAME?</v>
      </c>
      <c r="L40" s="615">
        <f ca="1">SUMIF(TradesEquity!$E$11:$E$1823,A40,TradesEquity!$M$11:$M$1823)</f>
        <v>10950</v>
      </c>
      <c r="M40" s="616" t="e">
        <f ca="1">_xll.BDP(C40 &amp; " Equity","PX_LAST")</f>
        <v>#NAME?</v>
      </c>
      <c r="N40" s="617" t="e">
        <f ca="1">_xll.BDP(C40 &amp; " Equity","Crncy")</f>
        <v>#NAME?</v>
      </c>
      <c r="O40" s="665"/>
      <c r="P40" s="665"/>
      <c r="Q40" s="665"/>
      <c r="R40" s="665"/>
      <c r="S40" s="664"/>
      <c r="T40" s="616" t="e">
        <f t="shared" ca="1" si="11"/>
        <v>#NAME?</v>
      </c>
      <c r="U40" s="627" t="e">
        <f t="shared" ca="1" si="20"/>
        <v>#NAME?</v>
      </c>
      <c r="V40" s="625" t="e">
        <f t="shared" ca="1" si="12"/>
        <v>#NAME?</v>
      </c>
      <c r="W40" s="856"/>
      <c r="X40" s="629" t="e">
        <f t="shared" ca="1" si="4"/>
        <v>#NAME?</v>
      </c>
      <c r="Y40" s="630" t="e">
        <f ca="1">_xll.BDH(C40 &amp; " Equity","PX_LAST",$Y$11,$Y$11,"days=a","fill=p")</f>
        <v>#NAME?</v>
      </c>
      <c r="Z40" s="630" t="e">
        <f ca="1">IF(F40="EUREUR Curncy",1,_xll.BDH(F40,"last_price",Z$11,Z$11,"days=a","fill=p"))</f>
        <v>#NAME?</v>
      </c>
      <c r="AA40" s="629" t="e">
        <f t="shared" ca="1" si="5"/>
        <v>#NAME?</v>
      </c>
      <c r="AB40" s="631" t="e">
        <f t="shared" ca="1" si="21"/>
        <v>#NAME?</v>
      </c>
      <c r="AC40" s="666" t="s">
        <v>12726</v>
      </c>
      <c r="AD40" s="670"/>
      <c r="AF40" s="608" t="str">
        <f t="shared" ca="1" si="13"/>
        <v/>
      </c>
      <c r="AG40" s="636" t="str">
        <f t="shared" ca="1" si="0"/>
        <v/>
      </c>
      <c r="AH40" s="614" t="e">
        <f t="shared" ca="1" si="1"/>
        <v>#NAME?</v>
      </c>
      <c r="AJ40" s="636" t="str">
        <f t="shared" ref="AJ40:AJ50" si="24">+A40</f>
        <v>JP3399720006</v>
      </c>
      <c r="AK40" s="636" t="e">
        <f t="shared" ref="AK40:AK50" ca="1" si="25">+E40</f>
        <v>#NAME?</v>
      </c>
      <c r="AL40" s="608" t="e">
        <f ca="1">_xll.BDP(C40 &amp; " Equity","COUNTRY")</f>
        <v>#NAME?</v>
      </c>
      <c r="AM40" s="608" t="e">
        <f ca="1">_xll.BDP(C40 &amp; " Equity","COUNTRY")</f>
        <v>#NAME?</v>
      </c>
      <c r="AN40" s="608" t="e">
        <f t="shared" ca="1" si="6"/>
        <v>#NAME?</v>
      </c>
      <c r="AO40" s="625" t="e">
        <f t="shared" ca="1" si="23"/>
        <v>#NAME?</v>
      </c>
      <c r="AP40" s="762"/>
      <c r="AQ40" s="218"/>
      <c r="AR40" s="218"/>
      <c r="AS40" s="218"/>
      <c r="AT40" s="218"/>
      <c r="AU40" s="218"/>
      <c r="AV40" s="218"/>
      <c r="AW40" s="218"/>
      <c r="AX40" s="218"/>
      <c r="AY40" s="218"/>
      <c r="AZ40" s="872"/>
      <c r="BA40" s="831"/>
      <c r="BC40" s="736"/>
      <c r="BD40" s="736"/>
      <c r="BE40" s="736"/>
      <c r="BF40" s="736"/>
      <c r="BG40" s="736"/>
      <c r="BH40" s="736"/>
    </row>
    <row r="41" spans="1:60">
      <c r="A41" s="670" t="s">
        <v>1723</v>
      </c>
      <c r="B41" s="664" t="s">
        <v>12906</v>
      </c>
      <c r="C41" s="608" t="str">
        <f t="shared" ref="C41:C57" si="26">IF(B41="","",B41)</f>
        <v>WSA AU</v>
      </c>
      <c r="D41" s="609" t="str">
        <f ca="1">IFERROR(_xll.BDP(C41&amp; " Equity","CAST_PARENT_NAME"),"")</f>
        <v/>
      </c>
      <c r="E41" s="610" t="e">
        <f ca="1">_xll.BDP(A41 &amp; " Equity","SECURITY_NAME")</f>
        <v>#NAME?</v>
      </c>
      <c r="F41" s="608" t="e">
        <f t="shared" ca="1" si="8"/>
        <v>#NAME?</v>
      </c>
      <c r="G41" s="611" t="e">
        <f ca="1">IF(N41="EUR",1,IF(N41="GBp",_xll.BDP(F41,"PX LAST")*100,_xll.BDP(F41,"PX LAST")))</f>
        <v>#NAME?</v>
      </c>
      <c r="H41" s="612" t="e">
        <f t="shared" ca="1" si="22"/>
        <v>#NAME?</v>
      </c>
      <c r="I41" s="612" t="e">
        <f t="shared" ca="1" si="10"/>
        <v>#NAME?</v>
      </c>
      <c r="J41" s="613" t="e">
        <f t="shared" ref="J41:J57" ca="1" si="27">+K41</f>
        <v>#NAME?</v>
      </c>
      <c r="K41" s="613" t="e">
        <f t="shared" ca="1" si="19"/>
        <v>#NAME?</v>
      </c>
      <c r="L41" s="615">
        <f ca="1">SUMIF(TradesEquity!$E$11:$E$1823,A41,TradesEquity!$M$11:$M$1823)</f>
        <v>670000</v>
      </c>
      <c r="M41" s="616" t="e">
        <f ca="1">_xll.BDP(C41 &amp; " Equity","PX_LAST")</f>
        <v>#NAME?</v>
      </c>
      <c r="N41" s="617" t="e">
        <f ca="1">_xll.BDP(C41 &amp; " Equity","Crncy")</f>
        <v>#NAME?</v>
      </c>
      <c r="O41" s="665"/>
      <c r="P41" s="665"/>
      <c r="Q41" s="665"/>
      <c r="R41" s="665"/>
      <c r="S41" s="664"/>
      <c r="T41" s="616" t="e">
        <f t="shared" ca="1" si="11"/>
        <v>#NAME?</v>
      </c>
      <c r="U41" s="627" t="e">
        <f t="shared" ca="1" si="20"/>
        <v>#NAME?</v>
      </c>
      <c r="V41" s="625" t="e">
        <f t="shared" ca="1" si="12"/>
        <v>#NAME?</v>
      </c>
      <c r="W41" s="856"/>
      <c r="X41" s="629" t="e">
        <f t="shared" ref="X41:X57" ca="1" si="28">+M41/W41-1</f>
        <v>#NAME?</v>
      </c>
      <c r="Y41" s="630" t="e">
        <f ca="1">_xll.BDH(C41 &amp; " Equity","PX_LAST",$Y$11,$Y$11,"days=a","fill=p")</f>
        <v>#NAME?</v>
      </c>
      <c r="Z41" s="630" t="e">
        <f ca="1">IF(F41="EUREUR Curncy",1,_xll.BDH(F41,"last_price",Z$11,Z$11,"days=a","fill=p"))</f>
        <v>#NAME?</v>
      </c>
      <c r="AA41" s="629" t="e">
        <f t="shared" ref="AA41:AA58" ca="1" si="29">+M41/Y41-1</f>
        <v>#NAME?</v>
      </c>
      <c r="AB41" s="631" t="e">
        <f t="shared" ca="1" si="21"/>
        <v>#NAME?</v>
      </c>
      <c r="AC41" s="666" t="s">
        <v>12726</v>
      </c>
      <c r="AD41" s="670"/>
      <c r="AF41" s="608" t="str">
        <f t="shared" ca="1" si="13"/>
        <v/>
      </c>
      <c r="AG41" s="636" t="str">
        <f t="shared" ca="1" si="0"/>
        <v/>
      </c>
      <c r="AH41" s="614" t="e">
        <f t="shared" ca="1" si="1"/>
        <v>#NAME?</v>
      </c>
      <c r="AJ41" s="636" t="str">
        <f t="shared" si="24"/>
        <v>AU000000WSA9</v>
      </c>
      <c r="AK41" s="636" t="e">
        <f t="shared" ca="1" si="25"/>
        <v>#NAME?</v>
      </c>
      <c r="AL41" s="608" t="e">
        <f ca="1">_xll.BDP(C41 &amp; " Equity","COUNTRY")</f>
        <v>#NAME?</v>
      </c>
      <c r="AM41" s="608" t="e">
        <f ca="1">_xll.BDP(C41 &amp; " Equity","COUNTRY")</f>
        <v>#NAME?</v>
      </c>
      <c r="AN41" s="608" t="e">
        <f t="shared" ca="1" si="6"/>
        <v>#NAME?</v>
      </c>
      <c r="AO41" s="625" t="e">
        <f t="shared" ca="1" si="23"/>
        <v>#NAME?</v>
      </c>
      <c r="AP41" s="762"/>
      <c r="AQ41" s="218"/>
      <c r="AR41" s="218"/>
      <c r="AS41" s="218"/>
      <c r="AT41" s="218"/>
      <c r="AU41" s="218"/>
      <c r="AV41" s="218"/>
      <c r="AW41" s="218"/>
      <c r="AX41" s="218"/>
      <c r="AY41" s="218"/>
      <c r="AZ41" s="219"/>
    </row>
    <row r="42" spans="1:60">
      <c r="A42" s="670" t="s">
        <v>1702</v>
      </c>
      <c r="B42" s="664" t="s">
        <v>12907</v>
      </c>
      <c r="C42" s="608" t="str">
        <f t="shared" si="26"/>
        <v>VOW3 GY</v>
      </c>
      <c r="D42" s="609" t="str">
        <f ca="1">IFERROR(_xll.BDP(C42&amp; " Equity","CAST_PARENT_NAME"),"")</f>
        <v/>
      </c>
      <c r="E42" s="610" t="e">
        <f ca="1">_xll.BDP(A42 &amp; " Equity","SECURITY_NAME")</f>
        <v>#NAME?</v>
      </c>
      <c r="F42" s="608" t="e">
        <f t="shared" ca="1" si="8"/>
        <v>#NAME?</v>
      </c>
      <c r="G42" s="611" t="e">
        <f ca="1">IF(N42="EUR",1,IF(N42="GBp",_xll.BDP(F42,"PX LAST")*100,_xll.BDP(F42,"PX LAST")))</f>
        <v>#NAME?</v>
      </c>
      <c r="H42" s="612" t="e">
        <f t="shared" ca="1" si="22"/>
        <v>#NAME?</v>
      </c>
      <c r="I42" s="612" t="e">
        <f t="shared" ca="1" si="10"/>
        <v>#NAME?</v>
      </c>
      <c r="J42" s="613" t="e">
        <f t="shared" ca="1" si="27"/>
        <v>#NAME?</v>
      </c>
      <c r="K42" s="613" t="e">
        <f t="shared" ca="1" si="19"/>
        <v>#NAME?</v>
      </c>
      <c r="L42" s="615">
        <f ca="1">SUMIF(TradesEquity!$E$11:$E$1823,A42,TradesEquity!$M$11:$M$1823)</f>
        <v>2270</v>
      </c>
      <c r="M42" s="616" t="e">
        <f ca="1">_xll.BDP(C42 &amp; " Equity","PX_LAST")</f>
        <v>#NAME?</v>
      </c>
      <c r="N42" s="617" t="e">
        <f ca="1">_xll.BDP(C42 &amp; " Equity","Crncy")</f>
        <v>#NAME?</v>
      </c>
      <c r="O42" s="665"/>
      <c r="P42" s="665"/>
      <c r="Q42" s="665"/>
      <c r="R42" s="665"/>
      <c r="S42" s="664"/>
      <c r="T42" s="616" t="e">
        <f t="shared" ca="1" si="11"/>
        <v>#NAME?</v>
      </c>
      <c r="U42" s="627" t="e">
        <f t="shared" ca="1" si="20"/>
        <v>#NAME?</v>
      </c>
      <c r="V42" s="625" t="e">
        <f t="shared" ca="1" si="12"/>
        <v>#NAME?</v>
      </c>
      <c r="W42" s="856"/>
      <c r="X42" s="629" t="e">
        <f t="shared" ca="1" si="28"/>
        <v>#NAME?</v>
      </c>
      <c r="Y42" s="630" t="e">
        <f ca="1">_xll.BDH(C42 &amp; " Equity","PX_LAST",$Y$11,$Y$11,"days=a","fill=p")</f>
        <v>#NAME?</v>
      </c>
      <c r="Z42" s="630" t="e">
        <f ca="1">IF(F42="EUREUR Curncy",1,_xll.BDH(F42,"last_price",Z$11,Z$11,"days=a","fill=p"))</f>
        <v>#NAME?</v>
      </c>
      <c r="AA42" s="629" t="e">
        <f t="shared" ca="1" si="29"/>
        <v>#NAME?</v>
      </c>
      <c r="AB42" s="631" t="e">
        <f t="shared" ca="1" si="21"/>
        <v>#NAME?</v>
      </c>
      <c r="AC42" s="666" t="s">
        <v>12726</v>
      </c>
      <c r="AD42" s="670"/>
      <c r="AF42" s="608" t="str">
        <f t="shared" ca="1" si="13"/>
        <v/>
      </c>
      <c r="AG42" s="636" t="str">
        <f t="shared" ca="1" si="0"/>
        <v/>
      </c>
      <c r="AH42" s="614" t="e">
        <f t="shared" ca="1" si="1"/>
        <v>#NAME?</v>
      </c>
      <c r="AJ42" s="636" t="str">
        <f t="shared" si="24"/>
        <v>DE0007664039</v>
      </c>
      <c r="AK42" s="636" t="e">
        <f t="shared" ca="1" si="25"/>
        <v>#NAME?</v>
      </c>
      <c r="AL42" s="608" t="e">
        <f ca="1">_xll.BDP(C42 &amp; " Equity","COUNTRY")</f>
        <v>#NAME?</v>
      </c>
      <c r="AM42" s="608" t="e">
        <f ca="1">_xll.BDP(C42 &amp; " Equity","COUNTRY")</f>
        <v>#NAME?</v>
      </c>
      <c r="AN42" s="608" t="e">
        <f t="shared" ca="1" si="6"/>
        <v>#NAME?</v>
      </c>
      <c r="AO42" s="625" t="e">
        <f t="shared" ca="1" si="23"/>
        <v>#NAME?</v>
      </c>
      <c r="AP42" s="762"/>
      <c r="AQ42" s="218"/>
      <c r="AR42" s="218"/>
      <c r="AS42" s="218"/>
      <c r="AT42" s="218"/>
      <c r="AU42" s="218"/>
      <c r="AV42" s="218"/>
      <c r="AW42" s="218"/>
      <c r="AX42" s="218"/>
      <c r="AY42" s="218"/>
      <c r="AZ42" s="219"/>
    </row>
    <row r="43" spans="1:60">
      <c r="A43" s="670" t="s">
        <v>2102</v>
      </c>
      <c r="B43" s="664" t="s">
        <v>12926</v>
      </c>
      <c r="C43" s="608" t="str">
        <f t="shared" si="26"/>
        <v>GLEN LN</v>
      </c>
      <c r="D43" s="609" t="str">
        <f ca="1">IFERROR(_xll.BDP(C43&amp; " Equity","CAST_PARENT_NAME"),"")</f>
        <v/>
      </c>
      <c r="E43" s="610" t="e">
        <f ca="1">_xll.BDP(A43 &amp; " Equity","SECURITY_NAME")</f>
        <v>#NAME?</v>
      </c>
      <c r="F43" s="608" t="e">
        <f t="shared" ca="1" si="8"/>
        <v>#NAME?</v>
      </c>
      <c r="G43" s="611" t="e">
        <f ca="1">IF(N43="EUR",1,IF(N43="GBp",_xll.BDP(F43,"PX LAST")*100,_xll.BDP(F43,"PX LAST")))</f>
        <v>#NAME?</v>
      </c>
      <c r="H43" s="612" t="e">
        <f t="shared" ca="1" si="22"/>
        <v>#NAME?</v>
      </c>
      <c r="I43" s="612" t="e">
        <f t="shared" ca="1" si="10"/>
        <v>#NAME?</v>
      </c>
      <c r="J43" s="613" t="e">
        <f t="shared" ca="1" si="27"/>
        <v>#NAME?</v>
      </c>
      <c r="K43" s="613" t="e">
        <f t="shared" ca="1" si="19"/>
        <v>#NAME?</v>
      </c>
      <c r="L43" s="615">
        <f ca="1">SUMIF(TradesEquity!$E$11:$E$1823,A43,TradesEquity!$M$11:$M$1823)</f>
        <v>39000</v>
      </c>
      <c r="M43" s="616" t="e">
        <f ca="1">_xll.BDP(C43 &amp; " Equity","PX_LAST")</f>
        <v>#NAME?</v>
      </c>
      <c r="N43" s="617" t="e">
        <f ca="1">_xll.BDP(C43 &amp; " Equity","Crncy")</f>
        <v>#NAME?</v>
      </c>
      <c r="O43" s="665"/>
      <c r="P43" s="665"/>
      <c r="Q43" s="665"/>
      <c r="R43" s="665"/>
      <c r="S43" s="664"/>
      <c r="T43" s="616" t="e">
        <f t="shared" ca="1" si="11"/>
        <v>#NAME?</v>
      </c>
      <c r="U43" s="627" t="e">
        <f t="shared" ca="1" si="20"/>
        <v>#NAME?</v>
      </c>
      <c r="V43" s="625" t="e">
        <f ca="1">+I43*L43</f>
        <v>#NAME?</v>
      </c>
      <c r="W43" s="856"/>
      <c r="X43" s="629" t="e">
        <f t="shared" ca="1" si="28"/>
        <v>#NAME?</v>
      </c>
      <c r="Y43" s="630" t="e">
        <f ca="1">_xll.BDH(C43 &amp; " Equity","PX_LAST",$Y$11,$Y$11,"days=a","fill=p")</f>
        <v>#NAME?</v>
      </c>
      <c r="Z43" s="630" t="e">
        <f ca="1">IF(F43="EUREUR Curncy",1,_xll.BDH(F43,"last_price",Z$11,Z$11,"days=a","fill=p"))</f>
        <v>#NAME?</v>
      </c>
      <c r="AA43" s="629" t="e">
        <f t="shared" ca="1" si="29"/>
        <v>#NAME?</v>
      </c>
      <c r="AB43" s="631" t="e">
        <f t="shared" ca="1" si="21"/>
        <v>#NAME?</v>
      </c>
      <c r="AC43" s="666" t="s">
        <v>12726</v>
      </c>
      <c r="AD43" s="670"/>
      <c r="AF43" s="608" t="str">
        <f t="shared" ca="1" si="13"/>
        <v/>
      </c>
      <c r="AG43" s="636" t="str">
        <f t="shared" ca="1" si="0"/>
        <v/>
      </c>
      <c r="AH43" s="614" t="e">
        <f t="shared" ca="1" si="1"/>
        <v>#NAME?</v>
      </c>
      <c r="AJ43" s="636" t="str">
        <f t="shared" si="24"/>
        <v>JE00B4T3BW64</v>
      </c>
      <c r="AK43" s="636" t="e">
        <f t="shared" ca="1" si="25"/>
        <v>#NAME?</v>
      </c>
      <c r="AL43" s="608" t="e">
        <f ca="1">_xll.BDP(C43 &amp; " Equity","COUNTRY")</f>
        <v>#NAME?</v>
      </c>
      <c r="AM43" s="608" t="e">
        <f ca="1">_xll.BDP(C43 &amp; " Equity","COUNTRY")</f>
        <v>#NAME?</v>
      </c>
      <c r="AN43" s="608" t="e">
        <f t="shared" ca="1" si="6"/>
        <v>#NAME?</v>
      </c>
      <c r="AO43" s="625" t="e">
        <f t="shared" ca="1" si="23"/>
        <v>#NAME?</v>
      </c>
      <c r="AP43" s="762"/>
      <c r="AQ43" s="218"/>
      <c r="AR43" s="218"/>
      <c r="AS43" s="218"/>
      <c r="AT43" s="218"/>
      <c r="AU43" s="218"/>
      <c r="AV43" s="218"/>
      <c r="AW43" s="218"/>
      <c r="AX43" s="218"/>
      <c r="AY43" s="218"/>
      <c r="AZ43" s="219"/>
    </row>
    <row r="44" spans="1:60">
      <c r="A44" s="670" t="s">
        <v>12855</v>
      </c>
      <c r="B44" s="664" t="s">
        <v>12927</v>
      </c>
      <c r="C44" s="608" t="str">
        <f t="shared" si="26"/>
        <v>064960 KS</v>
      </c>
      <c r="D44" s="609" t="str">
        <f ca="1">IFERROR(_xll.BDP(C44&amp; " Equity","CAST_PARENT_NAME"),"")</f>
        <v/>
      </c>
      <c r="E44" s="610" t="e">
        <f ca="1">_xll.BDP(A44 &amp; " Equity","SECURITY_NAME")</f>
        <v>#NAME?</v>
      </c>
      <c r="F44" s="608" t="e">
        <f t="shared" ca="1" si="8"/>
        <v>#NAME?</v>
      </c>
      <c r="G44" s="611" t="e">
        <f ca="1">IF(N44="EUR",1,IF(N44="GBp",_xll.BDP(F44,"PX LAST")*100,_xll.BDP(F44,"PX LAST")))</f>
        <v>#NAME?</v>
      </c>
      <c r="H44" s="612" t="e">
        <f t="shared" ca="1" si="22"/>
        <v>#NAME?</v>
      </c>
      <c r="I44" s="612" t="e">
        <f t="shared" ca="1" si="10"/>
        <v>#NAME?</v>
      </c>
      <c r="J44" s="613" t="e">
        <f t="shared" ca="1" si="27"/>
        <v>#NAME?</v>
      </c>
      <c r="K44" s="613" t="e">
        <f t="shared" ca="1" si="19"/>
        <v>#NAME?</v>
      </c>
      <c r="L44" s="615">
        <f ca="1">SUMIF(TradesEquity!$E$11:$E$1823,A44,TradesEquity!$M$11:$M$1823)</f>
        <v>4200</v>
      </c>
      <c r="M44" s="616" t="e">
        <f ca="1">_xll.BDP(C44 &amp; " Equity","PX_LAST")</f>
        <v>#NAME?</v>
      </c>
      <c r="N44" s="617" t="e">
        <f ca="1">_xll.BDP(C44 &amp; " Equity","Crncy")</f>
        <v>#NAME?</v>
      </c>
      <c r="O44" s="665"/>
      <c r="P44" s="665"/>
      <c r="Q44" s="665"/>
      <c r="R44" s="665"/>
      <c r="S44" s="664"/>
      <c r="T44" s="616" t="e">
        <f t="shared" ca="1" si="11"/>
        <v>#NAME?</v>
      </c>
      <c r="U44" s="627" t="e">
        <f t="shared" ca="1" si="20"/>
        <v>#NAME?</v>
      </c>
      <c r="V44" s="625" t="e">
        <f t="shared" ca="1" si="12"/>
        <v>#NAME?</v>
      </c>
      <c r="W44" s="856"/>
      <c r="X44" s="629" t="e">
        <f t="shared" ca="1" si="28"/>
        <v>#NAME?</v>
      </c>
      <c r="Y44" s="630" t="e">
        <f ca="1">_xll.BDH(C44 &amp; " Equity","PX_LAST",$Y$11,$Y$11,"days=a","fill=p")</f>
        <v>#NAME?</v>
      </c>
      <c r="Z44" s="630" t="e">
        <f ca="1">IF(F44="EUREUR Curncy",1,_xll.BDH(F44,"last_price",Z$11,Z$11,"days=a","fill=p"))</f>
        <v>#NAME?</v>
      </c>
      <c r="AA44" s="629" t="e">
        <f t="shared" ca="1" si="29"/>
        <v>#NAME?</v>
      </c>
      <c r="AB44" s="631" t="e">
        <f t="shared" ca="1" si="21"/>
        <v>#NAME?</v>
      </c>
      <c r="AC44" s="666" t="s">
        <v>12726</v>
      </c>
      <c r="AD44" s="670"/>
      <c r="AF44" s="608" t="str">
        <f t="shared" ca="1" si="13"/>
        <v/>
      </c>
      <c r="AG44" s="636" t="str">
        <f t="shared" ca="1" si="0"/>
        <v/>
      </c>
      <c r="AH44" s="614" t="e">
        <f t="shared" ca="1" si="1"/>
        <v>#NAME?</v>
      </c>
      <c r="AJ44" s="636" t="str">
        <f t="shared" si="24"/>
        <v>KR7064960008</v>
      </c>
      <c r="AK44" s="636" t="e">
        <f t="shared" ca="1" si="25"/>
        <v>#NAME?</v>
      </c>
      <c r="AL44" s="608" t="e">
        <f ca="1">_xll.BDP(C44 &amp; " Equity","COUNTRY")</f>
        <v>#NAME?</v>
      </c>
      <c r="AM44" s="608" t="e">
        <f ca="1">_xll.BDP(C44 &amp; " Equity","COUNTRY")</f>
        <v>#NAME?</v>
      </c>
      <c r="AN44" s="608" t="e">
        <f t="shared" ca="1" si="6"/>
        <v>#NAME?</v>
      </c>
      <c r="AO44" s="625" t="e">
        <f t="shared" ca="1" si="23"/>
        <v>#NAME?</v>
      </c>
      <c r="AP44" s="762"/>
      <c r="AQ44" s="218"/>
      <c r="AV44" s="218"/>
      <c r="AW44" s="218"/>
      <c r="AX44" s="218"/>
      <c r="AY44" s="218"/>
      <c r="AZ44" s="872"/>
      <c r="BA44" s="831"/>
      <c r="BC44" s="736"/>
      <c r="BD44" s="736"/>
      <c r="BE44" s="736"/>
      <c r="BF44" s="736"/>
      <c r="BG44" s="736"/>
      <c r="BH44" s="736"/>
    </row>
    <row r="45" spans="1:60">
      <c r="A45" s="670" t="s">
        <v>12857</v>
      </c>
      <c r="B45" s="664" t="s">
        <v>12908</v>
      </c>
      <c r="C45" s="608" t="str">
        <f t="shared" si="26"/>
        <v>005490 KS</v>
      </c>
      <c r="D45" s="609" t="str">
        <f ca="1">IFERROR(_xll.BDP(C45&amp; " Equity","CAST_PARENT_NAME"),"")</f>
        <v/>
      </c>
      <c r="E45" s="610" t="e">
        <f ca="1">_xll.BDP(A45 &amp; " Equity","SECURITY_NAME")</f>
        <v>#NAME?</v>
      </c>
      <c r="F45" s="608" t="e">
        <f t="shared" ca="1" si="8"/>
        <v>#NAME?</v>
      </c>
      <c r="G45" s="611" t="e">
        <f ca="1">IF(N45="EUR",1,IF(N45="GBp",_xll.BDP(F45,"PX LAST")*100,_xll.BDP(F45,"PX LAST")))</f>
        <v>#NAME?</v>
      </c>
      <c r="H45" s="612" t="e">
        <f t="shared" ca="1" si="22"/>
        <v>#NAME?</v>
      </c>
      <c r="I45" s="612" t="e">
        <f t="shared" ca="1" si="10"/>
        <v>#NAME?</v>
      </c>
      <c r="J45" s="613" t="e">
        <f t="shared" ca="1" si="27"/>
        <v>#NAME?</v>
      </c>
      <c r="K45" s="613" t="e">
        <f t="shared" ca="1" si="19"/>
        <v>#NAME?</v>
      </c>
      <c r="L45" s="615">
        <f ca="1">SUMIF(TradesEquity!$E$11:$E$1823,A45,TradesEquity!$M$11:$M$1823)</f>
        <v>1090</v>
      </c>
      <c r="M45" s="616" t="e">
        <f ca="1">_xll.BDP(C45 &amp; " Equity","PX_LAST")</f>
        <v>#NAME?</v>
      </c>
      <c r="N45" s="617" t="e">
        <f ca="1">_xll.BDP(C45 &amp; " Equity","Crncy")</f>
        <v>#NAME?</v>
      </c>
      <c r="O45" s="665"/>
      <c r="P45" s="665"/>
      <c r="Q45" s="665"/>
      <c r="R45" s="665"/>
      <c r="S45" s="664"/>
      <c r="T45" s="616" t="e">
        <f t="shared" ca="1" si="11"/>
        <v>#NAME?</v>
      </c>
      <c r="U45" s="627" t="e">
        <f t="shared" ca="1" si="20"/>
        <v>#NAME?</v>
      </c>
      <c r="V45" s="625" t="e">
        <f t="shared" ca="1" si="12"/>
        <v>#NAME?</v>
      </c>
      <c r="W45" s="856"/>
      <c r="X45" s="629" t="e">
        <f t="shared" ca="1" si="28"/>
        <v>#NAME?</v>
      </c>
      <c r="Y45" s="630" t="e">
        <f ca="1">_xll.BDH(C45 &amp; " Equity","PX_LAST",$Y$11,$Y$11,"days=a","fill=p")</f>
        <v>#NAME?</v>
      </c>
      <c r="Z45" s="630" t="e">
        <f ca="1">IF(F45="EUREUR Curncy",1,_xll.BDH(F45,"last_price",Z$11,Z$11,"days=a","fill=p"))</f>
        <v>#NAME?</v>
      </c>
      <c r="AA45" s="629" t="e">
        <f t="shared" ca="1" si="29"/>
        <v>#NAME?</v>
      </c>
      <c r="AB45" s="631" t="e">
        <f t="shared" ca="1" si="21"/>
        <v>#NAME?</v>
      </c>
      <c r="AC45" s="666" t="s">
        <v>12726</v>
      </c>
      <c r="AD45" s="670"/>
      <c r="AF45" s="608" t="str">
        <f t="shared" ca="1" si="13"/>
        <v/>
      </c>
      <c r="AG45" s="636" t="str">
        <f t="shared" ca="1" si="0"/>
        <v/>
      </c>
      <c r="AH45" s="614" t="e">
        <f t="shared" ca="1" si="1"/>
        <v>#NAME?</v>
      </c>
      <c r="AJ45" s="636" t="str">
        <f t="shared" si="24"/>
        <v>KR7005490008</v>
      </c>
      <c r="AK45" s="636" t="e">
        <f t="shared" ca="1" si="25"/>
        <v>#NAME?</v>
      </c>
      <c r="AL45" s="608" t="e">
        <f ca="1">_xll.BDP(C45 &amp; " Equity","COUNTRY")</f>
        <v>#NAME?</v>
      </c>
      <c r="AM45" s="608" t="e">
        <f ca="1">_xll.BDP(C45 &amp; " Equity","COUNTRY")</f>
        <v>#NAME?</v>
      </c>
      <c r="AN45" s="608" t="e">
        <f t="shared" ca="1" si="6"/>
        <v>#NAME?</v>
      </c>
      <c r="AO45" s="625" t="e">
        <f t="shared" ca="1" si="23"/>
        <v>#NAME?</v>
      </c>
      <c r="AP45" s="762"/>
      <c r="AQ45" s="218"/>
      <c r="AR45" s="218"/>
      <c r="AS45" s="218"/>
      <c r="AT45" s="218"/>
      <c r="AU45" s="218"/>
      <c r="AV45" s="218"/>
      <c r="AW45" s="218"/>
      <c r="AX45" s="218"/>
      <c r="AY45" s="218"/>
      <c r="AZ45" s="219"/>
    </row>
    <row r="46" spans="1:60">
      <c r="A46" s="670" t="s">
        <v>12858</v>
      </c>
      <c r="B46" s="664" t="s">
        <v>12976</v>
      </c>
      <c r="C46" s="608" t="str">
        <f t="shared" si="26"/>
        <v>056190 KS</v>
      </c>
      <c r="D46" s="609" t="str">
        <f ca="1">IFERROR(_xll.BDP(C46&amp; " Equity","CAST_PARENT_NAME"),"")</f>
        <v/>
      </c>
      <c r="E46" s="610" t="e">
        <f ca="1">_xll.BDP(A46 &amp; " Equity","SECURITY_NAME")</f>
        <v>#NAME?</v>
      </c>
      <c r="F46" s="608" t="e">
        <f t="shared" ca="1" si="8"/>
        <v>#NAME?</v>
      </c>
      <c r="G46" s="611" t="e">
        <f ca="1">IF(N46="EUR",1,IF(N46="GBp",_xll.BDP(F46,"PX LAST")*100,_xll.BDP(F46,"PX LAST")))</f>
        <v>#NAME?</v>
      </c>
      <c r="H46" s="612" t="e">
        <f t="shared" ca="1" si="22"/>
        <v>#NAME?</v>
      </c>
      <c r="I46" s="612" t="e">
        <f t="shared" ca="1" si="10"/>
        <v>#NAME?</v>
      </c>
      <c r="J46" s="613" t="e">
        <f t="shared" ca="1" si="27"/>
        <v>#NAME?</v>
      </c>
      <c r="K46" s="613" t="e">
        <f t="shared" ca="1" si="19"/>
        <v>#NAME?</v>
      </c>
      <c r="L46" s="615">
        <f ca="1">SUMIF(TradesEquity!$E$11:$E$1823,A46,TradesEquity!$M$11:$M$1823)</f>
        <v>22070</v>
      </c>
      <c r="M46" s="616" t="e">
        <f ca="1">_xll.BDP(C46 &amp; " Equity","PX_LAST")</f>
        <v>#NAME?</v>
      </c>
      <c r="N46" s="617" t="e">
        <f ca="1">_xll.BDP(C46 &amp; " Equity","Crncy")</f>
        <v>#NAME?</v>
      </c>
      <c r="O46" s="665"/>
      <c r="P46" s="665"/>
      <c r="Q46" s="665"/>
      <c r="R46" s="665"/>
      <c r="S46" s="664"/>
      <c r="T46" s="616" t="e">
        <f t="shared" ca="1" si="11"/>
        <v>#NAME?</v>
      </c>
      <c r="U46" s="627" t="e">
        <f t="shared" ca="1" si="20"/>
        <v>#NAME?</v>
      </c>
      <c r="V46" s="625" t="e">
        <f t="shared" ca="1" si="12"/>
        <v>#NAME?</v>
      </c>
      <c r="W46" s="856"/>
      <c r="X46" s="629" t="e">
        <f t="shared" ca="1" si="28"/>
        <v>#NAME?</v>
      </c>
      <c r="Y46" s="630" t="e">
        <f ca="1">_xll.BDH(C46 &amp; " Equity","PX_LAST",$Y$11,$Y$11,"days=a","fill=p")</f>
        <v>#NAME?</v>
      </c>
      <c r="Z46" s="630" t="e">
        <f ca="1">IF(F46="EUREUR Curncy",1,_xll.BDH(F46,"last_price",Z$11,Z$11,"days=a","fill=p"))</f>
        <v>#NAME?</v>
      </c>
      <c r="AA46" s="629" t="e">
        <f t="shared" ca="1" si="29"/>
        <v>#NAME?</v>
      </c>
      <c r="AB46" s="631" t="e">
        <f t="shared" ca="1" si="21"/>
        <v>#NAME?</v>
      </c>
      <c r="AC46" s="666" t="s">
        <v>12726</v>
      </c>
      <c r="AD46" s="670"/>
      <c r="AF46" s="608" t="str">
        <f t="shared" ca="1" si="13"/>
        <v/>
      </c>
      <c r="AG46" s="636" t="str">
        <f t="shared" ca="1" si="0"/>
        <v/>
      </c>
      <c r="AH46" s="614" t="e">
        <f t="shared" ca="1" si="1"/>
        <v>#NAME?</v>
      </c>
      <c r="AJ46" s="636" t="str">
        <f t="shared" si="24"/>
        <v>KR7056190002</v>
      </c>
      <c r="AK46" s="636" t="e">
        <f t="shared" ca="1" si="25"/>
        <v>#NAME?</v>
      </c>
      <c r="AL46" s="608" t="e">
        <f ca="1">_xll.BDP(C46 &amp; " Equity","COUNTRY")</f>
        <v>#NAME?</v>
      </c>
      <c r="AM46" s="608" t="e">
        <f ca="1">_xll.BDP(C46 &amp; " Equity","COUNTRY")</f>
        <v>#NAME?</v>
      </c>
      <c r="AN46" s="608" t="e">
        <f t="shared" ca="1" si="6"/>
        <v>#NAME?</v>
      </c>
      <c r="AO46" s="625" t="e">
        <f t="shared" ca="1" si="23"/>
        <v>#NAME?</v>
      </c>
      <c r="AP46" s="762"/>
      <c r="AQ46" s="218"/>
      <c r="AR46" s="218"/>
      <c r="AS46" s="218"/>
      <c r="AT46" s="218"/>
      <c r="AU46" s="218"/>
      <c r="AV46" s="218"/>
      <c r="AW46" s="218"/>
      <c r="AX46" s="218"/>
      <c r="AY46" s="218"/>
      <c r="AZ46" s="219"/>
    </row>
    <row r="47" spans="1:60" ht="16.5" customHeight="1">
      <c r="A47" s="670" t="s">
        <v>12859</v>
      </c>
      <c r="B47" s="664" t="s">
        <v>12928</v>
      </c>
      <c r="C47" s="608" t="str">
        <f t="shared" si="26"/>
        <v>4023 JP</v>
      </c>
      <c r="D47" s="609" t="str">
        <f ca="1">IFERROR(_xll.BDP(C47&amp; " Equity","CAST_PARENT_NAME"),"")</f>
        <v/>
      </c>
      <c r="E47" s="610" t="e">
        <f ca="1">_xll.BDP(A47 &amp; " Equity","SECURITY_NAME")</f>
        <v>#NAME?</v>
      </c>
      <c r="F47" s="608" t="e">
        <f t="shared" ca="1" si="8"/>
        <v>#NAME?</v>
      </c>
      <c r="G47" s="611" t="e">
        <f ca="1">IF(N47="EUR",1,IF(N47="GBp",_xll.BDP(F47,"PX LAST")*100,_xll.BDP(F47,"PX LAST")))</f>
        <v>#NAME?</v>
      </c>
      <c r="H47" s="612" t="e">
        <f t="shared" ca="1" si="22"/>
        <v>#NAME?</v>
      </c>
      <c r="I47" s="612" t="e">
        <f t="shared" ca="1" si="10"/>
        <v>#NAME?</v>
      </c>
      <c r="J47" s="613" t="e">
        <f t="shared" ca="1" si="27"/>
        <v>#NAME?</v>
      </c>
      <c r="K47" s="613" t="e">
        <f t="shared" ca="1" si="19"/>
        <v>#NAME?</v>
      </c>
      <c r="L47" s="615">
        <f ca="1">SUMIF(TradesEquity!$E$11:$E$1823,A47,TradesEquity!$M$11:$M$1823)</f>
        <v>1670</v>
      </c>
      <c r="M47" s="616" t="e">
        <f ca="1">_xll.BDP(C47 &amp; " Equity","PX_LAST")</f>
        <v>#NAME?</v>
      </c>
      <c r="N47" s="617" t="e">
        <f ca="1">_xll.BDP(C47 &amp; " Equity","Crncy")</f>
        <v>#NAME?</v>
      </c>
      <c r="O47" s="665"/>
      <c r="P47" s="665"/>
      <c r="Q47" s="665"/>
      <c r="R47" s="665"/>
      <c r="S47" s="664"/>
      <c r="T47" s="616" t="e">
        <f t="shared" ca="1" si="11"/>
        <v>#NAME?</v>
      </c>
      <c r="U47" s="627" t="e">
        <f t="shared" ca="1" si="20"/>
        <v>#NAME?</v>
      </c>
      <c r="V47" s="625" t="e">
        <f t="shared" ca="1" si="12"/>
        <v>#NAME?</v>
      </c>
      <c r="W47" s="856"/>
      <c r="X47" s="629" t="e">
        <f t="shared" ca="1" si="28"/>
        <v>#NAME?</v>
      </c>
      <c r="Y47" s="630" t="e">
        <f ca="1">_xll.BDH(C47 &amp; " Equity","PX_LAST",$Y$11,$Y$11,"days=a","fill=p")</f>
        <v>#NAME?</v>
      </c>
      <c r="Z47" s="630" t="e">
        <f ca="1">IF(F47="EUREUR Curncy",1,_xll.BDH(F47,"last_price",Z$11,Z$11,"days=a","fill=p"))</f>
        <v>#NAME?</v>
      </c>
      <c r="AA47" s="629" t="e">
        <f t="shared" ca="1" si="29"/>
        <v>#NAME?</v>
      </c>
      <c r="AB47" s="631" t="e">
        <f t="shared" ca="1" si="21"/>
        <v>#NAME?</v>
      </c>
      <c r="AC47" s="666" t="s">
        <v>12726</v>
      </c>
      <c r="AD47" s="670"/>
      <c r="AF47" s="608" t="str">
        <f t="shared" ca="1" si="13"/>
        <v/>
      </c>
      <c r="AG47" s="636" t="str">
        <f t="shared" ca="1" si="0"/>
        <v/>
      </c>
      <c r="AH47" s="614" t="e">
        <f t="shared" ca="1" si="1"/>
        <v>#NAME?</v>
      </c>
      <c r="AJ47" s="636" t="str">
        <f t="shared" si="24"/>
        <v>JP3271600003</v>
      </c>
      <c r="AK47" s="636" t="e">
        <f t="shared" ca="1" si="25"/>
        <v>#NAME?</v>
      </c>
      <c r="AL47" s="608" t="e">
        <f ca="1">_xll.BDP(C47 &amp; " Equity","COUNTRY")</f>
        <v>#NAME?</v>
      </c>
      <c r="AM47" s="608" t="e">
        <f ca="1">_xll.BDP(C47 &amp; " Equity","COUNTRY")</f>
        <v>#NAME?</v>
      </c>
      <c r="AN47" s="608" t="e">
        <f t="shared" ca="1" si="6"/>
        <v>#NAME?</v>
      </c>
      <c r="AO47" s="625" t="e">
        <f t="shared" ca="1" si="23"/>
        <v>#NAME?</v>
      </c>
      <c r="AP47" s="762"/>
      <c r="AQ47" s="218"/>
      <c r="AR47" s="218"/>
      <c r="AS47" s="218"/>
      <c r="AT47" s="218"/>
      <c r="AU47" s="218"/>
      <c r="AV47" s="218"/>
      <c r="AW47" s="218"/>
      <c r="AX47" s="218"/>
      <c r="AY47" s="218"/>
      <c r="AZ47" s="872"/>
      <c r="BA47" s="831"/>
      <c r="BC47" s="736"/>
      <c r="BD47" s="736"/>
      <c r="BE47" s="736"/>
      <c r="BF47" s="736"/>
      <c r="BG47" s="736"/>
      <c r="BH47" s="736"/>
    </row>
    <row r="48" spans="1:60">
      <c r="A48" s="670" t="s">
        <v>12860</v>
      </c>
      <c r="B48" s="664" t="s">
        <v>12929</v>
      </c>
      <c r="C48" s="608" t="str">
        <f t="shared" si="26"/>
        <v>4205 JP</v>
      </c>
      <c r="D48" s="609" t="str">
        <f ca="1">IFERROR(_xll.BDP(C48&amp; " Equity","CAST_PARENT_NAME"),"")</f>
        <v/>
      </c>
      <c r="E48" s="610" t="e">
        <f ca="1">_xll.BDP(A48 &amp; " Equity","SECURITY_NAME")</f>
        <v>#NAME?</v>
      </c>
      <c r="F48" s="608" t="e">
        <f t="shared" ca="1" si="8"/>
        <v>#NAME?</v>
      </c>
      <c r="G48" s="611" t="e">
        <f ca="1">IF(N48="EUR",1,IF(N48="GBp",_xll.BDP(F48,"PX LAST")*100,_xll.BDP(F48,"PX LAST")))</f>
        <v>#NAME?</v>
      </c>
      <c r="H48" s="612" t="e">
        <f t="shared" ca="1" si="22"/>
        <v>#NAME?</v>
      </c>
      <c r="I48" s="612" t="e">
        <f t="shared" ca="1" si="10"/>
        <v>#NAME?</v>
      </c>
      <c r="J48" s="613" t="e">
        <f t="shared" ca="1" si="27"/>
        <v>#NAME?</v>
      </c>
      <c r="K48" s="613" t="e">
        <f t="shared" ca="1" si="19"/>
        <v>#NAME?</v>
      </c>
      <c r="L48" s="615">
        <f ca="1">SUMIF(TradesEquity!$E$11:$E$1823,A48,TradesEquity!$M$11:$M$1823)</f>
        <v>6900</v>
      </c>
      <c r="M48" s="616" t="e">
        <f ca="1">_xll.BDP(C48 &amp; " Equity","PX_LAST")</f>
        <v>#NAME?</v>
      </c>
      <c r="N48" s="617" t="e">
        <f ca="1">_xll.BDP(C48 &amp; " Equity","Crncy")</f>
        <v>#NAME?</v>
      </c>
      <c r="O48" s="665"/>
      <c r="P48" s="665"/>
      <c r="Q48" s="665"/>
      <c r="R48" s="665"/>
      <c r="S48" s="664"/>
      <c r="T48" s="616" t="e">
        <f t="shared" ca="1" si="11"/>
        <v>#NAME?</v>
      </c>
      <c r="U48" s="627" t="e">
        <f t="shared" ca="1" si="20"/>
        <v>#NAME?</v>
      </c>
      <c r="V48" s="625" t="e">
        <f t="shared" ca="1" si="12"/>
        <v>#NAME?</v>
      </c>
      <c r="W48" s="856"/>
      <c r="X48" s="629" t="e">
        <f t="shared" ca="1" si="28"/>
        <v>#NAME?</v>
      </c>
      <c r="Y48" s="630" t="e">
        <f ca="1">_xll.BDH(C48 &amp; " Equity","PX_LAST",$Y$11,$Y$11,"days=a","fill=p")</f>
        <v>#NAME?</v>
      </c>
      <c r="Z48" s="630" t="e">
        <f ca="1">IF(F48="EUREUR Curncy",1,_xll.BDH(F48,"last_price",Z$11,Z$11,"days=a","fill=p"))</f>
        <v>#NAME?</v>
      </c>
      <c r="AA48" s="629" t="e">
        <f t="shared" ca="1" si="29"/>
        <v>#NAME?</v>
      </c>
      <c r="AB48" s="631" t="e">
        <f t="shared" ca="1" si="21"/>
        <v>#NAME?</v>
      </c>
      <c r="AC48" s="666" t="s">
        <v>12726</v>
      </c>
      <c r="AD48" s="670"/>
      <c r="AF48" s="608" t="str">
        <f t="shared" ca="1" si="13"/>
        <v/>
      </c>
      <c r="AG48" s="636" t="str">
        <f t="shared" ca="1" si="0"/>
        <v/>
      </c>
      <c r="AH48" s="614" t="e">
        <f t="shared" ca="1" si="1"/>
        <v>#NAME?</v>
      </c>
      <c r="AJ48" s="636" t="str">
        <f t="shared" si="24"/>
        <v>JP3725400000</v>
      </c>
      <c r="AK48" s="636" t="e">
        <f t="shared" ca="1" si="25"/>
        <v>#NAME?</v>
      </c>
      <c r="AL48" s="608" t="e">
        <f ca="1">_xll.BDP(C48 &amp; " Equity","COUNTRY")</f>
        <v>#NAME?</v>
      </c>
      <c r="AM48" s="608" t="e">
        <f ca="1">_xll.BDP(C48 &amp; " Equity","COUNTRY")</f>
        <v>#NAME?</v>
      </c>
      <c r="AN48" s="608" t="e">
        <f t="shared" ca="1" si="6"/>
        <v>#NAME?</v>
      </c>
      <c r="AO48" s="625" t="e">
        <f t="shared" ca="1" si="23"/>
        <v>#NAME?</v>
      </c>
      <c r="AP48" s="762"/>
      <c r="AQ48" s="218"/>
      <c r="AR48" s="218"/>
      <c r="AS48" s="218"/>
      <c r="AT48" s="218"/>
      <c r="AU48" s="218"/>
      <c r="AV48" s="218"/>
      <c r="AW48" s="218"/>
      <c r="AX48" s="218"/>
      <c r="AY48" s="218"/>
      <c r="AZ48" s="872"/>
      <c r="BA48" s="831"/>
      <c r="BC48" s="736"/>
      <c r="BD48" s="736"/>
      <c r="BE48" s="736"/>
      <c r="BF48" s="736"/>
      <c r="BG48" s="736"/>
      <c r="BH48" s="736"/>
    </row>
    <row r="49" spans="1:51" ht="15.75" customHeight="1">
      <c r="A49" s="670" t="s">
        <v>12861</v>
      </c>
      <c r="B49" s="664" t="s">
        <v>12909</v>
      </c>
      <c r="C49" s="608" t="str">
        <f t="shared" si="26"/>
        <v>6502 JP</v>
      </c>
      <c r="D49" s="609" t="str">
        <f ca="1">IFERROR(_xll.BDP(C49&amp; " Equity","CAST_PARENT_NAME"),"")</f>
        <v/>
      </c>
      <c r="E49" s="610" t="e">
        <f ca="1">_xll.BDP(A49 &amp; " Equity","SECURITY_NAME")</f>
        <v>#NAME?</v>
      </c>
      <c r="F49" s="608" t="e">
        <f t="shared" ca="1" si="8"/>
        <v>#NAME?</v>
      </c>
      <c r="G49" s="611" t="e">
        <f ca="1">IF(N49="EUR",1,IF(N49="GBp",_xll.BDP(F49,"PX LAST")*100,_xll.BDP(F49,"PX LAST")))</f>
        <v>#NAME?</v>
      </c>
      <c r="H49" s="612" t="e">
        <f t="shared" ca="1" si="22"/>
        <v>#NAME?</v>
      </c>
      <c r="I49" s="612" t="e">
        <f t="shared" ca="1" si="10"/>
        <v>#NAME?</v>
      </c>
      <c r="J49" s="613" t="e">
        <f t="shared" ca="1" si="27"/>
        <v>#NAME?</v>
      </c>
      <c r="K49" s="613" t="e">
        <f t="shared" ca="1" si="19"/>
        <v>#NAME?</v>
      </c>
      <c r="L49" s="615">
        <f ca="1">SUMIF(TradesEquity!$E$11:$E$1823,A49,TradesEquity!$M$11:$M$1823)</f>
        <v>33000</v>
      </c>
      <c r="M49" s="616" t="e">
        <f ca="1">_xll.BDP(C49 &amp; " Equity","PX_LAST")</f>
        <v>#NAME?</v>
      </c>
      <c r="N49" s="617" t="e">
        <f ca="1">_xll.BDP(C49 &amp; " Equity","Crncy")</f>
        <v>#NAME?</v>
      </c>
      <c r="O49" s="665"/>
      <c r="P49" s="665"/>
      <c r="Q49" s="665"/>
      <c r="R49" s="665"/>
      <c r="S49" s="664"/>
      <c r="T49" s="616" t="e">
        <f t="shared" ca="1" si="11"/>
        <v>#NAME?</v>
      </c>
      <c r="U49" s="627" t="e">
        <f t="shared" ca="1" si="20"/>
        <v>#NAME?</v>
      </c>
      <c r="V49" s="625" t="e">
        <f t="shared" ca="1" si="12"/>
        <v>#NAME?</v>
      </c>
      <c r="W49" s="856"/>
      <c r="X49" s="629" t="e">
        <f t="shared" ca="1" si="28"/>
        <v>#NAME?</v>
      </c>
      <c r="Y49" s="630" t="e">
        <f ca="1">_xll.BDH(C49 &amp; " Equity","PX_LAST",$Y$11,$Y$11,"days=a","fill=p")</f>
        <v>#NAME?</v>
      </c>
      <c r="Z49" s="630" t="e">
        <f ca="1">IF(F49="EUREUR Curncy",1,_xll.BDH(F49,"last_price",Z$11,Z$11,"days=a","fill=p"))</f>
        <v>#NAME?</v>
      </c>
      <c r="AA49" s="629" t="e">
        <f t="shared" ca="1" si="29"/>
        <v>#NAME?</v>
      </c>
      <c r="AB49" s="631" t="e">
        <f t="shared" ca="1" si="21"/>
        <v>#NAME?</v>
      </c>
      <c r="AC49" s="666" t="s">
        <v>12726</v>
      </c>
      <c r="AD49" s="670"/>
      <c r="AF49" s="608" t="str">
        <f t="shared" ca="1" si="13"/>
        <v/>
      </c>
      <c r="AG49" s="636" t="str">
        <f t="shared" ca="1" si="0"/>
        <v/>
      </c>
      <c r="AH49" s="614" t="e">
        <f t="shared" ca="1" si="1"/>
        <v>#NAME?</v>
      </c>
      <c r="AJ49" s="636" t="str">
        <f t="shared" si="24"/>
        <v>JP3592200004</v>
      </c>
      <c r="AK49" s="636" t="e">
        <f t="shared" ca="1" si="25"/>
        <v>#NAME?</v>
      </c>
      <c r="AL49" s="608" t="e">
        <f ca="1">_xll.BDP(C49 &amp; " Equity","COUNTRY")</f>
        <v>#NAME?</v>
      </c>
      <c r="AM49" s="608" t="e">
        <f ca="1">_xll.BDP(C49 &amp; " Equity","COUNTRY")</f>
        <v>#NAME?</v>
      </c>
      <c r="AN49" s="608" t="e">
        <f t="shared" ca="1" si="6"/>
        <v>#NAME?</v>
      </c>
      <c r="AO49" s="625" t="e">
        <f t="shared" ca="1" si="23"/>
        <v>#NAME?</v>
      </c>
      <c r="AP49" s="762"/>
      <c r="AQ49" s="218"/>
      <c r="AR49" s="218"/>
      <c r="AS49" s="218"/>
      <c r="AT49" s="218"/>
      <c r="AU49" s="218"/>
      <c r="AV49" s="218"/>
      <c r="AW49" s="218"/>
      <c r="AX49" s="218"/>
      <c r="AY49" s="218"/>
    </row>
    <row r="50" spans="1:51">
      <c r="A50" s="670" t="s">
        <v>12864</v>
      </c>
      <c r="B50" s="664" t="s">
        <v>12930</v>
      </c>
      <c r="C50" s="608" t="str">
        <f t="shared" si="26"/>
        <v>BMN LN</v>
      </c>
      <c r="D50" s="609" t="str">
        <f ca="1">IFERROR(_xll.BDP(C50&amp; " Equity","CAST_PARENT_NAME"),"")</f>
        <v/>
      </c>
      <c r="E50" s="610" t="e">
        <f ca="1">_xll.BDP(A50 &amp; " Equity","SECURITY_NAME")</f>
        <v>#NAME?</v>
      </c>
      <c r="F50" s="608" t="e">
        <f t="shared" ca="1" si="8"/>
        <v>#NAME?</v>
      </c>
      <c r="G50" s="611" t="e">
        <f ca="1">IF(N50="EUR",1,IF(N50="GBp",_xll.BDP(F50,"PX LAST")*100,_xll.BDP(F50,"PX LAST")))</f>
        <v>#NAME?</v>
      </c>
      <c r="H50" s="612" t="e">
        <f t="shared" ca="1" si="22"/>
        <v>#NAME?</v>
      </c>
      <c r="I50" s="612" t="e">
        <f t="shared" ref="I50:I58" ca="1" si="30">+H50</f>
        <v>#NAME?</v>
      </c>
      <c r="J50" s="613" t="e">
        <f t="shared" ca="1" si="27"/>
        <v>#NAME?</v>
      </c>
      <c r="K50" s="613" t="e">
        <f t="shared" ca="1" si="19"/>
        <v>#NAME?</v>
      </c>
      <c r="L50" s="615">
        <f ca="1">SUMIF(TradesEquity!$E$11:$E$1823,A50,TradesEquity!$M$11:$M$1823)</f>
        <v>420000</v>
      </c>
      <c r="M50" s="616" t="e">
        <f ca="1">_xll.BDP(C50 &amp; " Equity","PX_LAST")</f>
        <v>#NAME?</v>
      </c>
      <c r="N50" s="617" t="e">
        <f ca="1">_xll.BDP(C50 &amp; " Equity","Crncy")</f>
        <v>#NAME?</v>
      </c>
      <c r="O50" s="665"/>
      <c r="P50" s="665"/>
      <c r="Q50" s="665"/>
      <c r="R50" s="665"/>
      <c r="S50" s="664"/>
      <c r="T50" s="616" t="e">
        <f t="shared" ca="1" si="11"/>
        <v>#NAME?</v>
      </c>
      <c r="U50" s="627" t="e">
        <f t="shared" ca="1" si="20"/>
        <v>#NAME?</v>
      </c>
      <c r="V50" s="625" t="e">
        <f t="shared" ca="1" si="12"/>
        <v>#NAME?</v>
      </c>
      <c r="W50" s="856"/>
      <c r="X50" s="629" t="e">
        <f t="shared" ca="1" si="28"/>
        <v>#NAME?</v>
      </c>
      <c r="Y50" s="630" t="e">
        <f ca="1">_xll.BDH(C50 &amp; " Equity","PX_LAST",$Y$11,$Y$11,"days=a","fill=p")</f>
        <v>#NAME?</v>
      </c>
      <c r="Z50" s="630" t="e">
        <f ca="1">IF(F50="EUREUR Curncy",1,_xll.BDH(F50,"last_price",Z$11,Z$11,"days=a","fill=p"))</f>
        <v>#NAME?</v>
      </c>
      <c r="AA50" s="629" t="e">
        <f t="shared" ca="1" si="29"/>
        <v>#NAME?</v>
      </c>
      <c r="AB50" s="631" t="e">
        <f t="shared" ref="AB50:AB57" ca="1" si="31">+IF(N50="GBp",(V50-(L50*Y50/Z50/100)),V50-(L50*Y50/Z50))</f>
        <v>#NAME?</v>
      </c>
      <c r="AC50" s="666" t="s">
        <v>12726</v>
      </c>
      <c r="AD50" s="670"/>
      <c r="AF50" s="608" t="str">
        <f t="shared" ca="1" si="13"/>
        <v/>
      </c>
      <c r="AG50" s="636" t="str">
        <f t="shared" ca="1" si="0"/>
        <v/>
      </c>
      <c r="AH50" s="614" t="e">
        <f t="shared" ca="1" si="1"/>
        <v>#NAME?</v>
      </c>
      <c r="AJ50" s="636" t="str">
        <f t="shared" si="24"/>
        <v>GG00B4TM3943</v>
      </c>
      <c r="AK50" s="636" t="e">
        <f t="shared" ca="1" si="25"/>
        <v>#NAME?</v>
      </c>
      <c r="AL50" s="608" t="e">
        <f ca="1">_xll.BDP(C50 &amp; " Equity","COUNTRY")</f>
        <v>#NAME?</v>
      </c>
      <c r="AM50" s="608" t="e">
        <f ca="1">_xll.BDP(C50 &amp; " Equity","COUNTRY")</f>
        <v>#NAME?</v>
      </c>
      <c r="AN50" s="608" t="e">
        <f t="shared" ca="1" si="6"/>
        <v>#NAME?</v>
      </c>
      <c r="AO50" s="625" t="e">
        <f t="shared" ca="1" si="23"/>
        <v>#NAME?</v>
      </c>
      <c r="AP50" s="762"/>
      <c r="AQ50" s="218"/>
      <c r="AR50" s="218"/>
      <c r="AS50" s="218"/>
      <c r="AT50" s="218"/>
      <c r="AU50" s="218"/>
      <c r="AV50" s="218"/>
      <c r="AW50" s="218"/>
      <c r="AX50" s="218"/>
      <c r="AY50" s="218"/>
    </row>
    <row r="51" spans="1:51">
      <c r="A51" s="670" t="s">
        <v>12865</v>
      </c>
      <c r="B51" s="664" t="s">
        <v>12931</v>
      </c>
      <c r="C51" s="608" t="str">
        <f t="shared" si="26"/>
        <v>5563 JP</v>
      </c>
      <c r="D51" s="609" t="str">
        <f ca="1">IFERROR(_xll.BDP(C51&amp; " Equity","CAST_PARENT_NAME"),"")</f>
        <v/>
      </c>
      <c r="E51" s="610" t="e">
        <f ca="1">_xll.BDP(A51 &amp; " Equity","SECURITY_NAME")</f>
        <v>#NAME?</v>
      </c>
      <c r="F51" s="608" t="e">
        <f t="shared" ca="1" si="8"/>
        <v>#NAME?</v>
      </c>
      <c r="G51" s="611" t="e">
        <f ca="1">IF(N51="EUR",1,IF(N51="GBp",_xll.BDP(F51,"PX LAST")*100,_xll.BDP(F51,"PX LAST")))</f>
        <v>#NAME?</v>
      </c>
      <c r="H51" s="612" t="e">
        <f t="shared" ca="1" si="22"/>
        <v>#NAME?</v>
      </c>
      <c r="I51" s="612" t="e">
        <f t="shared" ca="1" si="30"/>
        <v>#NAME?</v>
      </c>
      <c r="J51" s="613" t="e">
        <f t="shared" ca="1" si="27"/>
        <v>#NAME?</v>
      </c>
      <c r="K51" s="613" t="e">
        <f t="shared" ca="1" si="19"/>
        <v>#NAME?</v>
      </c>
      <c r="L51" s="615">
        <f ca="1">SUMIF(TradesEquity!$E$11:$E$1823,A51,TradesEquity!$M$11:$M$1823)</f>
        <v>69000</v>
      </c>
      <c r="M51" s="616" t="e">
        <f ca="1">_xll.BDP(C51 &amp; " Equity","PX_LAST")</f>
        <v>#NAME?</v>
      </c>
      <c r="N51" s="617" t="e">
        <f ca="1">_xll.BDP(C51 &amp; " Equity","Crncy")</f>
        <v>#NAME?</v>
      </c>
      <c r="O51" s="665"/>
      <c r="P51" s="665"/>
      <c r="Q51" s="665"/>
      <c r="R51" s="665"/>
      <c r="S51" s="664"/>
      <c r="T51" s="616" t="e">
        <f t="shared" ca="1" si="11"/>
        <v>#NAME?</v>
      </c>
      <c r="U51" s="627" t="e">
        <f t="shared" ca="1" si="20"/>
        <v>#NAME?</v>
      </c>
      <c r="V51" s="625" t="e">
        <f t="shared" ref="V51:V57" ca="1" si="32">+I51*L51</f>
        <v>#NAME?</v>
      </c>
      <c r="W51" s="856"/>
      <c r="X51" s="629" t="e">
        <f t="shared" ca="1" si="28"/>
        <v>#NAME?</v>
      </c>
      <c r="Y51" s="630" t="e">
        <f ca="1">_xll.BDH(C51 &amp; " Equity","PX_LAST",$Y$11,$Y$11,"days=a","fill=p")</f>
        <v>#NAME?</v>
      </c>
      <c r="Z51" s="630" t="e">
        <f ca="1">IF(F51="EUREUR Curncy",1,_xll.BDH(F51,"last_price",Z$11,Z$11,"days=a","fill=p"))</f>
        <v>#NAME?</v>
      </c>
      <c r="AA51" s="629" t="e">
        <f t="shared" ca="1" si="29"/>
        <v>#NAME?</v>
      </c>
      <c r="AB51" s="631" t="e">
        <f t="shared" ca="1" si="31"/>
        <v>#NAME?</v>
      </c>
      <c r="AC51" s="666" t="s">
        <v>12726</v>
      </c>
      <c r="AD51" s="670"/>
      <c r="AF51" s="608" t="str">
        <f t="shared" ca="1" si="13"/>
        <v/>
      </c>
      <c r="AG51" s="636" t="str">
        <f t="shared" ref="AG51:AG57" ca="1" si="33">+D51</f>
        <v/>
      </c>
      <c r="AH51" s="614" t="e">
        <f t="shared" ref="AH51:AH57" ca="1" si="34">+J51</f>
        <v>#NAME?</v>
      </c>
      <c r="AJ51" s="636" t="str">
        <f t="shared" ref="AJ51:AJ56" si="35">+A51</f>
        <v>JP3734600004</v>
      </c>
      <c r="AK51" s="636" t="e">
        <f t="shared" ref="AK51:AK57" ca="1" si="36">+E51</f>
        <v>#NAME?</v>
      </c>
      <c r="AL51" s="608" t="e">
        <f ca="1">_xll.BDP(C51 &amp; " Equity","COUNTRY")</f>
        <v>#NAME?</v>
      </c>
      <c r="AM51" s="608" t="e">
        <f ca="1">_xll.BDP(C51 &amp; " Equity","COUNTRY")</f>
        <v>#NAME?</v>
      </c>
      <c r="AN51" s="608" t="e">
        <f t="shared" ca="1" si="6"/>
        <v>#NAME?</v>
      </c>
      <c r="AO51" s="625" t="e">
        <f t="shared" ref="AO51:AO57" ca="1" si="37">+Y51/Z51*L51</f>
        <v>#NAME?</v>
      </c>
      <c r="AP51" s="762"/>
      <c r="AQ51" s="218"/>
      <c r="AR51" s="218"/>
      <c r="AS51" s="218"/>
      <c r="AT51" s="218"/>
      <c r="AU51" s="218"/>
      <c r="AV51" s="218"/>
      <c r="AW51" s="218"/>
      <c r="AX51" s="218"/>
      <c r="AY51" s="218"/>
    </row>
    <row r="52" spans="1:51">
      <c r="A52" s="670" t="s">
        <v>12866</v>
      </c>
      <c r="B52" s="664" t="s">
        <v>12932</v>
      </c>
      <c r="C52" s="608" t="str">
        <f t="shared" si="26"/>
        <v>4047 JP</v>
      </c>
      <c r="D52" s="609" t="str">
        <f ca="1">IFERROR(_xll.BDP(C52&amp; " Equity","CAST_PARENT_NAME"),"")</f>
        <v/>
      </c>
      <c r="E52" s="610" t="e">
        <f ca="1">_xll.BDP(A52 &amp; " Equity","SECURITY_NAME")</f>
        <v>#NAME?</v>
      </c>
      <c r="F52" s="608" t="e">
        <f t="shared" ca="1" si="8"/>
        <v>#NAME?</v>
      </c>
      <c r="G52" s="611" t="e">
        <f ca="1">IF(N52="EUR",1,IF(N52="GBp",_xll.BDP(F52,"PX LAST")*100,_xll.BDP(F52,"PX LAST")))</f>
        <v>#NAME?</v>
      </c>
      <c r="H52" s="612" t="e">
        <f t="shared" ca="1" si="22"/>
        <v>#NAME?</v>
      </c>
      <c r="I52" s="612" t="e">
        <f t="shared" ca="1" si="30"/>
        <v>#NAME?</v>
      </c>
      <c r="J52" s="613" t="e">
        <f t="shared" ca="1" si="27"/>
        <v>#NAME?</v>
      </c>
      <c r="K52" s="613" t="e">
        <f t="shared" ca="1" si="19"/>
        <v>#NAME?</v>
      </c>
      <c r="L52" s="615">
        <f ca="1">SUMIF(TradesEquity!$E$11:$E$1823,A52,TradesEquity!$M$11:$M$1823)</f>
        <v>17000</v>
      </c>
      <c r="M52" s="616" t="e">
        <f ca="1">_xll.BDP(C52 &amp; " Equity","PX_LAST")</f>
        <v>#NAME?</v>
      </c>
      <c r="N52" s="617" t="e">
        <f ca="1">_xll.BDP(C52 &amp; " Equity","Crncy")</f>
        <v>#NAME?</v>
      </c>
      <c r="O52" s="665"/>
      <c r="P52" s="665"/>
      <c r="Q52" s="665"/>
      <c r="R52" s="665"/>
      <c r="S52" s="664"/>
      <c r="T52" s="616" t="e">
        <f t="shared" ca="1" si="11"/>
        <v>#NAME?</v>
      </c>
      <c r="U52" s="627" t="e">
        <f t="shared" ca="1" si="20"/>
        <v>#NAME?</v>
      </c>
      <c r="V52" s="625" t="e">
        <f t="shared" ca="1" si="32"/>
        <v>#NAME?</v>
      </c>
      <c r="W52" s="856"/>
      <c r="X52" s="629" t="e">
        <f t="shared" ca="1" si="28"/>
        <v>#NAME?</v>
      </c>
      <c r="Y52" s="630" t="e">
        <f ca="1">_xll.BDH(C52 &amp; " Equity","PX_LAST",$Y$11,$Y$11,"days=a","fill=p")</f>
        <v>#NAME?</v>
      </c>
      <c r="Z52" s="630" t="e">
        <f ca="1">IF(F52="EUREUR Curncy",1,_xll.BDH(F52,"last_price",Z$11,Z$11,"days=a","fill=p"))</f>
        <v>#NAME?</v>
      </c>
      <c r="AA52" s="629" t="e">
        <f t="shared" ca="1" si="29"/>
        <v>#NAME?</v>
      </c>
      <c r="AB52" s="631" t="e">
        <f t="shared" ca="1" si="31"/>
        <v>#NAME?</v>
      </c>
      <c r="AC52" s="666" t="s">
        <v>12726</v>
      </c>
      <c r="AD52" s="670"/>
      <c r="AF52" s="608" t="str">
        <f t="shared" ca="1" si="13"/>
        <v/>
      </c>
      <c r="AG52" s="636" t="str">
        <f t="shared" ca="1" si="33"/>
        <v/>
      </c>
      <c r="AH52" s="614" t="e">
        <f t="shared" ca="1" si="34"/>
        <v>#NAME?</v>
      </c>
      <c r="AJ52" s="636" t="str">
        <f t="shared" si="35"/>
        <v>JP3232600001</v>
      </c>
      <c r="AK52" s="636" t="e">
        <f t="shared" ca="1" si="36"/>
        <v>#NAME?</v>
      </c>
      <c r="AL52" s="608" t="e">
        <f ca="1">_xll.BDP(C52 &amp; " Equity","COUNTRY")</f>
        <v>#NAME?</v>
      </c>
      <c r="AM52" s="608" t="e">
        <f ca="1">_xll.BDP(C52 &amp; " Equity","COUNTRY")</f>
        <v>#NAME?</v>
      </c>
      <c r="AN52" s="608" t="e">
        <f t="shared" ca="1" si="6"/>
        <v>#NAME?</v>
      </c>
      <c r="AO52" s="625" t="e">
        <f t="shared" ca="1" si="37"/>
        <v>#NAME?</v>
      </c>
      <c r="AP52" s="762"/>
      <c r="AQ52" s="218"/>
      <c r="AR52" s="218"/>
      <c r="AS52" s="218"/>
      <c r="AT52" s="218"/>
      <c r="AU52" s="218"/>
      <c r="AV52" s="218"/>
      <c r="AW52" s="218"/>
      <c r="AX52" s="218"/>
      <c r="AY52" s="218"/>
    </row>
    <row r="53" spans="1:51">
      <c r="A53" s="670" t="s">
        <v>12867</v>
      </c>
      <c r="B53" s="664" t="s">
        <v>12933</v>
      </c>
      <c r="C53" s="608" t="str">
        <f t="shared" si="26"/>
        <v>6246 JP</v>
      </c>
      <c r="D53" s="609" t="str">
        <f ca="1">IFERROR(_xll.BDP(C53&amp; " Equity","CAST_PARENT_NAME"),"")</f>
        <v/>
      </c>
      <c r="E53" s="610" t="e">
        <f ca="1">_xll.BDP(A53 &amp; " Equity","SECURITY_NAME")</f>
        <v>#NAME?</v>
      </c>
      <c r="F53" s="608" t="e">
        <f t="shared" ca="1" si="8"/>
        <v>#NAME?</v>
      </c>
      <c r="G53" s="611" t="e">
        <f ca="1">IF(N53="EUR",1,IF(N53="GBp",_xll.BDP(F53,"PX LAST")*100,_xll.BDP(F53,"PX LAST")))</f>
        <v>#NAME?</v>
      </c>
      <c r="H53" s="612" t="e">
        <f t="shared" ca="1" si="22"/>
        <v>#NAME?</v>
      </c>
      <c r="I53" s="612" t="e">
        <f t="shared" ca="1" si="30"/>
        <v>#NAME?</v>
      </c>
      <c r="J53" s="613" t="e">
        <f t="shared" ca="1" si="27"/>
        <v>#NAME?</v>
      </c>
      <c r="K53" s="613" t="e">
        <f t="shared" ca="1" si="19"/>
        <v>#NAME?</v>
      </c>
      <c r="L53" s="615">
        <f ca="1">SUMIF(TradesEquity!$E$11:$E$1823,A53,TradesEquity!$M$11:$M$1823)</f>
        <v>22000</v>
      </c>
      <c r="M53" s="616" t="e">
        <f ca="1">_xll.BDP(C53 &amp; " Equity","PX_LAST")</f>
        <v>#NAME?</v>
      </c>
      <c r="N53" s="617" t="e">
        <f ca="1">_xll.BDP(C53 &amp; " Equity","Crncy")</f>
        <v>#NAME?</v>
      </c>
      <c r="O53" s="665"/>
      <c r="P53" s="665"/>
      <c r="Q53" s="665"/>
      <c r="R53" s="665"/>
      <c r="S53" s="664"/>
      <c r="T53" s="616" t="e">
        <f t="shared" ca="1" si="11"/>
        <v>#NAME?</v>
      </c>
      <c r="U53" s="627" t="e">
        <f t="shared" ca="1" si="20"/>
        <v>#NAME?</v>
      </c>
      <c r="V53" s="625" t="e">
        <f t="shared" ca="1" si="32"/>
        <v>#NAME?</v>
      </c>
      <c r="W53" s="856"/>
      <c r="X53" s="629" t="e">
        <f t="shared" ca="1" si="28"/>
        <v>#NAME?</v>
      </c>
      <c r="Y53" s="630" t="e">
        <f ca="1">_xll.BDH(C53 &amp; " Equity","PX_LAST",$Y$11,$Y$11,"days=a","fill=p")</f>
        <v>#NAME?</v>
      </c>
      <c r="Z53" s="630" t="e">
        <f ca="1">IF(F53="EUREUR Curncy",1,_xll.BDH(F53,"last_price",Z$11,Z$11,"days=a","fill=p"))</f>
        <v>#NAME?</v>
      </c>
      <c r="AA53" s="629" t="e">
        <f t="shared" ca="1" si="29"/>
        <v>#NAME?</v>
      </c>
      <c r="AB53" s="631" t="e">
        <f t="shared" ca="1" si="31"/>
        <v>#NAME?</v>
      </c>
      <c r="AC53" s="666" t="s">
        <v>12726</v>
      </c>
      <c r="AD53" s="670"/>
      <c r="AF53" s="608" t="str">
        <f t="shared" ca="1" si="13"/>
        <v/>
      </c>
      <c r="AG53" s="636" t="str">
        <f t="shared" ca="1" si="33"/>
        <v/>
      </c>
      <c r="AH53" s="614" t="e">
        <f t="shared" ca="1" si="34"/>
        <v>#NAME?</v>
      </c>
      <c r="AJ53" s="636" t="str">
        <f t="shared" si="35"/>
        <v>JP3147200004</v>
      </c>
      <c r="AK53" s="636" t="e">
        <f t="shared" ca="1" si="36"/>
        <v>#NAME?</v>
      </c>
      <c r="AL53" s="608" t="e">
        <f ca="1">_xll.BDP(C53 &amp; " Equity","COUNTRY")</f>
        <v>#NAME?</v>
      </c>
      <c r="AM53" s="608" t="e">
        <f ca="1">_xll.BDP(C53 &amp; " Equity","COUNTRY")</f>
        <v>#NAME?</v>
      </c>
      <c r="AN53" s="608" t="e">
        <f t="shared" ca="1" si="6"/>
        <v>#NAME?</v>
      </c>
      <c r="AO53" s="625" t="e">
        <f t="shared" ca="1" si="37"/>
        <v>#NAME?</v>
      </c>
      <c r="AP53" s="762"/>
      <c r="AQ53" s="218"/>
      <c r="AR53" s="218"/>
      <c r="AS53" s="218"/>
      <c r="AT53" s="218"/>
      <c r="AU53" s="218"/>
      <c r="AV53" s="218"/>
      <c r="AW53" s="218"/>
      <c r="AX53" s="218"/>
      <c r="AY53" s="218"/>
    </row>
    <row r="54" spans="1:51">
      <c r="A54" s="670" t="s">
        <v>12868</v>
      </c>
      <c r="B54" s="664" t="s">
        <v>12934</v>
      </c>
      <c r="C54" s="608" t="str">
        <f t="shared" si="26"/>
        <v>6882 JP</v>
      </c>
      <c r="D54" s="609" t="str">
        <f ca="1">IFERROR(_xll.BDP(C54&amp; " Equity","CAST_PARENT_NAME"),"")</f>
        <v/>
      </c>
      <c r="E54" s="610" t="e">
        <f ca="1">_xll.BDP(A54 &amp; " Equity","SECURITY_NAME")</f>
        <v>#NAME?</v>
      </c>
      <c r="F54" s="608" t="e">
        <f t="shared" ca="1" si="8"/>
        <v>#NAME?</v>
      </c>
      <c r="G54" s="611" t="e">
        <f ca="1">IF(N54="EUR",1,IF(N54="GBp",_xll.BDP(F54,"PX LAST")*100,_xll.BDP(F54,"PX LAST")))</f>
        <v>#NAME?</v>
      </c>
      <c r="H54" s="612" t="e">
        <f t="shared" ca="1" si="22"/>
        <v>#NAME?</v>
      </c>
      <c r="I54" s="612" t="e">
        <f t="shared" ca="1" si="30"/>
        <v>#NAME?</v>
      </c>
      <c r="J54" s="613" t="e">
        <f t="shared" ca="1" si="27"/>
        <v>#NAME?</v>
      </c>
      <c r="K54" s="613" t="e">
        <f t="shared" ca="1" si="19"/>
        <v>#NAME?</v>
      </c>
      <c r="L54" s="615">
        <f ca="1">SUMIF(TradesEquity!$E$11:$E$1823,A54,TradesEquity!$M$11:$M$1823)</f>
        <v>33900</v>
      </c>
      <c r="M54" s="616" t="e">
        <f ca="1">_xll.BDP(C54 &amp; " Equity","PX_LAST")</f>
        <v>#NAME?</v>
      </c>
      <c r="N54" s="617" t="e">
        <f ca="1">_xll.BDP(C54 &amp; " Equity","Crncy")</f>
        <v>#NAME?</v>
      </c>
      <c r="O54" s="665"/>
      <c r="P54" s="665"/>
      <c r="Q54" s="665"/>
      <c r="R54" s="665"/>
      <c r="S54" s="664"/>
      <c r="T54" s="616" t="e">
        <f t="shared" ca="1" si="11"/>
        <v>#NAME?</v>
      </c>
      <c r="U54" s="627" t="e">
        <f t="shared" ca="1" si="20"/>
        <v>#NAME?</v>
      </c>
      <c r="V54" s="625" t="e">
        <f t="shared" ca="1" si="32"/>
        <v>#NAME?</v>
      </c>
      <c r="W54" s="856"/>
      <c r="X54" s="629" t="e">
        <f t="shared" ca="1" si="28"/>
        <v>#NAME?</v>
      </c>
      <c r="Y54" s="630" t="e">
        <f ca="1">_xll.BDH(C54 &amp; " Equity","PX_LAST",$Y$11,$Y$11,"days=a","fill=p")</f>
        <v>#NAME?</v>
      </c>
      <c r="Z54" s="630" t="e">
        <f ca="1">IF(F54="EUREUR Curncy",1,_xll.BDH(F54,"last_price",Z$11,Z$11,"days=a","fill=p"))</f>
        <v>#NAME?</v>
      </c>
      <c r="AA54" s="629" t="e">
        <f t="shared" ca="1" si="29"/>
        <v>#NAME?</v>
      </c>
      <c r="AB54" s="631" t="e">
        <f t="shared" ca="1" si="31"/>
        <v>#NAME?</v>
      </c>
      <c r="AC54" s="666" t="s">
        <v>12726</v>
      </c>
      <c r="AD54" s="670"/>
      <c r="AF54" s="608" t="str">
        <f t="shared" ca="1" si="13"/>
        <v/>
      </c>
      <c r="AG54" s="636" t="str">
        <f t="shared" ca="1" si="33"/>
        <v/>
      </c>
      <c r="AH54" s="614" t="e">
        <f t="shared" ca="1" si="34"/>
        <v>#NAME?</v>
      </c>
      <c r="AJ54" s="636" t="str">
        <f t="shared" si="35"/>
        <v>JP3332600000</v>
      </c>
      <c r="AK54" s="636" t="e">
        <f t="shared" ca="1" si="36"/>
        <v>#NAME?</v>
      </c>
      <c r="AL54" s="608" t="e">
        <f ca="1">_xll.BDP(C54 &amp; " Equity","COUNTRY")</f>
        <v>#NAME?</v>
      </c>
      <c r="AM54" s="608" t="e">
        <f ca="1">_xll.BDP(C54 &amp; " Equity","COUNTRY")</f>
        <v>#NAME?</v>
      </c>
      <c r="AN54" s="608" t="e">
        <f t="shared" ca="1" si="6"/>
        <v>#NAME?</v>
      </c>
      <c r="AO54" s="625" t="e">
        <f t="shared" ca="1" si="37"/>
        <v>#NAME?</v>
      </c>
      <c r="AP54" s="762"/>
      <c r="AQ54" s="218"/>
      <c r="AR54" s="218"/>
      <c r="AS54" s="218"/>
      <c r="AT54" s="218"/>
      <c r="AU54" s="218"/>
      <c r="AV54" s="218"/>
      <c r="AW54" s="218"/>
      <c r="AX54" s="218"/>
      <c r="AY54" s="218"/>
    </row>
    <row r="55" spans="1:51">
      <c r="A55" s="670" t="s">
        <v>12869</v>
      </c>
      <c r="B55" s="664" t="s">
        <v>12935</v>
      </c>
      <c r="C55" s="608" t="str">
        <f t="shared" si="26"/>
        <v>4044 JP</v>
      </c>
      <c r="D55" s="609" t="str">
        <f ca="1">IFERROR(_xll.BDP(C55&amp; " Equity","CAST_PARENT_NAME"),"")</f>
        <v/>
      </c>
      <c r="E55" s="610" t="e">
        <f ca="1">_xll.BDP(A55 &amp; " Equity","SECURITY_NAME")</f>
        <v>#NAME?</v>
      </c>
      <c r="F55" s="608" t="e">
        <f t="shared" ca="1" si="8"/>
        <v>#NAME?</v>
      </c>
      <c r="G55" s="611" t="e">
        <f ca="1">IF(N55="EUR",1,IF(N55="GBp",_xll.BDP(F55,"PX LAST")*100,_xll.BDP(F55,"PX LAST")))</f>
        <v>#NAME?</v>
      </c>
      <c r="H55" s="612" t="e">
        <f t="shared" ca="1" si="22"/>
        <v>#NAME?</v>
      </c>
      <c r="I55" s="612" t="e">
        <f t="shared" ca="1" si="30"/>
        <v>#NAME?</v>
      </c>
      <c r="J55" s="613" t="e">
        <f t="shared" ca="1" si="27"/>
        <v>#NAME?</v>
      </c>
      <c r="K55" s="613" t="e">
        <f t="shared" ca="1" si="19"/>
        <v>#NAME?</v>
      </c>
      <c r="L55" s="615">
        <f ca="1">SUMIF(TradesEquity!$E$11:$E$1823,A55,TradesEquity!$M$11:$M$1823)</f>
        <v>11700</v>
      </c>
      <c r="M55" s="616" t="e">
        <f ca="1">_xll.BDP(C55 &amp; " Equity","PX_LAST")</f>
        <v>#NAME?</v>
      </c>
      <c r="N55" s="617" t="e">
        <f ca="1">_xll.BDP(C55 &amp; " Equity","Crncy")</f>
        <v>#NAME?</v>
      </c>
      <c r="O55" s="665"/>
      <c r="P55" s="665"/>
      <c r="Q55" s="665"/>
      <c r="R55" s="665"/>
      <c r="S55" s="664"/>
      <c r="T55" s="616" t="e">
        <f t="shared" ca="1" si="11"/>
        <v>#NAME?</v>
      </c>
      <c r="U55" s="627" t="e">
        <f t="shared" ca="1" si="20"/>
        <v>#NAME?</v>
      </c>
      <c r="V55" s="625" t="e">
        <f t="shared" ca="1" si="32"/>
        <v>#NAME?</v>
      </c>
      <c r="W55" s="856"/>
      <c r="X55" s="629" t="e">
        <f t="shared" ca="1" si="28"/>
        <v>#NAME?</v>
      </c>
      <c r="Y55" s="630" t="e">
        <f ca="1">_xll.BDH(C55 &amp; " Equity","PX_LAST",$Y$11,$Y$11,"days=a","fill=p")</f>
        <v>#NAME?</v>
      </c>
      <c r="Z55" s="630" t="e">
        <f ca="1">IF(F55="EUREUR Curncy",1,_xll.BDH(F55,"last_price",Z$11,Z$11,"days=a","fill=p"))</f>
        <v>#NAME?</v>
      </c>
      <c r="AA55" s="629" t="e">
        <f t="shared" ca="1" si="29"/>
        <v>#NAME?</v>
      </c>
      <c r="AB55" s="631" t="e">
        <f t="shared" ca="1" si="31"/>
        <v>#NAME?</v>
      </c>
      <c r="AC55" s="666" t="s">
        <v>12726</v>
      </c>
      <c r="AD55" s="670"/>
      <c r="AF55" s="608" t="str">
        <f t="shared" ca="1" si="13"/>
        <v/>
      </c>
      <c r="AG55" s="636" t="str">
        <f t="shared" ca="1" si="33"/>
        <v/>
      </c>
      <c r="AH55" s="614" t="e">
        <f t="shared" ca="1" si="34"/>
        <v>#NAME?</v>
      </c>
      <c r="AJ55" s="636" t="str">
        <f t="shared" si="35"/>
        <v>JP3425000001</v>
      </c>
      <c r="AK55" s="636" t="e">
        <f t="shared" ca="1" si="36"/>
        <v>#NAME?</v>
      </c>
      <c r="AL55" s="608" t="e">
        <f ca="1">_xll.BDP(C55 &amp; " Equity","COUNTRY")</f>
        <v>#NAME?</v>
      </c>
      <c r="AM55" s="608" t="e">
        <f ca="1">_xll.BDP(C55 &amp; " Equity","COUNTRY")</f>
        <v>#NAME?</v>
      </c>
      <c r="AN55" s="608" t="e">
        <f t="shared" ca="1" si="6"/>
        <v>#NAME?</v>
      </c>
      <c r="AO55" s="625" t="e">
        <f t="shared" ca="1" si="37"/>
        <v>#NAME?</v>
      </c>
      <c r="AP55" s="762"/>
      <c r="AQ55" s="218"/>
      <c r="AR55" s="218"/>
      <c r="AS55" s="218"/>
      <c r="AT55" s="218"/>
      <c r="AU55" s="218"/>
      <c r="AV55" s="218"/>
      <c r="AW55" s="218"/>
      <c r="AX55" s="218"/>
      <c r="AY55" s="218"/>
    </row>
    <row r="56" spans="1:51">
      <c r="A56" s="670" t="s">
        <v>12870</v>
      </c>
      <c r="B56" s="664" t="s">
        <v>12936</v>
      </c>
      <c r="C56" s="608" t="str">
        <f t="shared" si="26"/>
        <v>5232 JP</v>
      </c>
      <c r="D56" s="609" t="str">
        <f ca="1">IFERROR(_xll.BDP(C56&amp; " Equity","CAST_PARENT_NAME"),"")</f>
        <v/>
      </c>
      <c r="E56" s="610" t="e">
        <f ca="1">_xll.BDP(A56 &amp; " Equity","SECURITY_NAME")</f>
        <v>#NAME?</v>
      </c>
      <c r="F56" s="608" t="e">
        <f t="shared" ca="1" si="8"/>
        <v>#NAME?</v>
      </c>
      <c r="G56" s="611" t="e">
        <f ca="1">IF(N56="EUR",1,IF(N56="GBp",_xll.BDP(F56,"PX LAST")*100,_xll.BDP(F56,"PX LAST")))</f>
        <v>#NAME?</v>
      </c>
      <c r="H56" s="612" t="e">
        <f t="shared" ca="1" si="22"/>
        <v>#NAME?</v>
      </c>
      <c r="I56" s="612" t="e">
        <f t="shared" ca="1" si="30"/>
        <v>#NAME?</v>
      </c>
      <c r="J56" s="613" t="e">
        <f t="shared" ca="1" si="27"/>
        <v>#NAME?</v>
      </c>
      <c r="K56" s="613" t="e">
        <f t="shared" ca="1" si="19"/>
        <v>#NAME?</v>
      </c>
      <c r="L56" s="615">
        <f ca="1">SUMIF(TradesEquity!$E$11:$E$1823,A56,TradesEquity!$M$11:$M$1823)</f>
        <v>11000</v>
      </c>
      <c r="M56" s="616" t="e">
        <f ca="1">_xll.BDP(C56 &amp; " Equity","PX_LAST")</f>
        <v>#NAME?</v>
      </c>
      <c r="N56" s="617" t="e">
        <f ca="1">_xll.BDP(C56 &amp; " Equity","Crncy")</f>
        <v>#NAME?</v>
      </c>
      <c r="O56" s="665"/>
      <c r="P56" s="665"/>
      <c r="Q56" s="665"/>
      <c r="R56" s="665"/>
      <c r="S56" s="664"/>
      <c r="T56" s="616" t="e">
        <f t="shared" ca="1" si="11"/>
        <v>#NAME?</v>
      </c>
      <c r="U56" s="627" t="e">
        <f t="shared" ca="1" si="20"/>
        <v>#NAME?</v>
      </c>
      <c r="V56" s="625" t="e">
        <f t="shared" ca="1" si="32"/>
        <v>#NAME?</v>
      </c>
      <c r="W56" s="856"/>
      <c r="X56" s="629" t="e">
        <f t="shared" ca="1" si="28"/>
        <v>#NAME?</v>
      </c>
      <c r="Y56" s="630" t="e">
        <f ca="1">_xll.BDH(C56 &amp; " Equity","PX_LAST",$Y$11,$Y$11,"days=a","fill=p")</f>
        <v>#NAME?</v>
      </c>
      <c r="Z56" s="630" t="e">
        <f ca="1">IF(F56="EUREUR Curncy",1,_xll.BDH(F56,"last_price",Z$11,Z$11,"days=a","fill=p"))</f>
        <v>#NAME?</v>
      </c>
      <c r="AA56" s="629" t="e">
        <f t="shared" ca="1" si="29"/>
        <v>#NAME?</v>
      </c>
      <c r="AB56" s="631" t="e">
        <f t="shared" ca="1" si="31"/>
        <v>#NAME?</v>
      </c>
      <c r="AC56" s="666" t="s">
        <v>12726</v>
      </c>
      <c r="AD56" s="670"/>
      <c r="AF56" s="608" t="str">
        <f t="shared" ca="1" si="13"/>
        <v/>
      </c>
      <c r="AG56" s="636" t="str">
        <f t="shared" ca="1" si="33"/>
        <v/>
      </c>
      <c r="AH56" s="614" t="e">
        <f t="shared" ca="1" si="34"/>
        <v>#NAME?</v>
      </c>
      <c r="AJ56" s="636" t="str">
        <f t="shared" si="35"/>
        <v>JP3400900001</v>
      </c>
      <c r="AK56" s="636" t="e">
        <f t="shared" ca="1" si="36"/>
        <v>#NAME?</v>
      </c>
      <c r="AL56" s="608" t="e">
        <f ca="1">_xll.BDP(C56 &amp; " Equity","COUNTRY")</f>
        <v>#NAME?</v>
      </c>
      <c r="AM56" s="608" t="e">
        <f ca="1">_xll.BDP(C56 &amp; " Equity","COUNTRY")</f>
        <v>#NAME?</v>
      </c>
      <c r="AN56" s="608" t="e">
        <f t="shared" ca="1" si="6"/>
        <v>#NAME?</v>
      </c>
      <c r="AO56" s="625" t="e">
        <f t="shared" ca="1" si="37"/>
        <v>#NAME?</v>
      </c>
      <c r="AP56" s="762"/>
      <c r="AQ56" s="218"/>
      <c r="AR56" s="218"/>
      <c r="AS56" s="218"/>
      <c r="AT56" s="218"/>
      <c r="AU56" s="218"/>
      <c r="AV56" s="218"/>
      <c r="AW56" s="218"/>
      <c r="AX56" s="218"/>
      <c r="AY56" s="218"/>
    </row>
    <row r="57" spans="1:51">
      <c r="A57" s="670" t="s">
        <v>12872</v>
      </c>
      <c r="B57" s="664" t="s">
        <v>12937</v>
      </c>
      <c r="C57" s="608" t="str">
        <f t="shared" si="26"/>
        <v>SFR AU</v>
      </c>
      <c r="D57" s="609" t="str">
        <f ca="1">IFERROR(_xll.BDP(C57&amp; " Equity","CAST_PARENT_NAME"),"")</f>
        <v/>
      </c>
      <c r="E57" s="610" t="e">
        <f ca="1">_xll.BDP(A57 &amp; " Equity","SECURITY_NAME")</f>
        <v>#NAME?</v>
      </c>
      <c r="F57" s="608" t="e">
        <f t="shared" ca="1" si="8"/>
        <v>#NAME?</v>
      </c>
      <c r="G57" s="611" t="e">
        <f ca="1">IF(N57="EUR",1,IF(N57="GBp",_xll.BDP(F57,"PX LAST")*100,_xll.BDP(F57,"PX LAST")))</f>
        <v>#NAME?</v>
      </c>
      <c r="H57" s="612" t="e">
        <f t="shared" ca="1" si="22"/>
        <v>#NAME?</v>
      </c>
      <c r="I57" s="612" t="e">
        <f t="shared" ca="1" si="30"/>
        <v>#NAME?</v>
      </c>
      <c r="J57" s="613" t="e">
        <f t="shared" ca="1" si="27"/>
        <v>#NAME?</v>
      </c>
      <c r="K57" s="613" t="e">
        <f t="shared" ca="1" si="19"/>
        <v>#NAME?</v>
      </c>
      <c r="L57" s="615">
        <f ca="1">SUMIF(TradesEquity!$E$11:$E$1823,A57,TradesEquity!$M$11:$M$1823)</f>
        <v>42000</v>
      </c>
      <c r="M57" s="616" t="e">
        <f ca="1">_xll.BDP(C57 &amp; " Equity","PX_LAST")</f>
        <v>#NAME?</v>
      </c>
      <c r="N57" s="617" t="e">
        <f ca="1">_xll.BDP(C57 &amp; " Equity","Crncy")</f>
        <v>#NAME?</v>
      </c>
      <c r="O57" s="665"/>
      <c r="P57" s="665"/>
      <c r="Q57" s="665"/>
      <c r="R57" s="665"/>
      <c r="S57" s="664"/>
      <c r="T57" s="616" t="e">
        <f t="shared" ca="1" si="11"/>
        <v>#NAME?</v>
      </c>
      <c r="U57" s="627" t="e">
        <f t="shared" ca="1" si="20"/>
        <v>#NAME?</v>
      </c>
      <c r="V57" s="625" t="e">
        <f t="shared" ca="1" si="32"/>
        <v>#NAME?</v>
      </c>
      <c r="W57" s="856"/>
      <c r="X57" s="629" t="e">
        <f t="shared" ca="1" si="28"/>
        <v>#NAME?</v>
      </c>
      <c r="Y57" s="630" t="e">
        <f ca="1">_xll.BDH(C57 &amp; " Equity","PX_LAST",$Y$11,$Y$11,"days=a","fill=p")</f>
        <v>#NAME?</v>
      </c>
      <c r="Z57" s="630" t="e">
        <f ca="1">IF(F57="EUREUR Curncy",1,_xll.BDH(F57,"last_price",Z$11,Z$11,"days=a","fill=p"))</f>
        <v>#NAME?</v>
      </c>
      <c r="AA57" s="629" t="e">
        <f t="shared" ca="1" si="29"/>
        <v>#NAME?</v>
      </c>
      <c r="AB57" s="631" t="e">
        <f t="shared" ca="1" si="31"/>
        <v>#NAME?</v>
      </c>
      <c r="AC57" s="666" t="s">
        <v>12726</v>
      </c>
      <c r="AD57" s="670"/>
      <c r="AF57" s="608" t="str">
        <f t="shared" ca="1" si="13"/>
        <v/>
      </c>
      <c r="AG57" s="636" t="str">
        <f t="shared" ca="1" si="33"/>
        <v/>
      </c>
      <c r="AH57" s="614" t="e">
        <f t="shared" ca="1" si="34"/>
        <v>#NAME?</v>
      </c>
      <c r="AJ57" s="636" t="str">
        <f>+A57</f>
        <v>AU000000SFR8</v>
      </c>
      <c r="AK57" s="636" t="e">
        <f t="shared" ca="1" si="36"/>
        <v>#NAME?</v>
      </c>
      <c r="AL57" s="608" t="e">
        <f ca="1">_xll.BDP(C57 &amp; " Equity","COUNTRY")</f>
        <v>#NAME?</v>
      </c>
      <c r="AM57" s="608" t="e">
        <f ca="1">_xll.BDP(C57 &amp; " Equity","COUNTRY")</f>
        <v>#NAME?</v>
      </c>
      <c r="AN57" s="608" t="e">
        <f t="shared" ca="1" si="6"/>
        <v>#NAME?</v>
      </c>
      <c r="AO57" s="625" t="e">
        <f t="shared" ca="1" si="37"/>
        <v>#NAME?</v>
      </c>
      <c r="AP57" s="762"/>
      <c r="AQ57" s="218"/>
      <c r="AR57" s="218"/>
      <c r="AS57" s="218"/>
      <c r="AT57" s="218"/>
      <c r="AU57" s="218"/>
      <c r="AV57" s="218"/>
      <c r="AW57" s="218"/>
      <c r="AX57" s="218"/>
      <c r="AY57" s="218"/>
    </row>
    <row r="58" spans="1:51">
      <c r="A58" s="670" t="s">
        <v>12873</v>
      </c>
      <c r="B58" s="664" t="s">
        <v>12938</v>
      </c>
      <c r="C58" s="608" t="str">
        <f t="shared" ref="C58" si="38">IF(B58="","",B58)</f>
        <v>5233 JP</v>
      </c>
      <c r="D58" s="609" t="str">
        <f ca="1">IFERROR(_xll.BDP(C58&amp; " Equity","CAST_PARENT_NAME"),"")</f>
        <v/>
      </c>
      <c r="E58" s="610" t="e">
        <f ca="1">_xll.BDP(A58 &amp; " Equity","SECURITY_NAME")</f>
        <v>#NAME?</v>
      </c>
      <c r="F58" s="608" t="e">
        <f t="shared" ca="1" si="8"/>
        <v>#NAME?</v>
      </c>
      <c r="G58" s="611" t="e">
        <f ca="1">IF(N58="EUR",1,IF(N58="GBp",_xll.BDP(F58,"PX LAST")*100,_xll.BDP(F58,"PX LAST")))</f>
        <v>#NAME?</v>
      </c>
      <c r="H58" s="612" t="e">
        <f t="shared" ca="1" si="22"/>
        <v>#NAME?</v>
      </c>
      <c r="I58" s="612" t="e">
        <f t="shared" ca="1" si="30"/>
        <v>#NAME?</v>
      </c>
      <c r="J58" s="613" t="e">
        <f t="shared" ref="J58" ca="1" si="39">+K58</f>
        <v>#NAME?</v>
      </c>
      <c r="K58" s="613" t="e">
        <f t="shared" ref="K58" ca="1" si="40">+V58/$V$11</f>
        <v>#NAME?</v>
      </c>
      <c r="L58" s="615">
        <f ca="1">SUMIF(TradesEquity!$E$11:$E$1823,A58,TradesEquity!$M$11:$M$1823)</f>
        <v>22000</v>
      </c>
      <c r="M58" s="616" t="e">
        <f ca="1">_xll.BDP(C58 &amp; " Equity","PX_LAST")</f>
        <v>#NAME?</v>
      </c>
      <c r="N58" s="617" t="e">
        <f ca="1">_xll.BDP(C58 &amp; " Equity","Crncy")</f>
        <v>#NAME?</v>
      </c>
      <c r="O58" s="665"/>
      <c r="P58" s="665"/>
      <c r="Q58" s="665"/>
      <c r="R58" s="665"/>
      <c r="S58" s="664"/>
      <c r="T58" s="616" t="e">
        <f t="shared" ca="1" si="11"/>
        <v>#NAME?</v>
      </c>
      <c r="U58" s="627" t="e">
        <f t="shared" ref="U58" ca="1" si="41">+T58*L58</f>
        <v>#NAME?</v>
      </c>
      <c r="V58" s="625" t="e">
        <f ca="1">+I58*L58</f>
        <v>#NAME?</v>
      </c>
      <c r="W58" s="856"/>
      <c r="X58" s="629" t="e">
        <f t="shared" ref="X58" ca="1" si="42">+M58/W58-1</f>
        <v>#NAME?</v>
      </c>
      <c r="Y58" s="630" t="e">
        <f ca="1">_xll.BDH(C58 &amp; " Equity","PX_LAST",$Y$11,$Y$11,"days=a","fill=p")</f>
        <v>#NAME?</v>
      </c>
      <c r="Z58" s="630" t="e">
        <f ca="1">IF(F58="EUREUR Curncy",1,_xll.BDH(F58,"last_price",Z$11,Z$11,"days=a","fill=p"))</f>
        <v>#NAME?</v>
      </c>
      <c r="AA58" s="629" t="e">
        <f t="shared" ca="1" si="29"/>
        <v>#NAME?</v>
      </c>
      <c r="AB58" s="631" t="e">
        <f ca="1">+IF(N58="GBp",(V58-(L58*Y58/Z58/100)),V58-(L58*Y58/Z58))</f>
        <v>#NAME?</v>
      </c>
      <c r="AC58" s="666" t="s">
        <v>12726</v>
      </c>
      <c r="AD58" s="670"/>
      <c r="AF58" s="608" t="str">
        <f t="shared" ca="1" si="13"/>
        <v/>
      </c>
      <c r="AG58" s="636" t="str">
        <f t="shared" ref="AG58" ca="1" si="43">+D58</f>
        <v/>
      </c>
      <c r="AH58" s="614" t="e">
        <f t="shared" ref="AH58" ca="1" si="44">+J58</f>
        <v>#NAME?</v>
      </c>
      <c r="AJ58" s="636" t="str">
        <f t="shared" ref="AJ58" si="45">+A58</f>
        <v>JP3449020001</v>
      </c>
      <c r="AK58" s="636" t="e">
        <f t="shared" ref="AK58" ca="1" si="46">+E58</f>
        <v>#NAME?</v>
      </c>
      <c r="AL58" s="608" t="e">
        <f ca="1">_xll.BDP(C58 &amp; " Equity","COUNTRY")</f>
        <v>#NAME?</v>
      </c>
      <c r="AM58" s="608" t="e">
        <f ca="1">_xll.BDP(C58 &amp; " Equity","COUNTRY")</f>
        <v>#NAME?</v>
      </c>
      <c r="AN58" s="608" t="e">
        <f t="shared" ca="1" si="6"/>
        <v>#NAME?</v>
      </c>
      <c r="AO58" s="625" t="e">
        <f t="shared" ref="AO58" ca="1" si="47">+Y58/Z58*L58</f>
        <v>#NAME?</v>
      </c>
      <c r="AP58" s="762"/>
      <c r="AQ58" s="218"/>
      <c r="AR58" s="218"/>
      <c r="AS58" s="218"/>
      <c r="AT58" s="218"/>
      <c r="AU58" s="218"/>
      <c r="AV58" s="218"/>
      <c r="AW58" s="218"/>
      <c r="AX58" s="218"/>
      <c r="AY58" s="218"/>
    </row>
    <row r="59" spans="1:51">
      <c r="A59" s="670" t="s">
        <v>1248</v>
      </c>
      <c r="B59" s="664" t="s">
        <v>13047</v>
      </c>
      <c r="C59" s="608" t="str">
        <f t="shared" ref="C59" si="48">IF(B59="","",B59)</f>
        <v>6762 JP</v>
      </c>
      <c r="D59" s="609" t="str">
        <f ca="1">IFERROR(_xll.BDP(C59&amp; " Equity","CAST_PARENT_NAME"),"")</f>
        <v/>
      </c>
      <c r="E59" s="610" t="e">
        <f ca="1">_xll.BDP(B59 &amp; " Equity","SECURITY_NAME")</f>
        <v>#NAME?</v>
      </c>
      <c r="F59" s="608" t="e">
        <f t="shared" ref="F59" ca="1" si="49">+("EUR"&amp;N59&amp; " Curncy")</f>
        <v>#NAME?</v>
      </c>
      <c r="G59" s="611" t="e">
        <f ca="1">IF(N59="EUR",1,IF(N59="GBp",_xll.BDP(F59,"PX LAST")*100,_xll.BDP(F59,"PX LAST")))</f>
        <v>#NAME?</v>
      </c>
      <c r="H59" s="612" t="e">
        <f t="shared" ref="H59" ca="1" si="50">+M59/G59</f>
        <v>#NAME?</v>
      </c>
      <c r="I59" s="612" t="e">
        <f t="shared" ref="I59" ca="1" si="51">+H59</f>
        <v>#NAME?</v>
      </c>
      <c r="J59" s="613" t="e">
        <f t="shared" ref="J59" ca="1" si="52">+K59</f>
        <v>#NAME?</v>
      </c>
      <c r="K59" s="613" t="e">
        <f t="shared" ref="K59" ca="1" si="53">+V59/$V$11</f>
        <v>#NAME?</v>
      </c>
      <c r="L59" s="615">
        <f ca="1">SUMIF(TradesEquity!$E$11:$E$1823,A59,TradesEquity!$M$11:$M$1823)</f>
        <v>0</v>
      </c>
      <c r="M59" s="616" t="e">
        <f ca="1">_xll.BDP(C59 &amp; " Equity","PX_LAST")</f>
        <v>#NAME?</v>
      </c>
      <c r="N59" s="617" t="e">
        <f ca="1">_xll.BDP(C59 &amp; " Equity","Crncy")</f>
        <v>#NAME?</v>
      </c>
      <c r="O59" s="665"/>
      <c r="P59" s="665"/>
      <c r="Q59" s="665"/>
      <c r="R59" s="665"/>
      <c r="S59" s="664"/>
      <c r="T59" s="616" t="e">
        <f t="shared" ref="T59" ca="1" si="54">M59</f>
        <v>#NAME?</v>
      </c>
      <c r="U59" s="627" t="e">
        <f t="shared" ref="U59" ca="1" si="55">+T59*L59</f>
        <v>#NAME?</v>
      </c>
      <c r="V59" s="625" t="e">
        <f ca="1">+I59*L59</f>
        <v>#NAME?</v>
      </c>
      <c r="W59" s="856"/>
      <c r="X59" s="629" t="e">
        <f t="shared" ref="X59" ca="1" si="56">+M59/W59-1</f>
        <v>#NAME?</v>
      </c>
      <c r="Y59" s="630" t="e">
        <f ca="1">_xll.BDH(C59 &amp; " Equity","PX_LAST",$Y$11,$Y$11,"days=a","fill=p")</f>
        <v>#NAME?</v>
      </c>
      <c r="Z59" s="630" t="e">
        <f ca="1">IF(F59="EUREUR Curncy",1,_xll.BDH(F59,"last_price",Z$11,Z$11,"days=a","fill=p"))</f>
        <v>#NAME?</v>
      </c>
      <c r="AA59" s="629" t="e">
        <f t="shared" ref="AA59" ca="1" si="57">+M59/Y59-1</f>
        <v>#NAME?</v>
      </c>
      <c r="AB59" s="631" t="e">
        <f ca="1">+IF(N59="GBp",(V59-(L59*Y59/Z59/100)),V59-(L59*Y59/Z59))</f>
        <v>#NAME?</v>
      </c>
      <c r="AC59" s="666" t="s">
        <v>12726</v>
      </c>
      <c r="AD59" s="670"/>
      <c r="AF59" s="608" t="str">
        <f t="shared" ref="AF59:AF61" ca="1" si="58">D59</f>
        <v/>
      </c>
      <c r="AG59" s="636" t="str">
        <f t="shared" ref="AG59:AG61" ca="1" si="59">+D59</f>
        <v/>
      </c>
      <c r="AH59" s="614" t="e">
        <f t="shared" ref="AH59:AH61" ca="1" si="60">+J59</f>
        <v>#NAME?</v>
      </c>
      <c r="AJ59" s="636" t="str">
        <f t="shared" ref="AJ59:AJ61" si="61">+A59</f>
        <v>JP3538800008</v>
      </c>
      <c r="AK59" s="636" t="e">
        <f t="shared" ref="AK59:AK61" ca="1" si="62">+E59</f>
        <v>#NAME?</v>
      </c>
      <c r="AL59" s="608" t="e">
        <f ca="1">_xll.BDP(C59 &amp; " Equity","COUNTRY")</f>
        <v>#NAME?</v>
      </c>
      <c r="AM59" s="608" t="e">
        <f ca="1">_xll.BDP(C59 &amp; " Equity","COUNTRY")</f>
        <v>#NAME?</v>
      </c>
      <c r="AN59" s="608" t="e">
        <f t="shared" ref="AN59:AN61" ca="1" si="63">N59</f>
        <v>#NAME?</v>
      </c>
      <c r="AO59" s="625" t="e">
        <f t="shared" ref="AO59:AO61" ca="1" si="64">+Y59/Z59*L59</f>
        <v>#NAME?</v>
      </c>
      <c r="AP59" s="762"/>
      <c r="AQ59" s="218"/>
      <c r="AR59" s="218"/>
      <c r="AS59" s="218"/>
      <c r="AT59" s="218"/>
      <c r="AU59" s="218"/>
      <c r="AV59" s="218"/>
      <c r="AW59" s="218"/>
      <c r="AX59" s="218"/>
      <c r="AY59" s="218"/>
    </row>
    <row r="60" spans="1:51">
      <c r="A60" s="670" t="s">
        <v>13050</v>
      </c>
      <c r="B60" s="664" t="s">
        <v>13049</v>
      </c>
      <c r="C60" s="608" t="str">
        <f t="shared" ref="C60" si="65">IF(B60="","",B60)</f>
        <v>VTSC GR</v>
      </c>
      <c r="D60" s="609" t="str">
        <f ca="1">IFERROR(_xll.BDP(C60&amp; " Equity","CAST_PARENT_NAME"),"")</f>
        <v/>
      </c>
      <c r="E60" s="610" t="e">
        <f ca="1">_xll.BDP(B60 &amp; " Equity","SECURITY_NAME")</f>
        <v>#NAME?</v>
      </c>
      <c r="F60" s="608" t="e">
        <f t="shared" ref="F60" ca="1" si="66">+("EUR"&amp;N60&amp; " Curncy")</f>
        <v>#NAME?</v>
      </c>
      <c r="G60" s="611" t="e">
        <f ca="1">IF(N60="EUR",1,IF(N60="GBp",_xll.BDP(F60,"PX LAST")*100,_xll.BDP(F60,"PX LAST")))</f>
        <v>#NAME?</v>
      </c>
      <c r="H60" s="612" t="e">
        <f ca="1">+M60/G60</f>
        <v>#NAME?</v>
      </c>
      <c r="I60" s="612" t="e">
        <f t="shared" ref="I60" ca="1" si="67">+H60</f>
        <v>#NAME?</v>
      </c>
      <c r="J60" s="613" t="e">
        <f t="shared" ref="J60" ca="1" si="68">+K60</f>
        <v>#NAME?</v>
      </c>
      <c r="K60" s="613" t="e">
        <f t="shared" ref="K60" ca="1" si="69">+V60/$V$11</f>
        <v>#NAME?</v>
      </c>
      <c r="L60" s="615">
        <f ca="1">SUMIF(TradesEquity!$E$11:$E$1823,A60,TradesEquity!$M$11:$M$1823)</f>
        <v>0</v>
      </c>
      <c r="M60" s="616" t="e">
        <f ca="1">_xll.BDP(C60 &amp; " Equity","PX_LAST")</f>
        <v>#NAME?</v>
      </c>
      <c r="N60" s="617" t="e">
        <f ca="1">_xll.BDP(C60 &amp; " Equity","Crncy")</f>
        <v>#NAME?</v>
      </c>
      <c r="O60" s="665"/>
      <c r="P60" s="665"/>
      <c r="Q60" s="665"/>
      <c r="R60" s="665"/>
      <c r="S60" s="664"/>
      <c r="T60" s="616" t="e">
        <f t="shared" ref="T60" ca="1" si="70">M60</f>
        <v>#NAME?</v>
      </c>
      <c r="U60" s="627" t="e">
        <f t="shared" ref="U60" ca="1" si="71">+T60*L60</f>
        <v>#NAME?</v>
      </c>
      <c r="V60" s="625" t="e">
        <f ca="1">+I60*L60</f>
        <v>#NAME?</v>
      </c>
      <c r="W60" s="856"/>
      <c r="X60" s="629" t="e">
        <f t="shared" ref="X60" ca="1" si="72">+M60/W60-1</f>
        <v>#NAME?</v>
      </c>
      <c r="Y60" s="630" t="e">
        <f ca="1">_xll.BDH(C60 &amp; " Equity","PX_LAST",$Y$11,$Y$11,"days=a","fill=p")</f>
        <v>#NAME?</v>
      </c>
      <c r="Z60" s="630" t="e">
        <f ca="1">IF(F60="EUREUR Curncy",1,_xll.BDH(F60,"last_price",Z$11,Z$11,"days=a","fill=p"))</f>
        <v>#NAME?</v>
      </c>
      <c r="AA60" s="629" t="e">
        <f t="shared" ref="AA60" ca="1" si="73">+M60/Y60-1</f>
        <v>#NAME?</v>
      </c>
      <c r="AB60" s="631" t="e">
        <f ca="1">+IF(N60="GBp",(V60-(L60*Y60/Z60/100)),V60-(L60*Y60/Z60))</f>
        <v>#NAME?</v>
      </c>
      <c r="AC60" s="666" t="s">
        <v>12726</v>
      </c>
      <c r="AD60" s="670"/>
      <c r="AF60" s="608" t="str">
        <f t="shared" ca="1" si="58"/>
        <v/>
      </c>
      <c r="AG60" s="636" t="str">
        <f t="shared" ca="1" si="59"/>
        <v/>
      </c>
      <c r="AH60" s="614" t="e">
        <f t="shared" ca="1" si="60"/>
        <v>#NAME?</v>
      </c>
      <c r="AJ60" s="636" t="str">
        <f t="shared" si="61"/>
        <v>DE000VTSC017</v>
      </c>
      <c r="AK60" s="636" t="e">
        <f t="shared" ca="1" si="62"/>
        <v>#NAME?</v>
      </c>
      <c r="AL60" s="608" t="e">
        <f ca="1">_xll.BDP(C60 &amp; " Equity","COUNTRY")</f>
        <v>#NAME?</v>
      </c>
      <c r="AM60" s="608" t="e">
        <f ca="1">_xll.BDP(C60 &amp; " Equity","COUNTRY")</f>
        <v>#NAME?</v>
      </c>
      <c r="AN60" s="608" t="e">
        <f t="shared" ca="1" si="63"/>
        <v>#NAME?</v>
      </c>
      <c r="AO60" s="625" t="e">
        <f t="shared" ca="1" si="64"/>
        <v>#NAME?</v>
      </c>
      <c r="AP60" s="762"/>
      <c r="AQ60" s="218"/>
      <c r="AR60" s="218"/>
      <c r="AS60" s="218"/>
      <c r="AT60" s="218"/>
      <c r="AU60" s="218"/>
      <c r="AV60" s="218"/>
      <c r="AW60" s="218"/>
      <c r="AX60" s="218"/>
      <c r="AY60" s="218"/>
    </row>
    <row r="61" spans="1:51">
      <c r="A61" s="670" t="s">
        <v>13053</v>
      </c>
      <c r="B61" s="664" t="s">
        <v>13086</v>
      </c>
      <c r="C61" s="608" t="str">
        <f>IF(B61="","",B61)</f>
        <v>7013 JP</v>
      </c>
      <c r="D61" s="609" t="str">
        <f ca="1">IFERROR(_xll.BDP(C61&amp; " Equity","CAST_PARENT_NAME"),"")</f>
        <v/>
      </c>
      <c r="E61" s="610" t="e">
        <f ca="1">_xll.BDP(B61 &amp; " Equity","SECURITY_NAME")</f>
        <v>#NAME?</v>
      </c>
      <c r="F61" s="608" t="e">
        <f t="shared" ref="F61" ca="1" si="74">+("EUR"&amp;N61&amp; " Curncy")</f>
        <v>#NAME?</v>
      </c>
      <c r="G61" s="611" t="e">
        <f ca="1">IF(N61="EUR",1,IF(N61="GBp",_xll.BDP(F61,"PX LAST")*100,_xll.BDP(F61,"PX LAST")))</f>
        <v>#NAME?</v>
      </c>
      <c r="H61" s="612" t="e">
        <f ca="1">+M61/G61</f>
        <v>#NAME?</v>
      </c>
      <c r="I61" s="612" t="e">
        <f t="shared" ref="I61" ca="1" si="75">+H61</f>
        <v>#NAME?</v>
      </c>
      <c r="J61" s="613" t="e">
        <f t="shared" ref="J61" ca="1" si="76">+K61</f>
        <v>#NAME?</v>
      </c>
      <c r="K61" s="613" t="e">
        <f t="shared" ref="K61" ca="1" si="77">+V61/$V$11</f>
        <v>#NAME?</v>
      </c>
      <c r="L61" s="615">
        <f ca="1">SUMIF(TradesEquity!$E$11:$E$1823,A61,TradesEquity!$M$11:$M$1823)</f>
        <v>0</v>
      </c>
      <c r="M61" s="616" t="e">
        <f ca="1">_xll.BDP(C61 &amp; " Equity","PX_LAST")</f>
        <v>#NAME?</v>
      </c>
      <c r="N61" s="617" t="e">
        <f ca="1">_xll.BDP(C61 &amp; " Equity","Crncy")</f>
        <v>#NAME?</v>
      </c>
      <c r="O61" s="665"/>
      <c r="P61" s="665"/>
      <c r="Q61" s="665"/>
      <c r="R61" s="665"/>
      <c r="S61" s="664"/>
      <c r="T61" s="616" t="e">
        <f t="shared" ref="T61" ca="1" si="78">M61</f>
        <v>#NAME?</v>
      </c>
      <c r="U61" s="627" t="e">
        <f t="shared" ref="U61" ca="1" si="79">+T61*L61</f>
        <v>#NAME?</v>
      </c>
      <c r="V61" s="625" t="e">
        <f ca="1">+I61*L61</f>
        <v>#NAME?</v>
      </c>
      <c r="W61" s="856"/>
      <c r="X61" s="629" t="e">
        <f t="shared" ref="X61" ca="1" si="80">+M61/W61-1</f>
        <v>#NAME?</v>
      </c>
      <c r="Y61" s="630" t="e">
        <f ca="1">_xll.BDH(C61 &amp; " Equity","PX_LAST",$Y$11,$Y$11,"days=a","fill=p")</f>
        <v>#NAME?</v>
      </c>
      <c r="Z61" s="630" t="e">
        <f ca="1">IF(F61="EUREUR Curncy",1,_xll.BDH(F61,"last_price",Z$11,Z$11,"days=a","fill=p"))</f>
        <v>#NAME?</v>
      </c>
      <c r="AA61" s="629" t="e">
        <f t="shared" ref="AA61" ca="1" si="81">+M61/Y61-1</f>
        <v>#NAME?</v>
      </c>
      <c r="AB61" s="631" t="e">
        <f ca="1">+IF(N61="GBp",(V61-(L61*Y61/Z61/100)),V61-(L61*Y61/Z61))</f>
        <v>#NAME?</v>
      </c>
      <c r="AC61" s="666" t="s">
        <v>12726</v>
      </c>
      <c r="AD61" s="670"/>
      <c r="AF61" s="608" t="str">
        <f t="shared" ca="1" si="58"/>
        <v/>
      </c>
      <c r="AG61" s="636" t="str">
        <f t="shared" ca="1" si="59"/>
        <v/>
      </c>
      <c r="AH61" s="614" t="e">
        <f t="shared" ca="1" si="60"/>
        <v>#NAME?</v>
      </c>
      <c r="AJ61" s="636" t="str">
        <f t="shared" si="61"/>
        <v>JP3134800006</v>
      </c>
      <c r="AK61" s="636" t="e">
        <f t="shared" ca="1" si="62"/>
        <v>#NAME?</v>
      </c>
      <c r="AL61" s="608" t="e">
        <f ca="1">_xll.BDP(C61 &amp; " Equity","COUNTRY")</f>
        <v>#NAME?</v>
      </c>
      <c r="AM61" s="608" t="e">
        <f ca="1">_xll.BDP(C61 &amp; " Equity","COUNTRY")</f>
        <v>#NAME?</v>
      </c>
      <c r="AN61" s="608" t="e">
        <f t="shared" ca="1" si="63"/>
        <v>#NAME?</v>
      </c>
      <c r="AO61" s="625" t="e">
        <f t="shared" ca="1" si="64"/>
        <v>#NAME?</v>
      </c>
      <c r="AP61" s="762"/>
      <c r="AQ61" s="218"/>
      <c r="AR61" s="218"/>
      <c r="AS61" s="218"/>
      <c r="AT61" s="218"/>
      <c r="AU61" s="218"/>
      <c r="AV61" s="218"/>
      <c r="AW61" s="218"/>
      <c r="AX61" s="218"/>
      <c r="AY61" s="218"/>
    </row>
    <row r="62" spans="1:51">
      <c r="A62" s="670" t="s">
        <v>1680</v>
      </c>
      <c r="B62" s="664" t="s">
        <v>13087</v>
      </c>
      <c r="C62" s="608" t="str">
        <f>IF(B62="","",B62)</f>
        <v>3407 JP</v>
      </c>
      <c r="D62" s="609" t="str">
        <f ca="1">IFERROR(_xll.BDP(C62&amp; " Equity","CAST_PARENT_NAME"),"")</f>
        <v/>
      </c>
      <c r="E62" s="610" t="e">
        <f ca="1">_xll.BDP(B62 &amp; " Equity","SECURITY_NAME")</f>
        <v>#NAME?</v>
      </c>
      <c r="F62" s="608" t="e">
        <f t="shared" ref="F62" ca="1" si="82">+("EUR"&amp;N62&amp; " Curncy")</f>
        <v>#NAME?</v>
      </c>
      <c r="G62" s="611" t="e">
        <f ca="1">IF(N62="EUR",1,IF(N62="GBp",_xll.BDP(F62,"PX LAST")*100,_xll.BDP(F62,"PX LAST")))</f>
        <v>#NAME?</v>
      </c>
      <c r="H62" s="612" t="e">
        <f ca="1">+M62/G62</f>
        <v>#NAME?</v>
      </c>
      <c r="I62" s="612" t="e">
        <f t="shared" ref="I62" ca="1" si="83">+H62</f>
        <v>#NAME?</v>
      </c>
      <c r="J62" s="613" t="e">
        <f t="shared" ref="J62" ca="1" si="84">+K62</f>
        <v>#NAME?</v>
      </c>
      <c r="K62" s="613" t="e">
        <f t="shared" ref="K62" ca="1" si="85">+V62/$V$11</f>
        <v>#NAME?</v>
      </c>
      <c r="L62" s="615">
        <f ca="1">SUMIF(TradesEquity!$E$11:$E$1823,A62,TradesEquity!$M$11:$M$1823)</f>
        <v>0</v>
      </c>
      <c r="M62" s="616" t="e">
        <f ca="1">_xll.BDP(C62 &amp; " Equity","PX_LAST")</f>
        <v>#NAME?</v>
      </c>
      <c r="N62" s="617" t="e">
        <f ca="1">_xll.BDP(C62 &amp; " Equity","Crncy")</f>
        <v>#NAME?</v>
      </c>
      <c r="O62" s="665"/>
      <c r="P62" s="665"/>
      <c r="Q62" s="665"/>
      <c r="R62" s="665"/>
      <c r="S62" s="664"/>
      <c r="T62" s="616" t="e">
        <f t="shared" ref="T62" ca="1" si="86">M62</f>
        <v>#NAME?</v>
      </c>
      <c r="U62" s="627" t="e">
        <f t="shared" ref="U62" ca="1" si="87">+T62*L62</f>
        <v>#NAME?</v>
      </c>
      <c r="V62" s="625" t="e">
        <f ca="1">+I62*L62</f>
        <v>#NAME?</v>
      </c>
      <c r="W62" s="856"/>
      <c r="X62" s="629" t="e">
        <f t="shared" ref="X62" ca="1" si="88">+M62/W62-1</f>
        <v>#NAME?</v>
      </c>
      <c r="Y62" s="630" t="e">
        <f ca="1">_xll.BDH(C62 &amp; " Equity","PX_LAST",$Y$11,$Y$11,"days=a","fill=p")</f>
        <v>#NAME?</v>
      </c>
      <c r="Z62" s="630" t="e">
        <f ca="1">IF(F62="EUREUR Curncy",1,_xll.BDH(F62,"last_price",Z$11,Z$11,"days=a","fill=p"))</f>
        <v>#NAME?</v>
      </c>
      <c r="AA62" s="629" t="e">
        <f t="shared" ref="AA62" ca="1" si="89">+M62/Y62-1</f>
        <v>#NAME?</v>
      </c>
      <c r="AB62" s="631" t="e">
        <f ca="1">+IF(N62="GBp",(V62-(L62*Y62/Z62/100)),V62-(L62*Y62/Z62))</f>
        <v>#NAME?</v>
      </c>
      <c r="AC62" s="666" t="s">
        <v>12726</v>
      </c>
      <c r="AD62" s="670"/>
      <c r="AF62" s="608" t="str">
        <f t="shared" ref="AF62" ca="1" si="90">D62</f>
        <v/>
      </c>
      <c r="AG62" s="636" t="str">
        <f t="shared" ref="AG62" ca="1" si="91">+D62</f>
        <v/>
      </c>
      <c r="AH62" s="614" t="e">
        <f t="shared" ref="AH62" ca="1" si="92">+J62</f>
        <v>#NAME?</v>
      </c>
      <c r="AJ62" s="636" t="str">
        <f t="shared" ref="AJ62" si="93">+A62</f>
        <v>JP3111200006</v>
      </c>
      <c r="AK62" s="636" t="e">
        <f t="shared" ref="AK62" ca="1" si="94">+E62</f>
        <v>#NAME?</v>
      </c>
      <c r="AL62" s="608" t="e">
        <f ca="1">_xll.BDP(C62 &amp; " Equity","COUNTRY")</f>
        <v>#NAME?</v>
      </c>
      <c r="AM62" s="608" t="e">
        <f ca="1">_xll.BDP(C62 &amp; " Equity","COUNTRY")</f>
        <v>#NAME?</v>
      </c>
      <c r="AN62" s="608" t="e">
        <f t="shared" ref="AN62" ca="1" si="95">N62</f>
        <v>#NAME?</v>
      </c>
      <c r="AO62" s="625" t="e">
        <f t="shared" ref="AO62" ca="1" si="96">+Y62/Z62*L62</f>
        <v>#NAME?</v>
      </c>
      <c r="AP62" s="762"/>
      <c r="AQ62" s="218"/>
      <c r="AR62" s="218"/>
      <c r="AS62" s="218"/>
      <c r="AT62" s="218"/>
      <c r="AU62" s="218"/>
      <c r="AV62" s="218"/>
      <c r="AW62" s="218"/>
      <c r="AX62" s="218"/>
      <c r="AY62" s="218"/>
    </row>
    <row r="63" spans="1:51">
      <c r="A63" s="670"/>
      <c r="B63" s="664"/>
      <c r="C63" s="664"/>
      <c r="D63" s="851"/>
      <c r="E63" s="852"/>
      <c r="F63" s="664"/>
      <c r="G63" s="736"/>
      <c r="H63" s="665"/>
      <c r="I63" s="665"/>
      <c r="J63" s="666"/>
      <c r="K63" s="666"/>
      <c r="L63" s="854"/>
      <c r="M63" s="855"/>
      <c r="N63" s="664"/>
      <c r="O63" s="665"/>
      <c r="P63" s="665"/>
      <c r="Q63" s="665"/>
      <c r="R63" s="665"/>
      <c r="S63" s="664"/>
      <c r="T63" s="736"/>
      <c r="U63" s="871"/>
      <c r="V63" s="831"/>
      <c r="W63" s="856"/>
      <c r="X63" s="857"/>
      <c r="Y63" s="856"/>
      <c r="Z63" s="881"/>
      <c r="AA63" s="857"/>
      <c r="AB63" s="858"/>
      <c r="AC63" s="666"/>
      <c r="AD63" s="670"/>
      <c r="AF63" s="664"/>
      <c r="AH63" s="853"/>
      <c r="AO63" s="625" t="e">
        <f ca="1">SUM(AO13:AO62)</f>
        <v>#NAME?</v>
      </c>
      <c r="AP63" s="762"/>
      <c r="AQ63" s="218"/>
      <c r="AR63" s="218"/>
      <c r="AS63" s="218"/>
      <c r="AT63" s="218"/>
      <c r="AU63" s="218"/>
      <c r="AV63" s="218"/>
      <c r="AW63" s="218"/>
      <c r="AX63" s="218"/>
      <c r="AY63" s="218"/>
    </row>
    <row r="64" spans="1:51">
      <c r="A64" s="670"/>
      <c r="B64" s="664"/>
      <c r="C64" s="664"/>
      <c r="D64" s="851"/>
      <c r="E64" s="852"/>
      <c r="F64" s="664"/>
      <c r="G64" s="736"/>
      <c r="H64" s="665"/>
      <c r="I64" s="665"/>
      <c r="J64" s="666"/>
      <c r="K64" s="666"/>
      <c r="L64" s="854"/>
      <c r="M64" s="855"/>
      <c r="N64" s="664"/>
      <c r="O64" s="665"/>
      <c r="P64" s="665"/>
      <c r="Q64" s="665"/>
      <c r="R64" s="665"/>
      <c r="S64" s="664"/>
      <c r="T64" s="736"/>
      <c r="U64" s="871"/>
      <c r="V64" s="831"/>
      <c r="W64" s="856"/>
      <c r="X64" s="857"/>
      <c r="Y64" s="856"/>
      <c r="Z64" s="881"/>
      <c r="AA64" s="857"/>
      <c r="AB64" s="858"/>
      <c r="AC64" s="666"/>
      <c r="AD64" s="670"/>
      <c r="AF64" s="664"/>
      <c r="AH64" s="853"/>
      <c r="AO64" s="831"/>
      <c r="AP64" s="762"/>
      <c r="AQ64" s="218"/>
      <c r="AR64" s="218"/>
      <c r="AS64" s="218"/>
      <c r="AT64" s="218"/>
      <c r="AU64" s="218"/>
      <c r="AV64" s="218"/>
      <c r="AW64" s="218"/>
      <c r="AX64" s="218"/>
      <c r="AY64" s="218"/>
    </row>
    <row r="65" spans="1:51">
      <c r="A65" s="670"/>
      <c r="B65" s="664"/>
      <c r="C65" s="664"/>
      <c r="D65" s="851"/>
      <c r="E65" s="852"/>
      <c r="F65" s="664"/>
      <c r="G65" s="736"/>
      <c r="H65" s="665"/>
      <c r="I65" s="665"/>
      <c r="J65" s="666"/>
      <c r="K65" s="666"/>
      <c r="L65" s="854"/>
      <c r="M65" s="855"/>
      <c r="N65" s="664"/>
      <c r="O65" s="665"/>
      <c r="P65" s="665"/>
      <c r="Q65" s="665"/>
      <c r="R65" s="665"/>
      <c r="S65" s="664"/>
      <c r="T65" s="736"/>
      <c r="U65" s="871"/>
      <c r="V65" s="831"/>
      <c r="W65" s="856"/>
      <c r="X65" s="857"/>
      <c r="Y65" s="856"/>
      <c r="Z65" s="881"/>
      <c r="AA65" s="857"/>
      <c r="AB65" s="858"/>
      <c r="AC65" s="666"/>
      <c r="AD65" s="670"/>
      <c r="AF65" s="664"/>
      <c r="AH65" s="853"/>
      <c r="AO65" s="831"/>
      <c r="AP65" s="762"/>
      <c r="AQ65" s="218"/>
      <c r="AR65" s="218"/>
      <c r="AS65" s="218"/>
      <c r="AT65" s="218"/>
      <c r="AU65" s="218"/>
      <c r="AV65" s="218"/>
      <c r="AW65" s="218"/>
      <c r="AX65" s="218"/>
      <c r="AY65" s="218"/>
    </row>
    <row r="66" spans="1:51">
      <c r="A66" s="670"/>
      <c r="B66" s="664"/>
      <c r="C66" s="664"/>
      <c r="D66" s="851"/>
      <c r="E66" s="852"/>
      <c r="F66" s="664"/>
      <c r="G66" s="736"/>
      <c r="H66" s="665"/>
      <c r="I66" s="665"/>
      <c r="J66" s="666"/>
      <c r="K66" s="666"/>
      <c r="L66" s="854"/>
      <c r="M66" s="855"/>
      <c r="N66" s="664"/>
      <c r="O66" s="665"/>
      <c r="P66" s="665"/>
      <c r="Q66" s="665"/>
      <c r="R66" s="665"/>
      <c r="S66" s="664"/>
      <c r="T66" s="736"/>
      <c r="U66" s="871"/>
      <c r="V66" s="831"/>
      <c r="W66" s="856"/>
      <c r="X66" s="857"/>
      <c r="Y66" s="856"/>
      <c r="Z66" s="881"/>
      <c r="AA66" s="857"/>
      <c r="AB66" s="858"/>
      <c r="AC66" s="666"/>
      <c r="AD66" s="670"/>
      <c r="AF66" s="664"/>
      <c r="AH66" s="853"/>
      <c r="AO66" s="831"/>
      <c r="AP66" s="762"/>
      <c r="AQ66" s="218"/>
      <c r="AR66" s="218"/>
      <c r="AS66" s="218"/>
      <c r="AT66" s="218"/>
      <c r="AU66" s="218"/>
      <c r="AV66" s="218"/>
      <c r="AW66" s="218"/>
      <c r="AX66" s="218"/>
      <c r="AY66" s="218"/>
    </row>
    <row r="67" spans="1:51">
      <c r="A67" s="670"/>
      <c r="B67" s="664"/>
      <c r="C67" s="664"/>
      <c r="D67" s="851"/>
      <c r="E67" s="852"/>
      <c r="F67" s="664"/>
      <c r="G67" s="736"/>
      <c r="H67" s="665"/>
      <c r="I67" s="665"/>
      <c r="J67" s="666"/>
      <c r="K67" s="666"/>
      <c r="L67" s="854"/>
      <c r="M67" s="855"/>
      <c r="N67" s="664"/>
      <c r="O67" s="665"/>
      <c r="P67" s="665"/>
      <c r="Q67" s="665"/>
      <c r="R67" s="665"/>
      <c r="S67" s="664"/>
      <c r="T67" s="736"/>
      <c r="U67" s="871"/>
      <c r="V67" s="831"/>
      <c r="W67" s="856"/>
      <c r="X67" s="857"/>
      <c r="Y67" s="856"/>
      <c r="Z67" s="881"/>
      <c r="AA67" s="857"/>
      <c r="AB67" s="858"/>
      <c r="AC67" s="666"/>
      <c r="AD67" s="670"/>
      <c r="AF67" s="664"/>
      <c r="AH67" s="853"/>
      <c r="AO67" s="831"/>
      <c r="AP67" s="762"/>
      <c r="AQ67" s="218"/>
      <c r="AR67" s="218"/>
      <c r="AS67" s="218"/>
      <c r="AT67" s="218"/>
      <c r="AU67" s="218"/>
      <c r="AV67" s="218"/>
      <c r="AW67" s="218"/>
      <c r="AX67" s="218"/>
      <c r="AY67" s="218"/>
    </row>
    <row r="68" spans="1:51">
      <c r="A68" s="670"/>
      <c r="B68" s="664"/>
      <c r="C68" s="664"/>
      <c r="D68" s="851"/>
      <c r="E68" s="852"/>
      <c r="F68" s="664"/>
      <c r="G68" s="736"/>
      <c r="H68" s="665"/>
      <c r="I68" s="665"/>
      <c r="J68" s="666"/>
      <c r="K68" s="666"/>
      <c r="L68" s="854"/>
      <c r="M68" s="855"/>
      <c r="N68" s="664"/>
      <c r="O68" s="665"/>
      <c r="P68" s="665"/>
      <c r="Q68" s="665"/>
      <c r="R68" s="665"/>
      <c r="S68" s="664"/>
      <c r="T68" s="736"/>
      <c r="U68" s="871"/>
      <c r="V68" s="831"/>
      <c r="W68" s="856"/>
      <c r="X68" s="857"/>
      <c r="Y68" s="856"/>
      <c r="Z68" s="881"/>
      <c r="AA68" s="857"/>
      <c r="AB68" s="858"/>
      <c r="AC68" s="666"/>
      <c r="AD68" s="670"/>
      <c r="AF68" s="664"/>
      <c r="AH68" s="853"/>
      <c r="AO68" s="831"/>
      <c r="AP68" s="762"/>
      <c r="AQ68" s="218"/>
      <c r="AR68" s="218"/>
      <c r="AS68" s="218"/>
      <c r="AT68" s="218"/>
      <c r="AU68" s="218"/>
      <c r="AV68" s="218"/>
      <c r="AW68" s="218"/>
      <c r="AX68" s="218"/>
      <c r="AY68" s="218"/>
    </row>
    <row r="69" spans="1:51">
      <c r="A69" s="670"/>
      <c r="B69" s="664"/>
      <c r="C69" s="664"/>
      <c r="D69" s="851"/>
      <c r="E69" s="852"/>
      <c r="F69" s="664"/>
      <c r="G69" s="736"/>
      <c r="H69" s="665"/>
      <c r="I69" s="665"/>
      <c r="J69" s="666"/>
      <c r="K69" s="666"/>
      <c r="L69" s="854"/>
      <c r="M69" s="855"/>
      <c r="N69" s="664"/>
      <c r="O69" s="665"/>
      <c r="P69" s="665"/>
      <c r="Q69" s="665"/>
      <c r="R69" s="665"/>
      <c r="S69" s="664"/>
      <c r="T69" s="736"/>
      <c r="U69" s="871"/>
      <c r="V69" s="831"/>
      <c r="W69" s="856"/>
      <c r="X69" s="857"/>
      <c r="Y69" s="856"/>
      <c r="Z69" s="881"/>
      <c r="AA69" s="857"/>
      <c r="AB69" s="858"/>
      <c r="AC69" s="666"/>
      <c r="AD69" s="670"/>
      <c r="AF69" s="664"/>
      <c r="AH69" s="853"/>
      <c r="AO69" s="831"/>
      <c r="AP69" s="762"/>
      <c r="AQ69" s="218"/>
      <c r="AR69" s="218"/>
      <c r="AS69" s="218"/>
      <c r="AT69" s="218"/>
      <c r="AU69" s="218"/>
      <c r="AV69" s="218"/>
      <c r="AW69" s="218"/>
      <c r="AX69" s="218"/>
      <c r="AY69" s="218"/>
    </row>
    <row r="70" spans="1:51">
      <c r="A70" s="670"/>
      <c r="B70" s="664"/>
      <c r="C70" s="664"/>
      <c r="D70" s="851"/>
      <c r="E70" s="852"/>
      <c r="F70" s="664"/>
      <c r="G70" s="736"/>
      <c r="H70" s="665"/>
      <c r="I70" s="665"/>
      <c r="J70" s="666"/>
      <c r="K70" s="666"/>
      <c r="L70" s="854"/>
      <c r="M70" s="855"/>
      <c r="N70" s="664"/>
      <c r="O70" s="665"/>
      <c r="P70" s="665"/>
      <c r="Q70" s="665"/>
      <c r="R70" s="665"/>
      <c r="S70" s="664"/>
      <c r="T70" s="736"/>
      <c r="U70" s="871"/>
      <c r="V70" s="831"/>
      <c r="W70" s="856"/>
      <c r="X70" s="857"/>
      <c r="Y70" s="856"/>
      <c r="Z70" s="881"/>
      <c r="AA70" s="857"/>
      <c r="AB70" s="858"/>
      <c r="AC70" s="666"/>
      <c r="AD70" s="670"/>
      <c r="AF70" s="664"/>
      <c r="AH70" s="853"/>
      <c r="AO70" s="831"/>
      <c r="AP70" s="762"/>
      <c r="AQ70" s="218"/>
      <c r="AR70" s="218"/>
      <c r="AS70" s="218"/>
      <c r="AT70" s="218"/>
      <c r="AU70" s="218"/>
      <c r="AV70" s="218"/>
      <c r="AW70" s="218"/>
      <c r="AX70" s="218"/>
      <c r="AY70" s="218"/>
    </row>
    <row r="71" spans="1:51" ht="15" customHeight="1">
      <c r="A71" s="670"/>
      <c r="B71" s="664"/>
      <c r="C71" s="664"/>
      <c r="D71" s="851"/>
      <c r="E71" s="852"/>
      <c r="F71" s="664"/>
      <c r="G71" s="736"/>
      <c r="H71" s="665"/>
      <c r="I71" s="665"/>
      <c r="J71" s="666"/>
      <c r="K71" s="666"/>
      <c r="L71" s="854"/>
      <c r="M71" s="855"/>
      <c r="N71" s="664"/>
      <c r="O71" s="665"/>
      <c r="P71" s="665"/>
      <c r="Q71" s="665"/>
      <c r="R71" s="665"/>
      <c r="S71" s="664"/>
      <c r="T71" s="736"/>
      <c r="U71" s="871"/>
      <c r="V71" s="831"/>
      <c r="W71" s="856"/>
      <c r="X71" s="857"/>
      <c r="Y71" s="856"/>
      <c r="Z71" s="881"/>
      <c r="AA71" s="857"/>
      <c r="AB71" s="858"/>
      <c r="AC71" s="666"/>
      <c r="AD71" s="670"/>
      <c r="AF71" s="664"/>
      <c r="AH71" s="853"/>
      <c r="AO71" s="831"/>
      <c r="AP71" s="762"/>
      <c r="AQ71" s="218"/>
      <c r="AR71" s="218"/>
      <c r="AS71" s="218"/>
      <c r="AT71" s="218"/>
      <c r="AU71" s="218"/>
      <c r="AV71" s="218"/>
      <c r="AW71" s="218"/>
      <c r="AX71" s="218"/>
      <c r="AY71" s="218"/>
    </row>
    <row r="72" spans="1:51" ht="15" customHeight="1">
      <c r="A72" s="670"/>
      <c r="B72" s="664"/>
      <c r="C72" s="664"/>
      <c r="D72" s="851"/>
      <c r="E72" s="852"/>
      <c r="F72" s="664"/>
      <c r="G72" s="736"/>
      <c r="H72" s="665"/>
      <c r="I72" s="665"/>
      <c r="J72" s="666"/>
      <c r="K72" s="666"/>
      <c r="L72" s="854"/>
      <c r="M72" s="855"/>
      <c r="N72" s="664"/>
      <c r="O72" s="665"/>
      <c r="P72" s="665"/>
      <c r="Q72" s="665"/>
      <c r="R72" s="665"/>
      <c r="S72" s="664"/>
      <c r="T72" s="736"/>
      <c r="U72" s="871"/>
      <c r="V72" s="831"/>
      <c r="W72" s="856"/>
      <c r="X72" s="857"/>
      <c r="Y72" s="856"/>
      <c r="Z72" s="881"/>
      <c r="AA72" s="857"/>
      <c r="AB72" s="858"/>
      <c r="AC72" s="666"/>
      <c r="AD72" s="670"/>
      <c r="AF72" s="664"/>
      <c r="AH72" s="853"/>
      <c r="AO72" s="831"/>
      <c r="AP72" s="762"/>
      <c r="AQ72" s="218"/>
      <c r="AR72" s="218"/>
      <c r="AS72" s="218"/>
      <c r="AT72" s="218"/>
      <c r="AU72" s="218"/>
      <c r="AV72" s="218"/>
      <c r="AW72" s="218"/>
      <c r="AX72" s="218"/>
      <c r="AY72" s="218"/>
    </row>
    <row r="73" spans="1:51" ht="15" customHeight="1">
      <c r="A73" s="670"/>
      <c r="B73" s="664"/>
      <c r="C73" s="664"/>
      <c r="D73" s="851"/>
      <c r="E73" s="852"/>
      <c r="F73" s="664"/>
      <c r="G73" s="736"/>
      <c r="H73" s="665"/>
      <c r="I73" s="665"/>
      <c r="J73" s="666"/>
      <c r="K73" s="666"/>
      <c r="L73" s="854"/>
      <c r="M73" s="855"/>
      <c r="N73" s="664"/>
      <c r="O73" s="665"/>
      <c r="P73" s="665"/>
      <c r="Q73" s="665"/>
      <c r="R73" s="665"/>
      <c r="S73" s="664"/>
      <c r="T73" s="736"/>
      <c r="U73" s="871"/>
      <c r="V73" s="831"/>
      <c r="W73" s="856"/>
      <c r="X73" s="857"/>
      <c r="Y73" s="856"/>
      <c r="Z73" s="881"/>
      <c r="AA73" s="857"/>
      <c r="AB73" s="858"/>
      <c r="AC73" s="666"/>
      <c r="AD73" s="670"/>
      <c r="AF73" s="664"/>
      <c r="AH73" s="853"/>
      <c r="AO73" s="831"/>
      <c r="AP73" s="762"/>
      <c r="AQ73" s="218"/>
      <c r="AR73" s="218"/>
      <c r="AS73" s="218"/>
      <c r="AT73" s="218"/>
      <c r="AU73" s="218"/>
      <c r="AV73" s="218"/>
      <c r="AW73" s="218"/>
      <c r="AX73" s="218"/>
      <c r="AY73" s="218"/>
    </row>
    <row r="74" spans="1:51" ht="15" customHeight="1">
      <c r="A74" s="670"/>
      <c r="B74" s="664"/>
      <c r="C74" s="664"/>
      <c r="D74" s="851"/>
      <c r="E74" s="852"/>
      <c r="F74" s="664"/>
      <c r="G74" s="736"/>
      <c r="H74" s="665"/>
      <c r="I74" s="665"/>
      <c r="J74" s="666"/>
      <c r="K74" s="666"/>
      <c r="L74" s="854"/>
      <c r="M74" s="855"/>
      <c r="N74" s="664"/>
      <c r="O74" s="665"/>
      <c r="P74" s="665"/>
      <c r="Q74" s="665"/>
      <c r="R74" s="665"/>
      <c r="S74" s="664"/>
      <c r="T74" s="736"/>
      <c r="U74" s="871"/>
      <c r="V74" s="831"/>
      <c r="W74" s="856"/>
      <c r="X74" s="857"/>
      <c r="Y74" s="856"/>
      <c r="Z74" s="881"/>
      <c r="AA74" s="857"/>
      <c r="AB74" s="858"/>
      <c r="AC74" s="666"/>
      <c r="AD74" s="670"/>
      <c r="AF74" s="664"/>
      <c r="AH74" s="853"/>
      <c r="AO74" s="831"/>
      <c r="AP74" s="762"/>
      <c r="AQ74" s="218"/>
      <c r="AR74" s="218"/>
      <c r="AS74" s="218"/>
      <c r="AT74" s="218"/>
      <c r="AU74" s="218"/>
      <c r="AV74" s="218"/>
      <c r="AW74" s="218"/>
      <c r="AX74" s="218"/>
      <c r="AY74" s="218"/>
    </row>
    <row r="75" spans="1:51" ht="15" customHeight="1">
      <c r="A75" s="670"/>
      <c r="B75" s="664"/>
      <c r="C75" s="664"/>
      <c r="D75" s="851"/>
      <c r="E75" s="852"/>
      <c r="F75" s="664"/>
      <c r="G75" s="736"/>
      <c r="H75" s="665"/>
      <c r="I75" s="665"/>
      <c r="J75" s="666"/>
      <c r="K75" s="666"/>
      <c r="L75" s="854"/>
      <c r="M75" s="855"/>
      <c r="N75" s="664"/>
      <c r="O75" s="665"/>
      <c r="P75" s="665"/>
      <c r="Q75" s="665"/>
      <c r="R75" s="665"/>
      <c r="S75" s="664"/>
      <c r="T75" s="736"/>
      <c r="U75" s="871"/>
      <c r="V75" s="831"/>
      <c r="W75" s="856"/>
      <c r="X75" s="857"/>
      <c r="Y75" s="856"/>
      <c r="Z75" s="881"/>
      <c r="AA75" s="857"/>
      <c r="AB75" s="858"/>
      <c r="AC75" s="666"/>
      <c r="AD75" s="670"/>
      <c r="AF75" s="664"/>
      <c r="AH75" s="853"/>
      <c r="AO75" s="831"/>
      <c r="AP75" s="762"/>
      <c r="AQ75" s="218"/>
      <c r="AR75" s="218"/>
      <c r="AS75" s="218"/>
      <c r="AT75" s="218"/>
      <c r="AU75" s="218"/>
      <c r="AV75" s="218"/>
      <c r="AW75" s="218"/>
      <c r="AX75" s="218"/>
      <c r="AY75" s="218"/>
    </row>
    <row r="76" spans="1:51" ht="15" customHeight="1">
      <c r="A76" s="670"/>
      <c r="B76" s="664"/>
      <c r="C76" s="664"/>
      <c r="D76" s="851"/>
      <c r="E76" s="852"/>
      <c r="F76" s="664"/>
      <c r="G76" s="736"/>
      <c r="H76" s="665"/>
      <c r="I76" s="665"/>
      <c r="J76" s="666"/>
      <c r="K76" s="666"/>
      <c r="L76" s="854"/>
      <c r="M76" s="855"/>
      <c r="N76" s="664"/>
      <c r="O76" s="665"/>
      <c r="P76" s="665"/>
      <c r="Q76" s="665"/>
      <c r="R76" s="665"/>
      <c r="S76" s="664"/>
      <c r="T76" s="736"/>
      <c r="U76" s="871"/>
      <c r="V76" s="831"/>
      <c r="W76" s="856"/>
      <c r="X76" s="857"/>
      <c r="Y76" s="856"/>
      <c r="Z76" s="881"/>
      <c r="AA76" s="857"/>
      <c r="AB76" s="858"/>
      <c r="AC76" s="666"/>
      <c r="AD76" s="670"/>
      <c r="AF76" s="664"/>
      <c r="AH76" s="853"/>
      <c r="AO76" s="831"/>
      <c r="AP76" s="762"/>
      <c r="AQ76" s="218"/>
      <c r="AR76" s="218"/>
      <c r="AS76" s="218"/>
      <c r="AT76" s="218"/>
      <c r="AU76" s="218"/>
      <c r="AV76" s="218"/>
      <c r="AW76" s="218"/>
      <c r="AX76" s="218"/>
      <c r="AY76" s="218"/>
    </row>
    <row r="77" spans="1:51" ht="15" customHeight="1">
      <c r="A77" s="670"/>
      <c r="B77" s="664"/>
      <c r="C77" s="664"/>
      <c r="D77" s="851"/>
      <c r="E77" s="852"/>
      <c r="F77" s="664"/>
      <c r="G77" s="736"/>
      <c r="H77" s="665"/>
      <c r="I77" s="665"/>
      <c r="J77" s="666"/>
      <c r="K77" s="666"/>
      <c r="L77" s="854"/>
      <c r="M77" s="855"/>
      <c r="N77" s="664"/>
      <c r="O77" s="665"/>
      <c r="P77" s="665"/>
      <c r="Q77" s="665"/>
      <c r="R77" s="665"/>
      <c r="S77" s="664"/>
      <c r="T77" s="736"/>
      <c r="U77" s="871"/>
      <c r="V77" s="831"/>
      <c r="W77" s="856"/>
      <c r="X77" s="857"/>
      <c r="Y77" s="856"/>
      <c r="Z77" s="881"/>
      <c r="AA77" s="857"/>
      <c r="AB77" s="858"/>
      <c r="AC77" s="666"/>
      <c r="AD77" s="670"/>
      <c r="AF77" s="664"/>
      <c r="AH77" s="853"/>
      <c r="AO77" s="831"/>
      <c r="AP77" s="762"/>
      <c r="AQ77" s="218"/>
      <c r="AR77" s="218"/>
      <c r="AS77" s="218"/>
      <c r="AT77" s="218"/>
      <c r="AU77" s="218"/>
      <c r="AV77" s="218"/>
      <c r="AW77" s="218"/>
      <c r="AX77" s="218"/>
      <c r="AY77" s="218"/>
    </row>
    <row r="78" spans="1:51" ht="15" customHeight="1">
      <c r="A78" s="670"/>
      <c r="B78" s="664"/>
      <c r="C78" s="664"/>
      <c r="D78" s="851"/>
      <c r="E78" s="852"/>
      <c r="F78" s="664"/>
      <c r="G78" s="736"/>
      <c r="H78" s="665"/>
      <c r="I78" s="665"/>
      <c r="J78" s="666"/>
      <c r="K78" s="666"/>
      <c r="L78" s="854"/>
      <c r="M78" s="855"/>
      <c r="N78" s="664"/>
      <c r="O78" s="665"/>
      <c r="P78" s="665"/>
      <c r="Q78" s="665"/>
      <c r="R78" s="665"/>
      <c r="S78" s="664"/>
      <c r="T78" s="736"/>
      <c r="U78" s="871"/>
      <c r="V78" s="831"/>
      <c r="W78" s="856"/>
      <c r="X78" s="857"/>
      <c r="Y78" s="856"/>
      <c r="Z78" s="881"/>
      <c r="AA78" s="857"/>
      <c r="AB78" s="858"/>
      <c r="AC78" s="666"/>
      <c r="AD78" s="670"/>
      <c r="AF78" s="664"/>
      <c r="AH78" s="853"/>
      <c r="AO78" s="831"/>
      <c r="AP78" s="762"/>
      <c r="AQ78" s="218"/>
      <c r="AR78" s="218"/>
      <c r="AS78" s="218"/>
      <c r="AT78" s="218"/>
      <c r="AU78" s="218"/>
      <c r="AV78" s="218"/>
      <c r="AW78" s="218"/>
      <c r="AX78" s="218"/>
      <c r="AY78" s="218"/>
    </row>
    <row r="79" spans="1:51" ht="15" customHeight="1">
      <c r="A79" s="670"/>
      <c r="B79" s="664"/>
      <c r="C79" s="664"/>
      <c r="D79" s="851"/>
      <c r="E79" s="852"/>
      <c r="F79" s="664"/>
      <c r="G79" s="736"/>
      <c r="H79" s="665"/>
      <c r="I79" s="665"/>
      <c r="J79" s="666"/>
      <c r="K79" s="666"/>
      <c r="L79" s="854"/>
      <c r="M79" s="855"/>
      <c r="N79" s="664"/>
      <c r="O79" s="665"/>
      <c r="P79" s="665"/>
      <c r="Q79" s="665"/>
      <c r="R79" s="665"/>
      <c r="S79" s="664"/>
      <c r="T79" s="736"/>
      <c r="U79" s="871"/>
      <c r="V79" s="831"/>
      <c r="W79" s="856"/>
      <c r="X79" s="857"/>
      <c r="Y79" s="856"/>
      <c r="Z79" s="881"/>
      <c r="AA79" s="857"/>
      <c r="AB79" s="858"/>
      <c r="AC79" s="666"/>
      <c r="AD79" s="670"/>
      <c r="AF79" s="664"/>
      <c r="AH79" s="853"/>
      <c r="AO79" s="831"/>
      <c r="AP79" s="762"/>
      <c r="AQ79" s="218"/>
      <c r="AR79" s="218"/>
      <c r="AS79" s="218"/>
      <c r="AT79" s="218"/>
      <c r="AU79" s="218"/>
      <c r="AV79" s="218"/>
      <c r="AW79" s="218"/>
      <c r="AX79" s="218"/>
      <c r="AY79" s="218"/>
    </row>
    <row r="80" spans="1:51" ht="15" customHeight="1">
      <c r="A80" s="670"/>
      <c r="B80" s="664"/>
      <c r="C80" s="664"/>
      <c r="D80" s="851"/>
      <c r="E80" s="852"/>
      <c r="F80" s="664"/>
      <c r="G80" s="736"/>
      <c r="H80" s="665"/>
      <c r="I80" s="665"/>
      <c r="J80" s="666"/>
      <c r="K80" s="666"/>
      <c r="L80" s="854"/>
      <c r="M80" s="855"/>
      <c r="N80" s="664"/>
      <c r="O80" s="665"/>
      <c r="P80" s="665"/>
      <c r="Q80" s="665"/>
      <c r="R80" s="665"/>
      <c r="S80" s="664"/>
      <c r="T80" s="736"/>
      <c r="U80" s="871"/>
      <c r="V80" s="831"/>
      <c r="W80" s="856"/>
      <c r="X80" s="857"/>
      <c r="Y80" s="856"/>
      <c r="Z80" s="881"/>
      <c r="AA80" s="857"/>
      <c r="AB80" s="858"/>
      <c r="AC80" s="666"/>
      <c r="AD80" s="670"/>
      <c r="AF80" s="664"/>
      <c r="AH80" s="853"/>
      <c r="AO80" s="831"/>
      <c r="AP80" s="762"/>
      <c r="AQ80" s="218"/>
      <c r="AR80" s="218"/>
      <c r="AS80" s="218"/>
      <c r="AT80" s="218"/>
      <c r="AU80" s="218"/>
      <c r="AV80" s="218"/>
      <c r="AW80" s="218"/>
      <c r="AX80" s="218"/>
      <c r="AY80" s="218"/>
    </row>
    <row r="81" spans="1:60" ht="15" customHeight="1">
      <c r="A81" s="670"/>
      <c r="B81" s="664"/>
      <c r="C81" s="664"/>
      <c r="D81" s="851"/>
      <c r="E81" s="852"/>
      <c r="F81" s="664"/>
      <c r="G81" s="736"/>
      <c r="H81" s="665"/>
      <c r="I81" s="665"/>
      <c r="J81" s="666"/>
      <c r="K81" s="666"/>
      <c r="L81" s="854"/>
      <c r="M81" s="855"/>
      <c r="N81" s="664"/>
      <c r="O81" s="665"/>
      <c r="P81" s="665"/>
      <c r="Q81" s="665"/>
      <c r="R81" s="665"/>
      <c r="S81" s="664"/>
      <c r="T81" s="736"/>
      <c r="U81" s="871"/>
      <c r="V81" s="831"/>
      <c r="W81" s="856"/>
      <c r="X81" s="857"/>
      <c r="Y81" s="856"/>
      <c r="Z81" s="881"/>
      <c r="AA81" s="857"/>
      <c r="AB81" s="858"/>
      <c r="AC81" s="666"/>
      <c r="AD81" s="670"/>
      <c r="AF81" s="664"/>
      <c r="AH81" s="853"/>
      <c r="AO81" s="831"/>
      <c r="AP81" s="762"/>
      <c r="AQ81" s="218"/>
      <c r="AR81" s="218"/>
      <c r="AS81" s="218"/>
      <c r="AT81" s="218"/>
      <c r="AU81" s="218"/>
      <c r="AV81" s="218"/>
      <c r="AW81" s="218"/>
      <c r="AX81" s="218"/>
      <c r="AY81" s="218"/>
    </row>
    <row r="82" spans="1:60" ht="15" customHeight="1">
      <c r="A82" s="670"/>
      <c r="B82" s="664"/>
      <c r="C82" s="664"/>
      <c r="D82" s="851"/>
      <c r="E82" s="852"/>
      <c r="F82" s="664"/>
      <c r="G82" s="736"/>
      <c r="H82" s="665"/>
      <c r="I82" s="665"/>
      <c r="J82" s="666"/>
      <c r="K82" s="666"/>
      <c r="L82" s="854"/>
      <c r="M82" s="855"/>
      <c r="N82" s="664"/>
      <c r="O82" s="665"/>
      <c r="P82" s="665"/>
      <c r="Q82" s="665"/>
      <c r="R82" s="665"/>
      <c r="S82" s="664"/>
      <c r="T82" s="736"/>
      <c r="U82" s="871"/>
      <c r="V82" s="831"/>
      <c r="W82" s="856"/>
      <c r="X82" s="857"/>
      <c r="Y82" s="856"/>
      <c r="Z82" s="881"/>
      <c r="AA82" s="857"/>
      <c r="AB82" s="858"/>
      <c r="AC82" s="666"/>
      <c r="AD82" s="670"/>
      <c r="AF82" s="664"/>
      <c r="AH82" s="853"/>
      <c r="AO82" s="831"/>
      <c r="AP82" s="762"/>
      <c r="AQ82" s="218"/>
      <c r="AR82" s="218"/>
      <c r="AS82" s="218"/>
      <c r="AT82" s="218"/>
      <c r="AU82" s="218"/>
      <c r="AV82" s="218"/>
      <c r="AW82" s="218"/>
      <c r="AX82" s="218"/>
      <c r="AY82" s="218"/>
    </row>
    <row r="83" spans="1:60" ht="15" customHeight="1">
      <c r="A83" s="670"/>
      <c r="B83" s="664"/>
      <c r="C83" s="664"/>
      <c r="D83" s="851"/>
      <c r="E83" s="852"/>
      <c r="F83" s="664"/>
      <c r="G83" s="736"/>
      <c r="H83" s="665"/>
      <c r="I83" s="665"/>
      <c r="J83" s="666"/>
      <c r="K83" s="666"/>
      <c r="L83" s="854"/>
      <c r="M83" s="855"/>
      <c r="N83" s="664"/>
      <c r="O83" s="665"/>
      <c r="P83" s="665"/>
      <c r="Q83" s="665"/>
      <c r="R83" s="665"/>
      <c r="S83" s="664"/>
      <c r="T83" s="736"/>
      <c r="U83" s="871"/>
      <c r="V83" s="831"/>
      <c r="W83" s="856"/>
      <c r="X83" s="857"/>
      <c r="Y83" s="856"/>
      <c r="Z83" s="881"/>
      <c r="AA83" s="857"/>
      <c r="AB83" s="858"/>
      <c r="AC83" s="666"/>
      <c r="AD83" s="670"/>
      <c r="AF83" s="664"/>
      <c r="AH83" s="853"/>
      <c r="AO83" s="831"/>
      <c r="AP83" s="762"/>
      <c r="AQ83" s="218"/>
      <c r="AR83" s="218"/>
      <c r="AS83" s="218"/>
      <c r="AT83" s="218"/>
      <c r="AU83" s="218"/>
      <c r="AV83" s="218"/>
      <c r="AW83" s="218"/>
      <c r="AX83" s="218"/>
      <c r="AY83" s="218"/>
    </row>
    <row r="84" spans="1:60">
      <c r="A84" s="670"/>
      <c r="B84" s="664"/>
      <c r="C84" s="664"/>
      <c r="D84" s="851"/>
      <c r="E84" s="852"/>
      <c r="F84" s="664"/>
      <c r="G84" s="736"/>
      <c r="H84" s="665"/>
      <c r="I84" s="665"/>
      <c r="J84" s="666"/>
      <c r="K84" s="666"/>
      <c r="L84" s="854"/>
      <c r="M84" s="855"/>
      <c r="N84" s="664"/>
      <c r="O84" s="665"/>
      <c r="P84" s="665"/>
      <c r="Q84" s="665"/>
      <c r="R84" s="665"/>
      <c r="S84" s="664"/>
      <c r="T84" s="736"/>
      <c r="U84" s="871"/>
      <c r="V84" s="831"/>
      <c r="W84" s="856"/>
      <c r="X84" s="857"/>
      <c r="Y84" s="856"/>
      <c r="Z84" s="881"/>
      <c r="AA84" s="857"/>
      <c r="AB84" s="858"/>
      <c r="AC84" s="666"/>
      <c r="AD84" s="670"/>
      <c r="AF84" s="664"/>
      <c r="AH84" s="853"/>
      <c r="AO84" s="831"/>
      <c r="AP84" s="762"/>
      <c r="AQ84" s="218"/>
      <c r="AR84" s="218"/>
      <c r="AS84" s="218"/>
      <c r="AT84" s="218"/>
      <c r="AU84" s="218"/>
      <c r="AV84" s="218"/>
      <c r="AW84" s="218"/>
      <c r="AX84" s="218"/>
      <c r="AY84" s="218"/>
    </row>
    <row r="85" spans="1:60">
      <c r="A85" s="670"/>
      <c r="B85" s="664"/>
      <c r="C85" s="664"/>
      <c r="D85" s="851"/>
      <c r="E85" s="852"/>
      <c r="F85" s="664"/>
      <c r="G85" s="736"/>
      <c r="H85" s="665"/>
      <c r="I85" s="665"/>
      <c r="J85" s="666"/>
      <c r="K85" s="666"/>
      <c r="L85" s="854"/>
      <c r="M85" s="855"/>
      <c r="N85" s="664"/>
      <c r="O85" s="665"/>
      <c r="P85" s="665"/>
      <c r="Q85" s="665"/>
      <c r="R85" s="665"/>
      <c r="S85" s="664"/>
      <c r="T85" s="736"/>
      <c r="U85" s="871"/>
      <c r="V85" s="831"/>
      <c r="W85" s="856"/>
      <c r="X85" s="857"/>
      <c r="Y85" s="856"/>
      <c r="Z85" s="881"/>
      <c r="AA85" s="857"/>
      <c r="AB85" s="858"/>
      <c r="AC85" s="666"/>
      <c r="AD85" s="670"/>
      <c r="AF85" s="664"/>
      <c r="AH85" s="853"/>
      <c r="AO85" s="831"/>
      <c r="AP85" s="762"/>
      <c r="AQ85" s="218"/>
      <c r="AR85" s="218"/>
      <c r="AS85" s="218"/>
      <c r="AT85" s="218"/>
      <c r="AU85" s="218"/>
      <c r="AV85" s="218"/>
      <c r="AW85" s="218"/>
      <c r="AX85" s="218"/>
      <c r="AY85" s="218"/>
    </row>
    <row r="86" spans="1:60">
      <c r="A86" s="670"/>
      <c r="B86" s="664"/>
      <c r="C86" s="664"/>
      <c r="D86" s="851"/>
      <c r="E86" s="852"/>
      <c r="F86" s="664"/>
      <c r="G86" s="736"/>
      <c r="H86" s="665"/>
      <c r="I86" s="665"/>
      <c r="J86" s="666"/>
      <c r="K86" s="666"/>
      <c r="L86" s="854"/>
      <c r="M86" s="855"/>
      <c r="N86" s="664"/>
      <c r="O86" s="665"/>
      <c r="P86" s="665"/>
      <c r="Q86" s="665"/>
      <c r="R86" s="665"/>
      <c r="S86" s="664"/>
      <c r="T86" s="736"/>
      <c r="U86" s="871"/>
      <c r="V86" s="831"/>
      <c r="W86" s="856"/>
      <c r="X86" s="857"/>
      <c r="Y86" s="856"/>
      <c r="Z86" s="881"/>
      <c r="AA86" s="857"/>
      <c r="AB86" s="858"/>
      <c r="AC86" s="666"/>
      <c r="AD86" s="670"/>
      <c r="AF86" s="664"/>
      <c r="AH86" s="853"/>
      <c r="AO86" s="831"/>
      <c r="AP86" s="762"/>
      <c r="AQ86" s="218"/>
      <c r="AR86" s="218"/>
      <c r="AS86" s="218"/>
      <c r="AT86" s="218"/>
      <c r="AU86" s="218"/>
      <c r="AV86" s="218"/>
      <c r="AW86" s="218"/>
      <c r="AX86" s="218"/>
      <c r="AY86" s="218"/>
    </row>
    <row r="87" spans="1:60">
      <c r="A87" s="670"/>
      <c r="B87" s="664"/>
      <c r="C87" s="664"/>
      <c r="D87" s="851"/>
      <c r="E87" s="852"/>
      <c r="F87" s="664"/>
      <c r="G87" s="736"/>
      <c r="H87" s="665"/>
      <c r="I87" s="665"/>
      <c r="J87" s="666"/>
      <c r="K87" s="666"/>
      <c r="L87" s="854"/>
      <c r="M87" s="855"/>
      <c r="N87" s="664"/>
      <c r="O87" s="665"/>
      <c r="P87" s="665"/>
      <c r="Q87" s="665"/>
      <c r="R87" s="665"/>
      <c r="S87" s="664"/>
      <c r="T87" s="736"/>
      <c r="U87" s="871"/>
      <c r="V87" s="882"/>
      <c r="W87" s="856"/>
      <c r="X87" s="857"/>
      <c r="Y87" s="856"/>
      <c r="Z87" s="881"/>
      <c r="AA87" s="857"/>
      <c r="AB87" s="858"/>
      <c r="AC87" s="666"/>
      <c r="AD87" s="670"/>
      <c r="AF87" s="664"/>
      <c r="AH87" s="853"/>
      <c r="AO87" s="831"/>
      <c r="AP87" s="762"/>
      <c r="AQ87" s="218"/>
      <c r="AR87" s="218"/>
      <c r="AS87" s="218"/>
      <c r="AT87" s="218"/>
      <c r="AU87" s="218"/>
      <c r="AV87" s="218"/>
      <c r="AW87" s="218"/>
      <c r="AX87" s="218"/>
      <c r="AY87" s="218"/>
    </row>
    <row r="88" spans="1:60">
      <c r="A88" s="670"/>
      <c r="B88" s="883"/>
      <c r="C88" s="664"/>
      <c r="D88" s="851"/>
      <c r="E88" s="852"/>
      <c r="F88" s="664"/>
      <c r="G88" s="736"/>
      <c r="H88" s="665"/>
      <c r="I88" s="665"/>
      <c r="J88" s="666"/>
      <c r="K88" s="666"/>
      <c r="L88" s="871"/>
      <c r="M88" s="665"/>
      <c r="N88" s="664"/>
      <c r="O88" s="884"/>
      <c r="P88" s="665"/>
      <c r="Q88" s="884"/>
      <c r="R88" s="884"/>
      <c r="S88" s="664"/>
      <c r="T88" s="736"/>
      <c r="U88" s="871"/>
      <c r="V88" s="885"/>
      <c r="W88" s="856"/>
      <c r="X88" s="857"/>
      <c r="Y88" s="856"/>
      <c r="Z88" s="881"/>
      <c r="AA88" s="857"/>
      <c r="AB88" s="858"/>
      <c r="AC88" s="666"/>
      <c r="AD88" s="670"/>
      <c r="AF88" s="664"/>
      <c r="AH88" s="853"/>
      <c r="AO88" s="831"/>
      <c r="AP88" s="762"/>
      <c r="AQ88" s="218"/>
      <c r="AR88" s="218"/>
      <c r="AS88" s="218"/>
      <c r="AT88" s="218"/>
      <c r="AU88" s="218"/>
      <c r="AV88" s="218"/>
      <c r="AW88" s="218"/>
      <c r="AX88" s="218"/>
      <c r="AY88" s="218"/>
      <c r="AZ88" s="872"/>
      <c r="BA88" s="831"/>
      <c r="BC88" s="736"/>
      <c r="BD88" s="736"/>
      <c r="BE88" s="736"/>
      <c r="BF88" s="736"/>
      <c r="BG88" s="736"/>
      <c r="BH88" s="736"/>
    </row>
    <row r="89" spans="1:60" ht="14.25" customHeight="1">
      <c r="A89" s="670"/>
      <c r="B89" s="664"/>
      <c r="C89" s="664"/>
      <c r="D89" s="851"/>
      <c r="E89" s="852"/>
      <c r="F89" s="664"/>
      <c r="G89" s="736"/>
      <c r="H89" s="665"/>
      <c r="I89" s="665"/>
      <c r="J89" s="666"/>
      <c r="K89" s="666"/>
      <c r="L89" s="854"/>
      <c r="M89" s="855"/>
      <c r="N89" s="664"/>
      <c r="O89" s="665"/>
      <c r="P89" s="665"/>
      <c r="Q89" s="665"/>
      <c r="R89" s="665"/>
      <c r="S89" s="664"/>
      <c r="T89" s="736"/>
      <c r="U89" s="871"/>
      <c r="V89" s="886"/>
      <c r="W89" s="856"/>
      <c r="X89" s="857"/>
      <c r="Y89" s="856"/>
      <c r="Z89" s="881"/>
      <c r="AA89" s="857"/>
      <c r="AB89" s="858"/>
      <c r="AC89" s="666"/>
      <c r="AD89" s="670"/>
      <c r="AF89" s="664"/>
      <c r="AH89" s="853"/>
      <c r="AJ89" s="644" t="e">
        <f ca="1">_xll.BQL("ZQ616510 Corp, BH962214 Corp","rtg_moody, rtg_fitch, rtg_sp","cols=4;rows=3")</f>
        <v>#NAME?</v>
      </c>
      <c r="AK89" s="672" t="s">
        <v>13093</v>
      </c>
      <c r="AL89" s="672" t="s">
        <v>13094</v>
      </c>
      <c r="AM89" s="672" t="s">
        <v>13095</v>
      </c>
      <c r="AN89" s="672"/>
      <c r="AO89" s="672"/>
    </row>
    <row r="90" spans="1:60" ht="16.5" customHeight="1">
      <c r="A90" s="670" t="s">
        <v>2241</v>
      </c>
      <c r="B90" s="841"/>
      <c r="C90" s="664"/>
      <c r="D90" s="609" t="str">
        <f ca="1">IFERROR(_xll.BDP(A90&amp; " ISIN","CAST_PARENT_NAME"),"")</f>
        <v/>
      </c>
      <c r="E90" s="610" t="e">
        <f ca="1">_xll.BDP(A90 &amp; " ISIN","SECURITY_NAME")</f>
        <v>#NAME?</v>
      </c>
      <c r="F90" s="608" t="e">
        <f ca="1">+("EUR"&amp;N90&amp; " Curncy")</f>
        <v>#NAME?</v>
      </c>
      <c r="G90" s="611" t="e">
        <f t="shared" ref="G90:G91" ca="1" si="97">IF(N90="EUR",1,_xll.BDP(F90,"PX LAST"))</f>
        <v>#NAME?</v>
      </c>
      <c r="H90" s="612" t="e">
        <f ca="1">+M90/G90</f>
        <v>#NAME?</v>
      </c>
      <c r="I90" s="612" t="e">
        <f ca="1">+H90</f>
        <v>#NAME?</v>
      </c>
      <c r="J90" s="613" t="e">
        <f ca="1">+K90</f>
        <v>#NAME?</v>
      </c>
      <c r="K90" s="613" t="e">
        <f ca="1">+V90/$V$11</f>
        <v>#NAME?</v>
      </c>
      <c r="L90" s="627">
        <f>SUMIF(TradesBond!$D$11:$D$65,A90,TradesBond!$I$11:$I$75)</f>
        <v>0</v>
      </c>
      <c r="M90" s="612" t="e">
        <f ca="1">_xll.BDP(A90 &amp; " ISIN","PX_LAST")</f>
        <v>#NAME?</v>
      </c>
      <c r="N90" s="617" t="e">
        <f ca="1">_xll.BDP(A90 &amp; " ISIN","Crncy")</f>
        <v>#NAME?</v>
      </c>
      <c r="O90" s="645" t="e">
        <f ca="1">_xll.BDP(A90 &amp; " isin","DAYS_ACC")</f>
        <v>#NAME?</v>
      </c>
      <c r="P90" s="646" t="e">
        <f ca="1">_xll.BDP(A90 &amp; " isin","INT_ACC")</f>
        <v>#NAME?</v>
      </c>
      <c r="Q90" s="645" t="e">
        <f ca="1">-L90*P90/100</f>
        <v>#NAME?</v>
      </c>
      <c r="R90" s="647" t="e">
        <f ca="1">+Q90/H90</f>
        <v>#NAME?</v>
      </c>
      <c r="S90" s="664"/>
      <c r="T90" s="736"/>
      <c r="U90" s="627" t="e">
        <f ca="1">+M90*L90/100</f>
        <v>#NAME?</v>
      </c>
      <c r="V90" s="648" t="e">
        <f ca="1">+I90*L90/100+R90</f>
        <v>#NAME?</v>
      </c>
      <c r="W90" s="856"/>
      <c r="X90" s="629" t="e">
        <f ca="1">+M90/W90-1</f>
        <v>#NAME?</v>
      </c>
      <c r="Y90" s="612" t="e">
        <f ca="1">_xll.BDP(A90 &amp; " ISIN","PX_LAST")</f>
        <v>#NAME?</v>
      </c>
      <c r="Z90" s="649" t="e">
        <f ca="1">IF(N90="EUR",1,_xll.BDP(F90,"PX LAST"))</f>
        <v>#NAME?</v>
      </c>
      <c r="AA90" s="629" t="e">
        <f ca="1">+M90/Y90-1</f>
        <v>#NAME?</v>
      </c>
      <c r="AB90" s="631" t="e">
        <f ca="1">+V90-L90*Y90/100/Z90-R90</f>
        <v>#NAME?</v>
      </c>
      <c r="AC90" s="666"/>
      <c r="AD90" s="670"/>
      <c r="AF90" s="650" t="str">
        <f ca="1">IFERROR(_xll.BDP(A90&amp; " ISIN","CAST_PARENT_NAME"),"")</f>
        <v/>
      </c>
      <c r="AG90" s="636" t="str">
        <f ca="1">+D90</f>
        <v/>
      </c>
      <c r="AH90" s="614" t="e">
        <f ca="1">+J90</f>
        <v>#NAME?</v>
      </c>
      <c r="AJ90" s="700" t="s">
        <v>13096</v>
      </c>
      <c r="AK90" s="664" t="s">
        <v>13097</v>
      </c>
      <c r="AL90" s="664" t="s">
        <v>13097</v>
      </c>
      <c r="AM90" s="664" t="s">
        <v>13097</v>
      </c>
      <c r="AP90" s="831"/>
    </row>
    <row r="91" spans="1:60" ht="16.5" customHeight="1">
      <c r="A91" s="670" t="s">
        <v>2242</v>
      </c>
      <c r="B91" s="664"/>
      <c r="C91" s="664"/>
      <c r="D91" s="609" t="str">
        <f ca="1">IFERROR(_xll.BDP(A91&amp; " ISIN","CAST_PARENT_NAME"),"")</f>
        <v/>
      </c>
      <c r="E91" s="610" t="e">
        <f ca="1">_xll.BDP(A91 &amp; " ISIN","SECURITY_NAME")</f>
        <v>#NAME?</v>
      </c>
      <c r="F91" s="608" t="e">
        <f ca="1">+("EUR"&amp;N91&amp; " Curncy")</f>
        <v>#NAME?</v>
      </c>
      <c r="G91" s="611" t="e">
        <f t="shared" ca="1" si="97"/>
        <v>#NAME?</v>
      </c>
      <c r="H91" s="612" t="e">
        <f ca="1">+M91/G91</f>
        <v>#NAME?</v>
      </c>
      <c r="I91" s="612" t="e">
        <f ca="1">+H91</f>
        <v>#NAME?</v>
      </c>
      <c r="J91" s="613" t="e">
        <f ca="1">+K91</f>
        <v>#NAME?</v>
      </c>
      <c r="K91" s="613" t="e">
        <f ca="1">+V91/$V$11</f>
        <v>#NAME?</v>
      </c>
      <c r="L91" s="627">
        <f>SUMIF(TradesBond!$D$11:$D$65,A91,TradesBond!$I$11:$I$75)</f>
        <v>0</v>
      </c>
      <c r="M91" s="612" t="e">
        <f ca="1">_xll.BDP(A91 &amp; " ISIN","PX_LAST")</f>
        <v>#NAME?</v>
      </c>
      <c r="N91" s="617" t="e">
        <f ca="1">_xll.BDP(A91 &amp; " ISIN","Crncy")</f>
        <v>#NAME?</v>
      </c>
      <c r="O91" s="645" t="e">
        <f ca="1">_xll.BDP(A91 &amp; " isin","DAYS_ACC")</f>
        <v>#NAME?</v>
      </c>
      <c r="P91" s="646" t="e">
        <f ca="1">_xll.BDP(A91 &amp; " isin","INT_ACC")</f>
        <v>#NAME?</v>
      </c>
      <c r="Q91" s="647" t="e">
        <f ca="1">+P91/100*L91</f>
        <v>#NAME?</v>
      </c>
      <c r="R91" s="647" t="e">
        <f ca="1">+Q91/H91</f>
        <v>#NAME?</v>
      </c>
      <c r="S91" s="664"/>
      <c r="T91" s="736"/>
      <c r="U91" s="627" t="e">
        <f ca="1">+M91*L91/100</f>
        <v>#NAME?</v>
      </c>
      <c r="V91" s="648" t="e">
        <f ca="1">+I91*L91/100+R91</f>
        <v>#NAME?</v>
      </c>
      <c r="W91" s="856"/>
      <c r="X91" s="629" t="e">
        <f ca="1">+M91/W91-1</f>
        <v>#NAME?</v>
      </c>
      <c r="Y91" s="612" t="e">
        <f ca="1">_xll.BDP(A91 &amp; " ISIN","PX_LAST")</f>
        <v>#NAME?</v>
      </c>
      <c r="Z91" s="649" t="e">
        <f ca="1">IF(N91="EUR",1,_xll.BDP(F91,"PX LAST"))</f>
        <v>#NAME?</v>
      </c>
      <c r="AA91" s="629" t="e">
        <f ca="1">+M91/Y91-1</f>
        <v>#NAME?</v>
      </c>
      <c r="AB91" s="631" t="e">
        <f ca="1">+V91-L91*Y91/100/Z91-R91</f>
        <v>#NAME?</v>
      </c>
      <c r="AC91" s="666"/>
      <c r="AD91" s="670"/>
      <c r="AF91" s="650" t="str">
        <f ca="1">IFERROR(_xll.BDP(A91&amp; " ISIN","CAST_PARENT_NAME"),"")</f>
        <v/>
      </c>
      <c r="AG91" s="636" t="str">
        <f ca="1">+D91</f>
        <v/>
      </c>
      <c r="AH91" s="614" t="e">
        <f ca="1">+J91</f>
        <v>#NAME?</v>
      </c>
      <c r="AJ91" s="700" t="s">
        <v>13098</v>
      </c>
      <c r="AK91" s="664" t="s">
        <v>13099</v>
      </c>
      <c r="AL91" s="664" t="s">
        <v>13100</v>
      </c>
      <c r="AM91" s="664" t="s">
        <v>13100</v>
      </c>
      <c r="AP91" s="666"/>
    </row>
    <row r="92" spans="1:60">
      <c r="A92" s="670"/>
      <c r="B92" s="664"/>
      <c r="C92" s="664"/>
      <c r="D92" s="851"/>
      <c r="E92" s="852"/>
      <c r="F92" s="664"/>
      <c r="G92" s="736"/>
      <c r="H92" s="665"/>
      <c r="I92" s="665"/>
      <c r="J92" s="666"/>
      <c r="K92" s="666"/>
      <c r="L92" s="871"/>
      <c r="M92" s="665"/>
      <c r="N92" s="664"/>
      <c r="O92" s="884"/>
      <c r="P92" s="665"/>
      <c r="Q92" s="884"/>
      <c r="R92" s="884"/>
      <c r="S92" s="664"/>
      <c r="T92" s="736"/>
      <c r="U92" s="871"/>
      <c r="V92" s="886"/>
      <c r="W92" s="856"/>
      <c r="X92" s="857"/>
      <c r="Y92" s="856"/>
      <c r="Z92" s="881"/>
      <c r="AA92" s="857"/>
      <c r="AB92" s="858"/>
      <c r="AC92" s="666"/>
      <c r="AD92" s="670"/>
      <c r="AF92" s="664"/>
      <c r="AH92" s="853"/>
      <c r="AO92" s="831"/>
    </row>
    <row r="93" spans="1:60">
      <c r="A93" s="670"/>
      <c r="B93" s="664"/>
      <c r="C93" s="664"/>
      <c r="D93" s="851"/>
      <c r="E93" s="852"/>
      <c r="F93" s="664"/>
      <c r="G93" s="736"/>
      <c r="H93" s="665"/>
      <c r="I93" s="665"/>
      <c r="J93" s="666"/>
      <c r="K93" s="666"/>
      <c r="L93" s="871"/>
      <c r="M93" s="887"/>
      <c r="N93" s="664"/>
      <c r="O93" s="884"/>
      <c r="P93" s="888"/>
      <c r="Q93" s="871"/>
      <c r="R93" s="884"/>
      <c r="S93" s="664"/>
      <c r="T93" s="736"/>
      <c r="U93" s="871"/>
      <c r="V93" s="885"/>
      <c r="W93" s="856"/>
      <c r="X93" s="857"/>
      <c r="Y93" s="856"/>
      <c r="Z93" s="881"/>
      <c r="AA93" s="857"/>
      <c r="AB93" s="858"/>
      <c r="AC93" s="666"/>
      <c r="AD93" s="670"/>
      <c r="AF93" s="664"/>
      <c r="AH93" s="853"/>
      <c r="AO93" s="831"/>
    </row>
    <row r="94" spans="1:60">
      <c r="A94" s="670"/>
      <c r="B94" s="664"/>
      <c r="C94" s="664"/>
      <c r="D94" s="851"/>
      <c r="E94" s="852"/>
      <c r="F94" s="664"/>
      <c r="G94" s="736"/>
      <c r="H94" s="665"/>
      <c r="I94" s="665"/>
      <c r="J94" s="666"/>
      <c r="K94" s="666"/>
      <c r="L94" s="871"/>
      <c r="M94" s="665"/>
      <c r="N94" s="664"/>
      <c r="O94" s="884"/>
      <c r="P94" s="665"/>
      <c r="Q94" s="884"/>
      <c r="R94" s="884"/>
      <c r="S94" s="664"/>
      <c r="T94" s="736"/>
      <c r="U94" s="871"/>
      <c r="V94" s="886"/>
      <c r="W94" s="856"/>
      <c r="X94" s="857"/>
      <c r="Y94" s="856"/>
      <c r="Z94" s="881"/>
      <c r="AA94" s="857"/>
      <c r="AB94" s="858"/>
      <c r="AC94" s="666"/>
      <c r="AD94" s="670"/>
      <c r="AF94" s="664"/>
      <c r="AH94" s="853"/>
      <c r="AO94" s="831"/>
    </row>
    <row r="95" spans="1:60" ht="12.75" customHeight="1">
      <c r="A95" s="670"/>
      <c r="B95" s="664"/>
      <c r="C95" s="664"/>
      <c r="D95" s="851"/>
      <c r="E95" s="852"/>
      <c r="F95" s="664"/>
      <c r="G95" s="736"/>
      <c r="H95" s="665"/>
      <c r="I95" s="665"/>
      <c r="J95" s="666"/>
      <c r="K95" s="666"/>
      <c r="L95" s="871"/>
      <c r="M95" s="665"/>
      <c r="N95" s="664"/>
      <c r="O95" s="884"/>
      <c r="P95" s="665"/>
      <c r="Q95" s="884"/>
      <c r="R95" s="884"/>
      <c r="S95" s="664"/>
      <c r="T95" s="736"/>
      <c r="U95" s="871"/>
      <c r="V95" s="886"/>
      <c r="W95" s="856"/>
      <c r="X95" s="857"/>
      <c r="Y95" s="856"/>
      <c r="Z95" s="881"/>
      <c r="AA95" s="857"/>
      <c r="AB95" s="858"/>
      <c r="AC95" s="666"/>
      <c r="AD95" s="670"/>
      <c r="AF95" s="664"/>
      <c r="AH95" s="853"/>
      <c r="AO95" s="831"/>
    </row>
    <row r="96" spans="1:60">
      <c r="A96" s="670"/>
      <c r="B96" s="664"/>
      <c r="C96" s="664"/>
      <c r="D96" s="851"/>
      <c r="E96" s="852"/>
      <c r="F96" s="664"/>
      <c r="G96" s="736"/>
      <c r="H96" s="665"/>
      <c r="I96" s="665"/>
      <c r="J96" s="666"/>
      <c r="K96" s="666"/>
      <c r="L96" s="871"/>
      <c r="M96" s="665"/>
      <c r="N96" s="664"/>
      <c r="O96" s="884"/>
      <c r="P96" s="665"/>
      <c r="Q96" s="884"/>
      <c r="R96" s="884"/>
      <c r="S96" s="664"/>
      <c r="T96" s="736"/>
      <c r="U96" s="871"/>
      <c r="V96" s="886"/>
      <c r="W96" s="856"/>
      <c r="X96" s="857"/>
      <c r="Y96" s="856"/>
      <c r="Z96" s="881"/>
      <c r="AA96" s="857"/>
      <c r="AB96" s="858"/>
      <c r="AC96" s="666"/>
      <c r="AD96" s="670"/>
      <c r="AF96" s="664"/>
      <c r="AH96" s="853"/>
      <c r="AO96" s="831"/>
    </row>
    <row r="97" spans="1:41" ht="12.75" hidden="1" customHeight="1">
      <c r="A97" s="670"/>
      <c r="B97" s="664"/>
      <c r="C97" s="664"/>
      <c r="D97" s="851"/>
      <c r="E97" s="852"/>
      <c r="F97" s="664"/>
      <c r="G97" s="736"/>
      <c r="H97" s="665"/>
      <c r="I97" s="665"/>
      <c r="J97" s="666"/>
      <c r="K97" s="666"/>
      <c r="L97" s="871"/>
      <c r="M97" s="665"/>
      <c r="N97" s="664"/>
      <c r="O97" s="884"/>
      <c r="P97" s="665"/>
      <c r="Q97" s="884"/>
      <c r="R97" s="884"/>
      <c r="S97" s="664"/>
      <c r="T97" s="736"/>
      <c r="U97" s="871"/>
      <c r="V97" s="886"/>
      <c r="W97" s="856"/>
      <c r="X97" s="857"/>
      <c r="Y97" s="856"/>
      <c r="Z97" s="881"/>
      <c r="AA97" s="857"/>
      <c r="AB97" s="858"/>
      <c r="AC97" s="666"/>
      <c r="AD97" s="670"/>
      <c r="AF97" s="664"/>
      <c r="AH97" s="853"/>
      <c r="AO97" s="831"/>
    </row>
    <row r="98" spans="1:41" hidden="1">
      <c r="A98" s="670"/>
      <c r="B98" s="664"/>
      <c r="C98" s="664"/>
      <c r="D98" s="851"/>
      <c r="E98" s="852"/>
      <c r="F98" s="664"/>
      <c r="G98" s="736"/>
      <c r="H98" s="665"/>
      <c r="I98" s="665"/>
      <c r="J98" s="666"/>
      <c r="K98" s="666"/>
      <c r="L98" s="871"/>
      <c r="M98" s="665"/>
      <c r="N98" s="664"/>
      <c r="O98" s="884"/>
      <c r="P98" s="665"/>
      <c r="Q98" s="884"/>
      <c r="R98" s="884"/>
      <c r="S98" s="664"/>
      <c r="T98" s="736"/>
      <c r="U98" s="871"/>
      <c r="V98" s="886"/>
      <c r="W98" s="856"/>
      <c r="X98" s="857"/>
      <c r="Y98" s="856"/>
      <c r="Z98" s="881"/>
      <c r="AA98" s="857"/>
      <c r="AB98" s="858"/>
      <c r="AC98" s="666"/>
      <c r="AD98" s="670"/>
      <c r="AF98" s="664"/>
      <c r="AH98" s="853"/>
      <c r="AO98" s="831"/>
    </row>
    <row r="99" spans="1:41" hidden="1">
      <c r="A99" s="670"/>
      <c r="B99" s="664"/>
      <c r="C99" s="664"/>
      <c r="D99" s="851"/>
      <c r="E99" s="852"/>
      <c r="F99" s="664"/>
      <c r="G99" s="736"/>
      <c r="H99" s="665"/>
      <c r="I99" s="665"/>
      <c r="J99" s="666"/>
      <c r="K99" s="666"/>
      <c r="L99" s="871"/>
      <c r="M99" s="665"/>
      <c r="N99" s="664"/>
      <c r="O99" s="884"/>
      <c r="P99" s="665"/>
      <c r="Q99" s="884"/>
      <c r="R99" s="884"/>
      <c r="S99" s="664"/>
      <c r="T99" s="736"/>
      <c r="U99" s="871"/>
      <c r="V99" s="886"/>
      <c r="W99" s="856"/>
      <c r="X99" s="857"/>
      <c r="Y99" s="856"/>
      <c r="Z99" s="881"/>
      <c r="AA99" s="857"/>
      <c r="AB99" s="858"/>
      <c r="AC99" s="666"/>
      <c r="AD99" s="670"/>
      <c r="AF99" s="664"/>
      <c r="AH99" s="853"/>
      <c r="AO99" s="831"/>
    </row>
    <row r="100" spans="1:41" ht="12.75" hidden="1" customHeight="1">
      <c r="B100" s="664"/>
      <c r="C100" s="664"/>
      <c r="D100" s="851"/>
      <c r="E100" s="852"/>
      <c r="F100" s="664"/>
      <c r="G100" s="736"/>
      <c r="H100" s="665"/>
      <c r="I100" s="665"/>
      <c r="J100" s="666"/>
      <c r="K100" s="666"/>
      <c r="L100" s="871"/>
      <c r="M100" s="665"/>
      <c r="N100" s="664"/>
      <c r="O100" s="884"/>
      <c r="P100" s="665"/>
      <c r="Q100" s="884"/>
      <c r="R100" s="884"/>
      <c r="S100" s="664"/>
      <c r="T100" s="736"/>
      <c r="U100" s="871"/>
      <c r="V100" s="886"/>
      <c r="W100" s="856"/>
      <c r="X100" s="857"/>
      <c r="Y100" s="856"/>
      <c r="Z100" s="881"/>
      <c r="AA100" s="857"/>
      <c r="AB100" s="858"/>
      <c r="AC100" s="666"/>
      <c r="AD100" s="670"/>
      <c r="AF100" s="664"/>
      <c r="AH100" s="853"/>
      <c r="AO100" s="831"/>
    </row>
    <row r="101" spans="1:41" ht="12.75" hidden="1" customHeight="1">
      <c r="A101" s="670"/>
      <c r="B101" s="664"/>
      <c r="C101" s="664"/>
      <c r="D101" s="851"/>
      <c r="E101" s="852"/>
      <c r="F101" s="664"/>
      <c r="G101" s="736"/>
      <c r="H101" s="665"/>
      <c r="I101" s="665"/>
      <c r="J101" s="666"/>
      <c r="K101" s="666"/>
      <c r="L101" s="871"/>
      <c r="M101" s="665"/>
      <c r="N101" s="664"/>
      <c r="O101" s="884"/>
      <c r="P101" s="665"/>
      <c r="Q101" s="884"/>
      <c r="R101" s="884"/>
      <c r="S101" s="664"/>
      <c r="T101" s="736"/>
      <c r="U101" s="871"/>
      <c r="V101" s="886"/>
      <c r="W101" s="856"/>
      <c r="X101" s="857"/>
      <c r="Y101" s="856"/>
      <c r="Z101" s="881"/>
      <c r="AA101" s="857"/>
      <c r="AB101" s="858"/>
      <c r="AC101" s="666"/>
      <c r="AD101" s="670"/>
      <c r="AF101" s="664"/>
      <c r="AH101" s="853"/>
      <c r="AO101" s="831"/>
    </row>
    <row r="102" spans="1:41" hidden="1">
      <c r="A102" s="670"/>
      <c r="B102" s="664"/>
      <c r="C102" s="664"/>
      <c r="D102" s="851"/>
      <c r="E102" s="852"/>
      <c r="F102" s="664"/>
      <c r="G102" s="736"/>
      <c r="H102" s="665"/>
      <c r="I102" s="665"/>
      <c r="J102" s="666"/>
      <c r="K102" s="666"/>
      <c r="L102" s="871"/>
      <c r="M102" s="887"/>
      <c r="N102" s="664"/>
      <c r="O102" s="884"/>
      <c r="P102" s="665"/>
      <c r="Q102" s="884"/>
      <c r="R102" s="884"/>
      <c r="S102" s="664"/>
      <c r="T102" s="736"/>
      <c r="U102" s="871"/>
      <c r="V102" s="886"/>
      <c r="W102" s="856"/>
      <c r="X102" s="857"/>
      <c r="Y102" s="856"/>
      <c r="Z102" s="881"/>
      <c r="AA102" s="857"/>
      <c r="AB102" s="858"/>
      <c r="AC102" s="666"/>
      <c r="AD102" s="670"/>
      <c r="AF102" s="664"/>
      <c r="AH102" s="853"/>
      <c r="AO102" s="831"/>
    </row>
    <row r="103" spans="1:41" hidden="1">
      <c r="A103" s="670"/>
      <c r="B103" s="664"/>
      <c r="C103" s="664"/>
      <c r="D103" s="851"/>
      <c r="E103" s="852"/>
      <c r="F103" s="664"/>
      <c r="G103" s="736"/>
      <c r="H103" s="665"/>
      <c r="I103" s="665"/>
      <c r="J103" s="666"/>
      <c r="K103" s="666"/>
      <c r="L103" s="871"/>
      <c r="M103" s="665"/>
      <c r="N103" s="664"/>
      <c r="O103" s="884"/>
      <c r="P103" s="665"/>
      <c r="Q103" s="884"/>
      <c r="R103" s="884"/>
      <c r="S103" s="664"/>
      <c r="T103" s="736"/>
      <c r="U103" s="871"/>
      <c r="V103" s="886"/>
      <c r="W103" s="856"/>
      <c r="X103" s="857"/>
      <c r="Y103" s="856"/>
      <c r="Z103" s="881"/>
      <c r="AA103" s="857"/>
      <c r="AB103" s="858"/>
      <c r="AC103" s="666"/>
      <c r="AD103" s="670"/>
      <c r="AF103" s="664"/>
      <c r="AH103" s="853"/>
      <c r="AO103" s="831"/>
    </row>
    <row r="104" spans="1:41" ht="14.25" hidden="1" customHeight="1">
      <c r="A104" s="670"/>
      <c r="B104" s="664"/>
      <c r="C104" s="664"/>
      <c r="D104" s="851"/>
      <c r="E104" s="852"/>
      <c r="F104" s="664"/>
      <c r="G104" s="736"/>
      <c r="H104" s="665"/>
      <c r="I104" s="665"/>
      <c r="J104" s="666"/>
      <c r="K104" s="666"/>
      <c r="L104" s="871"/>
      <c r="M104" s="665"/>
      <c r="N104" s="664"/>
      <c r="O104" s="884"/>
      <c r="P104" s="665"/>
      <c r="Q104" s="884"/>
      <c r="R104" s="884"/>
      <c r="S104" s="664"/>
      <c r="T104" s="736"/>
      <c r="U104" s="871"/>
      <c r="V104" s="886"/>
      <c r="W104" s="856"/>
      <c r="X104" s="857"/>
      <c r="Y104" s="856"/>
      <c r="Z104" s="881"/>
      <c r="AA104" s="857"/>
      <c r="AB104" s="858"/>
      <c r="AC104" s="666"/>
      <c r="AD104" s="670"/>
      <c r="AF104" s="664"/>
      <c r="AH104" s="853"/>
      <c r="AO104" s="831"/>
    </row>
    <row r="105" spans="1:41" hidden="1">
      <c r="A105" s="670"/>
      <c r="B105" s="664"/>
      <c r="C105" s="664"/>
      <c r="D105" s="851"/>
      <c r="E105" s="852"/>
      <c r="F105" s="664"/>
      <c r="G105" s="736"/>
      <c r="H105" s="665"/>
      <c r="I105" s="665"/>
      <c r="J105" s="666"/>
      <c r="K105" s="666"/>
      <c r="L105" s="871"/>
      <c r="M105" s="665"/>
      <c r="N105" s="664"/>
      <c r="O105" s="884"/>
      <c r="P105" s="665"/>
      <c r="Q105" s="884"/>
      <c r="R105" s="884"/>
      <c r="S105" s="664"/>
      <c r="T105" s="736"/>
      <c r="U105" s="871"/>
      <c r="V105" s="886"/>
      <c r="W105" s="856"/>
      <c r="X105" s="857"/>
      <c r="Y105" s="856"/>
      <c r="Z105" s="881"/>
      <c r="AA105" s="857"/>
      <c r="AB105" s="858"/>
      <c r="AC105" s="666"/>
      <c r="AD105" s="670"/>
      <c r="AF105" s="664"/>
      <c r="AH105" s="853"/>
      <c r="AO105" s="831"/>
    </row>
    <row r="106" spans="1:41" hidden="1">
      <c r="A106" s="670"/>
      <c r="B106" s="664"/>
      <c r="C106" s="664"/>
      <c r="D106" s="851"/>
      <c r="E106" s="852"/>
      <c r="F106" s="664"/>
      <c r="G106" s="736"/>
      <c r="H106" s="665"/>
      <c r="I106" s="665"/>
      <c r="J106" s="666"/>
      <c r="K106" s="666"/>
      <c r="L106" s="871"/>
      <c r="M106" s="887"/>
      <c r="N106" s="664"/>
      <c r="O106" s="884"/>
      <c r="P106" s="665"/>
      <c r="Q106" s="884"/>
      <c r="R106" s="884"/>
      <c r="S106" s="664"/>
      <c r="T106" s="736"/>
      <c r="U106" s="871"/>
      <c r="V106" s="886"/>
      <c r="W106" s="856"/>
      <c r="X106" s="857"/>
      <c r="Y106" s="856"/>
      <c r="Z106" s="881"/>
      <c r="AA106" s="857"/>
      <c r="AB106" s="858"/>
      <c r="AC106" s="666"/>
      <c r="AD106" s="670"/>
      <c r="AF106" s="664"/>
      <c r="AH106" s="853"/>
      <c r="AO106" s="831"/>
    </row>
    <row r="107" spans="1:41" hidden="1">
      <c r="A107" s="889"/>
      <c r="B107" s="889"/>
      <c r="C107" s="889"/>
      <c r="D107" s="890"/>
      <c r="E107" s="891"/>
      <c r="F107" s="889"/>
      <c r="G107" s="892"/>
      <c r="H107" s="893"/>
      <c r="I107" s="893"/>
      <c r="J107" s="894"/>
      <c r="K107" s="894"/>
      <c r="L107" s="895"/>
      <c r="M107" s="893"/>
      <c r="N107" s="889"/>
      <c r="O107" s="896"/>
      <c r="P107" s="893"/>
      <c r="Q107" s="896"/>
      <c r="R107" s="896"/>
      <c r="S107" s="889"/>
      <c r="T107" s="892"/>
      <c r="U107" s="895"/>
      <c r="V107" s="897"/>
      <c r="W107" s="898"/>
      <c r="X107" s="899"/>
      <c r="Y107" s="898"/>
      <c r="Z107" s="900"/>
      <c r="AA107" s="899"/>
      <c r="AB107" s="901"/>
      <c r="AC107" s="899"/>
      <c r="AD107" s="899"/>
      <c r="AE107" s="899"/>
      <c r="AF107" s="899"/>
      <c r="AG107" s="899"/>
      <c r="AH107" s="899"/>
      <c r="AI107" s="899"/>
      <c r="AO107" s="831"/>
    </row>
    <row r="108" spans="1:41" hidden="1">
      <c r="A108" s="670"/>
      <c r="B108" s="664"/>
      <c r="C108" s="664"/>
      <c r="D108" s="902"/>
      <c r="E108" s="852"/>
      <c r="F108" s="664"/>
      <c r="G108" s="736"/>
      <c r="H108" s="665"/>
      <c r="I108" s="665"/>
      <c r="J108" s="666"/>
      <c r="K108" s="666"/>
      <c r="L108" s="871"/>
      <c r="M108" s="665"/>
      <c r="N108" s="664"/>
      <c r="O108" s="884"/>
      <c r="P108" s="665"/>
      <c r="Q108" s="884"/>
      <c r="R108" s="884"/>
      <c r="S108" s="664"/>
      <c r="T108" s="736"/>
      <c r="U108" s="871"/>
      <c r="V108" s="886"/>
      <c r="W108" s="856"/>
      <c r="X108" s="857"/>
      <c r="Y108" s="856"/>
      <c r="Z108" s="881"/>
      <c r="AA108" s="857"/>
      <c r="AB108" s="858"/>
      <c r="AC108" s="670"/>
      <c r="AD108" s="670"/>
      <c r="AH108" s="670"/>
      <c r="AO108" s="831"/>
    </row>
    <row r="109" spans="1:41" ht="11.75" hidden="1" customHeight="1">
      <c r="A109" s="670"/>
      <c r="B109" s="664"/>
      <c r="C109" s="664"/>
      <c r="D109" s="851"/>
      <c r="E109" s="852"/>
      <c r="F109" s="664"/>
      <c r="G109" s="736"/>
      <c r="H109" s="665"/>
      <c r="I109" s="665"/>
      <c r="J109" s="666"/>
      <c r="K109" s="666"/>
      <c r="L109" s="871"/>
      <c r="M109" s="665"/>
      <c r="N109" s="664"/>
      <c r="O109" s="884"/>
      <c r="P109" s="665"/>
      <c r="Q109" s="884"/>
      <c r="R109" s="884"/>
      <c r="S109" s="664"/>
      <c r="T109" s="736"/>
      <c r="U109" s="871"/>
      <c r="V109" s="886"/>
      <c r="W109" s="856"/>
      <c r="X109" s="857"/>
      <c r="Y109" s="856"/>
      <c r="Z109" s="881"/>
      <c r="AA109" s="857"/>
      <c r="AB109" s="858"/>
      <c r="AC109" s="670"/>
      <c r="AD109" s="670"/>
      <c r="AH109" s="670"/>
      <c r="AO109" s="831"/>
    </row>
    <row r="110" spans="1:41" hidden="1">
      <c r="A110" s="670"/>
      <c r="B110" s="664"/>
      <c r="C110" s="664"/>
      <c r="D110" s="851"/>
      <c r="E110" s="852"/>
      <c r="F110" s="664"/>
      <c r="G110" s="736"/>
      <c r="H110" s="665"/>
      <c r="I110" s="665"/>
      <c r="J110" s="666"/>
      <c r="K110" s="666"/>
      <c r="L110" s="871"/>
      <c r="M110" s="665"/>
      <c r="N110" s="664"/>
      <c r="O110" s="884"/>
      <c r="P110" s="665"/>
      <c r="Q110" s="884"/>
      <c r="R110" s="884"/>
      <c r="S110" s="664"/>
      <c r="T110" s="736"/>
      <c r="U110" s="871"/>
      <c r="V110" s="886"/>
      <c r="W110" s="856"/>
      <c r="X110" s="857"/>
      <c r="Y110" s="856"/>
      <c r="Z110" s="881"/>
      <c r="AA110" s="857"/>
      <c r="AB110" s="858"/>
      <c r="AC110" s="670"/>
      <c r="AD110" s="670"/>
      <c r="AH110" s="670"/>
      <c r="AO110" s="831"/>
    </row>
    <row r="111" spans="1:41" ht="23.25" hidden="1" customHeight="1">
      <c r="A111" s="670"/>
      <c r="B111" s="664"/>
      <c r="C111" s="664"/>
      <c r="D111" s="851"/>
      <c r="E111" s="852"/>
      <c r="F111" s="664"/>
      <c r="G111" s="736"/>
      <c r="H111" s="665"/>
      <c r="I111" s="665"/>
      <c r="J111" s="666"/>
      <c r="K111" s="666"/>
      <c r="L111" s="871"/>
      <c r="M111" s="665"/>
      <c r="N111" s="664"/>
      <c r="O111" s="884"/>
      <c r="P111" s="665"/>
      <c r="Q111" s="884"/>
      <c r="R111" s="884"/>
      <c r="S111" s="664"/>
      <c r="T111" s="736"/>
      <c r="U111" s="871"/>
      <c r="V111" s="886"/>
      <c r="W111" s="856"/>
      <c r="X111" s="857"/>
      <c r="Y111" s="856"/>
      <c r="Z111" s="881"/>
      <c r="AA111" s="857"/>
      <c r="AB111" s="858"/>
      <c r="AC111" s="666"/>
      <c r="AD111" s="670"/>
      <c r="AF111" s="664"/>
      <c r="AH111" s="853"/>
      <c r="AO111" s="831"/>
    </row>
    <row r="112" spans="1:41" hidden="1">
      <c r="A112" s="670"/>
      <c r="B112" s="664"/>
      <c r="C112" s="664"/>
      <c r="D112" s="851"/>
      <c r="E112" s="852"/>
      <c r="F112" s="664"/>
      <c r="G112" s="736"/>
      <c r="H112" s="665"/>
      <c r="I112" s="665"/>
      <c r="J112" s="666"/>
      <c r="K112" s="666"/>
      <c r="L112" s="871"/>
      <c r="M112" s="665"/>
      <c r="N112" s="664"/>
      <c r="O112" s="884"/>
      <c r="P112" s="665"/>
      <c r="Q112" s="884"/>
      <c r="R112" s="884"/>
      <c r="S112" s="664"/>
      <c r="T112" s="736"/>
      <c r="U112" s="871"/>
      <c r="V112" s="886"/>
      <c r="W112" s="856"/>
      <c r="X112" s="857"/>
      <c r="Y112" s="856"/>
      <c r="Z112" s="881"/>
      <c r="AA112" s="857"/>
      <c r="AB112" s="858"/>
      <c r="AC112" s="666"/>
      <c r="AD112" s="670"/>
      <c r="AF112" s="664"/>
      <c r="AH112" s="853"/>
      <c r="AO112" s="831"/>
    </row>
    <row r="113" spans="1:41" hidden="1">
      <c r="A113" s="670"/>
      <c r="B113" s="664"/>
      <c r="C113" s="664"/>
      <c r="D113" s="851"/>
      <c r="E113" s="852"/>
      <c r="F113" s="664"/>
      <c r="G113" s="736"/>
      <c r="H113" s="665"/>
      <c r="I113" s="665"/>
      <c r="J113" s="666"/>
      <c r="K113" s="666"/>
      <c r="L113" s="871"/>
      <c r="M113" s="665"/>
      <c r="N113" s="664"/>
      <c r="O113" s="884"/>
      <c r="P113" s="665"/>
      <c r="Q113" s="884"/>
      <c r="R113" s="884"/>
      <c r="S113" s="664"/>
      <c r="T113" s="736"/>
      <c r="U113" s="871"/>
      <c r="V113" s="886"/>
      <c r="W113" s="856"/>
      <c r="X113" s="857"/>
      <c r="Y113" s="856"/>
      <c r="Z113" s="881"/>
      <c r="AA113" s="857"/>
      <c r="AB113" s="858"/>
      <c r="AC113" s="666"/>
      <c r="AD113" s="670"/>
      <c r="AF113" s="664"/>
      <c r="AH113" s="853"/>
      <c r="AO113" s="831"/>
    </row>
    <row r="114" spans="1:41" hidden="1">
      <c r="A114" s="670"/>
      <c r="B114" s="664"/>
      <c r="C114" s="664"/>
      <c r="D114" s="851"/>
      <c r="E114" s="852"/>
      <c r="F114" s="664"/>
      <c r="G114" s="736"/>
      <c r="H114" s="665"/>
      <c r="I114" s="665"/>
      <c r="J114" s="666"/>
      <c r="K114" s="666"/>
      <c r="L114" s="871"/>
      <c r="M114" s="665"/>
      <c r="N114" s="664"/>
      <c r="O114" s="884"/>
      <c r="P114" s="665"/>
      <c r="Q114" s="884"/>
      <c r="R114" s="884"/>
      <c r="S114" s="664"/>
      <c r="T114" s="736"/>
      <c r="U114" s="871"/>
      <c r="V114" s="886"/>
      <c r="W114" s="856"/>
      <c r="X114" s="857"/>
      <c r="Y114" s="856"/>
      <c r="Z114" s="881"/>
      <c r="AA114" s="857"/>
      <c r="AB114" s="858"/>
      <c r="AC114" s="666"/>
      <c r="AD114" s="670"/>
      <c r="AF114" s="664"/>
      <c r="AH114" s="853"/>
      <c r="AO114" s="831"/>
    </row>
    <row r="115" spans="1:41" hidden="1">
      <c r="A115" s="670"/>
      <c r="B115" s="664"/>
      <c r="C115" s="664"/>
      <c r="D115" s="851"/>
      <c r="E115" s="852"/>
      <c r="F115" s="664"/>
      <c r="G115" s="736"/>
      <c r="H115" s="665"/>
      <c r="I115" s="665"/>
      <c r="J115" s="666"/>
      <c r="K115" s="666"/>
      <c r="L115" s="871"/>
      <c r="M115" s="665"/>
      <c r="N115" s="664"/>
      <c r="O115" s="884"/>
      <c r="P115" s="665"/>
      <c r="Q115" s="884"/>
      <c r="R115" s="884"/>
      <c r="S115" s="664"/>
      <c r="T115" s="736"/>
      <c r="U115" s="871"/>
      <c r="V115" s="886"/>
      <c r="W115" s="856"/>
      <c r="X115" s="857"/>
      <c r="Y115" s="856"/>
      <c r="Z115" s="881"/>
      <c r="AA115" s="857"/>
      <c r="AB115" s="858"/>
      <c r="AC115" s="666"/>
      <c r="AD115" s="670"/>
      <c r="AF115" s="664"/>
      <c r="AH115" s="853"/>
      <c r="AO115" s="831"/>
    </row>
    <row r="116" spans="1:41" hidden="1">
      <c r="A116" s="670"/>
      <c r="B116" s="664"/>
      <c r="C116" s="664"/>
      <c r="D116" s="851"/>
      <c r="E116" s="852"/>
      <c r="F116" s="664"/>
      <c r="G116" s="736"/>
      <c r="H116" s="665"/>
      <c r="I116" s="665"/>
      <c r="J116" s="666"/>
      <c r="K116" s="666"/>
      <c r="L116" s="871"/>
      <c r="M116" s="665"/>
      <c r="N116" s="664"/>
      <c r="O116" s="884"/>
      <c r="P116" s="665"/>
      <c r="Q116" s="884"/>
      <c r="R116" s="884"/>
      <c r="S116" s="664"/>
      <c r="T116" s="736"/>
      <c r="U116" s="871"/>
      <c r="V116" s="886"/>
      <c r="W116" s="856"/>
      <c r="X116" s="857"/>
      <c r="Y116" s="856"/>
      <c r="Z116" s="881"/>
      <c r="AA116" s="857"/>
      <c r="AB116" s="858"/>
      <c r="AC116" s="666"/>
      <c r="AD116" s="670"/>
      <c r="AF116" s="664"/>
      <c r="AH116" s="853"/>
      <c r="AO116" s="831"/>
    </row>
    <row r="117" spans="1:41" hidden="1">
      <c r="A117" s="670"/>
      <c r="B117" s="664"/>
      <c r="C117" s="664"/>
      <c r="D117" s="851"/>
      <c r="E117" s="852"/>
      <c r="F117" s="664"/>
      <c r="G117" s="736"/>
      <c r="H117" s="665"/>
      <c r="I117" s="665"/>
      <c r="J117" s="666"/>
      <c r="K117" s="666"/>
      <c r="L117" s="871"/>
      <c r="M117" s="665"/>
      <c r="N117" s="664"/>
      <c r="O117" s="884"/>
      <c r="P117" s="665"/>
      <c r="Q117" s="884"/>
      <c r="R117" s="884"/>
      <c r="S117" s="664"/>
      <c r="T117" s="736"/>
      <c r="U117" s="871"/>
      <c r="V117" s="886"/>
      <c r="W117" s="856"/>
      <c r="X117" s="857"/>
      <c r="Y117" s="856"/>
      <c r="Z117" s="881"/>
      <c r="AA117" s="857"/>
      <c r="AB117" s="858"/>
      <c r="AC117" s="666"/>
      <c r="AD117" s="670"/>
      <c r="AF117" s="664"/>
      <c r="AH117" s="853"/>
      <c r="AO117" s="831"/>
    </row>
    <row r="118" spans="1:41" hidden="1">
      <c r="A118" s="670"/>
      <c r="B118" s="664"/>
      <c r="C118" s="664"/>
      <c r="D118" s="851"/>
      <c r="E118" s="852"/>
      <c r="F118" s="664"/>
      <c r="G118" s="736"/>
      <c r="H118" s="665"/>
      <c r="I118" s="665"/>
      <c r="J118" s="666"/>
      <c r="K118" s="666"/>
      <c r="L118" s="871"/>
      <c r="M118" s="665"/>
      <c r="N118" s="664"/>
      <c r="O118" s="884"/>
      <c r="P118" s="665"/>
      <c r="Q118" s="884"/>
      <c r="R118" s="884"/>
      <c r="S118" s="664"/>
      <c r="T118" s="736"/>
      <c r="U118" s="871"/>
      <c r="V118" s="886"/>
      <c r="W118" s="856"/>
      <c r="X118" s="857"/>
      <c r="Y118" s="856"/>
      <c r="Z118" s="881"/>
      <c r="AA118" s="857"/>
      <c r="AB118" s="858"/>
      <c r="AC118" s="666"/>
      <c r="AD118" s="670"/>
      <c r="AF118" s="664"/>
      <c r="AH118" s="853"/>
      <c r="AO118" s="831"/>
    </row>
    <row r="119" spans="1:41" hidden="1">
      <c r="A119" s="670"/>
      <c r="B119" s="664"/>
      <c r="C119" s="664"/>
      <c r="D119" s="851"/>
      <c r="E119" s="852"/>
      <c r="F119" s="664"/>
      <c r="G119" s="736"/>
      <c r="H119" s="665"/>
      <c r="I119" s="665"/>
      <c r="J119" s="666"/>
      <c r="K119" s="666"/>
      <c r="L119" s="871"/>
      <c r="M119" s="665"/>
      <c r="N119" s="664"/>
      <c r="O119" s="884"/>
      <c r="P119" s="665"/>
      <c r="Q119" s="884"/>
      <c r="R119" s="884"/>
      <c r="S119" s="664"/>
      <c r="T119" s="736"/>
      <c r="U119" s="871"/>
      <c r="V119" s="886"/>
      <c r="W119" s="856"/>
      <c r="X119" s="857"/>
      <c r="Y119" s="856"/>
      <c r="Z119" s="881"/>
      <c r="AA119" s="857"/>
      <c r="AB119" s="858"/>
      <c r="AC119" s="666"/>
      <c r="AD119" s="670"/>
      <c r="AF119" s="664"/>
      <c r="AH119" s="853"/>
      <c r="AO119" s="831"/>
    </row>
    <row r="120" spans="1:41" hidden="1">
      <c r="A120" s="670"/>
      <c r="B120" s="664"/>
      <c r="C120" s="664"/>
      <c r="D120" s="664"/>
      <c r="E120" s="852"/>
      <c r="F120" s="664"/>
      <c r="G120" s="736"/>
      <c r="H120" s="665"/>
      <c r="I120" s="665"/>
      <c r="J120" s="666"/>
      <c r="K120" s="666"/>
      <c r="L120" s="871"/>
      <c r="M120" s="665"/>
      <c r="N120" s="664"/>
      <c r="O120" s="884"/>
      <c r="P120" s="665"/>
      <c r="Q120" s="884"/>
      <c r="R120" s="884"/>
      <c r="S120" s="664"/>
      <c r="T120" s="736"/>
      <c r="U120" s="736"/>
      <c r="V120" s="831"/>
      <c r="W120" s="903"/>
      <c r="X120" s="857"/>
      <c r="Y120" s="856"/>
      <c r="Z120" s="881"/>
      <c r="AA120" s="903"/>
      <c r="AB120" s="664"/>
      <c r="AC120" s="666"/>
      <c r="AD120" s="670"/>
      <c r="AF120" s="664"/>
      <c r="AH120" s="853"/>
      <c r="AO120" s="831"/>
    </row>
    <row r="121" spans="1:41" hidden="1">
      <c r="A121" s="670"/>
      <c r="B121" s="664"/>
      <c r="C121" s="664"/>
      <c r="D121" s="664"/>
      <c r="E121" s="852"/>
      <c r="F121" s="664"/>
      <c r="G121" s="736"/>
      <c r="H121" s="665"/>
      <c r="I121" s="665"/>
      <c r="J121" s="666"/>
      <c r="K121" s="666"/>
      <c r="L121" s="871"/>
      <c r="M121" s="665"/>
      <c r="N121" s="664"/>
      <c r="O121" s="884"/>
      <c r="P121" s="665"/>
      <c r="Q121" s="884"/>
      <c r="R121" s="884"/>
      <c r="S121" s="664"/>
      <c r="T121" s="736"/>
      <c r="U121" s="736"/>
      <c r="V121" s="831"/>
      <c r="W121" s="903"/>
      <c r="X121" s="857"/>
      <c r="Y121" s="856"/>
      <c r="Z121" s="881"/>
      <c r="AA121" s="903"/>
      <c r="AB121" s="664"/>
      <c r="AC121" s="666"/>
      <c r="AD121" s="670"/>
      <c r="AF121" s="608" t="e">
        <f ca="1">_xll.TR(A120,"TR.UltimateParent")</f>
        <v>#NAME?</v>
      </c>
      <c r="AG121" s="636">
        <f>+D120</f>
        <v>0</v>
      </c>
      <c r="AH121" s="614">
        <f>+J120</f>
        <v>0</v>
      </c>
      <c r="AO121" s="831"/>
    </row>
    <row r="122" spans="1:41" hidden="1">
      <c r="A122" s="670"/>
      <c r="B122" s="664"/>
      <c r="C122" s="664"/>
      <c r="D122" s="664"/>
      <c r="E122" s="852"/>
      <c r="F122" s="664"/>
      <c r="G122" s="736"/>
      <c r="H122" s="665"/>
      <c r="I122" s="665"/>
      <c r="J122" s="666"/>
      <c r="K122" s="666"/>
      <c r="L122" s="871"/>
      <c r="M122" s="665"/>
      <c r="N122" s="664"/>
      <c r="O122" s="884"/>
      <c r="P122" s="665"/>
      <c r="Q122" s="884"/>
      <c r="R122" s="884"/>
      <c r="S122" s="664"/>
      <c r="T122" s="736"/>
      <c r="U122" s="736"/>
      <c r="V122" s="831"/>
      <c r="W122" s="903"/>
      <c r="X122" s="857"/>
      <c r="Y122" s="856"/>
      <c r="Z122" s="881"/>
      <c r="AA122" s="903"/>
      <c r="AB122" s="664"/>
      <c r="AC122" s="666"/>
      <c r="AD122" s="670"/>
      <c r="AF122" s="608" t="e">
        <f ca="1">_xll.TR(A121,"TR.UltimateParent")</f>
        <v>#NAME?</v>
      </c>
      <c r="AG122" s="636">
        <f t="shared" ref="AG122:AG142" si="98">+D121</f>
        <v>0</v>
      </c>
      <c r="AH122" s="614">
        <f t="shared" ref="AH122:AH142" si="99">+J121</f>
        <v>0</v>
      </c>
      <c r="AO122" s="831"/>
    </row>
    <row r="123" spans="1:41" hidden="1">
      <c r="A123" s="670"/>
      <c r="B123" s="664"/>
      <c r="C123" s="664"/>
      <c r="D123" s="664"/>
      <c r="E123" s="852"/>
      <c r="F123" s="664"/>
      <c r="G123" s="736"/>
      <c r="H123" s="665"/>
      <c r="I123" s="665"/>
      <c r="J123" s="666"/>
      <c r="K123" s="666"/>
      <c r="L123" s="871"/>
      <c r="M123" s="665"/>
      <c r="N123" s="664"/>
      <c r="O123" s="884"/>
      <c r="P123" s="665"/>
      <c r="Q123" s="884"/>
      <c r="R123" s="884"/>
      <c r="S123" s="664"/>
      <c r="T123" s="736"/>
      <c r="U123" s="736"/>
      <c r="V123" s="831"/>
      <c r="W123" s="903"/>
      <c r="X123" s="857"/>
      <c r="Y123" s="856"/>
      <c r="Z123" s="881"/>
      <c r="AA123" s="903"/>
      <c r="AB123" s="664"/>
      <c r="AC123" s="666"/>
      <c r="AD123" s="670"/>
      <c r="AF123" s="608" t="e">
        <f ca="1">_xll.TR(A122,"TR.UltimateParent")</f>
        <v>#NAME?</v>
      </c>
      <c r="AG123" s="636">
        <f t="shared" si="98"/>
        <v>0</v>
      </c>
      <c r="AH123" s="614">
        <f t="shared" si="99"/>
        <v>0</v>
      </c>
      <c r="AO123" s="831"/>
    </row>
    <row r="124" spans="1:41" hidden="1">
      <c r="A124" s="670"/>
      <c r="B124" s="664"/>
      <c r="C124" s="664"/>
      <c r="D124" s="664"/>
      <c r="E124" s="852"/>
      <c r="F124" s="664"/>
      <c r="G124" s="736"/>
      <c r="H124" s="665"/>
      <c r="I124" s="665"/>
      <c r="J124" s="666"/>
      <c r="K124" s="666"/>
      <c r="L124" s="871"/>
      <c r="M124" s="665"/>
      <c r="N124" s="664"/>
      <c r="O124" s="884"/>
      <c r="P124" s="665"/>
      <c r="Q124" s="884"/>
      <c r="R124" s="884"/>
      <c r="S124" s="664"/>
      <c r="T124" s="736"/>
      <c r="U124" s="736"/>
      <c r="V124" s="831"/>
      <c r="W124" s="903"/>
      <c r="X124" s="857"/>
      <c r="Y124" s="856"/>
      <c r="Z124" s="881"/>
      <c r="AA124" s="903"/>
      <c r="AB124" s="664"/>
      <c r="AC124" s="666"/>
      <c r="AD124" s="670"/>
      <c r="AF124" s="636" t="e">
        <f>_xll.BDP(A123 &amp; " Isin","ID_BB_ULTIMATE_PARENT_CO_NAME")</f>
        <v>#N/A</v>
      </c>
      <c r="AG124" s="636">
        <f t="shared" si="98"/>
        <v>0</v>
      </c>
      <c r="AH124" s="614">
        <f t="shared" si="99"/>
        <v>0</v>
      </c>
      <c r="AO124" s="831"/>
    </row>
    <row r="125" spans="1:41" hidden="1">
      <c r="A125" s="670"/>
      <c r="B125" s="664"/>
      <c r="C125" s="664"/>
      <c r="D125" s="664"/>
      <c r="E125" s="852"/>
      <c r="F125" s="664"/>
      <c r="G125" s="736"/>
      <c r="H125" s="665"/>
      <c r="I125" s="665"/>
      <c r="J125" s="666"/>
      <c r="K125" s="666"/>
      <c r="L125" s="871"/>
      <c r="M125" s="665"/>
      <c r="N125" s="664"/>
      <c r="O125" s="884"/>
      <c r="P125" s="665"/>
      <c r="Q125" s="884"/>
      <c r="R125" s="884"/>
      <c r="S125" s="664"/>
      <c r="T125" s="736"/>
      <c r="U125" s="736"/>
      <c r="V125" s="831"/>
      <c r="W125" s="903"/>
      <c r="X125" s="857"/>
      <c r="Y125" s="856"/>
      <c r="Z125" s="881"/>
      <c r="AA125" s="903"/>
      <c r="AB125" s="664"/>
      <c r="AC125" s="666"/>
      <c r="AD125" s="670"/>
      <c r="AF125" s="636" t="str">
        <f>_xll.BDP(A124 &amp; " Isin","ID_BB_ULTIMATE_PARENT_CO_NAME")</f>
        <v>#N/A Invalid Security</v>
      </c>
      <c r="AG125" s="636">
        <f t="shared" si="98"/>
        <v>0</v>
      </c>
      <c r="AH125" s="614">
        <f t="shared" si="99"/>
        <v>0</v>
      </c>
      <c r="AO125" s="831"/>
    </row>
    <row r="126" spans="1:41" hidden="1">
      <c r="A126" s="670"/>
      <c r="B126" s="664"/>
      <c r="C126" s="664"/>
      <c r="D126" s="664"/>
      <c r="E126" s="852"/>
      <c r="F126" s="664"/>
      <c r="G126" s="736"/>
      <c r="H126" s="665"/>
      <c r="I126" s="665"/>
      <c r="J126" s="666"/>
      <c r="K126" s="666"/>
      <c r="L126" s="871"/>
      <c r="M126" s="665"/>
      <c r="N126" s="664"/>
      <c r="O126" s="884"/>
      <c r="P126" s="665"/>
      <c r="Q126" s="884"/>
      <c r="R126" s="884"/>
      <c r="S126" s="664"/>
      <c r="T126" s="736"/>
      <c r="U126" s="736"/>
      <c r="V126" s="831"/>
      <c r="W126" s="903"/>
      <c r="X126" s="857"/>
      <c r="Y126" s="856"/>
      <c r="Z126" s="881"/>
      <c r="AA126" s="903"/>
      <c r="AB126" s="664"/>
      <c r="AC126" s="666"/>
      <c r="AD126" s="670"/>
      <c r="AH126" s="853"/>
      <c r="AO126" s="831"/>
    </row>
    <row r="127" spans="1:41" hidden="1">
      <c r="A127" s="670"/>
      <c r="B127" s="664"/>
      <c r="C127" s="664"/>
      <c r="D127" s="664"/>
      <c r="E127" s="852"/>
      <c r="F127" s="664"/>
      <c r="G127" s="736"/>
      <c r="H127" s="665"/>
      <c r="I127" s="665"/>
      <c r="J127" s="666"/>
      <c r="K127" s="666"/>
      <c r="L127" s="871"/>
      <c r="M127" s="665"/>
      <c r="N127" s="664"/>
      <c r="O127" s="884"/>
      <c r="P127" s="665"/>
      <c r="Q127" s="884"/>
      <c r="R127" s="884"/>
      <c r="S127" s="664"/>
      <c r="T127" s="736"/>
      <c r="U127" s="736"/>
      <c r="V127" s="831"/>
      <c r="W127" s="903"/>
      <c r="X127" s="857"/>
      <c r="Y127" s="856"/>
      <c r="Z127" s="881"/>
      <c r="AA127" s="903"/>
      <c r="AB127" s="664"/>
      <c r="AC127" s="666"/>
      <c r="AD127" s="670"/>
      <c r="AH127" s="853"/>
      <c r="AO127" s="831"/>
    </row>
    <row r="128" spans="1:41" hidden="1">
      <c r="A128" s="670"/>
      <c r="B128" s="664"/>
      <c r="C128" s="664"/>
      <c r="D128" s="664"/>
      <c r="E128" s="852"/>
      <c r="F128" s="664"/>
      <c r="G128" s="736"/>
      <c r="H128" s="665"/>
      <c r="I128" s="665"/>
      <c r="J128" s="666"/>
      <c r="K128" s="666"/>
      <c r="L128" s="871"/>
      <c r="M128" s="665"/>
      <c r="N128" s="664"/>
      <c r="O128" s="884"/>
      <c r="P128" s="665"/>
      <c r="Q128" s="884"/>
      <c r="R128" s="884"/>
      <c r="S128" s="664"/>
      <c r="T128" s="736"/>
      <c r="U128" s="736"/>
      <c r="V128" s="831"/>
      <c r="W128" s="903"/>
      <c r="X128" s="857"/>
      <c r="Y128" s="856"/>
      <c r="Z128" s="881"/>
      <c r="AA128" s="903"/>
      <c r="AB128" s="664"/>
      <c r="AC128" s="666"/>
      <c r="AD128" s="670"/>
      <c r="AF128" s="636" t="e">
        <f>_xll.BDP(A127 &amp; " Isin","ID_BB_ULTIMATE_PARENT_CO_NAME")</f>
        <v>#N/A</v>
      </c>
      <c r="AG128" s="636">
        <f t="shared" si="98"/>
        <v>0</v>
      </c>
      <c r="AH128" s="614">
        <f t="shared" si="99"/>
        <v>0</v>
      </c>
      <c r="AO128" s="831"/>
    </row>
    <row r="129" spans="1:41" hidden="1">
      <c r="A129" s="670"/>
      <c r="B129" s="664"/>
      <c r="C129" s="664"/>
      <c r="D129" s="664"/>
      <c r="E129" s="852"/>
      <c r="F129" s="664"/>
      <c r="G129" s="736"/>
      <c r="H129" s="665"/>
      <c r="I129" s="665"/>
      <c r="J129" s="666"/>
      <c r="K129" s="666"/>
      <c r="L129" s="871"/>
      <c r="M129" s="665"/>
      <c r="N129" s="664"/>
      <c r="O129" s="884"/>
      <c r="P129" s="665"/>
      <c r="Q129" s="884"/>
      <c r="R129" s="884"/>
      <c r="S129" s="664"/>
      <c r="T129" s="736"/>
      <c r="U129" s="736"/>
      <c r="V129" s="831"/>
      <c r="W129" s="903"/>
      <c r="X129" s="857"/>
      <c r="Y129" s="856"/>
      <c r="Z129" s="881"/>
      <c r="AA129" s="903"/>
      <c r="AB129" s="664"/>
      <c r="AC129" s="666"/>
      <c r="AD129" s="670"/>
      <c r="AF129" s="636" t="e">
        <f>_xll.BDP(A128 &amp; " Isin","ID_BB_ULTIMATE_PARENT_CO_NAME")</f>
        <v>#N/A</v>
      </c>
      <c r="AG129" s="636">
        <f t="shared" si="98"/>
        <v>0</v>
      </c>
      <c r="AH129" s="614">
        <f t="shared" si="99"/>
        <v>0</v>
      </c>
      <c r="AO129" s="831"/>
    </row>
    <row r="130" spans="1:41" hidden="1">
      <c r="A130" s="670"/>
      <c r="B130" s="664"/>
      <c r="C130" s="664"/>
      <c r="D130" s="664"/>
      <c r="E130" s="852"/>
      <c r="F130" s="664"/>
      <c r="G130" s="736"/>
      <c r="H130" s="665"/>
      <c r="I130" s="665"/>
      <c r="J130" s="666"/>
      <c r="K130" s="666"/>
      <c r="L130" s="871"/>
      <c r="M130" s="665"/>
      <c r="N130" s="664"/>
      <c r="O130" s="884"/>
      <c r="P130" s="665"/>
      <c r="Q130" s="884"/>
      <c r="R130" s="884"/>
      <c r="S130" s="664"/>
      <c r="T130" s="736"/>
      <c r="U130" s="736"/>
      <c r="V130" s="831"/>
      <c r="W130" s="903"/>
      <c r="X130" s="857"/>
      <c r="Y130" s="856"/>
      <c r="Z130" s="881"/>
      <c r="AA130" s="903"/>
      <c r="AB130" s="664"/>
      <c r="AC130" s="666"/>
      <c r="AD130" s="670"/>
      <c r="AF130" s="636" t="e">
        <f>_xll.BDP(A129 &amp; " Isin","ID_BB_ULTIMATE_PARENT_CO_NAME")</f>
        <v>#N/A</v>
      </c>
      <c r="AG130" s="636">
        <f t="shared" si="98"/>
        <v>0</v>
      </c>
      <c r="AH130" s="614">
        <f t="shared" si="99"/>
        <v>0</v>
      </c>
      <c r="AO130" s="831"/>
    </row>
    <row r="131" spans="1:41" hidden="1">
      <c r="A131" s="670"/>
      <c r="B131" s="664"/>
      <c r="C131" s="664"/>
      <c r="D131" s="664"/>
      <c r="E131" s="852"/>
      <c r="F131" s="664"/>
      <c r="G131" s="736"/>
      <c r="H131" s="665"/>
      <c r="I131" s="665"/>
      <c r="J131" s="666"/>
      <c r="K131" s="666"/>
      <c r="L131" s="871"/>
      <c r="M131" s="665"/>
      <c r="N131" s="664"/>
      <c r="O131" s="884"/>
      <c r="P131" s="665"/>
      <c r="Q131" s="884"/>
      <c r="R131" s="884"/>
      <c r="S131" s="664"/>
      <c r="T131" s="736"/>
      <c r="U131" s="736"/>
      <c r="V131" s="831"/>
      <c r="W131" s="903"/>
      <c r="X131" s="857"/>
      <c r="Y131" s="856"/>
      <c r="Z131" s="881"/>
      <c r="AA131" s="903"/>
      <c r="AB131" s="664"/>
      <c r="AC131" s="666"/>
      <c r="AD131" s="670"/>
      <c r="AF131" s="636" t="e">
        <f>_xll.BDP(A130 &amp; " Isin","ID_BB_ULTIMATE_PARENT_CO_NAME")</f>
        <v>#N/A</v>
      </c>
      <c r="AG131" s="636">
        <f t="shared" si="98"/>
        <v>0</v>
      </c>
      <c r="AH131" s="614">
        <f t="shared" si="99"/>
        <v>0</v>
      </c>
      <c r="AO131" s="831"/>
    </row>
    <row r="132" spans="1:41" hidden="1">
      <c r="A132" s="670"/>
      <c r="B132" s="664"/>
      <c r="C132" s="664"/>
      <c r="D132" s="664"/>
      <c r="E132" s="852"/>
      <c r="F132" s="664"/>
      <c r="G132" s="736"/>
      <c r="H132" s="665"/>
      <c r="I132" s="665"/>
      <c r="J132" s="666"/>
      <c r="K132" s="666"/>
      <c r="L132" s="871"/>
      <c r="M132" s="665"/>
      <c r="N132" s="664"/>
      <c r="O132" s="884"/>
      <c r="P132" s="665"/>
      <c r="Q132" s="884"/>
      <c r="R132" s="884"/>
      <c r="S132" s="664"/>
      <c r="T132" s="736"/>
      <c r="U132" s="736"/>
      <c r="V132" s="831"/>
      <c r="W132" s="903"/>
      <c r="X132" s="857"/>
      <c r="Y132" s="856"/>
      <c r="Z132" s="881"/>
      <c r="AA132" s="903"/>
      <c r="AB132" s="664"/>
      <c r="AC132" s="666"/>
      <c r="AD132" s="670"/>
      <c r="AF132" s="636" t="e">
        <f>_xll.BDP(A131 &amp; " Isin","ID_BB_ULTIMATE_PARENT_CO_NAME")</f>
        <v>#N/A</v>
      </c>
      <c r="AG132" s="636">
        <f t="shared" si="98"/>
        <v>0</v>
      </c>
      <c r="AH132" s="614">
        <f t="shared" si="99"/>
        <v>0</v>
      </c>
      <c r="AO132" s="831"/>
    </row>
    <row r="133" spans="1:41" hidden="1">
      <c r="A133" s="670"/>
      <c r="B133" s="664"/>
      <c r="C133" s="664"/>
      <c r="D133" s="664"/>
      <c r="E133" s="852"/>
      <c r="F133" s="664"/>
      <c r="G133" s="736"/>
      <c r="H133" s="665"/>
      <c r="I133" s="665"/>
      <c r="J133" s="666"/>
      <c r="K133" s="666"/>
      <c r="L133" s="871"/>
      <c r="M133" s="665"/>
      <c r="N133" s="664"/>
      <c r="O133" s="884"/>
      <c r="P133" s="665"/>
      <c r="Q133" s="884"/>
      <c r="R133" s="884"/>
      <c r="S133" s="664"/>
      <c r="T133" s="736"/>
      <c r="U133" s="736"/>
      <c r="V133" s="831"/>
      <c r="W133" s="903"/>
      <c r="X133" s="857"/>
      <c r="Y133" s="856"/>
      <c r="Z133" s="881"/>
      <c r="AA133" s="903"/>
      <c r="AB133" s="664"/>
      <c r="AC133" s="666"/>
      <c r="AD133" s="670"/>
      <c r="AF133" s="636" t="e">
        <f>_xll.BDP(A132 &amp; " Isin","ID_BB_ULTIMATE_PARENT_CO_NAME")</f>
        <v>#N/A</v>
      </c>
      <c r="AG133" s="636">
        <f t="shared" si="98"/>
        <v>0</v>
      </c>
      <c r="AH133" s="614">
        <f t="shared" si="99"/>
        <v>0</v>
      </c>
      <c r="AO133" s="831"/>
    </row>
    <row r="134" spans="1:41" hidden="1">
      <c r="A134" s="670"/>
      <c r="B134" s="664"/>
      <c r="C134" s="664"/>
      <c r="D134" s="664"/>
      <c r="E134" s="852"/>
      <c r="F134" s="664"/>
      <c r="G134" s="736"/>
      <c r="H134" s="665"/>
      <c r="I134" s="665"/>
      <c r="J134" s="666"/>
      <c r="K134" s="666"/>
      <c r="L134" s="871"/>
      <c r="M134" s="665"/>
      <c r="N134" s="664"/>
      <c r="O134" s="884"/>
      <c r="P134" s="665"/>
      <c r="Q134" s="884"/>
      <c r="R134" s="884"/>
      <c r="S134" s="664"/>
      <c r="T134" s="736"/>
      <c r="U134" s="736"/>
      <c r="V134" s="831"/>
      <c r="W134" s="903"/>
      <c r="X134" s="857"/>
      <c r="Y134" s="856"/>
      <c r="Z134" s="881"/>
      <c r="AA134" s="903"/>
      <c r="AB134" s="664"/>
      <c r="AC134" s="666"/>
      <c r="AD134" s="670"/>
      <c r="AF134" s="636" t="e">
        <f>_xll.BDP(A133 &amp; " Isin","ID_BB_ULTIMATE_PARENT_CO_NAME")</f>
        <v>#N/A</v>
      </c>
      <c r="AG134" s="636">
        <f t="shared" si="98"/>
        <v>0</v>
      </c>
      <c r="AH134" s="614">
        <f t="shared" si="99"/>
        <v>0</v>
      </c>
      <c r="AO134" s="831"/>
    </row>
    <row r="135" spans="1:41" hidden="1">
      <c r="A135" s="670"/>
      <c r="B135" s="664"/>
      <c r="C135" s="664"/>
      <c r="D135" s="664"/>
      <c r="E135" s="852"/>
      <c r="F135" s="664"/>
      <c r="G135" s="736"/>
      <c r="H135" s="665"/>
      <c r="I135" s="665"/>
      <c r="J135" s="666"/>
      <c r="K135" s="666"/>
      <c r="L135" s="871"/>
      <c r="M135" s="665"/>
      <c r="N135" s="664"/>
      <c r="O135" s="884"/>
      <c r="P135" s="665"/>
      <c r="Q135" s="884"/>
      <c r="R135" s="884"/>
      <c r="S135" s="664"/>
      <c r="T135" s="736"/>
      <c r="U135" s="736"/>
      <c r="V135" s="831"/>
      <c r="W135" s="903"/>
      <c r="X135" s="857"/>
      <c r="Y135" s="856"/>
      <c r="Z135" s="881"/>
      <c r="AA135" s="903"/>
      <c r="AB135" s="664"/>
      <c r="AC135" s="666"/>
      <c r="AD135" s="670"/>
      <c r="AF135" s="636" t="e">
        <f>_xll.BDP(A134 &amp; " Isin","ID_BB_ULTIMATE_PARENT_CO_NAME")</f>
        <v>#N/A</v>
      </c>
      <c r="AG135" s="636">
        <f t="shared" si="98"/>
        <v>0</v>
      </c>
      <c r="AH135" s="614">
        <f t="shared" si="99"/>
        <v>0</v>
      </c>
      <c r="AO135" s="831"/>
    </row>
    <row r="136" spans="1:41" ht="27" hidden="1" customHeight="1">
      <c r="A136" s="670"/>
      <c r="B136" s="664"/>
      <c r="C136" s="664"/>
      <c r="D136" s="664"/>
      <c r="E136" s="852"/>
      <c r="F136" s="664"/>
      <c r="G136" s="736"/>
      <c r="H136" s="665"/>
      <c r="I136" s="665"/>
      <c r="J136" s="666"/>
      <c r="K136" s="666"/>
      <c r="L136" s="871"/>
      <c r="M136" s="665"/>
      <c r="N136" s="664"/>
      <c r="O136" s="884"/>
      <c r="P136" s="665"/>
      <c r="Q136" s="884"/>
      <c r="R136" s="884"/>
      <c r="S136" s="664"/>
      <c r="T136" s="736"/>
      <c r="U136" s="736"/>
      <c r="V136" s="831"/>
      <c r="W136" s="903"/>
      <c r="X136" s="857"/>
      <c r="Y136" s="856"/>
      <c r="Z136" s="881"/>
      <c r="AA136" s="903"/>
      <c r="AB136" s="664"/>
      <c r="AC136" s="666"/>
      <c r="AD136" s="670"/>
      <c r="AF136" s="636" t="str">
        <f>_xll.BDP(A135 &amp; " Isin","ID_BB_ULTIMATE_PARENT_CO_NAME")</f>
        <v>#N/A Invalid Security</v>
      </c>
      <c r="AG136" s="636">
        <f t="shared" si="98"/>
        <v>0</v>
      </c>
      <c r="AH136" s="614">
        <f t="shared" si="99"/>
        <v>0</v>
      </c>
      <c r="AO136" s="831"/>
    </row>
    <row r="137" spans="1:41" ht="27" hidden="1" customHeight="1">
      <c r="A137" s="670"/>
      <c r="B137" s="664"/>
      <c r="C137" s="664"/>
      <c r="D137" s="664"/>
      <c r="E137" s="852"/>
      <c r="F137" s="664"/>
      <c r="G137" s="736"/>
      <c r="H137" s="665"/>
      <c r="I137" s="665"/>
      <c r="J137" s="666"/>
      <c r="K137" s="666"/>
      <c r="L137" s="871"/>
      <c r="M137" s="665"/>
      <c r="N137" s="664"/>
      <c r="O137" s="884"/>
      <c r="P137" s="665"/>
      <c r="Q137" s="884"/>
      <c r="R137" s="884"/>
      <c r="S137" s="664"/>
      <c r="T137" s="736"/>
      <c r="U137" s="736"/>
      <c r="V137" s="831"/>
      <c r="W137" s="903"/>
      <c r="X137" s="857"/>
      <c r="Y137" s="856"/>
      <c r="Z137" s="881"/>
      <c r="AA137" s="903"/>
      <c r="AB137" s="664"/>
      <c r="AC137" s="666"/>
      <c r="AD137" s="670"/>
      <c r="AH137" s="853"/>
      <c r="AO137" s="831"/>
    </row>
    <row r="138" spans="1:41" ht="27" hidden="1" customHeight="1">
      <c r="A138" s="670"/>
      <c r="B138" s="664"/>
      <c r="C138" s="664"/>
      <c r="D138" s="664"/>
      <c r="E138" s="852"/>
      <c r="F138" s="664"/>
      <c r="G138" s="736"/>
      <c r="H138" s="665"/>
      <c r="I138" s="665"/>
      <c r="J138" s="666"/>
      <c r="K138" s="666"/>
      <c r="L138" s="871"/>
      <c r="M138" s="665"/>
      <c r="N138" s="664"/>
      <c r="O138" s="884"/>
      <c r="P138" s="665"/>
      <c r="Q138" s="884"/>
      <c r="R138" s="884"/>
      <c r="S138" s="664"/>
      <c r="T138" s="736"/>
      <c r="U138" s="736"/>
      <c r="V138" s="831"/>
      <c r="W138" s="903"/>
      <c r="X138" s="857"/>
      <c r="Y138" s="856"/>
      <c r="Z138" s="881"/>
      <c r="AA138" s="903"/>
      <c r="AB138" s="664"/>
      <c r="AC138" s="666"/>
      <c r="AD138" s="670"/>
      <c r="AH138" s="853"/>
      <c r="AO138" s="831"/>
    </row>
    <row r="139" spans="1:41" hidden="1">
      <c r="A139" s="670"/>
      <c r="B139" s="664"/>
      <c r="C139" s="664"/>
      <c r="D139" s="664"/>
      <c r="E139" s="852"/>
      <c r="F139" s="664"/>
      <c r="G139" s="736"/>
      <c r="H139" s="665"/>
      <c r="I139" s="665"/>
      <c r="J139" s="666"/>
      <c r="K139" s="666"/>
      <c r="L139" s="871"/>
      <c r="M139" s="665"/>
      <c r="N139" s="664"/>
      <c r="O139" s="884"/>
      <c r="P139" s="665"/>
      <c r="Q139" s="884"/>
      <c r="R139" s="884"/>
      <c r="S139" s="664"/>
      <c r="T139" s="736"/>
      <c r="U139" s="736"/>
      <c r="V139" s="831"/>
      <c r="W139" s="903"/>
      <c r="X139" s="857"/>
      <c r="Y139" s="856"/>
      <c r="Z139" s="881"/>
      <c r="AA139" s="903"/>
      <c r="AB139" s="664"/>
      <c r="AC139" s="666"/>
      <c r="AD139" s="670"/>
      <c r="AF139" s="636" t="e">
        <f>_xll.BDP(A138 &amp; " Isin","ID_BB_ULTIMATE_PARENT_CO_NAME")</f>
        <v>#N/A</v>
      </c>
      <c r="AG139" s="636">
        <f t="shared" si="98"/>
        <v>0</v>
      </c>
      <c r="AH139" s="614">
        <f t="shared" si="99"/>
        <v>0</v>
      </c>
      <c r="AJ139" s="636" t="str">
        <f>+A142</f>
        <v>IE00B4613386</v>
      </c>
      <c r="AK139" s="636" t="e">
        <f ca="1">+E142</f>
        <v>#NAME?</v>
      </c>
      <c r="AL139" s="608" t="e">
        <f ca="1">_xll.TR(B142,"TR.CoRPrimaryCountry")</f>
        <v>#NAME?</v>
      </c>
      <c r="AM139" s="608" t="e">
        <f ca="1">_xll.TR(B142,"TR.HeadquartersCountry")</f>
        <v>#NAME?</v>
      </c>
      <c r="AN139" s="608" t="e">
        <f ca="1">_xll.TR(B142,"CF_CURR")</f>
        <v>#NAME?</v>
      </c>
      <c r="AO139" s="831"/>
    </row>
    <row r="140" spans="1:41" hidden="1">
      <c r="A140" s="670"/>
      <c r="B140" s="664"/>
      <c r="C140" s="664"/>
      <c r="D140" s="664"/>
      <c r="E140" s="852"/>
      <c r="F140" s="664"/>
      <c r="G140" s="736"/>
      <c r="H140" s="665"/>
      <c r="I140" s="665"/>
      <c r="J140" s="666"/>
      <c r="K140" s="666"/>
      <c r="L140" s="871"/>
      <c r="M140" s="665"/>
      <c r="N140" s="664"/>
      <c r="O140" s="884"/>
      <c r="P140" s="665"/>
      <c r="Q140" s="884"/>
      <c r="R140" s="884"/>
      <c r="S140" s="664"/>
      <c r="T140" s="736"/>
      <c r="U140" s="736"/>
      <c r="V140" s="831"/>
      <c r="W140" s="903"/>
      <c r="X140" s="857"/>
      <c r="Y140" s="856"/>
      <c r="Z140" s="881"/>
      <c r="AA140" s="903"/>
      <c r="AB140" s="664"/>
      <c r="AC140" s="666"/>
      <c r="AD140" s="670"/>
      <c r="AF140" s="636" t="e">
        <f>_xll.BDP(A139 &amp; " Isin","ID_BB_ULTIMATE_PARENT_CO_NAME")</f>
        <v>#N/A</v>
      </c>
      <c r="AG140" s="636">
        <f t="shared" si="98"/>
        <v>0</v>
      </c>
      <c r="AH140" s="614">
        <f t="shared" si="99"/>
        <v>0</v>
      </c>
      <c r="AO140" s="831"/>
    </row>
    <row r="141" spans="1:41" hidden="1">
      <c r="A141" s="670"/>
      <c r="B141" s="664"/>
      <c r="C141" s="664"/>
      <c r="D141" s="664"/>
      <c r="E141" s="852"/>
      <c r="F141" s="664"/>
      <c r="G141" s="736"/>
      <c r="H141" s="665"/>
      <c r="I141" s="665"/>
      <c r="J141" s="666"/>
      <c r="K141" s="666"/>
      <c r="L141" s="871"/>
      <c r="M141" s="665"/>
      <c r="N141" s="664"/>
      <c r="O141" s="884"/>
      <c r="P141" s="665"/>
      <c r="Q141" s="884"/>
      <c r="R141" s="884"/>
      <c r="S141" s="664"/>
      <c r="T141" s="736"/>
      <c r="U141" s="736"/>
      <c r="V141" s="831"/>
      <c r="W141" s="903"/>
      <c r="X141" s="857"/>
      <c r="Y141" s="856"/>
      <c r="Z141" s="881"/>
      <c r="AA141" s="903"/>
      <c r="AB141" s="664"/>
      <c r="AC141" s="666"/>
      <c r="AD141" s="670"/>
      <c r="AF141" s="636" t="e">
        <f>_xll.BDP(A140 &amp; " Isin","ID_BB_ULTIMATE_PARENT_CO_NAME")</f>
        <v>#N/A</v>
      </c>
      <c r="AG141" s="636">
        <f t="shared" si="98"/>
        <v>0</v>
      </c>
      <c r="AH141" s="614">
        <f t="shared" si="99"/>
        <v>0</v>
      </c>
      <c r="AO141" s="831"/>
    </row>
    <row r="142" spans="1:41" hidden="1">
      <c r="A142" s="670" t="s">
        <v>1117</v>
      </c>
      <c r="B142" s="664"/>
      <c r="C142" s="664"/>
      <c r="D142" s="736"/>
      <c r="E142" s="610" t="e">
        <f ca="1">_xll.TR(A142,"TR.InstrumentDescription")</f>
        <v>#NAME?</v>
      </c>
      <c r="F142" s="664" t="s">
        <v>2</v>
      </c>
      <c r="G142" s="611">
        <f>IF(N142="EUR",1,IFERROR(_xll.TR($A142,"TR.MidPrice(curn=#1)","Code=Multi",,$N142)/_xll.TR($A142,"TR.MidPrice(curn=#1)","Code=Multi",,$F142),"-"))</f>
        <v>1</v>
      </c>
      <c r="H142" s="612" t="e">
        <f ca="1">+M142/G142</f>
        <v>#NAME?</v>
      </c>
      <c r="I142" s="612" t="e">
        <f ca="1">+H142</f>
        <v>#NAME?</v>
      </c>
      <c r="J142" s="613" t="e">
        <f ca="1">+K142</f>
        <v>#NAME?</v>
      </c>
      <c r="K142" s="613" t="e">
        <f ca="1">+V142/$V$11</f>
        <v>#NAME?</v>
      </c>
      <c r="L142" s="627">
        <f>SUMIF(TradesFundETF!$D$11:$D$91,A142,TradesFundETF!$I$11:$I$91)</f>
        <v>0</v>
      </c>
      <c r="M142" s="612" t="e">
        <f ca="1">_xll.TR(A142,"MID_PRICE1","CODE=ISIN")</f>
        <v>#NAME?</v>
      </c>
      <c r="N142" s="701" t="s">
        <v>2</v>
      </c>
      <c r="O142" s="665"/>
      <c r="P142" s="665"/>
      <c r="Q142" s="665"/>
      <c r="R142" s="665"/>
      <c r="S142" s="608" t="e">
        <f ca="1">_xll.TR(A142,"TR.AssetCategory")</f>
        <v>#NAME?</v>
      </c>
      <c r="T142" s="736"/>
      <c r="U142" s="627" t="e">
        <f ca="1">+M142*L142</f>
        <v>#NAME?</v>
      </c>
      <c r="V142" s="904"/>
      <c r="W142" s="903"/>
      <c r="X142" s="629" t="e">
        <f ca="1">+M142/W142-1</f>
        <v>#NAME?</v>
      </c>
      <c r="Y142" s="630" t="e">
        <f ca="1">_xll.TR(A142,"TR.PriceClose","Sdate=#1 Code=Multi Null=-",,$Y$11)</f>
        <v>#NAME?</v>
      </c>
      <c r="Z142" s="649">
        <f>IF(N142="EUR",1,_xll.TR($A142,"TR.MidPrice","Sdate=#1 Code=Multi Null=-",,$Z$11))</f>
        <v>1</v>
      </c>
      <c r="AA142" s="629" t="e">
        <f ca="1">+M142/Y142-1</f>
        <v>#NAME?</v>
      </c>
      <c r="AB142" s="651" t="e">
        <f ca="1">+V142-(Y142/Z142*L142)</f>
        <v>#NAME?</v>
      </c>
      <c r="AC142" s="666"/>
      <c r="AD142" s="670"/>
      <c r="AF142" s="636" t="str">
        <f>_xll.BDP(A141 &amp; " Isin","ID_BB_ULTIMATE_PARENT_CO_NAME")</f>
        <v>#N/A Invalid Security</v>
      </c>
      <c r="AG142" s="636">
        <f t="shared" si="98"/>
        <v>0</v>
      </c>
      <c r="AH142" s="614">
        <f t="shared" si="99"/>
        <v>0</v>
      </c>
      <c r="AO142" s="625" t="e">
        <f ca="1">+Y142/Z142*L142</f>
        <v>#NAME?</v>
      </c>
    </row>
    <row r="143" spans="1:41" hidden="1">
      <c r="A143" s="670"/>
      <c r="B143" s="664"/>
      <c r="C143" s="664"/>
      <c r="D143" s="736"/>
      <c r="E143" s="852"/>
      <c r="F143" s="664"/>
      <c r="G143" s="736"/>
      <c r="H143" s="665"/>
      <c r="I143" s="665"/>
      <c r="J143" s="666"/>
      <c r="K143" s="666"/>
      <c r="L143" s="871"/>
      <c r="M143" s="665"/>
      <c r="N143" s="664"/>
      <c r="O143" s="665"/>
      <c r="P143" s="665"/>
      <c r="Q143" s="665"/>
      <c r="R143" s="665"/>
      <c r="S143" s="664"/>
      <c r="T143" s="736"/>
      <c r="U143" s="871"/>
      <c r="V143" s="886"/>
      <c r="W143" s="903"/>
      <c r="X143" s="857"/>
      <c r="Y143" s="856"/>
      <c r="Z143" s="881"/>
      <c r="AA143" s="857"/>
      <c r="AB143" s="905"/>
      <c r="AC143" s="666"/>
      <c r="AD143" s="670"/>
      <c r="AO143" s="831"/>
    </row>
    <row r="144" spans="1:41" ht="11.25" hidden="1" customHeight="1">
      <c r="A144" s="670"/>
      <c r="B144" s="664"/>
      <c r="C144" s="664"/>
      <c r="D144" s="736"/>
      <c r="E144" s="852"/>
      <c r="F144" s="664"/>
      <c r="G144" s="736"/>
      <c r="H144" s="665"/>
      <c r="I144" s="665"/>
      <c r="J144" s="666"/>
      <c r="K144" s="666"/>
      <c r="L144" s="871"/>
      <c r="M144" s="665"/>
      <c r="N144" s="664"/>
      <c r="O144" s="665"/>
      <c r="P144" s="665"/>
      <c r="Q144" s="665"/>
      <c r="R144" s="665"/>
      <c r="S144" s="664"/>
      <c r="T144" s="736"/>
      <c r="U144" s="871"/>
      <c r="V144" s="886"/>
      <c r="W144" s="903"/>
      <c r="X144" s="857"/>
      <c r="Y144" s="856"/>
      <c r="Z144" s="881"/>
      <c r="AA144" s="857"/>
      <c r="AB144" s="858"/>
      <c r="AC144" s="666"/>
      <c r="AD144" s="670"/>
      <c r="AO144" s="831"/>
    </row>
    <row r="145" spans="1:55" hidden="1">
      <c r="A145" s="670"/>
      <c r="B145" s="664"/>
      <c r="C145" s="664"/>
      <c r="D145" s="736"/>
      <c r="E145" s="852"/>
      <c r="F145" s="664"/>
      <c r="G145" s="736"/>
      <c r="H145" s="665"/>
      <c r="I145" s="665"/>
      <c r="J145" s="666"/>
      <c r="K145" s="666"/>
      <c r="L145" s="871"/>
      <c r="M145" s="665"/>
      <c r="N145" s="664"/>
      <c r="O145" s="665"/>
      <c r="P145" s="665"/>
      <c r="Q145" s="665"/>
      <c r="R145" s="665"/>
      <c r="S145" s="664"/>
      <c r="T145" s="736"/>
      <c r="U145" s="871"/>
      <c r="V145" s="886"/>
      <c r="W145" s="903"/>
      <c r="X145" s="857"/>
      <c r="Y145" s="856"/>
      <c r="Z145" s="881"/>
      <c r="AA145" s="857"/>
      <c r="AB145" s="858"/>
      <c r="AC145" s="666"/>
      <c r="AD145" s="670"/>
      <c r="AO145" s="831"/>
    </row>
    <row r="146" spans="1:55" hidden="1">
      <c r="A146" s="670"/>
      <c r="B146" s="664"/>
      <c r="C146" s="664"/>
      <c r="D146" s="736"/>
      <c r="E146" s="852"/>
      <c r="F146" s="664"/>
      <c r="G146" s="736"/>
      <c r="H146" s="665"/>
      <c r="I146" s="665"/>
      <c r="J146" s="666"/>
      <c r="K146" s="666"/>
      <c r="L146" s="871"/>
      <c r="M146" s="665"/>
      <c r="N146" s="664"/>
      <c r="O146" s="665"/>
      <c r="P146" s="665"/>
      <c r="Q146" s="665"/>
      <c r="R146" s="665"/>
      <c r="S146" s="664"/>
      <c r="T146" s="736"/>
      <c r="U146" s="871"/>
      <c r="V146" s="886"/>
      <c r="W146" s="903"/>
      <c r="X146" s="857"/>
      <c r="Y146" s="856"/>
      <c r="Z146" s="881"/>
      <c r="AA146" s="857"/>
      <c r="AB146" s="858"/>
      <c r="AC146" s="666"/>
      <c r="AD146" s="670"/>
      <c r="AO146" s="831"/>
    </row>
    <row r="147" spans="1:55" hidden="1">
      <c r="A147" s="670"/>
      <c r="B147" s="664"/>
      <c r="C147" s="664"/>
      <c r="D147" s="736"/>
      <c r="E147" s="852"/>
      <c r="F147" s="664"/>
      <c r="G147" s="736"/>
      <c r="H147" s="665"/>
      <c r="I147" s="665"/>
      <c r="J147" s="666"/>
      <c r="K147" s="666"/>
      <c r="L147" s="871"/>
      <c r="M147" s="665"/>
      <c r="N147" s="664"/>
      <c r="O147" s="665"/>
      <c r="P147" s="665"/>
      <c r="Q147" s="665"/>
      <c r="R147" s="665"/>
      <c r="S147" s="664"/>
      <c r="T147" s="736"/>
      <c r="U147" s="736"/>
      <c r="V147" s="886"/>
      <c r="W147" s="903"/>
      <c r="X147" s="857"/>
      <c r="Y147" s="856"/>
      <c r="Z147" s="881"/>
      <c r="AA147" s="857"/>
      <c r="AB147" s="858"/>
      <c r="AC147" s="664"/>
      <c r="AD147" s="670"/>
      <c r="AO147" s="831"/>
    </row>
    <row r="148" spans="1:55" hidden="1">
      <c r="A148" s="670"/>
      <c r="B148" s="664"/>
      <c r="C148" s="664"/>
      <c r="D148" s="736"/>
      <c r="E148" s="852"/>
      <c r="F148" s="664"/>
      <c r="G148" s="736"/>
      <c r="H148" s="665"/>
      <c r="I148" s="665"/>
      <c r="J148" s="666"/>
      <c r="K148" s="666"/>
      <c r="L148" s="871"/>
      <c r="M148" s="665"/>
      <c r="N148" s="664"/>
      <c r="O148" s="665"/>
      <c r="P148" s="665"/>
      <c r="Q148" s="665"/>
      <c r="R148" s="665"/>
      <c r="S148" s="664"/>
      <c r="T148" s="736"/>
      <c r="U148" s="736"/>
      <c r="V148" s="886"/>
      <c r="W148" s="903"/>
      <c r="X148" s="857"/>
      <c r="Y148" s="856"/>
      <c r="Z148" s="881"/>
      <c r="AA148" s="857"/>
      <c r="AB148" s="858"/>
      <c r="AC148" s="664"/>
      <c r="AD148" s="670"/>
      <c r="AO148" s="831"/>
    </row>
    <row r="149" spans="1:55" hidden="1">
      <c r="A149" s="670"/>
      <c r="B149" s="664"/>
      <c r="C149" s="664"/>
      <c r="D149" s="664"/>
      <c r="E149" s="852"/>
      <c r="F149" s="664"/>
      <c r="G149" s="736"/>
      <c r="H149" s="665"/>
      <c r="I149" s="665"/>
      <c r="J149" s="666"/>
      <c r="K149" s="666"/>
      <c r="L149" s="871"/>
      <c r="M149" s="665" t="s">
        <v>244</v>
      </c>
      <c r="N149" s="664"/>
      <c r="O149" s="665"/>
      <c r="P149" s="665"/>
      <c r="Q149" s="665"/>
      <c r="R149" s="665"/>
      <c r="S149" s="664"/>
      <c r="T149" s="736"/>
      <c r="U149" s="736"/>
      <c r="V149" s="886"/>
      <c r="W149" s="903"/>
      <c r="X149" s="857"/>
      <c r="Y149" s="856"/>
      <c r="Z149" s="881"/>
      <c r="AA149" s="857"/>
      <c r="AB149" s="858"/>
      <c r="AC149" s="664"/>
      <c r="AD149" s="670"/>
      <c r="AO149" s="831"/>
    </row>
    <row r="150" spans="1:55">
      <c r="A150" s="670"/>
      <c r="B150" s="664"/>
      <c r="C150" s="664"/>
      <c r="D150" s="664"/>
      <c r="E150" s="852"/>
      <c r="F150" s="664"/>
      <c r="G150" s="736"/>
      <c r="H150" s="665"/>
      <c r="I150" s="665"/>
      <c r="J150" s="666"/>
      <c r="K150" s="664"/>
      <c r="L150" s="852"/>
      <c r="M150" s="665"/>
      <c r="N150" s="664"/>
      <c r="O150" s="665"/>
      <c r="P150" s="665"/>
      <c r="Q150" s="665"/>
      <c r="R150" s="665"/>
      <c r="S150" s="664"/>
      <c r="T150" s="736"/>
      <c r="U150" s="736"/>
      <c r="V150" s="831"/>
      <c r="W150" s="664"/>
      <c r="X150" s="664"/>
      <c r="Y150" s="664"/>
      <c r="Z150" s="664"/>
      <c r="AA150" s="664"/>
      <c r="AB150" s="664"/>
      <c r="AC150" s="664"/>
      <c r="AD150" s="670"/>
      <c r="AO150" s="831"/>
    </row>
    <row r="151" spans="1:55">
      <c r="A151" s="670"/>
      <c r="B151" s="664"/>
      <c r="C151" s="664"/>
      <c r="D151" s="664"/>
      <c r="E151" s="852"/>
      <c r="F151" s="664"/>
      <c r="G151" s="736"/>
      <c r="H151" s="665"/>
      <c r="I151" s="665"/>
      <c r="J151" s="666"/>
      <c r="K151" s="664"/>
      <c r="L151" s="852"/>
      <c r="M151" s="665"/>
      <c r="N151" s="664"/>
      <c r="O151" s="665"/>
      <c r="P151" s="665"/>
      <c r="Q151" s="665"/>
      <c r="R151" s="665"/>
      <c r="S151" s="664"/>
      <c r="T151" s="736"/>
      <c r="U151" s="736"/>
      <c r="V151" s="831"/>
      <c r="W151" s="664"/>
      <c r="X151" s="664"/>
      <c r="Y151" s="664"/>
      <c r="Z151" s="664"/>
      <c r="AA151" s="664"/>
      <c r="AB151" s="664"/>
      <c r="AC151" s="664"/>
      <c r="AD151" s="670"/>
      <c r="AO151" s="831"/>
    </row>
    <row r="152" spans="1:55">
      <c r="A152" s="670"/>
      <c r="B152" s="664"/>
      <c r="C152" s="664"/>
      <c r="D152" s="664"/>
      <c r="E152" s="852"/>
      <c r="F152" s="664"/>
      <c r="G152" s="736"/>
      <c r="H152" s="665"/>
      <c r="I152" s="665"/>
      <c r="J152" s="666"/>
      <c r="K152" s="664"/>
      <c r="L152" s="852"/>
      <c r="M152" s="665"/>
      <c r="N152" s="664"/>
      <c r="O152" s="665"/>
      <c r="P152" s="665"/>
      <c r="Q152" s="665"/>
      <c r="R152" s="665"/>
      <c r="S152" s="664"/>
      <c r="T152" s="736"/>
      <c r="U152" s="736"/>
      <c r="V152" s="831"/>
      <c r="W152" s="664"/>
      <c r="X152" s="664"/>
      <c r="Y152" s="664"/>
      <c r="Z152" s="664"/>
      <c r="AA152" s="664"/>
      <c r="AB152" s="664"/>
      <c r="AC152" s="664"/>
      <c r="AD152" s="670"/>
      <c r="AO152" s="831"/>
    </row>
    <row r="153" spans="1:55">
      <c r="A153" s="670"/>
      <c r="B153" s="664"/>
      <c r="C153" s="664"/>
      <c r="D153" s="664"/>
      <c r="E153" s="852"/>
      <c r="F153" s="664"/>
      <c r="G153" s="736"/>
      <c r="H153" s="665"/>
      <c r="I153" s="665"/>
      <c r="J153" s="666"/>
      <c r="K153" s="664"/>
      <c r="L153" s="852"/>
      <c r="M153" s="665"/>
      <c r="N153" s="664"/>
      <c r="O153" s="665"/>
      <c r="P153" s="665"/>
      <c r="Q153" s="665"/>
      <c r="R153" s="665"/>
      <c r="S153" s="664"/>
      <c r="T153" s="736"/>
      <c r="U153" s="736"/>
      <c r="V153" s="831"/>
      <c r="W153" s="664"/>
      <c r="X153" s="664"/>
      <c r="Y153" s="664"/>
      <c r="Z153" s="664"/>
      <c r="AA153" s="664"/>
      <c r="AB153" s="664"/>
      <c r="AC153" s="664"/>
      <c r="AD153" s="670"/>
      <c r="AO153" s="831"/>
    </row>
    <row r="154" spans="1:55" ht="15" thickBot="1">
      <c r="A154" s="670"/>
      <c r="B154" s="664"/>
      <c r="C154" s="664"/>
      <c r="D154" s="664"/>
      <c r="E154" s="852"/>
      <c r="F154" s="664"/>
      <c r="G154" s="736"/>
      <c r="H154" s="665"/>
      <c r="I154" s="665"/>
      <c r="J154" s="665"/>
      <c r="K154" s="664"/>
      <c r="L154" s="852"/>
      <c r="M154" s="665"/>
      <c r="N154" s="664"/>
      <c r="O154" s="665"/>
      <c r="P154" s="665"/>
      <c r="Q154" s="665"/>
      <c r="R154" s="665"/>
      <c r="S154" s="664"/>
      <c r="T154" s="736"/>
      <c r="U154" s="736"/>
      <c r="V154" s="831"/>
      <c r="W154" s="664"/>
      <c r="X154" s="664"/>
      <c r="Y154" s="664"/>
      <c r="Z154" s="664"/>
      <c r="AA154" s="664"/>
      <c r="AB154" s="664"/>
      <c r="AC154" s="664"/>
      <c r="AD154" s="670"/>
      <c r="AL154" s="884"/>
      <c r="AM154" s="884"/>
      <c r="AN154" s="884"/>
      <c r="AO154" s="831"/>
    </row>
    <row r="155" spans="1:55" ht="15" thickBot="1">
      <c r="A155" s="702" t="s">
        <v>233</v>
      </c>
      <c r="B155" s="906"/>
      <c r="C155" s="907"/>
      <c r="D155" s="907"/>
      <c r="E155" s="907"/>
      <c r="F155" s="906"/>
      <c r="G155" s="908"/>
      <c r="H155" s="906"/>
      <c r="I155" s="906"/>
      <c r="J155" s="906"/>
      <c r="K155" s="652" t="e">
        <f ca="1">+V155/$V$11</f>
        <v>#NAME?</v>
      </c>
      <c r="L155" s="907"/>
      <c r="M155" s="906"/>
      <c r="N155" s="906"/>
      <c r="O155" s="906"/>
      <c r="P155" s="906"/>
      <c r="Q155" s="906"/>
      <c r="R155" s="906"/>
      <c r="S155" s="906"/>
      <c r="T155" s="908"/>
      <c r="U155" s="908"/>
      <c r="V155" s="653" t="e">
        <f ca="1">+CashFlow!B54</f>
        <v>#NAME?</v>
      </c>
      <c r="W155" s="906"/>
      <c r="X155" s="906"/>
      <c r="Y155" s="906"/>
      <c r="Z155" s="906"/>
      <c r="AA155" s="906"/>
      <c r="AB155" s="906"/>
      <c r="AC155" s="664"/>
      <c r="AD155" s="670"/>
    </row>
    <row r="156" spans="1:55">
      <c r="A156" s="852"/>
      <c r="B156" s="664"/>
      <c r="C156" s="664"/>
      <c r="D156" s="664"/>
      <c r="E156" s="852"/>
      <c r="F156" s="664"/>
      <c r="G156" s="736"/>
      <c r="H156" s="665"/>
      <c r="I156" s="665"/>
      <c r="J156" s="665"/>
      <c r="K156" s="666"/>
      <c r="L156" s="852"/>
      <c r="M156" s="845"/>
      <c r="N156" s="664"/>
      <c r="O156" s="664"/>
      <c r="P156" s="664"/>
      <c r="Q156" s="664"/>
      <c r="R156" s="664"/>
      <c r="S156" s="664"/>
      <c r="T156" s="736"/>
      <c r="U156" s="736"/>
      <c r="V156" s="831"/>
      <c r="W156" s="666"/>
      <c r="X156" s="666"/>
      <c r="Y156" s="666"/>
      <c r="Z156" s="909"/>
      <c r="AA156" s="853"/>
      <c r="AB156" s="666"/>
      <c r="AC156" s="910"/>
      <c r="AD156" s="670"/>
    </row>
    <row r="157" spans="1:55">
      <c r="A157" s="852"/>
      <c r="B157" s="664"/>
      <c r="C157" s="664"/>
      <c r="D157" s="664"/>
      <c r="E157" s="852"/>
      <c r="F157" s="664"/>
      <c r="G157" s="736"/>
      <c r="H157" s="665"/>
      <c r="I157" s="665"/>
      <c r="J157" s="665"/>
      <c r="K157" s="666"/>
      <c r="L157" s="852"/>
      <c r="M157" s="845"/>
      <c r="N157" s="664"/>
      <c r="O157" s="664"/>
      <c r="P157" s="664"/>
      <c r="Q157" s="664"/>
      <c r="R157" s="664"/>
      <c r="S157" s="664"/>
      <c r="T157" s="736"/>
      <c r="U157" s="736"/>
      <c r="V157" s="831"/>
      <c r="W157" s="666"/>
      <c r="X157" s="666"/>
      <c r="Y157" s="666"/>
      <c r="Z157" s="909"/>
      <c r="AA157" s="911"/>
      <c r="AB157" s="670"/>
      <c r="AC157" s="666"/>
      <c r="AD157" s="670"/>
      <c r="AJ157" s="912"/>
      <c r="AK157" s="912"/>
      <c r="AO157" s="884"/>
    </row>
    <row r="158" spans="1:55">
      <c r="A158" s="670"/>
      <c r="B158" s="664"/>
      <c r="C158" s="664"/>
      <c r="D158" s="664"/>
      <c r="E158" s="664"/>
      <c r="F158" s="664"/>
      <c r="G158" s="664"/>
      <c r="H158" s="664"/>
      <c r="I158" s="664"/>
      <c r="J158" s="664"/>
      <c r="K158" s="664"/>
      <c r="L158" s="664"/>
      <c r="M158" s="664"/>
      <c r="N158" s="664"/>
      <c r="O158" s="664"/>
      <c r="P158" s="664"/>
      <c r="Q158" s="664"/>
      <c r="R158" s="664"/>
      <c r="S158" s="664"/>
      <c r="T158" s="736"/>
      <c r="U158" s="736"/>
      <c r="V158" s="664"/>
      <c r="W158" s="664"/>
      <c r="X158" s="664"/>
      <c r="Y158" s="664"/>
      <c r="Z158" s="664"/>
      <c r="AA158" s="664"/>
      <c r="AB158" s="664"/>
      <c r="AC158" s="911"/>
      <c r="AD158" s="670"/>
      <c r="AL158" s="736"/>
      <c r="AM158" s="736"/>
      <c r="AN158" s="736"/>
      <c r="AP158" s="884"/>
      <c r="AQ158" s="884"/>
      <c r="AR158" s="884"/>
      <c r="AS158" s="884"/>
      <c r="AT158" s="884"/>
      <c r="AU158" s="884"/>
      <c r="AV158" s="884"/>
      <c r="AW158" s="884"/>
      <c r="AX158" s="884"/>
      <c r="AY158" s="884"/>
      <c r="BA158" s="912"/>
      <c r="BC158" s="912"/>
    </row>
    <row r="159" spans="1:55">
      <c r="A159" s="670"/>
      <c r="B159" s="664"/>
      <c r="C159" s="664"/>
      <c r="D159" s="664"/>
      <c r="E159" s="664"/>
      <c r="F159" s="664"/>
      <c r="G159" s="664"/>
      <c r="H159" s="664"/>
      <c r="I159" s="664"/>
      <c r="J159" s="664"/>
      <c r="K159" s="664"/>
      <c r="L159" s="664"/>
      <c r="M159" s="664"/>
      <c r="N159" s="664"/>
      <c r="O159" s="664"/>
      <c r="P159" s="664"/>
      <c r="Q159" s="664"/>
      <c r="R159" s="664"/>
      <c r="S159" s="664"/>
      <c r="T159" s="736"/>
      <c r="U159" s="736"/>
      <c r="V159" s="664"/>
      <c r="W159" s="664"/>
      <c r="X159" s="664"/>
      <c r="Y159" s="664"/>
      <c r="Z159" s="664"/>
      <c r="AA159" s="664"/>
      <c r="AB159" s="664"/>
      <c r="AC159" s="664"/>
      <c r="AD159" s="670"/>
      <c r="AL159" s="736"/>
      <c r="AM159" s="736"/>
      <c r="AN159" s="736"/>
    </row>
    <row r="160" spans="1:55" ht="24.5">
      <c r="A160" s="709" t="s">
        <v>129</v>
      </c>
      <c r="B160" s="913"/>
      <c r="C160" s="913"/>
      <c r="D160" s="913"/>
      <c r="E160" s="913"/>
      <c r="F160" s="913"/>
      <c r="G160" s="913"/>
      <c r="H160" s="913"/>
      <c r="I160" s="913"/>
      <c r="J160" s="913"/>
      <c r="K160" s="913"/>
      <c r="L160" s="884"/>
      <c r="M160" s="703" t="s">
        <v>141</v>
      </c>
      <c r="N160" s="704" t="s">
        <v>109</v>
      </c>
      <c r="O160" s="884"/>
      <c r="P160" s="884"/>
      <c r="Q160" s="884"/>
      <c r="R160" s="884"/>
      <c r="S160" s="884"/>
      <c r="T160" s="736"/>
      <c r="U160" s="736"/>
      <c r="V160" s="884"/>
      <c r="W160" s="884"/>
      <c r="X160" s="884"/>
      <c r="Y160" s="884"/>
      <c r="Z160" s="884"/>
      <c r="AA160" s="884"/>
      <c r="AB160" s="884"/>
      <c r="AC160" s="664"/>
      <c r="AD160" s="670"/>
      <c r="AG160" s="912"/>
      <c r="AL160" s="736"/>
      <c r="AM160" s="736"/>
      <c r="AN160" s="736"/>
    </row>
    <row r="161" spans="1:93" s="915" customFormat="1" ht="13">
      <c r="A161" s="684" t="s">
        <v>79</v>
      </c>
      <c r="B161" s="685"/>
      <c r="C161" s="685"/>
      <c r="D161" s="685"/>
      <c r="E161" s="655" t="e">
        <f ca="1">+SUM(V13:V87)</f>
        <v>#NAME?</v>
      </c>
      <c r="F161" s="685"/>
      <c r="G161" s="685"/>
      <c r="H161" s="685"/>
      <c r="I161" s="685"/>
      <c r="J161" s="685"/>
      <c r="K161" s="657" t="e">
        <f t="shared" ref="K161:K166" ca="1" si="100">+E161/$E$166</f>
        <v>#NAME?</v>
      </c>
      <c r="L161" s="664"/>
      <c r="M161" s="705" t="s">
        <v>1279</v>
      </c>
      <c r="N161" s="706">
        <v>0.9</v>
      </c>
      <c r="O161" s="664"/>
      <c r="P161" s="664"/>
      <c r="Q161" s="664"/>
      <c r="R161" s="664"/>
      <c r="S161" s="664"/>
      <c r="T161" s="736"/>
      <c r="U161" s="736"/>
      <c r="V161" s="654" t="str">
        <f ca="1">IFERROR(IF(K161&gt;55%,_xludf.Alert(),""),"")</f>
        <v/>
      </c>
      <c r="W161" s="664"/>
      <c r="X161" s="664"/>
      <c r="Y161" s="664"/>
      <c r="Z161" s="664"/>
      <c r="AA161" s="664"/>
      <c r="AB161" s="664"/>
      <c r="AC161" s="884"/>
      <c r="AD161" s="912"/>
      <c r="AE161" s="912"/>
      <c r="AF161" s="912"/>
      <c r="AG161" s="670"/>
      <c r="AH161" s="734"/>
      <c r="AI161" s="912"/>
      <c r="AJ161" s="670"/>
      <c r="AK161" s="670"/>
      <c r="AL161" s="736"/>
      <c r="AM161" s="736"/>
      <c r="AN161" s="736"/>
      <c r="AO161" s="736"/>
      <c r="AP161" s="664"/>
      <c r="AQ161" s="664"/>
      <c r="AR161" s="664"/>
      <c r="AS161" s="664"/>
      <c r="AT161" s="664"/>
      <c r="AU161" s="664"/>
      <c r="AV161" s="664"/>
      <c r="AW161" s="664"/>
      <c r="AX161" s="664"/>
      <c r="AY161" s="664"/>
      <c r="AZ161" s="806"/>
      <c r="BA161" s="670"/>
      <c r="BB161" s="912"/>
      <c r="BC161" s="670"/>
      <c r="BD161" s="912"/>
      <c r="BE161" s="912"/>
      <c r="BF161" s="912"/>
      <c r="BG161" s="912"/>
      <c r="BH161" s="912"/>
      <c r="BI161" s="912"/>
      <c r="BJ161" s="912"/>
      <c r="BK161" s="912"/>
      <c r="BL161" s="912"/>
      <c r="BM161" s="912"/>
      <c r="BN161" s="912"/>
      <c r="BO161" s="912"/>
      <c r="BP161" s="912"/>
      <c r="BQ161" s="912"/>
      <c r="BR161" s="912"/>
      <c r="BS161" s="912"/>
      <c r="BT161" s="912"/>
      <c r="BU161" s="912"/>
      <c r="BV161" s="912"/>
      <c r="BW161" s="912"/>
      <c r="BX161" s="912"/>
      <c r="BY161" s="912"/>
      <c r="BZ161" s="912"/>
      <c r="CA161" s="912"/>
      <c r="CB161" s="912"/>
      <c r="CC161" s="912"/>
      <c r="CD161" s="912"/>
      <c r="CE161" s="912"/>
      <c r="CF161" s="912"/>
      <c r="CG161" s="912"/>
      <c r="CH161" s="912"/>
      <c r="CI161" s="912"/>
      <c r="CJ161" s="912"/>
      <c r="CK161" s="912"/>
      <c r="CL161" s="912"/>
      <c r="CM161" s="912"/>
      <c r="CN161" s="912"/>
      <c r="CO161" s="912"/>
    </row>
    <row r="162" spans="1:93">
      <c r="A162" s="684" t="s">
        <v>80</v>
      </c>
      <c r="B162" s="685"/>
      <c r="C162" s="685"/>
      <c r="D162" s="685"/>
      <c r="E162" s="655" t="e">
        <f ca="1">SUM(V88:V94)</f>
        <v>#NAME?</v>
      </c>
      <c r="F162" s="685"/>
      <c r="G162" s="685"/>
      <c r="H162" s="685"/>
      <c r="I162" s="685"/>
      <c r="J162" s="685"/>
      <c r="K162" s="657" t="e">
        <f t="shared" ca="1" si="100"/>
        <v>#NAME?</v>
      </c>
      <c r="L162" s="664"/>
      <c r="M162" s="705">
        <v>0</v>
      </c>
      <c r="N162" s="706">
        <v>0</v>
      </c>
      <c r="O162" s="664"/>
      <c r="P162" s="664"/>
      <c r="Q162" s="664"/>
      <c r="R162" s="664"/>
      <c r="S162" s="664"/>
      <c r="T162" s="736"/>
      <c r="U162" s="736"/>
      <c r="V162" s="914"/>
      <c r="W162" s="664"/>
      <c r="X162" s="664"/>
      <c r="Y162" s="916"/>
      <c r="Z162" s="664"/>
      <c r="AA162" s="664"/>
      <c r="AB162" s="664"/>
      <c r="AC162" s="664"/>
      <c r="AD162" s="670"/>
      <c r="AL162" s="736"/>
      <c r="AM162" s="736"/>
      <c r="AN162" s="736"/>
      <c r="AO162" s="736"/>
      <c r="AP162" s="736"/>
      <c r="AQ162" s="736"/>
      <c r="AR162" s="736"/>
      <c r="AS162" s="736"/>
      <c r="AT162" s="736"/>
      <c r="AU162" s="736"/>
      <c r="AV162" s="736"/>
      <c r="AW162" s="736"/>
      <c r="AX162" s="736"/>
      <c r="AY162" s="736"/>
      <c r="BA162" s="734"/>
      <c r="BC162" s="734"/>
    </row>
    <row r="163" spans="1:93" ht="15" customHeight="1">
      <c r="A163" s="684" t="s">
        <v>81</v>
      </c>
      <c r="B163" s="685"/>
      <c r="C163" s="685"/>
      <c r="D163" s="685"/>
      <c r="E163" s="655">
        <f>+SUM(V142:V151)</f>
        <v>0</v>
      </c>
      <c r="F163" s="685"/>
      <c r="G163" s="685"/>
      <c r="H163" s="685"/>
      <c r="I163" s="685"/>
      <c r="J163" s="685"/>
      <c r="K163" s="658" t="e">
        <f t="shared" ca="1" si="100"/>
        <v>#NAME?</v>
      </c>
      <c r="L163" s="664"/>
      <c r="M163" s="705">
        <v>0.1</v>
      </c>
      <c r="N163" s="706">
        <v>0.08</v>
      </c>
      <c r="O163" s="664"/>
      <c r="P163" s="664"/>
      <c r="Q163" s="664"/>
      <c r="R163" s="664"/>
      <c r="S163" s="664"/>
      <c r="T163" s="736"/>
      <c r="U163" s="736"/>
      <c r="V163" s="654" t="str">
        <f ca="1">IFERROR(IF(K163&gt;10%,_xludf.Alert(),""),"")</f>
        <v/>
      </c>
      <c r="W163" s="664"/>
      <c r="X163" s="664"/>
      <c r="Y163" s="664"/>
      <c r="Z163" s="664"/>
      <c r="AA163" s="664"/>
      <c r="AB163" s="664"/>
      <c r="AC163" s="664"/>
      <c r="AD163" s="670"/>
      <c r="AL163" s="736"/>
      <c r="AM163" s="736"/>
      <c r="AN163" s="736"/>
      <c r="AO163" s="736"/>
      <c r="AP163" s="736"/>
      <c r="AQ163" s="736"/>
      <c r="AR163" s="736"/>
      <c r="AS163" s="736"/>
      <c r="AT163" s="736"/>
      <c r="AU163" s="736"/>
      <c r="AV163" s="736"/>
      <c r="AW163" s="736"/>
      <c r="AX163" s="736"/>
      <c r="AY163" s="736"/>
      <c r="BA163" s="734"/>
      <c r="BC163" s="734"/>
    </row>
    <row r="164" spans="1:93">
      <c r="A164" s="684" t="s">
        <v>1729</v>
      </c>
      <c r="B164" s="685"/>
      <c r="C164" s="685"/>
      <c r="D164" s="685"/>
      <c r="E164" s="674">
        <v>0</v>
      </c>
      <c r="F164" s="685"/>
      <c r="G164" s="685"/>
      <c r="H164" s="685"/>
      <c r="I164" s="685"/>
      <c r="J164" s="685"/>
      <c r="K164" s="657" t="e">
        <f t="shared" ca="1" si="100"/>
        <v>#NAME?</v>
      </c>
      <c r="L164" s="917"/>
      <c r="M164" s="707">
        <v>0.2</v>
      </c>
      <c r="N164" s="708">
        <v>0.18</v>
      </c>
      <c r="O164" s="664"/>
      <c r="P164" s="664"/>
      <c r="Q164" s="664"/>
      <c r="R164" s="664"/>
      <c r="S164" s="664"/>
      <c r="T164" s="736"/>
      <c r="U164" s="736"/>
      <c r="V164" s="654" t="str">
        <f ca="1">IFERROR(IF(K165&gt;15%,_xludf.Alert(),""),"")</f>
        <v/>
      </c>
      <c r="W164" s="664"/>
      <c r="X164" s="664"/>
      <c r="Y164" s="664"/>
      <c r="Z164" s="664"/>
      <c r="AA164" s="664"/>
      <c r="AB164" s="664"/>
      <c r="AC164" s="664"/>
      <c r="AD164" s="670"/>
      <c r="AL164" s="736"/>
      <c r="AM164" s="736"/>
      <c r="AN164" s="736"/>
      <c r="AO164" s="736"/>
      <c r="AP164" s="736"/>
      <c r="AQ164" s="736"/>
      <c r="AR164" s="736"/>
      <c r="AS164" s="736"/>
      <c r="AT164" s="736"/>
      <c r="AU164" s="736"/>
      <c r="AV164" s="736"/>
      <c r="AW164" s="736"/>
      <c r="AX164" s="736"/>
      <c r="AY164" s="736"/>
      <c r="BA164" s="734"/>
      <c r="BC164" s="734"/>
    </row>
    <row r="165" spans="1:93">
      <c r="A165" s="710" t="s">
        <v>26</v>
      </c>
      <c r="B165" s="918"/>
      <c r="C165" s="918"/>
      <c r="D165" s="918"/>
      <c r="E165" s="656" t="e">
        <f ca="1">+V155-E164</f>
        <v>#NAME?</v>
      </c>
      <c r="F165" s="918"/>
      <c r="G165" s="918"/>
      <c r="H165" s="918"/>
      <c r="I165" s="918"/>
      <c r="J165" s="918"/>
      <c r="K165" s="659" t="e">
        <f t="shared" ca="1" si="100"/>
        <v>#NAME?</v>
      </c>
      <c r="L165" s="664"/>
      <c r="M165" s="919"/>
      <c r="N165" s="664"/>
      <c r="O165" s="664"/>
      <c r="P165" s="664"/>
      <c r="Q165" s="664"/>
      <c r="R165" s="664"/>
      <c r="S165" s="664"/>
      <c r="T165" s="736"/>
      <c r="U165" s="736"/>
      <c r="V165" s="664"/>
      <c r="W165" s="664"/>
      <c r="X165" s="664"/>
      <c r="Y165" s="664"/>
      <c r="Z165" s="664"/>
      <c r="AA165" s="664"/>
      <c r="AB165" s="664"/>
      <c r="AC165" s="664"/>
      <c r="AD165" s="670"/>
      <c r="AL165" s="736"/>
      <c r="AM165" s="736"/>
      <c r="AN165" s="736"/>
      <c r="AO165" s="736"/>
      <c r="AP165" s="736"/>
      <c r="AQ165" s="736"/>
      <c r="AR165" s="736"/>
      <c r="AS165" s="736"/>
      <c r="AT165" s="736"/>
      <c r="AU165" s="736"/>
      <c r="AV165" s="736"/>
      <c r="AW165" s="736"/>
      <c r="AX165" s="736"/>
      <c r="AY165" s="736"/>
      <c r="BA165" s="734"/>
      <c r="BC165" s="734"/>
    </row>
    <row r="166" spans="1:93">
      <c r="A166" s="684"/>
      <c r="B166" s="685"/>
      <c r="C166" s="685"/>
      <c r="D166" s="685"/>
      <c r="E166" s="655" t="e">
        <f ca="1">SUM(E161:E165)</f>
        <v>#NAME?</v>
      </c>
      <c r="F166" s="685"/>
      <c r="G166" s="685"/>
      <c r="H166" s="685"/>
      <c r="I166" s="685"/>
      <c r="J166" s="685"/>
      <c r="K166" s="658" t="e">
        <f t="shared" ca="1" si="100"/>
        <v>#NAME?</v>
      </c>
      <c r="L166" s="664"/>
      <c r="M166" s="664"/>
      <c r="N166" s="664"/>
      <c r="O166" s="664"/>
      <c r="P166" s="664"/>
      <c r="Q166" s="664"/>
      <c r="R166" s="664"/>
      <c r="S166" s="664"/>
      <c r="T166" s="736"/>
      <c r="U166" s="736"/>
      <c r="V166" s="664"/>
      <c r="W166" s="664"/>
      <c r="X166" s="664"/>
      <c r="Y166" s="664"/>
      <c r="Z166" s="664"/>
      <c r="AA166" s="664"/>
      <c r="AB166" s="664"/>
      <c r="AC166" s="664"/>
      <c r="AD166" s="670"/>
      <c r="AL166" s="736"/>
      <c r="AM166" s="736"/>
      <c r="AN166" s="736"/>
      <c r="AO166" s="736"/>
      <c r="AP166" s="736"/>
      <c r="AQ166" s="736"/>
      <c r="AR166" s="736"/>
      <c r="AS166" s="736"/>
      <c r="AT166" s="736"/>
      <c r="AU166" s="736"/>
      <c r="AV166" s="736"/>
      <c r="AW166" s="736"/>
      <c r="AX166" s="736"/>
      <c r="AY166" s="736"/>
      <c r="BA166" s="734"/>
      <c r="BC166" s="734"/>
    </row>
    <row r="167" spans="1:93">
      <c r="A167" s="670"/>
      <c r="B167" s="664"/>
      <c r="C167" s="664"/>
      <c r="D167" s="664"/>
      <c r="E167" s="664"/>
      <c r="F167" s="664"/>
      <c r="G167" s="664"/>
      <c r="H167" s="664"/>
      <c r="I167" s="664"/>
      <c r="J167" s="664"/>
      <c r="K167" s="664"/>
      <c r="L167" s="664"/>
      <c r="M167" s="664"/>
      <c r="N167" s="664"/>
      <c r="O167" s="664"/>
      <c r="P167" s="664"/>
      <c r="Q167" s="664"/>
      <c r="R167" s="664"/>
      <c r="S167" s="664"/>
      <c r="T167" s="736"/>
      <c r="U167" s="736"/>
      <c r="V167" s="664"/>
      <c r="W167" s="664"/>
      <c r="X167" s="664"/>
      <c r="Y167" s="664"/>
      <c r="Z167" s="664"/>
      <c r="AA167" s="664"/>
      <c r="AB167" s="664"/>
      <c r="AC167" s="664"/>
      <c r="AD167" s="670"/>
      <c r="AG167" s="734"/>
      <c r="AL167" s="736"/>
      <c r="AM167" s="736"/>
      <c r="AN167" s="736"/>
      <c r="AO167" s="736"/>
      <c r="AP167" s="736"/>
      <c r="AQ167" s="736"/>
      <c r="AR167" s="736"/>
      <c r="AS167" s="736"/>
      <c r="AT167" s="736"/>
      <c r="AU167" s="736"/>
      <c r="AV167" s="736"/>
      <c r="AW167" s="736"/>
      <c r="AX167" s="736"/>
      <c r="AY167" s="736"/>
      <c r="BA167" s="734"/>
      <c r="BC167" s="734"/>
    </row>
    <row r="168" spans="1:93">
      <c r="A168" s="670"/>
      <c r="B168" s="664"/>
      <c r="C168" s="664"/>
      <c r="D168" s="664"/>
      <c r="E168" s="831"/>
      <c r="F168" s="664"/>
      <c r="G168" s="664"/>
      <c r="H168" s="664"/>
      <c r="I168" s="664"/>
      <c r="J168" s="664"/>
      <c r="K168" s="664"/>
      <c r="L168" s="664"/>
      <c r="M168" s="664"/>
      <c r="N168" s="664"/>
      <c r="O168" s="664"/>
      <c r="P168" s="664"/>
      <c r="Q168" s="664"/>
      <c r="R168" s="664"/>
      <c r="S168" s="664"/>
      <c r="T168" s="736"/>
      <c r="U168" s="736"/>
      <c r="V168" s="664"/>
      <c r="W168" s="664"/>
      <c r="X168" s="664"/>
      <c r="Y168" s="664"/>
      <c r="Z168" s="664"/>
      <c r="AA168" s="664"/>
      <c r="AB168" s="664"/>
      <c r="AC168" s="664"/>
      <c r="AD168" s="670"/>
      <c r="AG168" s="734"/>
      <c r="AL168" s="736"/>
      <c r="AM168" s="736"/>
      <c r="AN168" s="736"/>
      <c r="AO168" s="736"/>
      <c r="AP168" s="736"/>
      <c r="AQ168" s="736"/>
      <c r="AR168" s="736"/>
      <c r="AS168" s="736"/>
      <c r="AT168" s="736"/>
      <c r="AU168" s="736"/>
      <c r="AV168" s="736"/>
      <c r="AW168" s="736"/>
      <c r="AX168" s="736"/>
      <c r="AY168" s="736"/>
      <c r="BA168" s="734"/>
      <c r="BC168" s="734"/>
    </row>
    <row r="169" spans="1:93">
      <c r="A169" s="670"/>
      <c r="B169" s="664"/>
      <c r="C169" s="664"/>
      <c r="D169" s="664"/>
      <c r="E169" s="831"/>
      <c r="F169" s="664"/>
      <c r="G169" s="664"/>
      <c r="H169" s="664"/>
      <c r="I169" s="664"/>
      <c r="J169" s="664"/>
      <c r="K169" s="664"/>
      <c r="L169" s="664"/>
      <c r="M169" s="664"/>
      <c r="N169" s="664"/>
      <c r="O169" s="664"/>
      <c r="P169" s="664"/>
      <c r="Q169" s="664"/>
      <c r="R169" s="664"/>
      <c r="S169" s="664"/>
      <c r="T169" s="736"/>
      <c r="U169" s="736"/>
      <c r="V169" s="664"/>
      <c r="W169" s="664"/>
      <c r="X169" s="664"/>
      <c r="Y169" s="664"/>
      <c r="Z169" s="664"/>
      <c r="AA169" s="664"/>
      <c r="AB169" s="674"/>
      <c r="AC169" s="664"/>
      <c r="AD169" s="670"/>
      <c r="AG169" s="734"/>
      <c r="AL169" s="736"/>
      <c r="AM169" s="736"/>
      <c r="AN169" s="736"/>
      <c r="AO169" s="736"/>
      <c r="AP169" s="736"/>
      <c r="AQ169" s="736"/>
      <c r="AR169" s="736"/>
      <c r="AS169" s="736"/>
      <c r="AT169" s="736"/>
      <c r="AU169" s="736"/>
      <c r="AV169" s="736"/>
      <c r="AW169" s="736"/>
      <c r="AX169" s="736"/>
      <c r="AY169" s="736"/>
      <c r="BA169" s="734"/>
      <c r="BC169" s="734"/>
    </row>
    <row r="170" spans="1:93">
      <c r="A170" s="670"/>
      <c r="B170" s="664"/>
      <c r="C170" s="664"/>
      <c r="D170" s="664"/>
      <c r="E170" s="831"/>
      <c r="F170" s="664"/>
      <c r="G170" s="664"/>
      <c r="H170" s="664"/>
      <c r="I170" s="664"/>
      <c r="J170" s="664"/>
      <c r="K170" s="664"/>
      <c r="L170" s="664"/>
      <c r="M170" s="664"/>
      <c r="N170" s="664"/>
      <c r="O170" s="664"/>
      <c r="P170" s="664"/>
      <c r="Q170" s="664"/>
      <c r="R170" s="664"/>
      <c r="S170" s="664"/>
      <c r="T170" s="736"/>
      <c r="U170" s="736"/>
      <c r="V170" s="664"/>
      <c r="W170" s="664"/>
      <c r="X170" s="664"/>
      <c r="Y170" s="664"/>
      <c r="Z170" s="664"/>
      <c r="AA170" s="664"/>
      <c r="AB170" s="664"/>
      <c r="AC170" s="664"/>
      <c r="AD170" s="670"/>
      <c r="AG170" s="734"/>
      <c r="AL170" s="736"/>
      <c r="AM170" s="736"/>
      <c r="AN170" s="736"/>
      <c r="AO170" s="736"/>
      <c r="AP170" s="736"/>
      <c r="AQ170" s="736"/>
      <c r="AR170" s="736"/>
      <c r="AS170" s="736"/>
      <c r="AT170" s="736"/>
      <c r="AU170" s="736"/>
      <c r="AV170" s="736"/>
      <c r="AW170" s="736"/>
      <c r="AX170" s="736"/>
      <c r="AY170" s="736"/>
      <c r="BA170" s="734"/>
      <c r="BC170" s="734"/>
    </row>
    <row r="171" spans="1:93">
      <c r="A171" s="670"/>
      <c r="B171" s="664"/>
      <c r="C171" s="664"/>
      <c r="D171" s="664"/>
      <c r="E171" s="664"/>
      <c r="F171" s="664"/>
      <c r="G171" s="664"/>
      <c r="H171" s="664"/>
      <c r="I171" s="664"/>
      <c r="J171" s="664"/>
      <c r="K171" s="664"/>
      <c r="L171" s="664"/>
      <c r="M171" s="664"/>
      <c r="N171" s="664"/>
      <c r="O171" s="664"/>
      <c r="P171" s="664"/>
      <c r="Q171" s="664"/>
      <c r="R171" s="664"/>
      <c r="S171" s="664"/>
      <c r="T171" s="736"/>
      <c r="U171" s="736"/>
      <c r="V171" s="664"/>
      <c r="W171" s="664"/>
      <c r="X171" s="664"/>
      <c r="Y171" s="664"/>
      <c r="Z171" s="664"/>
      <c r="AA171" s="664"/>
      <c r="AB171" s="664"/>
      <c r="AC171" s="664"/>
      <c r="AD171" s="670"/>
      <c r="AG171" s="734"/>
      <c r="AI171" s="660">
        <f ca="1">SUMIF(Y:Y,"&gt;" &amp;5%,Y:Y)</f>
        <v>44727</v>
      </c>
      <c r="AL171" s="736"/>
      <c r="AM171" s="736"/>
      <c r="AN171" s="736"/>
      <c r="AO171" s="736"/>
      <c r="AP171" s="736"/>
      <c r="AQ171" s="736"/>
      <c r="AR171" s="736"/>
      <c r="AS171" s="736"/>
      <c r="AT171" s="736"/>
      <c r="AU171" s="736"/>
      <c r="AV171" s="736"/>
      <c r="AW171" s="736"/>
      <c r="AX171" s="736"/>
      <c r="AY171" s="736"/>
      <c r="BA171" s="734"/>
      <c r="BC171" s="734"/>
    </row>
    <row r="172" spans="1:93">
      <c r="A172" s="711" t="s">
        <v>135</v>
      </c>
      <c r="B172" s="664"/>
      <c r="C172" s="664"/>
      <c r="D172" s="664"/>
      <c r="E172" s="664"/>
      <c r="F172" s="664"/>
      <c r="G172" s="664"/>
      <c r="H172" s="664"/>
      <c r="I172" s="664"/>
      <c r="J172" s="664"/>
      <c r="K172" s="664"/>
      <c r="L172" s="664"/>
      <c r="M172" s="664"/>
      <c r="N172" s="664"/>
      <c r="O172" s="664"/>
      <c r="P172" s="664"/>
      <c r="Q172" s="664"/>
      <c r="R172" s="664"/>
      <c r="S172" s="664"/>
      <c r="T172" s="736"/>
      <c r="U172" s="736"/>
      <c r="V172" s="664"/>
      <c r="W172" s="664"/>
      <c r="X172" s="664"/>
      <c r="Y172" s="664"/>
      <c r="Z172" s="664"/>
      <c r="AA172" s="664"/>
      <c r="AB172" s="664"/>
      <c r="AC172" s="664"/>
      <c r="AD172" s="670"/>
      <c r="AG172" s="734"/>
      <c r="AL172" s="736"/>
      <c r="AM172" s="736"/>
      <c r="AN172" s="736"/>
      <c r="AO172" s="736"/>
      <c r="AP172" s="736"/>
      <c r="AQ172" s="736"/>
      <c r="AR172" s="736"/>
      <c r="AS172" s="736"/>
      <c r="AT172" s="736"/>
      <c r="AU172" s="736"/>
      <c r="AV172" s="736"/>
      <c r="AW172" s="736"/>
      <c r="AX172" s="736"/>
      <c r="AY172" s="736"/>
      <c r="BA172" s="734"/>
      <c r="BC172" s="734"/>
    </row>
    <row r="173" spans="1:93">
      <c r="A173" s="670"/>
      <c r="B173" s="664"/>
      <c r="C173" s="664"/>
      <c r="D173" s="664"/>
      <c r="E173" s="664"/>
      <c r="F173" s="664"/>
      <c r="G173" s="664"/>
      <c r="H173" s="664"/>
      <c r="I173" s="664"/>
      <c r="J173" s="664"/>
      <c r="K173" s="664"/>
      <c r="M173" s="670"/>
      <c r="N173" s="664"/>
      <c r="O173" s="664"/>
      <c r="P173" s="664"/>
      <c r="Q173" s="664"/>
      <c r="R173" s="664"/>
      <c r="S173" s="664"/>
      <c r="T173" s="736"/>
      <c r="U173" s="736"/>
      <c r="V173" s="664"/>
      <c r="W173" s="664"/>
      <c r="X173" s="664"/>
      <c r="Y173" s="664"/>
      <c r="Z173" s="664"/>
      <c r="AA173" s="664"/>
      <c r="AB173" s="664"/>
      <c r="AC173" s="664"/>
      <c r="AD173" s="670"/>
      <c r="AG173" s="734"/>
      <c r="AL173" s="736"/>
      <c r="AM173" s="736"/>
      <c r="AN173" s="736"/>
      <c r="AO173" s="736"/>
      <c r="AP173" s="736"/>
      <c r="AQ173" s="736"/>
      <c r="AR173" s="736"/>
      <c r="AS173" s="736"/>
      <c r="AT173" s="736"/>
      <c r="AU173" s="736"/>
      <c r="AV173" s="736"/>
      <c r="AW173" s="736"/>
      <c r="AX173" s="736"/>
      <c r="AY173" s="736"/>
      <c r="BA173" s="734"/>
      <c r="BC173" s="734"/>
    </row>
    <row r="174" spans="1:93">
      <c r="A174" s="716" t="s">
        <v>1498</v>
      </c>
      <c r="B174" s="673" t="s">
        <v>144</v>
      </c>
      <c r="C174" s="219"/>
      <c r="D174" s="664"/>
      <c r="E174" s="712" t="s">
        <v>134</v>
      </c>
      <c r="F174" s="664"/>
      <c r="G174" s="664"/>
      <c r="H174" s="664"/>
      <c r="I174" s="664"/>
      <c r="J174" s="664"/>
      <c r="K174" s="664"/>
      <c r="L174" s="713" t="s">
        <v>133</v>
      </c>
      <c r="M174" s="661" t="str">
        <f>IF(L175&gt;35%,_xludf.Alert(),"")</f>
        <v/>
      </c>
      <c r="N174" s="664"/>
      <c r="O174" s="664"/>
      <c r="P174" s="664"/>
      <c r="Q174" s="664"/>
      <c r="R174" s="664"/>
      <c r="S174" s="664"/>
      <c r="T174" s="736"/>
      <c r="U174" s="736"/>
      <c r="V174" s="664"/>
      <c r="W174" s="664"/>
      <c r="X174" s="664"/>
      <c r="Y174" s="664"/>
      <c r="Z174" s="664"/>
      <c r="AA174" s="664"/>
      <c r="AB174" s="664"/>
      <c r="AC174" s="664"/>
      <c r="AD174" s="670"/>
      <c r="AG174" s="734"/>
      <c r="AL174" s="736"/>
      <c r="AM174" s="736"/>
      <c r="AN174" s="736"/>
      <c r="AO174" s="736"/>
      <c r="AP174" s="736"/>
      <c r="AQ174" s="736"/>
      <c r="AR174" s="736"/>
      <c r="AS174" s="736"/>
      <c r="AT174" s="736"/>
      <c r="AU174" s="736"/>
      <c r="AV174" s="736"/>
      <c r="AW174" s="736"/>
      <c r="AX174" s="736"/>
      <c r="AY174" s="736"/>
      <c r="BA174" s="734"/>
      <c r="BC174" s="734"/>
    </row>
    <row r="175" spans="1:93">
      <c r="A175" s="717" t="s">
        <v>1121</v>
      </c>
      <c r="B175" s="714">
        <v>4.8054288966665151E-2</v>
      </c>
      <c r="C175" s="219"/>
      <c r="D175" s="664"/>
      <c r="E175" s="661" t="str">
        <f>IF(B175&gt;7%,"Alert()","")</f>
        <v/>
      </c>
      <c r="F175" s="664"/>
      <c r="G175" s="664"/>
      <c r="H175" s="664"/>
      <c r="I175" s="664"/>
      <c r="J175" s="664"/>
      <c r="K175" s="664"/>
      <c r="L175" s="660">
        <f>SUMIF(B:B,"&gt;" &amp;5%,B:B)</f>
        <v>0.21721792715461735</v>
      </c>
      <c r="M175" s="664"/>
      <c r="N175" s="664"/>
      <c r="O175" s="664"/>
      <c r="P175" s="664"/>
      <c r="Q175" s="664"/>
      <c r="R175" s="664"/>
      <c r="S175" s="664"/>
      <c r="T175" s="736"/>
      <c r="U175" s="736"/>
      <c r="V175" s="664"/>
      <c r="W175" s="664"/>
      <c r="X175" s="664"/>
      <c r="Y175" s="664"/>
      <c r="Z175" s="664"/>
      <c r="AA175" s="664"/>
      <c r="AB175" s="664"/>
      <c r="AC175" s="664"/>
      <c r="AD175" s="670"/>
      <c r="AG175" s="734"/>
      <c r="AL175" s="736"/>
      <c r="AM175" s="736"/>
      <c r="AN175" s="736"/>
      <c r="AO175" s="736"/>
      <c r="AP175" s="736"/>
      <c r="AQ175" s="736"/>
      <c r="AR175" s="736"/>
      <c r="AS175" s="736"/>
      <c r="AT175" s="736"/>
      <c r="AU175" s="736"/>
      <c r="AV175" s="736"/>
      <c r="AW175" s="736"/>
      <c r="AX175" s="736"/>
      <c r="AY175" s="736"/>
      <c r="BA175" s="734"/>
      <c r="BC175" s="734"/>
    </row>
    <row r="176" spans="1:93">
      <c r="A176" s="717" t="s">
        <v>1122</v>
      </c>
      <c r="B176" s="714">
        <v>7.9470850780639563E-2</v>
      </c>
      <c r="C176" s="219"/>
      <c r="D176" s="664"/>
      <c r="E176" s="661" t="str">
        <f>IF(B176&gt;7%,"Alert()","")</f>
        <v>Alert()</v>
      </c>
      <c r="F176" s="664"/>
      <c r="G176" s="664"/>
      <c r="H176" s="664"/>
      <c r="I176" s="664"/>
      <c r="J176" s="664"/>
      <c r="K176" s="664"/>
      <c r="L176" s="664"/>
      <c r="M176" s="664"/>
      <c r="N176" s="664"/>
      <c r="O176" s="664"/>
      <c r="P176" s="664"/>
      <c r="Q176" s="664"/>
      <c r="R176" s="664"/>
      <c r="S176" s="664"/>
      <c r="T176" s="736"/>
      <c r="U176" s="736"/>
      <c r="V176" s="664"/>
      <c r="W176" s="664"/>
      <c r="X176" s="664"/>
      <c r="Y176" s="664"/>
      <c r="Z176" s="664"/>
      <c r="AA176" s="664"/>
      <c r="AB176" s="664"/>
      <c r="AC176" s="664"/>
      <c r="AD176" s="670"/>
      <c r="AG176" s="734"/>
      <c r="AL176" s="736"/>
      <c r="AM176" s="736"/>
      <c r="AN176" s="736"/>
      <c r="AO176" s="736"/>
      <c r="AP176" s="736"/>
      <c r="AQ176" s="736"/>
      <c r="AR176" s="736"/>
      <c r="AS176" s="736"/>
      <c r="AT176" s="736"/>
      <c r="AU176" s="736"/>
      <c r="AV176" s="736"/>
      <c r="AW176" s="736"/>
      <c r="AX176" s="736"/>
      <c r="AY176" s="736"/>
      <c r="BA176" s="734"/>
      <c r="BC176" s="734"/>
    </row>
    <row r="177" spans="1:55">
      <c r="A177" s="718" t="s">
        <v>132</v>
      </c>
      <c r="B177" s="715">
        <v>2.6294506533699313E-2</v>
      </c>
      <c r="C177" s="219"/>
      <c r="D177" s="664"/>
      <c r="E177" s="661" t="str">
        <f t="shared" ref="E177:E240" si="101">IF(B177&gt;7%,"Alert()","")</f>
        <v/>
      </c>
      <c r="F177" s="664"/>
      <c r="G177" s="664"/>
      <c r="H177" s="664"/>
      <c r="I177" s="664"/>
      <c r="J177" s="664"/>
      <c r="K177" s="664"/>
      <c r="L177" s="664"/>
      <c r="M177" s="664"/>
      <c r="N177" s="664"/>
      <c r="O177" s="664"/>
      <c r="P177" s="664"/>
      <c r="Q177" s="664"/>
      <c r="R177" s="664"/>
      <c r="S177" s="664"/>
      <c r="T177" s="736"/>
      <c r="U177" s="736"/>
      <c r="V177" s="664"/>
      <c r="W177" s="664"/>
      <c r="X177" s="664"/>
      <c r="Y177" s="664"/>
      <c r="Z177" s="664"/>
      <c r="AA177" s="664"/>
      <c r="AB177" s="664"/>
      <c r="AC177" s="664"/>
      <c r="AD177" s="670"/>
      <c r="AG177" s="734"/>
      <c r="AL177" s="736"/>
      <c r="AM177" s="736"/>
      <c r="AN177" s="736"/>
      <c r="AO177" s="736"/>
      <c r="AP177" s="736"/>
      <c r="AQ177" s="736"/>
      <c r="AR177" s="736"/>
      <c r="AS177" s="736"/>
      <c r="AT177" s="736"/>
      <c r="AU177" s="736"/>
      <c r="AV177" s="736"/>
      <c r="AW177" s="736"/>
      <c r="AX177" s="736"/>
      <c r="AY177" s="736"/>
      <c r="BA177" s="734"/>
      <c r="BC177" s="734"/>
    </row>
    <row r="178" spans="1:55">
      <c r="A178" s="718" t="s">
        <v>1123</v>
      </c>
      <c r="B178" s="715">
        <v>7.744369305336854E-3</v>
      </c>
      <c r="C178" s="219"/>
      <c r="D178" s="664"/>
      <c r="E178" s="661" t="str">
        <f t="shared" si="101"/>
        <v/>
      </c>
      <c r="F178" s="664"/>
      <c r="G178" s="664"/>
      <c r="H178" s="664"/>
      <c r="I178" s="664"/>
      <c r="J178" s="664"/>
      <c r="K178" s="664"/>
      <c r="L178" s="664"/>
      <c r="M178" s="664"/>
      <c r="N178" s="664"/>
      <c r="O178" s="664"/>
      <c r="P178" s="664"/>
      <c r="Q178" s="664"/>
      <c r="R178" s="664"/>
      <c r="S178" s="664"/>
      <c r="T178" s="736"/>
      <c r="U178" s="736"/>
      <c r="V178" s="664"/>
      <c r="W178" s="664"/>
      <c r="X178" s="664"/>
      <c r="Y178" s="664"/>
      <c r="Z178" s="664"/>
      <c r="AA178" s="664"/>
      <c r="AB178" s="664"/>
      <c r="AC178" s="664"/>
      <c r="AD178" s="670"/>
      <c r="AG178" s="734"/>
      <c r="AL178" s="736"/>
      <c r="AM178" s="736"/>
      <c r="AN178" s="736"/>
      <c r="AO178" s="736"/>
      <c r="AP178" s="736"/>
      <c r="AQ178" s="736"/>
      <c r="AR178" s="736"/>
      <c r="AS178" s="736"/>
      <c r="AT178" s="736"/>
      <c r="AU178" s="736"/>
      <c r="AV178" s="736"/>
      <c r="AW178" s="736"/>
      <c r="AX178" s="736"/>
      <c r="AY178" s="736"/>
      <c r="BA178" s="734"/>
      <c r="BC178" s="734"/>
    </row>
    <row r="179" spans="1:55">
      <c r="A179" s="719">
        <v>0</v>
      </c>
      <c r="B179" s="715">
        <v>0</v>
      </c>
      <c r="C179" s="219"/>
      <c r="D179" s="664"/>
      <c r="E179" s="661" t="str">
        <f t="shared" si="101"/>
        <v/>
      </c>
      <c r="F179" s="664"/>
      <c r="G179" s="664"/>
      <c r="H179" s="664"/>
      <c r="I179" s="664"/>
      <c r="J179" s="664"/>
      <c r="K179" s="664"/>
      <c r="L179" s="664"/>
      <c r="M179" s="664"/>
      <c r="N179" s="664"/>
      <c r="O179" s="664"/>
      <c r="P179" s="664"/>
      <c r="Q179" s="664"/>
      <c r="R179" s="664"/>
      <c r="S179" s="664"/>
      <c r="T179" s="736"/>
      <c r="U179" s="736"/>
      <c r="V179" s="664"/>
      <c r="W179" s="664"/>
      <c r="X179" s="664"/>
      <c r="Y179" s="664"/>
      <c r="Z179" s="664"/>
      <c r="AA179" s="664"/>
      <c r="AB179" s="664"/>
      <c r="AC179" s="664"/>
      <c r="AD179" s="670"/>
      <c r="AG179" s="734"/>
      <c r="AL179" s="736"/>
      <c r="AM179" s="736"/>
      <c r="AN179" s="736"/>
      <c r="AO179" s="736"/>
      <c r="AP179" s="736"/>
      <c r="AQ179" s="736"/>
      <c r="AR179" s="736"/>
      <c r="AS179" s="736"/>
      <c r="AT179" s="736"/>
      <c r="AU179" s="736"/>
      <c r="AV179" s="736"/>
      <c r="AW179" s="736"/>
      <c r="AX179" s="736"/>
      <c r="AY179" s="736"/>
      <c r="BA179" s="734"/>
      <c r="BC179" s="734"/>
    </row>
    <row r="180" spans="1:55">
      <c r="A180" s="718" t="s">
        <v>12854</v>
      </c>
      <c r="B180" s="715"/>
      <c r="C180" s="219"/>
      <c r="D180" s="664"/>
      <c r="E180" s="661" t="str">
        <f t="shared" si="101"/>
        <v/>
      </c>
      <c r="F180" s="664"/>
      <c r="G180" s="664"/>
      <c r="H180" s="664"/>
      <c r="I180" s="664"/>
      <c r="J180" s="664"/>
      <c r="K180" s="664"/>
      <c r="L180" s="664"/>
      <c r="M180" s="664"/>
      <c r="N180" s="664"/>
      <c r="O180" s="664"/>
      <c r="P180" s="664"/>
      <c r="Q180" s="664"/>
      <c r="R180" s="664"/>
      <c r="S180" s="664"/>
      <c r="T180" s="736"/>
      <c r="U180" s="736"/>
      <c r="V180" s="664"/>
      <c r="W180" s="664"/>
      <c r="X180" s="664"/>
      <c r="Y180" s="664"/>
      <c r="Z180" s="664"/>
      <c r="AA180" s="664"/>
      <c r="AB180" s="664"/>
      <c r="AC180" s="664"/>
      <c r="AD180" s="670"/>
      <c r="AG180" s="734"/>
      <c r="AL180" s="736"/>
      <c r="AM180" s="736"/>
      <c r="AN180" s="736"/>
      <c r="AO180" s="736"/>
      <c r="AP180" s="736"/>
      <c r="AQ180" s="736"/>
      <c r="AR180" s="736"/>
      <c r="AS180" s="736"/>
      <c r="AT180" s="736"/>
      <c r="AU180" s="736"/>
      <c r="AV180" s="736"/>
      <c r="AW180" s="736"/>
      <c r="AX180" s="736"/>
      <c r="AY180" s="736"/>
      <c r="BA180" s="734"/>
      <c r="BC180" s="734"/>
    </row>
    <row r="181" spans="1:55">
      <c r="A181" s="718" t="s">
        <v>1095</v>
      </c>
      <c r="B181" s="715">
        <v>1.4055020371163277E-2</v>
      </c>
      <c r="C181" s="219"/>
      <c r="D181" s="664"/>
      <c r="E181" s="661" t="str">
        <f t="shared" si="101"/>
        <v/>
      </c>
      <c r="F181" s="664"/>
      <c r="G181" s="664"/>
      <c r="H181" s="664"/>
      <c r="I181" s="664"/>
      <c r="J181" s="664"/>
      <c r="K181" s="664"/>
      <c r="L181" s="664"/>
      <c r="M181" s="664"/>
      <c r="N181" s="664"/>
      <c r="O181" s="664"/>
      <c r="P181" s="664"/>
      <c r="Q181" s="664"/>
      <c r="R181" s="664"/>
      <c r="S181" s="664"/>
      <c r="T181" s="736"/>
      <c r="U181" s="736"/>
      <c r="V181" s="664"/>
      <c r="W181" s="664"/>
      <c r="X181" s="664"/>
      <c r="Y181" s="664"/>
      <c r="Z181" s="664"/>
      <c r="AA181" s="664"/>
      <c r="AB181" s="664"/>
      <c r="AC181" s="664"/>
      <c r="AD181" s="670"/>
      <c r="AG181" s="734"/>
      <c r="AL181" s="736"/>
      <c r="AM181" s="736"/>
      <c r="AN181" s="736"/>
      <c r="AO181" s="736"/>
      <c r="AP181" s="736"/>
      <c r="AQ181" s="736"/>
      <c r="AR181" s="736"/>
      <c r="AS181" s="736"/>
      <c r="AT181" s="736"/>
      <c r="AU181" s="736"/>
      <c r="AV181" s="736"/>
      <c r="AW181" s="736"/>
      <c r="AX181" s="736"/>
      <c r="AY181" s="736"/>
      <c r="BA181" s="734"/>
      <c r="BC181" s="734"/>
    </row>
    <row r="182" spans="1:55">
      <c r="A182" s="718" t="s">
        <v>1099</v>
      </c>
      <c r="B182" s="715">
        <v>2.4499442650094426E-2</v>
      </c>
      <c r="C182" s="219"/>
      <c r="D182" s="664"/>
      <c r="E182" s="661" t="str">
        <f t="shared" si="101"/>
        <v/>
      </c>
      <c r="F182" s="664"/>
      <c r="G182" s="664"/>
      <c r="H182" s="664"/>
      <c r="I182" s="664"/>
      <c r="J182" s="664"/>
      <c r="K182" s="664"/>
      <c r="L182" s="664"/>
      <c r="M182" s="664"/>
      <c r="N182" s="664"/>
      <c r="O182" s="664"/>
      <c r="P182" s="664"/>
      <c r="Q182" s="664"/>
      <c r="R182" s="664"/>
      <c r="S182" s="664"/>
      <c r="T182" s="736"/>
      <c r="U182" s="736"/>
      <c r="V182" s="664"/>
      <c r="W182" s="664"/>
      <c r="X182" s="664"/>
      <c r="Y182" s="664"/>
      <c r="Z182" s="664"/>
      <c r="AA182" s="664"/>
      <c r="AB182" s="664"/>
      <c r="AC182" s="664"/>
      <c r="AD182" s="670"/>
      <c r="AG182" s="734"/>
      <c r="AL182" s="736"/>
      <c r="AM182" s="736"/>
      <c r="AN182" s="736"/>
      <c r="AO182" s="736"/>
      <c r="AP182" s="736"/>
      <c r="AQ182" s="736"/>
      <c r="AR182" s="736"/>
      <c r="AS182" s="736"/>
      <c r="AT182" s="736"/>
      <c r="AU182" s="736"/>
      <c r="AV182" s="736"/>
      <c r="AW182" s="736"/>
      <c r="AX182" s="736"/>
      <c r="AY182" s="736"/>
      <c r="BA182" s="734"/>
      <c r="BC182" s="734"/>
    </row>
    <row r="183" spans="1:55">
      <c r="A183" s="718" t="s">
        <v>1124</v>
      </c>
      <c r="B183" s="715">
        <v>5.7718617945441524E-3</v>
      </c>
      <c r="C183" s="219"/>
      <c r="D183" s="664"/>
      <c r="E183" s="661" t="str">
        <f t="shared" si="101"/>
        <v/>
      </c>
      <c r="F183" s="664"/>
      <c r="G183" s="664"/>
      <c r="H183" s="664"/>
      <c r="I183" s="664"/>
      <c r="J183" s="664"/>
      <c r="K183" s="664"/>
      <c r="L183" s="664"/>
      <c r="M183" s="664"/>
      <c r="N183" s="664"/>
      <c r="O183" s="664"/>
      <c r="P183" s="664"/>
      <c r="Q183" s="664"/>
      <c r="R183" s="664"/>
      <c r="S183" s="664"/>
      <c r="T183" s="736"/>
      <c r="U183" s="736"/>
      <c r="V183" s="664"/>
      <c r="W183" s="664"/>
      <c r="X183" s="664"/>
      <c r="Y183" s="664"/>
      <c r="Z183" s="664"/>
      <c r="AA183" s="664"/>
      <c r="AB183" s="664"/>
      <c r="AC183" s="664"/>
      <c r="AD183" s="670"/>
      <c r="AG183" s="734"/>
      <c r="AL183" s="736"/>
      <c r="AM183" s="736"/>
      <c r="AN183" s="736"/>
      <c r="AO183" s="736"/>
      <c r="AP183" s="736"/>
      <c r="AQ183" s="736"/>
      <c r="AR183" s="736"/>
      <c r="AS183" s="736"/>
      <c r="AT183" s="736"/>
      <c r="AU183" s="736"/>
      <c r="AV183" s="736"/>
      <c r="AW183" s="736"/>
      <c r="AX183" s="736"/>
      <c r="AY183" s="736"/>
      <c r="BA183" s="734"/>
      <c r="BC183" s="734"/>
    </row>
    <row r="184" spans="1:55">
      <c r="A184" s="718" t="s">
        <v>1126</v>
      </c>
      <c r="B184" s="715">
        <v>6.8403791793785571E-2</v>
      </c>
      <c r="C184" s="219"/>
      <c r="D184" s="664"/>
      <c r="E184" s="661" t="s">
        <v>13092</v>
      </c>
      <c r="F184" s="664"/>
      <c r="G184" s="664"/>
      <c r="H184" s="664"/>
      <c r="I184" s="664"/>
      <c r="J184" s="664"/>
      <c r="K184" s="664"/>
      <c r="L184" s="664"/>
      <c r="M184" s="664"/>
      <c r="N184" s="664"/>
      <c r="O184" s="664"/>
      <c r="P184" s="664"/>
      <c r="Q184" s="664"/>
      <c r="R184" s="664"/>
      <c r="S184" s="664"/>
      <c r="T184" s="736"/>
      <c r="U184" s="736"/>
      <c r="V184" s="664"/>
      <c r="W184" s="664"/>
      <c r="X184" s="664"/>
      <c r="Y184" s="664"/>
      <c r="Z184" s="664"/>
      <c r="AA184" s="664"/>
      <c r="AB184" s="664"/>
      <c r="AC184" s="664"/>
      <c r="AD184" s="670"/>
      <c r="AG184" s="734"/>
      <c r="AL184" s="736"/>
      <c r="AM184" s="736"/>
      <c r="AN184" s="736"/>
      <c r="AO184" s="736"/>
      <c r="AP184" s="736"/>
      <c r="AQ184" s="736"/>
      <c r="AR184" s="736"/>
      <c r="AS184" s="736"/>
      <c r="AT184" s="736"/>
      <c r="AU184" s="736"/>
      <c r="AV184" s="736"/>
      <c r="AW184" s="736"/>
      <c r="AX184" s="736"/>
      <c r="AY184" s="736"/>
      <c r="BA184" s="734"/>
      <c r="BC184" s="734"/>
    </row>
    <row r="185" spans="1:55">
      <c r="A185" s="718" t="s">
        <v>1128</v>
      </c>
      <c r="B185" s="715">
        <v>5.5930260910933951E-3</v>
      </c>
      <c r="C185" s="219"/>
      <c r="D185" s="664"/>
      <c r="E185" s="661" t="str">
        <f t="shared" si="101"/>
        <v/>
      </c>
      <c r="F185" s="664"/>
      <c r="G185" s="664"/>
      <c r="H185" s="664"/>
      <c r="I185" s="664"/>
      <c r="J185" s="664"/>
      <c r="K185" s="664"/>
      <c r="L185" s="664"/>
      <c r="M185" s="664"/>
      <c r="N185" s="664"/>
      <c r="O185" s="664"/>
      <c r="P185" s="664"/>
      <c r="Q185" s="664"/>
      <c r="R185" s="664"/>
      <c r="S185" s="664"/>
      <c r="T185" s="736"/>
      <c r="U185" s="736"/>
      <c r="V185" s="664"/>
      <c r="W185" s="664"/>
      <c r="X185" s="664"/>
      <c r="Y185" s="664"/>
      <c r="Z185" s="664"/>
      <c r="AA185" s="664"/>
      <c r="AB185" s="664"/>
      <c r="AC185" s="664"/>
      <c r="AD185" s="670"/>
      <c r="AG185" s="734"/>
      <c r="AL185" s="736"/>
      <c r="AM185" s="736"/>
      <c r="AN185" s="736"/>
      <c r="AO185" s="736"/>
      <c r="AP185" s="736"/>
      <c r="AQ185" s="736"/>
      <c r="AR185" s="736"/>
      <c r="AS185" s="736"/>
      <c r="AT185" s="736"/>
      <c r="AU185" s="736"/>
      <c r="AV185" s="736"/>
      <c r="AW185" s="736"/>
      <c r="AX185" s="736"/>
      <c r="AY185" s="736"/>
      <c r="BA185" s="734"/>
      <c r="BC185" s="734"/>
    </row>
    <row r="186" spans="1:55">
      <c r="A186" s="718" t="s">
        <v>12791</v>
      </c>
      <c r="B186" s="715">
        <v>4.792889653944663E-3</v>
      </c>
      <c r="C186" s="219"/>
      <c r="D186" s="664"/>
      <c r="E186" s="661" t="str">
        <f t="shared" si="101"/>
        <v/>
      </c>
      <c r="F186" s="664"/>
      <c r="G186" s="664"/>
      <c r="H186" s="664"/>
      <c r="I186" s="664"/>
      <c r="J186" s="664"/>
      <c r="K186" s="664"/>
      <c r="L186" s="664"/>
      <c r="M186" s="664"/>
      <c r="N186" s="664"/>
      <c r="O186" s="664"/>
      <c r="P186" s="664"/>
      <c r="Q186" s="664"/>
      <c r="R186" s="664"/>
      <c r="S186" s="664"/>
      <c r="T186" s="736"/>
      <c r="U186" s="736"/>
      <c r="V186" s="664"/>
      <c r="W186" s="664"/>
      <c r="X186" s="664"/>
      <c r="Y186" s="664"/>
      <c r="Z186" s="664"/>
      <c r="AA186" s="664"/>
      <c r="AB186" s="664"/>
      <c r="AC186" s="664"/>
      <c r="AD186" s="670"/>
      <c r="AG186" s="734"/>
      <c r="AL186" s="736"/>
      <c r="AM186" s="736"/>
      <c r="AN186" s="736"/>
      <c r="AO186" s="736"/>
      <c r="AP186" s="736"/>
      <c r="AQ186" s="736"/>
      <c r="AR186" s="736"/>
      <c r="AS186" s="736"/>
      <c r="AT186" s="736"/>
      <c r="AU186" s="736"/>
      <c r="AV186" s="736"/>
      <c r="AW186" s="736"/>
      <c r="AX186" s="736"/>
      <c r="AY186" s="736"/>
      <c r="BA186" s="734"/>
      <c r="BC186" s="734"/>
    </row>
    <row r="187" spans="1:55">
      <c r="A187" s="717" t="s">
        <v>1129</v>
      </c>
      <c r="B187" s="714">
        <v>1.8566985624200741E-2</v>
      </c>
      <c r="C187" s="219"/>
      <c r="D187" s="664"/>
      <c r="E187" s="661" t="str">
        <f t="shared" si="101"/>
        <v/>
      </c>
      <c r="F187" s="664"/>
      <c r="G187" s="664"/>
      <c r="H187" s="664"/>
      <c r="I187" s="664"/>
      <c r="J187" s="664"/>
      <c r="K187" s="664"/>
      <c r="L187" s="664"/>
      <c r="M187" s="664"/>
      <c r="N187" s="664"/>
      <c r="O187" s="664"/>
      <c r="P187" s="664"/>
      <c r="Q187" s="664"/>
      <c r="R187" s="664"/>
      <c r="S187" s="664"/>
      <c r="T187" s="736"/>
      <c r="U187" s="736"/>
      <c r="V187" s="664"/>
      <c r="W187" s="664"/>
      <c r="X187" s="664"/>
      <c r="Y187" s="664"/>
      <c r="Z187" s="664"/>
      <c r="AA187" s="664"/>
      <c r="AB187" s="664"/>
      <c r="AC187" s="664"/>
      <c r="AD187" s="670"/>
      <c r="AG187" s="734"/>
      <c r="AL187" s="736"/>
      <c r="AM187" s="736"/>
      <c r="AN187" s="736"/>
      <c r="AO187" s="736"/>
      <c r="AP187" s="736"/>
      <c r="AQ187" s="736"/>
      <c r="AR187" s="736"/>
      <c r="AS187" s="736"/>
      <c r="AT187" s="736"/>
      <c r="AU187" s="736"/>
      <c r="AV187" s="736"/>
      <c r="AW187" s="736"/>
      <c r="AX187" s="736"/>
      <c r="AY187" s="736"/>
      <c r="BA187" s="734"/>
      <c r="BC187" s="734"/>
    </row>
    <row r="188" spans="1:55">
      <c r="A188" s="718" t="s">
        <v>1131</v>
      </c>
      <c r="B188" s="715">
        <v>6.9343284580192247E-2</v>
      </c>
      <c r="C188" s="219"/>
      <c r="D188" s="664"/>
      <c r="E188" s="661" t="s">
        <v>13092</v>
      </c>
      <c r="F188" s="664"/>
      <c r="G188" s="664"/>
      <c r="H188" s="664"/>
      <c r="I188" s="664"/>
      <c r="J188" s="664"/>
      <c r="K188" s="664"/>
      <c r="L188" s="664"/>
      <c r="M188" s="664"/>
      <c r="N188" s="664"/>
      <c r="O188" s="664"/>
      <c r="P188" s="664"/>
      <c r="Q188" s="664"/>
      <c r="R188" s="664"/>
      <c r="S188" s="664"/>
      <c r="T188" s="736"/>
      <c r="U188" s="736"/>
      <c r="V188" s="664"/>
      <c r="W188" s="664"/>
      <c r="X188" s="664"/>
      <c r="Y188" s="664"/>
      <c r="Z188" s="664"/>
      <c r="AA188" s="664"/>
      <c r="AB188" s="664"/>
      <c r="AC188" s="664"/>
      <c r="AD188" s="670"/>
      <c r="AG188" s="734"/>
      <c r="AL188" s="736"/>
      <c r="AM188" s="736"/>
      <c r="AN188" s="736"/>
      <c r="AO188" s="736"/>
      <c r="AP188" s="736"/>
      <c r="AQ188" s="736"/>
      <c r="AR188" s="736"/>
      <c r="AS188" s="736"/>
      <c r="AT188" s="736"/>
      <c r="AU188" s="736"/>
      <c r="AV188" s="736"/>
      <c r="AW188" s="736"/>
      <c r="AX188" s="736"/>
      <c r="AY188" s="736"/>
      <c r="BA188" s="734"/>
      <c r="BC188" s="734"/>
    </row>
    <row r="189" spans="1:55">
      <c r="A189" s="718" t="s">
        <v>1132</v>
      </c>
      <c r="B189" s="715">
        <v>4.238177870884912E-2</v>
      </c>
      <c r="C189" s="219"/>
      <c r="D189" s="664"/>
      <c r="E189" s="661" t="str">
        <f t="shared" si="101"/>
        <v/>
      </c>
      <c r="F189" s="664"/>
      <c r="G189" s="664"/>
      <c r="H189" s="664"/>
      <c r="I189" s="664"/>
      <c r="J189" s="664"/>
      <c r="K189" s="664"/>
      <c r="L189" s="664"/>
      <c r="M189" s="664"/>
      <c r="N189" s="664"/>
      <c r="O189" s="664"/>
      <c r="P189" s="664"/>
      <c r="Q189" s="664"/>
      <c r="R189" s="664"/>
      <c r="S189" s="664"/>
      <c r="T189" s="736"/>
      <c r="U189" s="736"/>
      <c r="V189" s="664"/>
      <c r="W189" s="664"/>
      <c r="X189" s="664"/>
      <c r="Y189" s="664"/>
      <c r="Z189" s="664"/>
      <c r="AA189" s="664"/>
      <c r="AB189" s="664"/>
      <c r="AC189" s="664"/>
      <c r="AD189" s="670"/>
      <c r="AG189" s="734"/>
      <c r="AL189" s="736"/>
      <c r="AM189" s="736"/>
      <c r="AN189" s="736"/>
      <c r="AO189" s="736"/>
      <c r="AP189" s="736"/>
      <c r="AQ189" s="736"/>
      <c r="AR189" s="736"/>
      <c r="AS189" s="736"/>
      <c r="AT189" s="736"/>
      <c r="AU189" s="736"/>
      <c r="AV189" s="736"/>
      <c r="AW189" s="736"/>
      <c r="AX189" s="736"/>
      <c r="AY189" s="736"/>
      <c r="BA189" s="734"/>
      <c r="BC189" s="734"/>
    </row>
    <row r="190" spans="1:55">
      <c r="A190" s="718" t="s">
        <v>1133</v>
      </c>
      <c r="B190" s="715">
        <v>4.0602687086093103E-2</v>
      </c>
      <c r="C190" s="219"/>
      <c r="D190" s="664"/>
      <c r="E190" s="661" t="str">
        <f t="shared" si="101"/>
        <v/>
      </c>
      <c r="F190" s="664"/>
      <c r="G190" s="664"/>
      <c r="H190" s="664"/>
      <c r="I190" s="664"/>
      <c r="J190" s="664"/>
      <c r="K190" s="664"/>
      <c r="L190" s="664"/>
      <c r="M190" s="664"/>
      <c r="N190" s="664"/>
      <c r="O190" s="664"/>
      <c r="P190" s="664"/>
      <c r="Q190" s="664"/>
      <c r="R190" s="664"/>
      <c r="S190" s="664"/>
      <c r="T190" s="736"/>
      <c r="U190" s="736"/>
      <c r="V190" s="664"/>
      <c r="W190" s="664"/>
      <c r="X190" s="664"/>
      <c r="Y190" s="664"/>
      <c r="Z190" s="664"/>
      <c r="AA190" s="664"/>
      <c r="AB190" s="664"/>
      <c r="AC190" s="664"/>
      <c r="AD190" s="670"/>
      <c r="AG190" s="734"/>
      <c r="AL190" s="736"/>
      <c r="AM190" s="736"/>
      <c r="AN190" s="736"/>
      <c r="AO190" s="736"/>
      <c r="AP190" s="736"/>
      <c r="AQ190" s="736"/>
      <c r="AR190" s="736"/>
      <c r="AS190" s="736"/>
      <c r="AT190" s="736"/>
      <c r="AU190" s="736"/>
      <c r="AV190" s="736"/>
      <c r="AW190" s="736"/>
      <c r="AX190" s="736"/>
      <c r="AY190" s="736"/>
      <c r="BA190" s="734"/>
      <c r="BC190" s="734"/>
    </row>
    <row r="191" spans="1:55">
      <c r="A191" s="718" t="s">
        <v>1690</v>
      </c>
      <c r="B191" s="715">
        <v>1.3335885638562908E-2</v>
      </c>
      <c r="C191" s="219"/>
      <c r="D191" s="664"/>
      <c r="E191" s="661" t="str">
        <f t="shared" si="101"/>
        <v/>
      </c>
      <c r="F191" s="664"/>
      <c r="G191" s="664"/>
      <c r="H191" s="664"/>
      <c r="I191" s="664"/>
      <c r="J191" s="664"/>
      <c r="K191" s="664"/>
      <c r="L191" s="664"/>
      <c r="M191" s="664"/>
      <c r="N191" s="664"/>
      <c r="O191" s="664"/>
      <c r="P191" s="664"/>
      <c r="Q191" s="664"/>
      <c r="R191" s="664"/>
      <c r="S191" s="664"/>
      <c r="T191" s="736"/>
      <c r="U191" s="736"/>
      <c r="V191" s="664"/>
      <c r="W191" s="664"/>
      <c r="X191" s="664"/>
      <c r="Y191" s="664"/>
      <c r="Z191" s="664"/>
      <c r="AA191" s="664"/>
      <c r="AB191" s="664"/>
      <c r="AC191" s="664"/>
      <c r="AD191" s="670"/>
      <c r="AG191" s="734"/>
      <c r="AL191" s="736"/>
      <c r="AM191" s="736"/>
      <c r="AN191" s="736"/>
      <c r="AO191" s="736"/>
      <c r="AP191" s="736"/>
      <c r="AQ191" s="736"/>
      <c r="AR191" s="736"/>
      <c r="AS191" s="736"/>
      <c r="AT191" s="736"/>
      <c r="AU191" s="736"/>
      <c r="AV191" s="736"/>
      <c r="AW191" s="736"/>
      <c r="AX191" s="736"/>
      <c r="AY191" s="736"/>
      <c r="BA191" s="734"/>
      <c r="BC191" s="734"/>
    </row>
    <row r="192" spans="1:55">
      <c r="A192" s="718" t="s">
        <v>1278</v>
      </c>
      <c r="B192" s="715">
        <v>1.8810333426849592E-3</v>
      </c>
      <c r="C192" s="664"/>
      <c r="D192" s="664"/>
      <c r="E192" s="661" t="str">
        <f t="shared" si="101"/>
        <v/>
      </c>
      <c r="F192" s="664"/>
      <c r="G192" s="664"/>
      <c r="H192" s="664"/>
      <c r="I192" s="664"/>
      <c r="J192" s="664"/>
      <c r="K192" s="664"/>
      <c r="L192" s="664"/>
      <c r="M192" s="664"/>
      <c r="N192" s="664"/>
      <c r="O192" s="664"/>
      <c r="P192" s="664"/>
      <c r="Q192" s="664"/>
      <c r="R192" s="664"/>
      <c r="S192" s="664"/>
      <c r="T192" s="736"/>
      <c r="U192" s="736"/>
      <c r="V192" s="664"/>
      <c r="W192" s="664"/>
      <c r="X192" s="664"/>
      <c r="Y192" s="664"/>
      <c r="Z192" s="664"/>
      <c r="AA192" s="664"/>
      <c r="AB192" s="664"/>
      <c r="AC192" s="664"/>
      <c r="AD192" s="670"/>
      <c r="AG192" s="734"/>
      <c r="AL192" s="736"/>
      <c r="AM192" s="736"/>
      <c r="AN192" s="736"/>
      <c r="AO192" s="736"/>
      <c r="AP192" s="736"/>
      <c r="AQ192" s="736"/>
      <c r="AR192" s="736"/>
      <c r="AS192" s="736"/>
      <c r="AT192" s="736"/>
      <c r="AU192" s="736"/>
      <c r="AV192" s="736"/>
      <c r="AW192" s="736"/>
      <c r="AX192" s="736"/>
      <c r="AY192" s="736"/>
      <c r="BA192" s="734"/>
      <c r="BC192" s="734"/>
    </row>
    <row r="193" spans="1:55">
      <c r="A193" s="718" t="s">
        <v>1144</v>
      </c>
      <c r="B193" s="715">
        <v>4.5470966587451304E-2</v>
      </c>
      <c r="C193" s="664"/>
      <c r="D193" s="664"/>
      <c r="E193" s="661" t="str">
        <f t="shared" si="101"/>
        <v/>
      </c>
      <c r="F193" s="664"/>
      <c r="G193" s="664"/>
      <c r="H193" s="664"/>
      <c r="I193" s="664"/>
      <c r="J193" s="664"/>
      <c r="K193" s="664"/>
      <c r="L193" s="664"/>
      <c r="M193" s="664"/>
      <c r="N193" s="664"/>
      <c r="O193" s="664"/>
      <c r="P193" s="664"/>
      <c r="Q193" s="664"/>
      <c r="R193" s="664"/>
      <c r="S193" s="664"/>
      <c r="T193" s="736"/>
      <c r="U193" s="736"/>
      <c r="V193" s="664"/>
      <c r="W193" s="664"/>
      <c r="X193" s="664"/>
      <c r="Y193" s="664"/>
      <c r="Z193" s="664"/>
      <c r="AA193" s="664"/>
      <c r="AB193" s="664"/>
      <c r="AC193" s="664"/>
      <c r="AD193" s="670"/>
      <c r="AG193" s="734"/>
      <c r="AL193" s="736"/>
      <c r="AM193" s="736"/>
      <c r="AN193" s="736"/>
      <c r="AO193" s="736"/>
      <c r="AP193" s="736"/>
      <c r="AQ193" s="736"/>
      <c r="AR193" s="736"/>
      <c r="AS193" s="736"/>
      <c r="AT193" s="736"/>
      <c r="AU193" s="736"/>
      <c r="AV193" s="736"/>
      <c r="AW193" s="736"/>
      <c r="AX193" s="736"/>
      <c r="AY193" s="736"/>
      <c r="BA193" s="734"/>
      <c r="BC193" s="734"/>
    </row>
    <row r="194" spans="1:55">
      <c r="A194" s="718" t="s">
        <v>1143</v>
      </c>
      <c r="B194" s="715">
        <v>3.2386573843644011E-2</v>
      </c>
      <c r="C194" s="664"/>
      <c r="D194" s="664"/>
      <c r="E194" s="661" t="str">
        <f t="shared" si="101"/>
        <v/>
      </c>
      <c r="F194" s="664"/>
      <c r="G194" s="664"/>
      <c r="H194" s="664"/>
      <c r="I194" s="664"/>
      <c r="J194" s="664"/>
      <c r="K194" s="664"/>
      <c r="L194" s="664"/>
      <c r="M194" s="664"/>
      <c r="N194" s="664"/>
      <c r="O194" s="664"/>
      <c r="P194" s="664"/>
      <c r="Q194" s="664"/>
      <c r="R194" s="664"/>
      <c r="S194" s="664"/>
      <c r="T194" s="736"/>
      <c r="U194" s="736"/>
      <c r="V194" s="664"/>
      <c r="W194" s="664"/>
      <c r="X194" s="664"/>
      <c r="Y194" s="664"/>
      <c r="Z194" s="664"/>
      <c r="AA194" s="664"/>
      <c r="AB194" s="664"/>
      <c r="AC194" s="664"/>
      <c r="AD194" s="670"/>
      <c r="AG194" s="734"/>
      <c r="AL194" s="736"/>
      <c r="AM194" s="736"/>
      <c r="AN194" s="736"/>
      <c r="AO194" s="736"/>
      <c r="AP194" s="736"/>
      <c r="AQ194" s="736"/>
      <c r="AR194" s="736"/>
      <c r="AS194" s="736"/>
      <c r="AT194" s="736"/>
      <c r="AU194" s="736"/>
      <c r="AV194" s="736"/>
      <c r="AW194" s="736"/>
      <c r="AX194" s="736"/>
      <c r="AY194" s="736"/>
      <c r="BA194" s="734"/>
      <c r="BC194" s="734"/>
    </row>
    <row r="195" spans="1:55">
      <c r="A195" s="718" t="s">
        <v>12940</v>
      </c>
      <c r="B195" s="715">
        <v>1.1915769394740648E-2</v>
      </c>
      <c r="C195" s="664"/>
      <c r="D195" s="664"/>
      <c r="E195" s="661" t="str">
        <f t="shared" si="101"/>
        <v/>
      </c>
      <c r="F195" s="664"/>
      <c r="G195" s="664"/>
      <c r="H195" s="664"/>
      <c r="I195" s="664"/>
      <c r="J195" s="664"/>
      <c r="K195" s="664"/>
      <c r="L195" s="664"/>
      <c r="M195" s="664"/>
      <c r="N195" s="664"/>
      <c r="O195" s="664"/>
      <c r="P195" s="664"/>
      <c r="Q195" s="664"/>
      <c r="R195" s="664"/>
      <c r="S195" s="664"/>
      <c r="T195" s="736"/>
      <c r="U195" s="736"/>
      <c r="V195" s="664"/>
      <c r="W195" s="664"/>
      <c r="X195" s="664"/>
      <c r="Y195" s="664"/>
      <c r="Z195" s="664"/>
      <c r="AA195" s="664"/>
      <c r="AB195" s="664"/>
      <c r="AC195" s="664"/>
      <c r="AD195" s="670"/>
      <c r="AG195" s="734"/>
      <c r="AL195" s="736"/>
      <c r="AM195" s="736"/>
      <c r="AN195" s="736"/>
      <c r="AO195" s="736"/>
      <c r="AP195" s="736"/>
      <c r="AQ195" s="736"/>
      <c r="AR195" s="736"/>
      <c r="AS195" s="736"/>
      <c r="AT195" s="736"/>
      <c r="AU195" s="736"/>
      <c r="AV195" s="736"/>
      <c r="AW195" s="736"/>
      <c r="AX195" s="736"/>
      <c r="AY195" s="736"/>
      <c r="BA195" s="734"/>
      <c r="BC195" s="734"/>
    </row>
    <row r="196" spans="1:55">
      <c r="A196" s="718" t="s">
        <v>1652</v>
      </c>
      <c r="B196" s="715">
        <v>3.8243859523241124E-3</v>
      </c>
      <c r="C196" s="664"/>
      <c r="D196" s="664"/>
      <c r="E196" s="661" t="str">
        <f t="shared" si="101"/>
        <v/>
      </c>
      <c r="F196" s="664"/>
      <c r="G196" s="664"/>
      <c r="H196" s="664"/>
      <c r="I196" s="664"/>
      <c r="J196" s="664"/>
      <c r="K196" s="664"/>
      <c r="L196" s="664"/>
      <c r="M196" s="664"/>
      <c r="N196" s="664"/>
      <c r="O196" s="664"/>
      <c r="P196" s="664"/>
      <c r="Q196" s="664"/>
      <c r="R196" s="664"/>
      <c r="S196" s="664"/>
      <c r="T196" s="736"/>
      <c r="U196" s="736"/>
      <c r="V196" s="664"/>
      <c r="W196" s="664"/>
      <c r="X196" s="664"/>
      <c r="Y196" s="664"/>
      <c r="Z196" s="664"/>
      <c r="AA196" s="664"/>
      <c r="AB196" s="664"/>
      <c r="AC196" s="664"/>
      <c r="AD196" s="670"/>
      <c r="AG196" s="734"/>
      <c r="AL196" s="736"/>
      <c r="AM196" s="736"/>
      <c r="AN196" s="736"/>
      <c r="AO196" s="736"/>
      <c r="AP196" s="736"/>
      <c r="AQ196" s="736"/>
      <c r="AR196" s="736"/>
      <c r="AS196" s="736"/>
      <c r="AT196" s="736"/>
      <c r="AU196" s="736"/>
      <c r="AV196" s="736"/>
      <c r="AW196" s="736"/>
      <c r="AX196" s="736"/>
      <c r="AY196" s="736"/>
      <c r="BA196" s="734"/>
      <c r="BC196" s="734"/>
    </row>
    <row r="197" spans="1:55">
      <c r="A197" s="718" t="s">
        <v>1685</v>
      </c>
      <c r="B197" s="715">
        <v>8.7148679163217887E-3</v>
      </c>
      <c r="C197" s="664"/>
      <c r="D197" s="664"/>
      <c r="E197" s="661" t="str">
        <f t="shared" si="101"/>
        <v/>
      </c>
      <c r="F197" s="664"/>
      <c r="G197" s="664"/>
      <c r="H197" s="664"/>
      <c r="I197" s="664"/>
      <c r="J197" s="664"/>
      <c r="K197" s="664"/>
      <c r="L197" s="664"/>
      <c r="M197" s="664"/>
      <c r="N197" s="664"/>
      <c r="O197" s="664"/>
      <c r="P197" s="664"/>
      <c r="Q197" s="664"/>
      <c r="R197" s="664"/>
      <c r="S197" s="664"/>
      <c r="T197" s="736"/>
      <c r="U197" s="736"/>
      <c r="V197" s="664"/>
      <c r="W197" s="664"/>
      <c r="X197" s="664"/>
      <c r="Y197" s="664"/>
      <c r="Z197" s="664"/>
      <c r="AA197" s="664"/>
      <c r="AB197" s="664"/>
      <c r="AC197" s="664"/>
      <c r="AD197" s="670"/>
      <c r="AG197" s="734"/>
      <c r="AL197" s="736"/>
      <c r="AM197" s="736"/>
      <c r="AN197" s="736"/>
      <c r="AO197" s="736"/>
      <c r="AP197" s="736"/>
      <c r="AQ197" s="736"/>
      <c r="AR197" s="736"/>
      <c r="AS197" s="736"/>
      <c r="AT197" s="736"/>
      <c r="AU197" s="736"/>
      <c r="AV197" s="736"/>
      <c r="AW197" s="736"/>
      <c r="AX197" s="736"/>
      <c r="AY197" s="736"/>
      <c r="BA197" s="734"/>
      <c r="BC197" s="734"/>
    </row>
    <row r="198" spans="1:55">
      <c r="A198" s="718" t="s">
        <v>1724</v>
      </c>
      <c r="B198" s="714">
        <v>1.0793159096658938E-2</v>
      </c>
      <c r="C198" s="664"/>
      <c r="D198" s="664"/>
      <c r="E198" s="661" t="str">
        <f t="shared" si="101"/>
        <v/>
      </c>
      <c r="F198" s="664"/>
      <c r="G198" s="664"/>
      <c r="H198" s="664"/>
      <c r="I198" s="664"/>
      <c r="J198" s="664"/>
      <c r="K198" s="664"/>
      <c r="L198" s="664"/>
      <c r="M198" s="664"/>
      <c r="N198" s="664"/>
      <c r="O198" s="664"/>
      <c r="P198" s="664"/>
      <c r="Q198" s="664"/>
      <c r="R198" s="664"/>
      <c r="S198" s="664"/>
      <c r="T198" s="736"/>
      <c r="U198" s="736"/>
      <c r="V198" s="664"/>
      <c r="W198" s="664"/>
      <c r="X198" s="664"/>
      <c r="Y198" s="664"/>
      <c r="Z198" s="664"/>
      <c r="AA198" s="664"/>
      <c r="AB198" s="664"/>
      <c r="AC198" s="664"/>
      <c r="AD198" s="670"/>
      <c r="AG198" s="734"/>
      <c r="AL198" s="736"/>
      <c r="AM198" s="736"/>
      <c r="AN198" s="736"/>
      <c r="AO198" s="736"/>
      <c r="AP198" s="736"/>
      <c r="AQ198" s="736"/>
      <c r="AR198" s="736"/>
      <c r="AS198" s="736"/>
      <c r="AT198" s="736"/>
      <c r="AU198" s="736"/>
      <c r="AV198" s="736"/>
      <c r="AW198" s="736"/>
      <c r="AX198" s="736"/>
      <c r="AY198" s="736"/>
      <c r="BA198" s="734"/>
      <c r="BC198" s="734"/>
    </row>
    <row r="199" spans="1:55">
      <c r="A199" s="718" t="s">
        <v>12792</v>
      </c>
      <c r="B199" s="715">
        <v>1.2364523002961567E-2</v>
      </c>
      <c r="C199" s="664"/>
      <c r="D199" s="664"/>
      <c r="E199" s="661" t="str">
        <f t="shared" si="101"/>
        <v/>
      </c>
      <c r="F199" s="664"/>
      <c r="G199" s="664"/>
      <c r="H199" s="664"/>
      <c r="I199" s="664"/>
      <c r="J199" s="664"/>
      <c r="K199" s="664"/>
      <c r="L199" s="664"/>
      <c r="M199" s="664"/>
      <c r="N199" s="664"/>
      <c r="O199" s="664"/>
      <c r="P199" s="664"/>
      <c r="Q199" s="664"/>
      <c r="R199" s="664"/>
      <c r="S199" s="664"/>
      <c r="T199" s="736"/>
      <c r="U199" s="736"/>
      <c r="V199" s="664"/>
      <c r="W199" s="664"/>
      <c r="X199" s="664"/>
      <c r="Y199" s="664"/>
      <c r="Z199" s="664"/>
      <c r="AA199" s="664"/>
      <c r="AB199" s="664"/>
      <c r="AC199" s="664"/>
      <c r="AD199" s="670"/>
      <c r="AG199" s="734"/>
      <c r="AL199" s="736"/>
      <c r="AM199" s="736"/>
      <c r="AN199" s="736"/>
      <c r="AO199" s="736"/>
      <c r="AP199" s="736"/>
      <c r="AQ199" s="736"/>
      <c r="AR199" s="736"/>
      <c r="AS199" s="736"/>
      <c r="AT199" s="736"/>
      <c r="AU199" s="736"/>
      <c r="AV199" s="736"/>
      <c r="AW199" s="736"/>
      <c r="AX199" s="736"/>
      <c r="AY199" s="736"/>
      <c r="BA199" s="734"/>
      <c r="BC199" s="734"/>
    </row>
    <row r="200" spans="1:55">
      <c r="A200" s="718" t="s">
        <v>12941</v>
      </c>
      <c r="B200" s="715">
        <v>1.1156548807400586E-2</v>
      </c>
      <c r="C200" s="664"/>
      <c r="D200" s="664"/>
      <c r="E200" s="661" t="str">
        <f t="shared" si="101"/>
        <v/>
      </c>
      <c r="F200" s="664"/>
      <c r="G200" s="664"/>
      <c r="H200" s="664"/>
      <c r="I200" s="664"/>
      <c r="J200" s="664"/>
      <c r="K200" s="664"/>
      <c r="L200" s="664"/>
      <c r="M200" s="664"/>
      <c r="N200" s="664"/>
      <c r="O200" s="664"/>
      <c r="P200" s="664"/>
      <c r="Q200" s="664"/>
      <c r="R200" s="664"/>
      <c r="S200" s="664"/>
      <c r="T200" s="736"/>
      <c r="U200" s="736"/>
      <c r="V200" s="664"/>
      <c r="W200" s="664"/>
      <c r="X200" s="664"/>
      <c r="Y200" s="664"/>
      <c r="Z200" s="664"/>
      <c r="AA200" s="664"/>
      <c r="AB200" s="664"/>
      <c r="AC200" s="664"/>
      <c r="AD200" s="670"/>
      <c r="AG200" s="734"/>
      <c r="AL200" s="736"/>
      <c r="AM200" s="736"/>
      <c r="AN200" s="736"/>
      <c r="AO200" s="736"/>
      <c r="AP200" s="736"/>
      <c r="AQ200" s="736"/>
      <c r="AR200" s="736"/>
      <c r="AS200" s="736"/>
      <c r="AT200" s="736"/>
      <c r="AU200" s="736"/>
      <c r="AV200" s="736"/>
      <c r="AW200" s="736"/>
      <c r="AX200" s="736"/>
      <c r="AY200" s="736"/>
      <c r="BA200" s="734"/>
      <c r="BC200" s="734"/>
    </row>
    <row r="201" spans="1:55">
      <c r="A201" s="718" t="s">
        <v>12794</v>
      </c>
      <c r="B201" s="715">
        <v>4.9894493839173389E-2</v>
      </c>
      <c r="C201" s="664"/>
      <c r="D201" s="664"/>
      <c r="E201" s="661" t="str">
        <f t="shared" si="101"/>
        <v/>
      </c>
      <c r="F201" s="664"/>
      <c r="G201" s="664"/>
      <c r="H201" s="664"/>
      <c r="I201" s="664"/>
      <c r="J201" s="664"/>
      <c r="K201" s="664"/>
      <c r="L201" s="664"/>
      <c r="M201" s="664"/>
      <c r="N201" s="664"/>
      <c r="O201" s="664"/>
      <c r="P201" s="664"/>
      <c r="Q201" s="664"/>
      <c r="R201" s="664"/>
      <c r="S201" s="664"/>
      <c r="T201" s="736"/>
      <c r="U201" s="736"/>
      <c r="V201" s="664"/>
      <c r="W201" s="664"/>
      <c r="X201" s="664"/>
      <c r="Y201" s="664"/>
      <c r="Z201" s="664"/>
      <c r="AA201" s="664"/>
      <c r="AB201" s="664"/>
      <c r="AC201" s="664"/>
      <c r="AD201" s="670"/>
      <c r="AG201" s="734"/>
      <c r="AL201" s="736"/>
      <c r="AM201" s="736"/>
      <c r="AN201" s="736"/>
      <c r="AO201" s="736"/>
      <c r="AP201" s="736"/>
      <c r="AQ201" s="736"/>
      <c r="AR201" s="736"/>
      <c r="AS201" s="736"/>
      <c r="AT201" s="736"/>
      <c r="AU201" s="736"/>
      <c r="AV201" s="736"/>
      <c r="AW201" s="736"/>
      <c r="AX201" s="736"/>
      <c r="AY201" s="736"/>
      <c r="BA201" s="734"/>
      <c r="BC201" s="734"/>
    </row>
    <row r="202" spans="1:55">
      <c r="A202" s="718" t="s">
        <v>12795</v>
      </c>
      <c r="B202" s="715">
        <v>5.1759272686157888E-3</v>
      </c>
      <c r="C202" s="664"/>
      <c r="D202" s="664"/>
      <c r="E202" s="661" t="str">
        <f t="shared" si="101"/>
        <v/>
      </c>
      <c r="F202" s="664"/>
      <c r="G202" s="664"/>
      <c r="H202" s="664"/>
      <c r="I202" s="664"/>
      <c r="J202" s="664"/>
      <c r="K202" s="664"/>
      <c r="L202" s="664"/>
      <c r="M202" s="664"/>
      <c r="N202" s="664"/>
      <c r="O202" s="664"/>
      <c r="P202" s="664"/>
      <c r="Q202" s="664"/>
      <c r="R202" s="664"/>
      <c r="S202" s="664"/>
      <c r="T202" s="736"/>
      <c r="U202" s="736"/>
      <c r="V202" s="664"/>
      <c r="W202" s="664"/>
      <c r="X202" s="664"/>
      <c r="Y202" s="664"/>
      <c r="Z202" s="664"/>
      <c r="AA202" s="664"/>
      <c r="AB202" s="664"/>
      <c r="AC202" s="664"/>
      <c r="AD202" s="670"/>
      <c r="AG202" s="734"/>
      <c r="AL202" s="736"/>
      <c r="AM202" s="736"/>
      <c r="AN202" s="736"/>
      <c r="AO202" s="736"/>
      <c r="AP202" s="736"/>
      <c r="AQ202" s="736"/>
      <c r="AR202" s="736"/>
      <c r="AS202" s="736"/>
      <c r="AT202" s="736"/>
      <c r="AU202" s="736"/>
      <c r="AV202" s="736"/>
      <c r="AW202" s="736"/>
      <c r="AX202" s="736"/>
      <c r="AY202" s="736"/>
      <c r="BA202" s="734"/>
      <c r="BC202" s="734"/>
    </row>
    <row r="203" spans="1:55">
      <c r="A203" s="718" t="s">
        <v>12796</v>
      </c>
      <c r="B203" s="715">
        <v>8.3914416441236116E-3</v>
      </c>
      <c r="C203" s="664"/>
      <c r="D203" s="664"/>
      <c r="E203" s="661" t="str">
        <f t="shared" si="101"/>
        <v/>
      </c>
      <c r="F203" s="664"/>
      <c r="G203" s="664"/>
      <c r="H203" s="664"/>
      <c r="I203" s="664"/>
      <c r="J203" s="664"/>
      <c r="K203" s="664"/>
      <c r="L203" s="664"/>
      <c r="M203" s="664"/>
      <c r="N203" s="664"/>
      <c r="O203" s="664"/>
      <c r="P203" s="664"/>
      <c r="Q203" s="664"/>
      <c r="R203" s="664"/>
      <c r="S203" s="664"/>
      <c r="T203" s="736"/>
      <c r="U203" s="736"/>
      <c r="V203" s="664"/>
      <c r="W203" s="664"/>
      <c r="X203" s="664"/>
      <c r="Y203" s="664"/>
      <c r="Z203" s="664"/>
      <c r="AA203" s="664"/>
      <c r="AB203" s="664"/>
      <c r="AC203" s="664"/>
      <c r="AD203" s="670"/>
      <c r="AG203" s="734"/>
      <c r="AL203" s="736"/>
      <c r="AM203" s="736"/>
      <c r="AN203" s="736"/>
      <c r="AO203" s="736"/>
      <c r="AP203" s="736"/>
      <c r="AQ203" s="736"/>
      <c r="AR203" s="736"/>
      <c r="AS203" s="736"/>
      <c r="AT203" s="736"/>
      <c r="AU203" s="736"/>
      <c r="AV203" s="736"/>
      <c r="AW203" s="736"/>
      <c r="AX203" s="736"/>
      <c r="AY203" s="736"/>
      <c r="BA203" s="734"/>
      <c r="BC203" s="734"/>
    </row>
    <row r="204" spans="1:55">
      <c r="A204" s="718" t="s">
        <v>12797</v>
      </c>
      <c r="B204" s="715">
        <v>1.167136454570983E-2</v>
      </c>
      <c r="C204" s="664"/>
      <c r="D204" s="664"/>
      <c r="E204" s="661" t="str">
        <f t="shared" si="101"/>
        <v/>
      </c>
      <c r="F204" s="664"/>
      <c r="G204" s="664"/>
      <c r="H204" s="664"/>
      <c r="I204" s="664"/>
      <c r="J204" s="664"/>
      <c r="K204" s="664"/>
      <c r="L204" s="664"/>
      <c r="M204" s="664"/>
      <c r="N204" s="664"/>
      <c r="O204" s="664"/>
      <c r="P204" s="664"/>
      <c r="Q204" s="664"/>
      <c r="R204" s="664"/>
      <c r="S204" s="664"/>
      <c r="T204" s="736"/>
      <c r="U204" s="736"/>
      <c r="V204" s="664"/>
      <c r="W204" s="664"/>
      <c r="X204" s="664"/>
      <c r="Y204" s="664"/>
      <c r="Z204" s="664"/>
      <c r="AA204" s="664"/>
      <c r="AB204" s="664"/>
      <c r="AC204" s="664"/>
      <c r="AD204" s="670"/>
      <c r="AG204" s="734"/>
      <c r="AL204" s="736"/>
      <c r="AM204" s="736"/>
      <c r="AN204" s="736"/>
      <c r="AO204" s="736"/>
      <c r="AP204" s="736"/>
      <c r="AQ204" s="736"/>
      <c r="AR204" s="736"/>
      <c r="AS204" s="736"/>
      <c r="AT204" s="736"/>
      <c r="AU204" s="736"/>
      <c r="AV204" s="736"/>
      <c r="AW204" s="736"/>
      <c r="AX204" s="736"/>
      <c r="AY204" s="736"/>
      <c r="BA204" s="734"/>
      <c r="BC204" s="734"/>
    </row>
    <row r="205" spans="1:55">
      <c r="A205" s="718" t="s">
        <v>12799</v>
      </c>
      <c r="B205" s="715">
        <v>2.1207620490861349E-3</v>
      </c>
      <c r="C205" s="664"/>
      <c r="D205" s="664"/>
      <c r="E205" s="661" t="str">
        <f t="shared" si="101"/>
        <v/>
      </c>
      <c r="F205" s="664"/>
      <c r="G205" s="664"/>
      <c r="H205" s="664"/>
      <c r="I205" s="664"/>
      <c r="J205" s="664"/>
      <c r="K205" s="664"/>
      <c r="L205" s="664"/>
      <c r="M205" s="664"/>
      <c r="N205" s="664"/>
      <c r="O205" s="664"/>
      <c r="P205" s="664"/>
      <c r="Q205" s="664"/>
      <c r="R205" s="664"/>
      <c r="S205" s="664"/>
      <c r="T205" s="736"/>
      <c r="U205" s="736"/>
      <c r="V205" s="664"/>
      <c r="W205" s="664"/>
      <c r="X205" s="664"/>
      <c r="Y205" s="664"/>
      <c r="Z205" s="664"/>
      <c r="AA205" s="664"/>
      <c r="AB205" s="664"/>
      <c r="AC205" s="664"/>
      <c r="AD205" s="670"/>
      <c r="AG205" s="734"/>
      <c r="AL205" s="736"/>
      <c r="AM205" s="736"/>
      <c r="AN205" s="736"/>
      <c r="AO205" s="736"/>
      <c r="AP205" s="736"/>
      <c r="AQ205" s="736"/>
      <c r="AR205" s="736"/>
      <c r="AS205" s="736"/>
      <c r="AT205" s="736"/>
      <c r="AU205" s="736"/>
      <c r="AV205" s="736"/>
      <c r="AW205" s="736"/>
      <c r="AX205" s="736"/>
      <c r="AY205" s="736"/>
      <c r="BA205" s="734"/>
      <c r="BC205" s="734"/>
    </row>
    <row r="206" spans="1:55">
      <c r="A206" s="718" t="s">
        <v>12800</v>
      </c>
      <c r="B206" s="715">
        <v>7.4228923797868239E-3</v>
      </c>
      <c r="C206" s="664"/>
      <c r="D206" s="664"/>
      <c r="E206" s="661" t="str">
        <f t="shared" si="101"/>
        <v/>
      </c>
      <c r="F206" s="664"/>
      <c r="G206" s="664"/>
      <c r="H206" s="664"/>
      <c r="I206" s="664"/>
      <c r="J206" s="664"/>
      <c r="K206" s="664"/>
      <c r="L206" s="664"/>
      <c r="M206" s="664"/>
      <c r="N206" s="664"/>
      <c r="O206" s="664"/>
      <c r="P206" s="664"/>
      <c r="Q206" s="664"/>
      <c r="R206" s="664"/>
      <c r="S206" s="664"/>
      <c r="T206" s="736"/>
      <c r="U206" s="736"/>
      <c r="V206" s="664"/>
      <c r="W206" s="664"/>
      <c r="X206" s="664"/>
      <c r="Y206" s="664"/>
      <c r="Z206" s="664"/>
      <c r="AA206" s="664"/>
      <c r="AB206" s="664"/>
      <c r="AC206" s="664"/>
      <c r="AD206" s="670"/>
      <c r="AG206" s="734"/>
      <c r="AL206" s="736"/>
      <c r="AM206" s="736"/>
      <c r="AN206" s="736"/>
      <c r="AO206" s="736"/>
      <c r="AP206" s="736"/>
      <c r="AQ206" s="736"/>
      <c r="AR206" s="736"/>
      <c r="AS206" s="736"/>
      <c r="AT206" s="736"/>
      <c r="AU206" s="736"/>
      <c r="AV206" s="736"/>
      <c r="AW206" s="736"/>
      <c r="AX206" s="736"/>
      <c r="AY206" s="736"/>
      <c r="BA206" s="734"/>
      <c r="BC206" s="734"/>
    </row>
    <row r="207" spans="1:55">
      <c r="A207" s="718" t="s">
        <v>12801</v>
      </c>
      <c r="B207" s="715">
        <v>6.8272345822197019E-3</v>
      </c>
      <c r="C207" s="664"/>
      <c r="D207" s="664"/>
      <c r="E207" s="661" t="str">
        <f t="shared" si="101"/>
        <v/>
      </c>
      <c r="F207" s="664"/>
      <c r="G207" s="664"/>
      <c r="H207" s="664"/>
      <c r="I207" s="664"/>
      <c r="J207" s="664"/>
      <c r="K207" s="664"/>
      <c r="L207" s="664"/>
      <c r="M207" s="664"/>
      <c r="N207" s="664"/>
      <c r="O207" s="664"/>
      <c r="P207" s="664"/>
      <c r="Q207" s="664"/>
      <c r="R207" s="664"/>
      <c r="S207" s="664"/>
      <c r="T207" s="736"/>
      <c r="U207" s="736"/>
      <c r="V207" s="664"/>
      <c r="W207" s="664"/>
      <c r="X207" s="664"/>
      <c r="Y207" s="664"/>
      <c r="Z207" s="664"/>
      <c r="AA207" s="664"/>
      <c r="AB207" s="664"/>
      <c r="AC207" s="664"/>
      <c r="AD207" s="670"/>
      <c r="AG207" s="734"/>
      <c r="AL207" s="736"/>
      <c r="AM207" s="736"/>
      <c r="AN207" s="736"/>
      <c r="AO207" s="736"/>
      <c r="AP207" s="736"/>
      <c r="AQ207" s="736"/>
      <c r="AR207" s="736"/>
      <c r="AS207" s="736"/>
      <c r="AT207" s="736"/>
      <c r="AU207" s="736"/>
      <c r="AV207" s="736"/>
      <c r="AW207" s="736"/>
      <c r="AX207" s="736"/>
      <c r="AY207" s="736"/>
      <c r="BA207" s="734"/>
      <c r="BC207" s="734"/>
    </row>
    <row r="208" spans="1:55">
      <c r="A208" s="718" t="s">
        <v>12802</v>
      </c>
      <c r="B208" s="715">
        <v>1.0867122745858748E-2</v>
      </c>
      <c r="C208" s="664"/>
      <c r="D208" s="664"/>
      <c r="E208" s="661" t="str">
        <f t="shared" si="101"/>
        <v/>
      </c>
      <c r="F208" s="664"/>
      <c r="G208" s="664"/>
      <c r="H208" s="664"/>
      <c r="I208" s="664"/>
      <c r="J208" s="664"/>
      <c r="K208" s="664"/>
      <c r="L208" s="664"/>
      <c r="M208" s="664"/>
      <c r="N208" s="664"/>
      <c r="O208" s="664"/>
      <c r="P208" s="664"/>
      <c r="Q208" s="664"/>
      <c r="R208" s="664"/>
      <c r="S208" s="664"/>
      <c r="T208" s="736"/>
      <c r="U208" s="736"/>
      <c r="V208" s="664"/>
      <c r="W208" s="664"/>
      <c r="X208" s="664"/>
      <c r="Y208" s="664"/>
      <c r="Z208" s="664"/>
      <c r="AA208" s="664"/>
      <c r="AB208" s="664"/>
      <c r="AC208" s="664"/>
      <c r="AD208" s="670"/>
      <c r="AG208" s="734"/>
      <c r="AL208" s="736"/>
      <c r="AM208" s="736"/>
      <c r="AN208" s="736"/>
      <c r="AO208" s="736"/>
      <c r="AP208" s="736"/>
      <c r="AQ208" s="736"/>
      <c r="AR208" s="736"/>
      <c r="AS208" s="736"/>
      <c r="AT208" s="736"/>
      <c r="AU208" s="736"/>
      <c r="AV208" s="736"/>
      <c r="AW208" s="736"/>
      <c r="AX208" s="736"/>
      <c r="AY208" s="736"/>
      <c r="BA208" s="734"/>
      <c r="BC208" s="734"/>
    </row>
    <row r="209" spans="1:93">
      <c r="A209" s="718" t="s">
        <v>12804</v>
      </c>
      <c r="B209" s="715">
        <v>8.7782733020906941E-3</v>
      </c>
      <c r="C209" s="664"/>
      <c r="D209" s="664"/>
      <c r="E209" s="661" t="str">
        <f t="shared" si="101"/>
        <v/>
      </c>
      <c r="F209" s="664"/>
      <c r="G209" s="664"/>
      <c r="H209" s="664"/>
      <c r="I209" s="664"/>
      <c r="J209" s="664"/>
      <c r="K209" s="664"/>
      <c r="L209" s="664"/>
      <c r="M209" s="664"/>
      <c r="N209" s="664"/>
      <c r="O209" s="664"/>
      <c r="P209" s="664"/>
      <c r="Q209" s="664"/>
      <c r="R209" s="664"/>
      <c r="S209" s="664"/>
      <c r="T209" s="736"/>
      <c r="U209" s="736"/>
      <c r="V209" s="664"/>
      <c r="W209" s="664"/>
      <c r="X209" s="664"/>
      <c r="Y209" s="664"/>
      <c r="Z209" s="664"/>
      <c r="AA209" s="664"/>
      <c r="AB209" s="664"/>
      <c r="AC209" s="664"/>
      <c r="AD209" s="670"/>
      <c r="AG209" s="734"/>
      <c r="AL209" s="736"/>
      <c r="AM209" s="736"/>
      <c r="AN209" s="736"/>
      <c r="AO209" s="736"/>
      <c r="AP209" s="736"/>
      <c r="AQ209" s="736"/>
      <c r="AR209" s="736"/>
      <c r="AS209" s="736"/>
      <c r="AT209" s="736"/>
      <c r="AU209" s="736"/>
      <c r="AV209" s="736"/>
      <c r="AW209" s="736"/>
      <c r="AX209" s="736"/>
      <c r="AY209" s="736"/>
      <c r="BA209" s="734"/>
      <c r="BC209" s="734"/>
    </row>
    <row r="210" spans="1:93">
      <c r="A210" s="718" t="s">
        <v>12805</v>
      </c>
      <c r="B210" s="715">
        <v>8.5519440936422803E-3</v>
      </c>
      <c r="C210" s="664"/>
      <c r="D210" s="664"/>
      <c r="E210" s="661" t="str">
        <f t="shared" si="101"/>
        <v/>
      </c>
      <c r="F210" s="664"/>
      <c r="G210" s="664"/>
      <c r="H210" s="664"/>
      <c r="I210" s="664"/>
      <c r="J210" s="664"/>
      <c r="K210" s="664"/>
      <c r="L210" s="664"/>
      <c r="M210" s="664"/>
      <c r="N210" s="664"/>
      <c r="O210" s="664"/>
      <c r="P210" s="664"/>
      <c r="Q210" s="664"/>
      <c r="R210" s="664"/>
      <c r="S210" s="664"/>
      <c r="T210" s="736"/>
      <c r="U210" s="736"/>
      <c r="V210" s="664"/>
      <c r="W210" s="664"/>
      <c r="X210" s="664"/>
      <c r="Y210" s="664"/>
      <c r="Z210" s="664"/>
      <c r="AA210" s="664"/>
      <c r="AB210" s="664"/>
      <c r="AC210" s="664"/>
      <c r="AD210" s="670"/>
      <c r="AG210" s="734"/>
      <c r="AL210" s="736"/>
      <c r="AM210" s="736"/>
      <c r="AN210" s="736"/>
      <c r="AO210" s="736"/>
      <c r="AP210" s="736"/>
      <c r="AQ210" s="736"/>
      <c r="AR210" s="736"/>
      <c r="AS210" s="736"/>
      <c r="AT210" s="736"/>
      <c r="AU210" s="736"/>
      <c r="AV210" s="736"/>
      <c r="AW210" s="736"/>
      <c r="AX210" s="736"/>
      <c r="AY210" s="736"/>
      <c r="BA210" s="734"/>
      <c r="BC210" s="734"/>
    </row>
    <row r="211" spans="1:93">
      <c r="A211" s="718" t="s">
        <v>12806</v>
      </c>
      <c r="B211" s="715">
        <v>1.7017406567160005E-2</v>
      </c>
      <c r="C211" s="664"/>
      <c r="D211" s="664"/>
      <c r="E211" s="661" t="str">
        <f t="shared" si="101"/>
        <v/>
      </c>
      <c r="F211" s="664"/>
      <c r="G211" s="664"/>
      <c r="H211" s="664"/>
      <c r="I211" s="664"/>
      <c r="J211" s="664"/>
      <c r="K211" s="664"/>
      <c r="L211" s="664"/>
      <c r="M211" s="664"/>
      <c r="N211" s="664"/>
      <c r="O211" s="664"/>
      <c r="P211" s="664"/>
      <c r="Q211" s="664"/>
      <c r="R211" s="664"/>
      <c r="S211" s="664"/>
      <c r="T211" s="736"/>
      <c r="U211" s="736"/>
      <c r="V211" s="664"/>
      <c r="W211" s="664"/>
      <c r="X211" s="664"/>
      <c r="Y211" s="664"/>
      <c r="Z211" s="664"/>
      <c r="AA211" s="664"/>
      <c r="AB211" s="664"/>
      <c r="AC211" s="664"/>
      <c r="AD211" s="670"/>
      <c r="AG211" s="734"/>
      <c r="AL211" s="736"/>
      <c r="AM211" s="736"/>
      <c r="AN211" s="736"/>
      <c r="AO211" s="736"/>
      <c r="AP211" s="736"/>
      <c r="AQ211" s="736"/>
      <c r="AR211" s="736"/>
      <c r="AS211" s="736"/>
      <c r="AT211" s="736"/>
      <c r="AU211" s="736"/>
      <c r="AV211" s="736"/>
      <c r="AW211" s="736"/>
      <c r="AX211" s="736"/>
      <c r="AY211" s="736"/>
      <c r="BA211" s="734"/>
      <c r="BC211" s="734"/>
    </row>
    <row r="212" spans="1:93">
      <c r="A212" s="718" t="s">
        <v>12807</v>
      </c>
      <c r="B212" s="715">
        <v>1.8134701332900138E-2</v>
      </c>
      <c r="C212" s="664"/>
      <c r="D212" s="664"/>
      <c r="E212" s="661" t="str">
        <f t="shared" si="101"/>
        <v/>
      </c>
      <c r="F212" s="664"/>
      <c r="G212" s="664"/>
      <c r="H212" s="664"/>
      <c r="I212" s="664"/>
      <c r="J212" s="664"/>
      <c r="K212" s="664"/>
      <c r="L212" s="664"/>
      <c r="M212" s="664"/>
      <c r="N212" s="664"/>
      <c r="O212" s="664"/>
      <c r="P212" s="664"/>
      <c r="Q212" s="664"/>
      <c r="R212" s="664"/>
      <c r="S212" s="664"/>
      <c r="T212" s="736"/>
      <c r="U212" s="736"/>
      <c r="V212" s="664"/>
      <c r="W212" s="664"/>
      <c r="X212" s="664"/>
      <c r="Y212" s="664"/>
      <c r="Z212" s="664"/>
      <c r="AA212" s="664"/>
      <c r="AB212" s="664"/>
      <c r="AC212" s="664"/>
      <c r="AD212" s="670"/>
      <c r="AG212" s="734"/>
      <c r="AL212" s="736"/>
      <c r="AM212" s="736"/>
      <c r="AN212" s="736"/>
      <c r="AO212" s="736"/>
      <c r="AP212" s="736"/>
      <c r="AQ212" s="736"/>
      <c r="AR212" s="736"/>
      <c r="AS212" s="736"/>
      <c r="AT212" s="736"/>
      <c r="AU212" s="736"/>
      <c r="AV212" s="736"/>
      <c r="AW212" s="736"/>
      <c r="AX212" s="736"/>
      <c r="AY212" s="736"/>
      <c r="BA212" s="734"/>
      <c r="BC212" s="734"/>
    </row>
    <row r="213" spans="1:93">
      <c r="A213" s="718" t="s">
        <v>12808</v>
      </c>
      <c r="B213" s="715">
        <v>9.0539381414905286E-4</v>
      </c>
      <c r="C213" s="664"/>
      <c r="D213" s="664"/>
      <c r="E213" s="661" t="str">
        <f t="shared" si="101"/>
        <v/>
      </c>
      <c r="F213" s="664"/>
      <c r="G213" s="664"/>
      <c r="H213" s="664"/>
      <c r="I213" s="664"/>
      <c r="J213" s="664"/>
      <c r="K213" s="664"/>
      <c r="L213" s="664"/>
      <c r="M213" s="664"/>
      <c r="N213" s="664"/>
      <c r="O213" s="664"/>
      <c r="P213" s="664"/>
      <c r="Q213" s="664"/>
      <c r="R213" s="664"/>
      <c r="S213" s="664"/>
      <c r="T213" s="736"/>
      <c r="U213" s="736"/>
      <c r="V213" s="664"/>
      <c r="W213" s="664"/>
      <c r="X213" s="664"/>
      <c r="Y213" s="664"/>
      <c r="Z213" s="664"/>
      <c r="AA213" s="664"/>
      <c r="AB213" s="664"/>
      <c r="AC213" s="664"/>
      <c r="AD213" s="670"/>
      <c r="AG213" s="734"/>
      <c r="AL213" s="736"/>
      <c r="AM213" s="736"/>
      <c r="AN213" s="736"/>
      <c r="AO213" s="736"/>
      <c r="AP213" s="736"/>
      <c r="AQ213" s="736"/>
      <c r="AR213" s="736"/>
      <c r="AS213" s="736"/>
      <c r="AT213" s="736"/>
      <c r="AU213" s="736"/>
      <c r="AV213" s="736"/>
      <c r="AW213" s="736"/>
      <c r="AX213" s="736"/>
      <c r="AY213" s="736"/>
      <c r="BA213" s="734"/>
      <c r="BC213" s="734"/>
    </row>
    <row r="214" spans="1:93">
      <c r="A214" s="718" t="s">
        <v>12809</v>
      </c>
      <c r="B214" s="715">
        <v>1.7376669436352844E-2</v>
      </c>
      <c r="C214" s="664"/>
      <c r="D214" s="664"/>
      <c r="E214" s="661" t="str">
        <f t="shared" si="101"/>
        <v/>
      </c>
      <c r="F214" s="664"/>
      <c r="G214" s="664"/>
      <c r="H214" s="664"/>
      <c r="I214" s="664"/>
      <c r="J214" s="664"/>
      <c r="K214" s="664"/>
      <c r="L214" s="664"/>
      <c r="M214" s="664"/>
      <c r="N214" s="664"/>
      <c r="O214" s="664"/>
      <c r="P214" s="664"/>
      <c r="Q214" s="664"/>
      <c r="R214" s="664"/>
      <c r="S214" s="664"/>
      <c r="T214" s="736"/>
      <c r="U214" s="736"/>
      <c r="V214" s="664"/>
      <c r="W214" s="664"/>
      <c r="X214" s="664"/>
      <c r="Y214" s="664"/>
      <c r="Z214" s="664"/>
      <c r="AA214" s="664"/>
      <c r="AB214" s="664"/>
      <c r="AC214" s="664"/>
      <c r="AD214" s="670"/>
      <c r="AG214" s="734"/>
      <c r="AJ214" s="734"/>
      <c r="AK214" s="734"/>
      <c r="AL214" s="736"/>
      <c r="AM214" s="736"/>
      <c r="AN214" s="736"/>
      <c r="AO214" s="736"/>
      <c r="AP214" s="736"/>
      <c r="AQ214" s="736"/>
      <c r="AR214" s="736"/>
      <c r="AS214" s="736"/>
      <c r="AT214" s="736"/>
      <c r="AU214" s="736"/>
      <c r="AV214" s="736"/>
      <c r="AW214" s="736"/>
      <c r="AX214" s="736"/>
      <c r="AY214" s="736"/>
      <c r="BA214" s="734"/>
      <c r="BC214" s="734"/>
    </row>
    <row r="215" spans="1:93">
      <c r="A215" s="718" t="s">
        <v>12810</v>
      </c>
      <c r="B215" s="715">
        <v>0</v>
      </c>
      <c r="C215" s="664"/>
      <c r="D215" s="664"/>
      <c r="E215" s="661" t="str">
        <f t="shared" si="101"/>
        <v/>
      </c>
      <c r="F215" s="664"/>
      <c r="G215" s="664"/>
      <c r="H215" s="664"/>
      <c r="I215" s="664"/>
      <c r="J215" s="664"/>
      <c r="K215" s="664"/>
      <c r="L215" s="664"/>
      <c r="M215" s="664"/>
      <c r="N215" s="664"/>
      <c r="O215" s="664"/>
      <c r="P215" s="664"/>
      <c r="Q215" s="664"/>
      <c r="R215" s="664"/>
      <c r="S215" s="664"/>
      <c r="T215" s="736"/>
      <c r="U215" s="736"/>
      <c r="V215" s="664"/>
      <c r="W215" s="664"/>
      <c r="X215" s="664"/>
      <c r="Y215" s="664"/>
      <c r="Z215" s="664"/>
      <c r="AA215" s="664"/>
      <c r="AB215" s="664"/>
      <c r="AC215" s="664"/>
      <c r="AD215" s="670"/>
      <c r="AG215" s="734"/>
      <c r="AJ215" s="734"/>
      <c r="AK215" s="734"/>
      <c r="AL215" s="736"/>
      <c r="AM215" s="736"/>
      <c r="AN215" s="736"/>
      <c r="AO215" s="736"/>
      <c r="AP215" s="736"/>
      <c r="AQ215" s="736"/>
      <c r="AR215" s="736"/>
      <c r="AS215" s="736"/>
      <c r="AT215" s="736"/>
      <c r="AU215" s="736"/>
      <c r="AV215" s="736"/>
      <c r="AW215" s="736"/>
      <c r="AX215" s="736"/>
      <c r="AY215" s="736"/>
      <c r="BA215" s="734"/>
      <c r="BC215" s="734"/>
    </row>
    <row r="216" spans="1:93">
      <c r="A216" s="718" t="s">
        <v>12942</v>
      </c>
      <c r="B216" s="715">
        <v>1.6729958989160246E-2</v>
      </c>
      <c r="C216" s="664"/>
      <c r="D216" s="664"/>
      <c r="E216" s="661" t="str">
        <f t="shared" si="101"/>
        <v/>
      </c>
      <c r="F216" s="664"/>
      <c r="G216" s="664"/>
      <c r="H216" s="664"/>
      <c r="I216" s="664"/>
      <c r="J216" s="664"/>
      <c r="K216" s="664"/>
      <c r="L216" s="664"/>
      <c r="M216" s="664"/>
      <c r="N216" s="664"/>
      <c r="O216" s="664"/>
      <c r="P216" s="664"/>
      <c r="Q216" s="664"/>
      <c r="R216" s="664"/>
      <c r="S216" s="664"/>
      <c r="T216" s="736"/>
      <c r="U216" s="736"/>
      <c r="V216" s="664"/>
      <c r="W216" s="664"/>
      <c r="X216" s="664"/>
      <c r="Y216" s="664"/>
      <c r="Z216" s="664"/>
      <c r="AA216" s="664"/>
      <c r="AB216" s="664"/>
      <c r="AC216" s="664"/>
      <c r="AD216" s="670"/>
      <c r="AG216" s="734"/>
      <c r="AJ216" s="734"/>
      <c r="AK216" s="734"/>
      <c r="AL216" s="736"/>
      <c r="AM216" s="736"/>
      <c r="AN216" s="736"/>
      <c r="AO216" s="736"/>
      <c r="AP216" s="736"/>
      <c r="AQ216" s="736"/>
      <c r="AR216" s="736"/>
      <c r="AS216" s="736"/>
      <c r="AT216" s="736"/>
      <c r="AU216" s="736"/>
      <c r="AV216" s="736"/>
      <c r="AW216" s="736"/>
      <c r="AX216" s="736"/>
      <c r="AY216" s="736"/>
      <c r="BA216" s="734"/>
      <c r="BC216" s="734"/>
    </row>
    <row r="217" spans="1:93">
      <c r="A217" s="718" t="s">
        <v>1650</v>
      </c>
      <c r="B217" s="715">
        <v>6.7489524959295022E-3</v>
      </c>
      <c r="C217" s="664"/>
      <c r="D217" s="664"/>
      <c r="E217" s="661" t="str">
        <f t="shared" si="101"/>
        <v/>
      </c>
      <c r="F217" s="664"/>
      <c r="G217" s="664"/>
      <c r="H217" s="664"/>
      <c r="I217" s="664"/>
      <c r="J217" s="664"/>
      <c r="K217" s="664"/>
      <c r="L217" s="736"/>
      <c r="M217" s="736"/>
      <c r="N217" s="736"/>
      <c r="O217" s="736"/>
      <c r="P217" s="736"/>
      <c r="Q217" s="736"/>
      <c r="R217" s="736"/>
      <c r="S217" s="736"/>
      <c r="T217" s="736"/>
      <c r="U217" s="736"/>
      <c r="V217" s="736"/>
      <c r="W217" s="736"/>
      <c r="X217" s="736"/>
      <c r="Y217" s="736"/>
      <c r="Z217" s="736"/>
      <c r="AA217" s="736"/>
      <c r="AB217" s="736"/>
      <c r="AC217" s="664"/>
      <c r="AD217" s="670"/>
      <c r="AG217" s="734"/>
      <c r="AJ217" s="734"/>
      <c r="AK217" s="734"/>
      <c r="AL217" s="736"/>
      <c r="AM217" s="736"/>
      <c r="AN217" s="736"/>
      <c r="AO217" s="736"/>
      <c r="AP217" s="736"/>
      <c r="AQ217" s="736"/>
      <c r="AR217" s="736"/>
      <c r="AS217" s="736"/>
      <c r="AT217" s="736"/>
      <c r="AU217" s="736"/>
      <c r="AV217" s="736"/>
      <c r="AW217" s="736"/>
      <c r="AX217" s="736"/>
      <c r="AY217" s="736"/>
      <c r="BA217" s="734"/>
      <c r="BC217" s="734"/>
    </row>
    <row r="218" spans="1:93" s="920" customFormat="1">
      <c r="A218" s="718" t="s">
        <v>12943</v>
      </c>
      <c r="B218" s="715">
        <v>3.3250390022504135E-2</v>
      </c>
      <c r="C218" s="736"/>
      <c r="D218" s="736"/>
      <c r="E218" s="661" t="str">
        <f t="shared" si="101"/>
        <v/>
      </c>
      <c r="F218" s="736"/>
      <c r="G218" s="736"/>
      <c r="H218" s="736"/>
      <c r="I218" s="736"/>
      <c r="J218" s="736"/>
      <c r="K218" s="736"/>
      <c r="L218" s="736"/>
      <c r="M218" s="736"/>
      <c r="N218" s="736"/>
      <c r="O218" s="736"/>
      <c r="P218" s="736"/>
      <c r="Q218" s="736"/>
      <c r="R218" s="736"/>
      <c r="S218" s="736"/>
      <c r="T218" s="736"/>
      <c r="U218" s="736"/>
      <c r="V218" s="736"/>
      <c r="W218" s="736"/>
      <c r="X218" s="736"/>
      <c r="Y218" s="736"/>
      <c r="Z218" s="736"/>
      <c r="AA218" s="736"/>
      <c r="AB218" s="736"/>
      <c r="AC218" s="736"/>
      <c r="AD218" s="734"/>
      <c r="AE218" s="734"/>
      <c r="AF218" s="734"/>
      <c r="AG218" s="734"/>
      <c r="AH218" s="734"/>
      <c r="AI218" s="734"/>
      <c r="AJ218" s="734"/>
      <c r="AK218" s="734"/>
      <c r="AL218" s="736"/>
      <c r="AM218" s="736"/>
      <c r="AN218" s="736"/>
      <c r="AO218" s="736"/>
      <c r="AP218" s="736"/>
      <c r="AQ218" s="736"/>
      <c r="AR218" s="736"/>
      <c r="AS218" s="736"/>
      <c r="AT218" s="736"/>
      <c r="AU218" s="736"/>
      <c r="AV218" s="736"/>
      <c r="AW218" s="736"/>
      <c r="AX218" s="736"/>
      <c r="AY218" s="736"/>
      <c r="AZ218" s="806"/>
      <c r="BA218" s="734"/>
      <c r="BB218" s="734"/>
      <c r="BC218" s="734"/>
      <c r="BD218" s="734"/>
      <c r="BE218" s="734"/>
      <c r="BF218" s="734"/>
      <c r="BG218" s="734"/>
      <c r="BH218" s="734"/>
      <c r="BI218" s="734"/>
      <c r="BJ218" s="734"/>
      <c r="BK218" s="734"/>
      <c r="BL218" s="734"/>
      <c r="BM218" s="734"/>
      <c r="BN218" s="734"/>
      <c r="BO218" s="734"/>
      <c r="BP218" s="734"/>
      <c r="BQ218" s="734"/>
      <c r="BR218" s="734"/>
      <c r="BS218" s="734"/>
      <c r="BT218" s="734"/>
      <c r="BU218" s="734"/>
      <c r="BV218" s="734"/>
      <c r="BW218" s="734"/>
      <c r="BX218" s="734"/>
      <c r="BY218" s="734"/>
      <c r="BZ218" s="734"/>
      <c r="CA218" s="734"/>
      <c r="CB218" s="734"/>
      <c r="CC218" s="734"/>
      <c r="CD218" s="734"/>
      <c r="CE218" s="734"/>
      <c r="CF218" s="734"/>
      <c r="CG218" s="734"/>
      <c r="CH218" s="734"/>
      <c r="CI218" s="734"/>
      <c r="CJ218" s="734"/>
      <c r="CK218" s="734"/>
      <c r="CL218" s="734"/>
      <c r="CM218" s="734"/>
      <c r="CN218" s="734"/>
      <c r="CO218" s="734"/>
    </row>
    <row r="219" spans="1:93" s="920" customFormat="1">
      <c r="A219" s="718" t="s">
        <v>12944</v>
      </c>
      <c r="B219" s="715">
        <v>9.2191292490910598E-3</v>
      </c>
      <c r="C219" s="736"/>
      <c r="D219" s="736"/>
      <c r="E219" s="661" t="str">
        <f t="shared" si="101"/>
        <v/>
      </c>
      <c r="F219" s="736"/>
      <c r="G219" s="736"/>
      <c r="H219" s="736"/>
      <c r="I219" s="736"/>
      <c r="J219" s="736"/>
      <c r="K219" s="736"/>
      <c r="L219" s="736"/>
      <c r="M219" s="736"/>
      <c r="N219" s="736"/>
      <c r="O219" s="736"/>
      <c r="P219" s="736"/>
      <c r="Q219" s="736"/>
      <c r="R219" s="736"/>
      <c r="S219" s="736"/>
      <c r="T219" s="736"/>
      <c r="U219" s="736"/>
      <c r="V219" s="736"/>
      <c r="W219" s="736"/>
      <c r="X219" s="736"/>
      <c r="Y219" s="736"/>
      <c r="Z219" s="736"/>
      <c r="AA219" s="736"/>
      <c r="AB219" s="736"/>
      <c r="AC219" s="736"/>
      <c r="AD219" s="734"/>
      <c r="AE219" s="734"/>
      <c r="AF219" s="734"/>
      <c r="AG219" s="734"/>
      <c r="AH219" s="734"/>
      <c r="AI219" s="734"/>
      <c r="AJ219" s="734"/>
      <c r="AK219" s="734"/>
      <c r="AL219" s="736"/>
      <c r="AM219" s="736"/>
      <c r="AN219" s="736"/>
      <c r="AO219" s="736"/>
      <c r="AP219" s="736"/>
      <c r="AQ219" s="736"/>
      <c r="AR219" s="736"/>
      <c r="AS219" s="736"/>
      <c r="AT219" s="736"/>
      <c r="AU219" s="736"/>
      <c r="AV219" s="736"/>
      <c r="AW219" s="736"/>
      <c r="AX219" s="736"/>
      <c r="AY219" s="736"/>
      <c r="AZ219" s="806"/>
      <c r="BA219" s="734"/>
      <c r="BB219" s="734"/>
      <c r="BC219" s="734"/>
      <c r="BD219" s="734"/>
      <c r="BE219" s="734"/>
      <c r="BF219" s="734"/>
      <c r="BG219" s="734"/>
      <c r="BH219" s="734"/>
      <c r="BI219" s="734"/>
      <c r="BJ219" s="734"/>
      <c r="BK219" s="734"/>
      <c r="BL219" s="734"/>
      <c r="BM219" s="734"/>
      <c r="BN219" s="734"/>
      <c r="BO219" s="734"/>
      <c r="BP219" s="734"/>
      <c r="BQ219" s="734"/>
      <c r="BR219" s="734"/>
      <c r="BS219" s="734"/>
      <c r="BT219" s="734"/>
      <c r="BU219" s="734"/>
      <c r="BV219" s="734"/>
      <c r="BW219" s="734"/>
      <c r="BX219" s="734"/>
      <c r="BY219" s="734"/>
      <c r="BZ219" s="734"/>
      <c r="CA219" s="734"/>
      <c r="CB219" s="734"/>
      <c r="CC219" s="734"/>
      <c r="CD219" s="734"/>
      <c r="CE219" s="734"/>
      <c r="CF219" s="734"/>
      <c r="CG219" s="734"/>
      <c r="CH219" s="734"/>
      <c r="CI219" s="734"/>
      <c r="CJ219" s="734"/>
      <c r="CK219" s="734"/>
      <c r="CL219" s="734"/>
      <c r="CM219" s="734"/>
      <c r="CN219" s="734"/>
      <c r="CO219" s="734"/>
    </row>
    <row r="220" spans="1:93" s="920" customFormat="1">
      <c r="A220" s="718" t="s">
        <v>1703</v>
      </c>
      <c r="B220" s="715">
        <v>1.9381584829759976E-2</v>
      </c>
      <c r="C220" s="861"/>
      <c r="D220" s="861"/>
      <c r="E220" s="661" t="str">
        <f t="shared" si="101"/>
        <v/>
      </c>
      <c r="F220" s="736"/>
      <c r="G220" s="736"/>
      <c r="H220" s="736"/>
      <c r="I220" s="736"/>
      <c r="J220" s="736"/>
      <c r="K220" s="736"/>
      <c r="L220" s="736"/>
      <c r="M220" s="736"/>
      <c r="N220" s="736"/>
      <c r="O220" s="736"/>
      <c r="P220" s="736"/>
      <c r="Q220" s="736"/>
      <c r="R220" s="736"/>
      <c r="S220" s="736"/>
      <c r="T220" s="736"/>
      <c r="U220" s="736"/>
      <c r="V220" s="736"/>
      <c r="W220" s="736"/>
      <c r="X220" s="736"/>
      <c r="Y220" s="736"/>
      <c r="Z220" s="736"/>
      <c r="AA220" s="736"/>
      <c r="AB220" s="736"/>
      <c r="AC220" s="736"/>
      <c r="AD220" s="734"/>
      <c r="AE220" s="734"/>
      <c r="AF220" s="734"/>
      <c r="AG220" s="734"/>
      <c r="AH220" s="734"/>
      <c r="AI220" s="734"/>
      <c r="AJ220" s="734"/>
      <c r="AK220" s="734"/>
      <c r="AL220" s="736"/>
      <c r="AM220" s="736"/>
      <c r="AN220" s="736"/>
      <c r="AO220" s="736"/>
      <c r="AP220" s="736"/>
      <c r="AQ220" s="736"/>
      <c r="AR220" s="736"/>
      <c r="AS220" s="736"/>
      <c r="AT220" s="736"/>
      <c r="AU220" s="736"/>
      <c r="AV220" s="736"/>
      <c r="AW220" s="736"/>
      <c r="AX220" s="736"/>
      <c r="AY220" s="736"/>
      <c r="AZ220" s="806"/>
      <c r="BA220" s="734"/>
      <c r="BB220" s="734"/>
      <c r="BC220" s="734"/>
      <c r="BD220" s="734"/>
      <c r="BE220" s="734"/>
      <c r="BF220" s="734"/>
      <c r="BG220" s="734"/>
      <c r="BH220" s="734"/>
      <c r="BI220" s="734"/>
      <c r="BJ220" s="734"/>
      <c r="BK220" s="734"/>
      <c r="BL220" s="734"/>
      <c r="BM220" s="734"/>
      <c r="BN220" s="734"/>
      <c r="BO220" s="734"/>
      <c r="BP220" s="734"/>
      <c r="BQ220" s="734"/>
      <c r="BR220" s="734"/>
      <c r="BS220" s="734"/>
      <c r="BT220" s="734"/>
      <c r="BU220" s="734"/>
      <c r="BV220" s="734"/>
      <c r="BW220" s="734"/>
      <c r="BX220" s="734"/>
      <c r="BY220" s="734"/>
      <c r="BZ220" s="734"/>
      <c r="CA220" s="734"/>
      <c r="CB220" s="734"/>
      <c r="CC220" s="734"/>
      <c r="CD220" s="734"/>
      <c r="CE220" s="734"/>
      <c r="CF220" s="734"/>
      <c r="CG220" s="734"/>
      <c r="CH220" s="734"/>
      <c r="CI220" s="734"/>
      <c r="CJ220" s="734"/>
      <c r="CK220" s="734"/>
      <c r="CL220" s="734"/>
      <c r="CM220" s="734"/>
      <c r="CN220" s="734"/>
      <c r="CO220" s="734"/>
    </row>
    <row r="221" spans="1:93" s="920" customFormat="1">
      <c r="A221" s="718" t="s">
        <v>12945</v>
      </c>
      <c r="B221" s="715">
        <v>1.1515289749970988E-2</v>
      </c>
      <c r="C221" s="921"/>
      <c r="D221" s="861"/>
      <c r="E221" s="661" t="str">
        <f t="shared" si="101"/>
        <v/>
      </c>
      <c r="F221" s="736"/>
      <c r="G221" s="736"/>
      <c r="H221" s="736"/>
      <c r="I221" s="736"/>
      <c r="J221" s="736"/>
      <c r="K221" s="736"/>
      <c r="L221" s="736"/>
      <c r="M221" s="736"/>
      <c r="N221" s="736"/>
      <c r="O221" s="736"/>
      <c r="P221" s="736"/>
      <c r="Q221" s="736"/>
      <c r="R221" s="736"/>
      <c r="S221" s="736"/>
      <c r="T221" s="736"/>
      <c r="U221" s="736"/>
      <c r="V221" s="736"/>
      <c r="W221" s="736"/>
      <c r="X221" s="736"/>
      <c r="Y221" s="736"/>
      <c r="Z221" s="736"/>
      <c r="AA221" s="736"/>
      <c r="AB221" s="736"/>
      <c r="AC221" s="736"/>
      <c r="AD221" s="734"/>
      <c r="AE221" s="734"/>
      <c r="AF221" s="734"/>
      <c r="AG221" s="734"/>
      <c r="AH221" s="734"/>
      <c r="AI221" s="734"/>
      <c r="AJ221" s="734"/>
      <c r="AK221" s="734"/>
      <c r="AL221" s="736"/>
      <c r="AM221" s="736"/>
      <c r="AN221" s="736"/>
      <c r="AO221" s="736"/>
      <c r="AP221" s="736"/>
      <c r="AQ221" s="736"/>
      <c r="AR221" s="736"/>
      <c r="AS221" s="736"/>
      <c r="AT221" s="736"/>
      <c r="AU221" s="736"/>
      <c r="AV221" s="736"/>
      <c r="AW221" s="736"/>
      <c r="AX221" s="736"/>
      <c r="AY221" s="736"/>
      <c r="AZ221" s="806"/>
      <c r="BA221" s="734"/>
      <c r="BB221" s="734"/>
      <c r="BC221" s="734"/>
      <c r="BD221" s="734"/>
      <c r="BE221" s="734"/>
      <c r="BF221" s="734"/>
      <c r="BG221" s="734"/>
      <c r="BH221" s="734"/>
      <c r="BI221" s="734"/>
      <c r="BJ221" s="734"/>
      <c r="BK221" s="734"/>
      <c r="BL221" s="734"/>
      <c r="BM221" s="734"/>
      <c r="BN221" s="734"/>
      <c r="BO221" s="734"/>
      <c r="BP221" s="734"/>
      <c r="BQ221" s="734"/>
      <c r="BR221" s="734"/>
      <c r="BS221" s="734"/>
      <c r="BT221" s="734"/>
      <c r="BU221" s="734"/>
      <c r="BV221" s="734"/>
      <c r="BW221" s="734"/>
      <c r="BX221" s="734"/>
      <c r="BY221" s="734"/>
      <c r="BZ221" s="734"/>
      <c r="CA221" s="734"/>
      <c r="CB221" s="734"/>
      <c r="CC221" s="734"/>
      <c r="CD221" s="734"/>
      <c r="CE221" s="734"/>
      <c r="CF221" s="734"/>
      <c r="CG221" s="734"/>
      <c r="CH221" s="734"/>
      <c r="CI221" s="734"/>
      <c r="CJ221" s="734"/>
      <c r="CK221" s="734"/>
      <c r="CL221" s="734"/>
      <c r="CM221" s="734"/>
      <c r="CN221" s="734"/>
      <c r="CO221" s="734"/>
    </row>
    <row r="222" spans="1:93" s="920" customFormat="1">
      <c r="A222" s="718" t="s">
        <v>12949</v>
      </c>
      <c r="B222" s="715">
        <v>4.012546412244735E-2</v>
      </c>
      <c r="C222" s="861"/>
      <c r="D222" s="861"/>
      <c r="E222" s="661" t="str">
        <f t="shared" si="101"/>
        <v/>
      </c>
      <c r="F222" s="736"/>
      <c r="G222" s="736"/>
      <c r="H222" s="736"/>
      <c r="I222" s="736"/>
      <c r="J222" s="736"/>
      <c r="K222" s="736"/>
      <c r="L222" s="736"/>
      <c r="M222" s="736"/>
      <c r="N222" s="736"/>
      <c r="O222" s="736"/>
      <c r="P222" s="736"/>
      <c r="Q222" s="736"/>
      <c r="R222" s="736"/>
      <c r="S222" s="736"/>
      <c r="T222" s="736"/>
      <c r="U222" s="736"/>
      <c r="V222" s="736"/>
      <c r="W222" s="736"/>
      <c r="X222" s="736"/>
      <c r="Y222" s="736"/>
      <c r="Z222" s="736"/>
      <c r="AA222" s="736"/>
      <c r="AB222" s="736"/>
      <c r="AC222" s="736"/>
      <c r="AD222" s="734"/>
      <c r="AE222" s="734"/>
      <c r="AF222" s="734"/>
      <c r="AG222" s="734"/>
      <c r="AH222" s="734"/>
      <c r="AI222" s="734"/>
      <c r="AJ222" s="734"/>
      <c r="AK222" s="734"/>
      <c r="AL222" s="736"/>
      <c r="AM222" s="736"/>
      <c r="AN222" s="736"/>
      <c r="AO222" s="736"/>
      <c r="AP222" s="736"/>
      <c r="AQ222" s="736"/>
      <c r="AR222" s="736"/>
      <c r="AS222" s="736"/>
      <c r="AT222" s="736"/>
      <c r="AU222" s="736"/>
      <c r="AV222" s="736"/>
      <c r="AW222" s="736"/>
      <c r="AX222" s="736"/>
      <c r="AY222" s="736"/>
      <c r="AZ222" s="806"/>
      <c r="BA222" s="734"/>
      <c r="BB222" s="734"/>
      <c r="BC222" s="734"/>
      <c r="BD222" s="734"/>
      <c r="BE222" s="734"/>
      <c r="BF222" s="734"/>
      <c r="BG222" s="734"/>
      <c r="BH222" s="734"/>
      <c r="BI222" s="734"/>
      <c r="BJ222" s="734"/>
      <c r="BK222" s="734"/>
      <c r="BL222" s="734"/>
      <c r="BM222" s="734"/>
      <c r="BN222" s="734"/>
      <c r="BO222" s="734"/>
      <c r="BP222" s="734"/>
      <c r="BQ222" s="734"/>
      <c r="BR222" s="734"/>
      <c r="BS222" s="734"/>
      <c r="BT222" s="734"/>
      <c r="BU222" s="734"/>
      <c r="BV222" s="734"/>
      <c r="BW222" s="734"/>
      <c r="BX222" s="734"/>
      <c r="BY222" s="734"/>
      <c r="BZ222" s="734"/>
      <c r="CA222" s="734"/>
      <c r="CB222" s="734"/>
      <c r="CC222" s="734"/>
      <c r="CD222" s="734"/>
      <c r="CE222" s="734"/>
      <c r="CF222" s="734"/>
      <c r="CG222" s="734"/>
      <c r="CH222" s="734"/>
      <c r="CI222" s="734"/>
      <c r="CJ222" s="734"/>
      <c r="CK222" s="734"/>
      <c r="CL222" s="734"/>
      <c r="CM222" s="734"/>
      <c r="CN222" s="734"/>
      <c r="CO222" s="734"/>
    </row>
    <row r="223" spans="1:93" s="920" customFormat="1">
      <c r="A223" s="718" t="s">
        <v>1146</v>
      </c>
      <c r="B223" s="715">
        <v>1.0545080115466768E-2</v>
      </c>
      <c r="C223" s="861"/>
      <c r="D223" s="861"/>
      <c r="E223" s="661" t="str">
        <f t="shared" si="101"/>
        <v/>
      </c>
      <c r="F223" s="736"/>
      <c r="G223" s="736"/>
      <c r="H223" s="736"/>
      <c r="I223" s="736"/>
      <c r="J223" s="736"/>
      <c r="K223" s="736"/>
      <c r="L223" s="736"/>
      <c r="M223" s="922"/>
      <c r="N223" s="736"/>
      <c r="O223" s="736"/>
      <c r="P223" s="736"/>
      <c r="Q223" s="736"/>
      <c r="R223" s="736"/>
      <c r="S223" s="736"/>
      <c r="T223" s="736"/>
      <c r="U223" s="736"/>
      <c r="V223" s="736"/>
      <c r="W223" s="736"/>
      <c r="X223" s="736"/>
      <c r="Y223" s="736"/>
      <c r="Z223" s="736"/>
      <c r="AA223" s="736"/>
      <c r="AB223" s="736"/>
      <c r="AC223" s="736"/>
      <c r="AD223" s="734"/>
      <c r="AE223" s="734"/>
      <c r="AF223" s="734"/>
      <c r="AG223" s="734"/>
      <c r="AH223" s="734"/>
      <c r="AI223" s="734"/>
      <c r="AJ223" s="734"/>
      <c r="AK223" s="734"/>
      <c r="AL223" s="736"/>
      <c r="AM223" s="736"/>
      <c r="AN223" s="736"/>
      <c r="AO223" s="736"/>
      <c r="AP223" s="736"/>
      <c r="AQ223" s="736"/>
      <c r="AR223" s="736"/>
      <c r="AS223" s="736"/>
      <c r="AT223" s="736"/>
      <c r="AU223" s="736"/>
      <c r="AV223" s="736"/>
      <c r="AW223" s="736"/>
      <c r="AX223" s="736"/>
      <c r="AY223" s="736"/>
      <c r="AZ223" s="806"/>
      <c r="BA223" s="734"/>
      <c r="BB223" s="734"/>
      <c r="BC223" s="734"/>
      <c r="BD223" s="734"/>
      <c r="BE223" s="734"/>
      <c r="BF223" s="734"/>
      <c r="BG223" s="734"/>
      <c r="BH223" s="734"/>
      <c r="BI223" s="734"/>
      <c r="BJ223" s="734"/>
      <c r="BK223" s="734"/>
      <c r="BL223" s="734"/>
      <c r="BM223" s="734"/>
      <c r="BN223" s="734"/>
      <c r="BO223" s="734"/>
      <c r="BP223" s="734"/>
      <c r="BQ223" s="734"/>
      <c r="BR223" s="734"/>
      <c r="BS223" s="734"/>
      <c r="BT223" s="734"/>
      <c r="BU223" s="734"/>
      <c r="BV223" s="734"/>
      <c r="BW223" s="734"/>
      <c r="BX223" s="734"/>
      <c r="BY223" s="734"/>
      <c r="BZ223" s="734"/>
      <c r="CA223" s="734"/>
      <c r="CB223" s="734"/>
      <c r="CC223" s="734"/>
      <c r="CD223" s="734"/>
      <c r="CE223" s="734"/>
      <c r="CF223" s="734"/>
      <c r="CG223" s="734"/>
      <c r="CH223" s="734"/>
      <c r="CI223" s="734"/>
      <c r="CJ223" s="734"/>
      <c r="CK223" s="734"/>
      <c r="CL223" s="734"/>
      <c r="CM223" s="734"/>
      <c r="CN223" s="734"/>
      <c r="CO223" s="734"/>
    </row>
    <row r="224" spans="1:93" s="920" customFormat="1">
      <c r="A224" s="718" t="s">
        <v>13054</v>
      </c>
      <c r="B224" s="715">
        <v>3.3768102052381628E-2</v>
      </c>
      <c r="C224" s="861"/>
      <c r="D224" s="861"/>
      <c r="E224" s="661" t="str">
        <f t="shared" si="101"/>
        <v/>
      </c>
      <c r="F224" s="736"/>
      <c r="G224" s="736"/>
      <c r="H224" s="736"/>
      <c r="I224" s="736"/>
      <c r="J224" s="736"/>
      <c r="K224" s="736"/>
      <c r="L224" s="736"/>
      <c r="M224" s="922"/>
      <c r="N224" s="736"/>
      <c r="O224" s="736"/>
      <c r="P224" s="736"/>
      <c r="Q224" s="736"/>
      <c r="R224" s="736"/>
      <c r="S224" s="736"/>
      <c r="T224" s="736"/>
      <c r="U224" s="736"/>
      <c r="V224" s="736"/>
      <c r="W224" s="736"/>
      <c r="X224" s="736"/>
      <c r="Y224" s="736"/>
      <c r="Z224" s="736"/>
      <c r="AA224" s="736"/>
      <c r="AB224" s="736"/>
      <c r="AC224" s="736"/>
      <c r="AD224" s="734"/>
      <c r="AE224" s="734"/>
      <c r="AF224" s="734"/>
      <c r="AG224" s="734"/>
      <c r="AH224" s="734"/>
      <c r="AI224" s="734"/>
      <c r="AJ224" s="734"/>
      <c r="AK224" s="734"/>
      <c r="AL224" s="736"/>
      <c r="AM224" s="736"/>
      <c r="AN224" s="736"/>
      <c r="AO224" s="736"/>
      <c r="AP224" s="736"/>
      <c r="AQ224" s="736"/>
      <c r="AR224" s="736"/>
      <c r="AS224" s="736"/>
      <c r="AT224" s="736"/>
      <c r="AU224" s="736"/>
      <c r="AV224" s="736"/>
      <c r="AW224" s="736"/>
      <c r="AX224" s="736"/>
      <c r="AY224" s="736"/>
      <c r="AZ224" s="806"/>
      <c r="BA224" s="734"/>
      <c r="BB224" s="734"/>
      <c r="BC224" s="734"/>
      <c r="BD224" s="734"/>
      <c r="BE224" s="734"/>
      <c r="BF224" s="734"/>
      <c r="BG224" s="734"/>
      <c r="BH224" s="734"/>
      <c r="BI224" s="734"/>
      <c r="BJ224" s="734"/>
      <c r="BK224" s="734"/>
      <c r="BL224" s="734"/>
      <c r="BM224" s="734"/>
      <c r="BN224" s="734"/>
      <c r="BO224" s="734"/>
      <c r="BP224" s="734"/>
      <c r="BQ224" s="734"/>
      <c r="BR224" s="734"/>
      <c r="BS224" s="734"/>
      <c r="BT224" s="734"/>
      <c r="BU224" s="734"/>
      <c r="BV224" s="734"/>
      <c r="BW224" s="734"/>
      <c r="BX224" s="734"/>
      <c r="BY224" s="734"/>
      <c r="BZ224" s="734"/>
      <c r="CA224" s="734"/>
      <c r="CB224" s="734"/>
      <c r="CC224" s="734"/>
      <c r="CD224" s="734"/>
      <c r="CE224" s="734"/>
      <c r="CF224" s="734"/>
      <c r="CG224" s="734"/>
      <c r="CH224" s="734"/>
      <c r="CI224" s="734"/>
      <c r="CJ224" s="734"/>
      <c r="CK224" s="734"/>
      <c r="CL224" s="734"/>
      <c r="CM224" s="734"/>
      <c r="CN224" s="734"/>
      <c r="CO224" s="734"/>
    </row>
    <row r="225" spans="1:93" s="920" customFormat="1">
      <c r="A225" s="718" t="s">
        <v>13055</v>
      </c>
      <c r="B225" s="715">
        <v>2.4650305189319478E-2</v>
      </c>
      <c r="C225" s="861"/>
      <c r="D225" s="861"/>
      <c r="E225" s="661" t="str">
        <f t="shared" si="101"/>
        <v/>
      </c>
      <c r="F225" s="736"/>
      <c r="G225" s="736"/>
      <c r="H225" s="736"/>
      <c r="I225" s="736"/>
      <c r="J225" s="736"/>
      <c r="K225" s="736"/>
      <c r="L225" s="736"/>
      <c r="M225" s="922"/>
      <c r="N225" s="736"/>
      <c r="O225" s="736"/>
      <c r="P225" s="736"/>
      <c r="Q225" s="736"/>
      <c r="R225" s="736"/>
      <c r="S225" s="736"/>
      <c r="T225" s="736"/>
      <c r="U225" s="736"/>
      <c r="V225" s="736"/>
      <c r="W225" s="736"/>
      <c r="X225" s="736"/>
      <c r="Y225" s="736"/>
      <c r="Z225" s="736"/>
      <c r="AA225" s="736"/>
      <c r="AB225" s="736"/>
      <c r="AC225" s="736"/>
      <c r="AD225" s="734"/>
      <c r="AE225" s="734"/>
      <c r="AF225" s="734"/>
      <c r="AG225" s="734"/>
      <c r="AH225" s="734"/>
      <c r="AI225" s="734"/>
      <c r="AJ225" s="734"/>
      <c r="AK225" s="734"/>
      <c r="AL225" s="736"/>
      <c r="AM225" s="736"/>
      <c r="AN225" s="736"/>
      <c r="AO225" s="736"/>
      <c r="AP225" s="736"/>
      <c r="AQ225" s="736"/>
      <c r="AR225" s="736"/>
      <c r="AS225" s="736"/>
      <c r="AT225" s="736"/>
      <c r="AU225" s="736"/>
      <c r="AV225" s="736"/>
      <c r="AW225" s="736"/>
      <c r="AX225" s="736"/>
      <c r="AY225" s="736"/>
      <c r="AZ225" s="806"/>
      <c r="BA225" s="734"/>
      <c r="BB225" s="734"/>
      <c r="BC225" s="734"/>
      <c r="BD225" s="734"/>
      <c r="BE225" s="734"/>
      <c r="BF225" s="734"/>
      <c r="BG225" s="734"/>
      <c r="BH225" s="734"/>
      <c r="BI225" s="734"/>
      <c r="BJ225" s="734"/>
      <c r="BK225" s="734"/>
      <c r="BL225" s="734"/>
      <c r="BM225" s="734"/>
      <c r="BN225" s="734"/>
      <c r="BO225" s="734"/>
      <c r="BP225" s="734"/>
      <c r="BQ225" s="734"/>
      <c r="BR225" s="734"/>
      <c r="BS225" s="734"/>
      <c r="BT225" s="734"/>
      <c r="BU225" s="734"/>
      <c r="BV225" s="734"/>
      <c r="BW225" s="734"/>
      <c r="BX225" s="734"/>
      <c r="BY225" s="734"/>
      <c r="BZ225" s="734"/>
      <c r="CA225" s="734"/>
      <c r="CB225" s="734"/>
      <c r="CC225" s="734"/>
      <c r="CD225" s="734"/>
      <c r="CE225" s="734"/>
      <c r="CF225" s="734"/>
      <c r="CG225" s="734"/>
      <c r="CH225" s="734"/>
      <c r="CI225" s="734"/>
      <c r="CJ225" s="734"/>
      <c r="CK225" s="734"/>
      <c r="CL225" s="734"/>
      <c r="CM225" s="734"/>
      <c r="CN225" s="734"/>
      <c r="CO225" s="734"/>
    </row>
    <row r="226" spans="1:93" s="920" customFormat="1">
      <c r="A226" s="718" t="s">
        <v>1663</v>
      </c>
      <c r="B226" s="715">
        <v>4.3776697195765024E-3</v>
      </c>
      <c r="C226" s="861"/>
      <c r="D226" s="861"/>
      <c r="E226" s="661" t="str">
        <f t="shared" si="101"/>
        <v/>
      </c>
      <c r="F226" s="736"/>
      <c r="G226" s="736"/>
      <c r="H226" s="736"/>
      <c r="I226" s="736"/>
      <c r="J226" s="736"/>
      <c r="K226" s="736"/>
      <c r="L226" s="736"/>
      <c r="M226" s="922"/>
      <c r="N226" s="736"/>
      <c r="O226" s="736"/>
      <c r="P226" s="736"/>
      <c r="Q226" s="736"/>
      <c r="R226" s="736"/>
      <c r="S226" s="736"/>
      <c r="T226" s="736"/>
      <c r="U226" s="736"/>
      <c r="V226" s="736"/>
      <c r="W226" s="736"/>
      <c r="X226" s="736"/>
      <c r="Y226" s="736"/>
      <c r="Z226" s="736"/>
      <c r="AA226" s="736"/>
      <c r="AB226" s="736"/>
      <c r="AC226" s="736"/>
      <c r="AD226" s="734"/>
      <c r="AE226" s="734"/>
      <c r="AF226" s="734"/>
      <c r="AG226" s="734"/>
      <c r="AH226" s="734"/>
      <c r="AI226" s="734"/>
      <c r="AJ226" s="734"/>
      <c r="AK226" s="734"/>
      <c r="AL226" s="736"/>
      <c r="AM226" s="736"/>
      <c r="AN226" s="736"/>
      <c r="AO226" s="736"/>
      <c r="AP226" s="736"/>
      <c r="AQ226" s="736"/>
      <c r="AR226" s="736"/>
      <c r="AS226" s="736"/>
      <c r="AT226" s="736"/>
      <c r="AU226" s="736"/>
      <c r="AV226" s="736"/>
      <c r="AW226" s="736"/>
      <c r="AX226" s="736"/>
      <c r="AY226" s="736"/>
      <c r="AZ226" s="806"/>
      <c r="BA226" s="734"/>
      <c r="BB226" s="734"/>
      <c r="BC226" s="734"/>
      <c r="BD226" s="734"/>
      <c r="BE226" s="734"/>
      <c r="BF226" s="734"/>
      <c r="BG226" s="734"/>
      <c r="BH226" s="734"/>
      <c r="BI226" s="734"/>
      <c r="BJ226" s="734"/>
      <c r="BK226" s="734"/>
      <c r="BL226" s="734"/>
      <c r="BM226" s="734"/>
      <c r="BN226" s="734"/>
      <c r="BO226" s="734"/>
      <c r="BP226" s="734"/>
      <c r="BQ226" s="734"/>
      <c r="BR226" s="734"/>
      <c r="BS226" s="734"/>
      <c r="BT226" s="734"/>
      <c r="BU226" s="734"/>
      <c r="BV226" s="734"/>
      <c r="BW226" s="734"/>
      <c r="BX226" s="734"/>
      <c r="BY226" s="734"/>
      <c r="BZ226" s="734"/>
      <c r="CA226" s="734"/>
      <c r="CB226" s="734"/>
      <c r="CC226" s="734"/>
      <c r="CD226" s="734"/>
      <c r="CE226" s="734"/>
      <c r="CF226" s="734"/>
      <c r="CG226" s="734"/>
      <c r="CH226" s="734"/>
      <c r="CI226" s="734"/>
      <c r="CJ226" s="734"/>
      <c r="CK226" s="734"/>
      <c r="CL226" s="734"/>
      <c r="CM226" s="734"/>
      <c r="CN226" s="734"/>
      <c r="CO226" s="734"/>
    </row>
    <row r="227" spans="1:93" s="920" customFormat="1">
      <c r="A227"/>
      <c r="B227"/>
      <c r="C227" s="861"/>
      <c r="D227" s="861"/>
      <c r="E227" s="661" t="str">
        <f t="shared" si="101"/>
        <v/>
      </c>
      <c r="F227" s="736"/>
      <c r="G227" s="736"/>
      <c r="H227" s="736"/>
      <c r="I227" s="736"/>
      <c r="J227" s="736"/>
      <c r="K227" s="736"/>
      <c r="L227" s="736"/>
      <c r="M227" s="922"/>
      <c r="N227" s="736"/>
      <c r="O227" s="736"/>
      <c r="P227" s="736"/>
      <c r="Q227" s="736"/>
      <c r="R227" s="736"/>
      <c r="S227" s="736"/>
      <c r="T227" s="736"/>
      <c r="U227" s="736"/>
      <c r="V227" s="736"/>
      <c r="W227" s="736"/>
      <c r="X227" s="736"/>
      <c r="Y227" s="736"/>
      <c r="Z227" s="736"/>
      <c r="AA227" s="736"/>
      <c r="AB227" s="736"/>
      <c r="AC227" s="736"/>
      <c r="AD227" s="734"/>
      <c r="AE227" s="734"/>
      <c r="AF227" s="734"/>
      <c r="AG227" s="734"/>
      <c r="AH227" s="734"/>
      <c r="AI227" s="734"/>
      <c r="AJ227" s="734"/>
      <c r="AK227" s="734"/>
      <c r="AL227" s="736"/>
      <c r="AM227" s="736"/>
      <c r="AN227" s="736"/>
      <c r="AO227" s="736"/>
      <c r="AP227" s="736"/>
      <c r="AQ227" s="736"/>
      <c r="AR227" s="736"/>
      <c r="AS227" s="736"/>
      <c r="AT227" s="736"/>
      <c r="AU227" s="736"/>
      <c r="AV227" s="736"/>
      <c r="AW227" s="736"/>
      <c r="AX227" s="736"/>
      <c r="AY227" s="736"/>
      <c r="AZ227" s="806"/>
      <c r="BA227" s="734"/>
      <c r="BB227" s="734"/>
      <c r="BC227" s="734"/>
      <c r="BD227" s="734"/>
      <c r="BE227" s="734"/>
      <c r="BF227" s="734"/>
      <c r="BG227" s="734"/>
      <c r="BH227" s="734"/>
      <c r="BI227" s="734"/>
      <c r="BJ227" s="734"/>
      <c r="BK227" s="734"/>
      <c r="BL227" s="734"/>
      <c r="BM227" s="734"/>
      <c r="BN227" s="734"/>
      <c r="BO227" s="734"/>
      <c r="BP227" s="734"/>
      <c r="BQ227" s="734"/>
      <c r="BR227" s="734"/>
      <c r="BS227" s="734"/>
      <c r="BT227" s="734"/>
      <c r="BU227" s="734"/>
      <c r="BV227" s="734"/>
      <c r="BW227" s="734"/>
      <c r="BX227" s="734"/>
      <c r="BY227" s="734"/>
      <c r="BZ227" s="734"/>
      <c r="CA227" s="734"/>
      <c r="CB227" s="734"/>
      <c r="CC227" s="734"/>
      <c r="CD227" s="734"/>
      <c r="CE227" s="734"/>
      <c r="CF227" s="734"/>
      <c r="CG227" s="734"/>
      <c r="CH227" s="734"/>
      <c r="CI227" s="734"/>
      <c r="CJ227" s="734"/>
      <c r="CK227" s="734"/>
      <c r="CL227" s="734"/>
      <c r="CM227" s="734"/>
      <c r="CN227" s="734"/>
      <c r="CO227" s="734"/>
    </row>
    <row r="228" spans="1:93" s="920" customFormat="1">
      <c r="A228" s="673"/>
      <c r="B228" s="673"/>
      <c r="C228" s="861"/>
      <c r="D228" s="861"/>
      <c r="E228" s="661" t="str">
        <f t="shared" si="101"/>
        <v/>
      </c>
      <c r="F228" s="736"/>
      <c r="G228" s="736"/>
      <c r="H228" s="736"/>
      <c r="I228" s="736"/>
      <c r="J228" s="736"/>
      <c r="K228" s="736"/>
      <c r="L228" s="736"/>
      <c r="M228" s="922"/>
      <c r="N228" s="736"/>
      <c r="O228" s="736"/>
      <c r="P228" s="736"/>
      <c r="Q228" s="736"/>
      <c r="R228" s="736"/>
      <c r="S228" s="736"/>
      <c r="T228" s="736"/>
      <c r="U228" s="736"/>
      <c r="V228" s="736"/>
      <c r="W228" s="736"/>
      <c r="X228" s="736"/>
      <c r="Y228" s="736"/>
      <c r="Z228" s="736"/>
      <c r="AA228" s="736"/>
      <c r="AB228" s="736"/>
      <c r="AC228" s="736"/>
      <c r="AD228" s="734"/>
      <c r="AE228" s="734"/>
      <c r="AF228" s="734"/>
      <c r="AG228" s="734"/>
      <c r="AH228" s="734"/>
      <c r="AI228" s="734"/>
      <c r="AJ228" s="734"/>
      <c r="AK228" s="734"/>
      <c r="AL228" s="736"/>
      <c r="AM228" s="736"/>
      <c r="AN228" s="736"/>
      <c r="AO228" s="736"/>
      <c r="AP228" s="736"/>
      <c r="AQ228" s="736"/>
      <c r="AR228" s="736"/>
      <c r="AS228" s="736"/>
      <c r="AT228" s="736"/>
      <c r="AU228" s="736"/>
      <c r="AV228" s="736"/>
      <c r="AW228" s="736"/>
      <c r="AX228" s="736"/>
      <c r="AY228" s="736"/>
      <c r="AZ228" s="806"/>
      <c r="BA228" s="734"/>
      <c r="BB228" s="734"/>
      <c r="BC228" s="734"/>
      <c r="BD228" s="734"/>
      <c r="BE228" s="734"/>
      <c r="BF228" s="734"/>
      <c r="BG228" s="734"/>
      <c r="BH228" s="734"/>
      <c r="BI228" s="734"/>
      <c r="BJ228" s="734"/>
      <c r="BK228" s="734"/>
      <c r="BL228" s="734"/>
      <c r="BM228" s="734"/>
      <c r="BN228" s="734"/>
      <c r="BO228" s="734"/>
      <c r="BP228" s="734"/>
      <c r="BQ228" s="734"/>
      <c r="BR228" s="734"/>
      <c r="BS228" s="734"/>
      <c r="BT228" s="734"/>
      <c r="BU228" s="734"/>
      <c r="BV228" s="734"/>
      <c r="BW228" s="734"/>
      <c r="BX228" s="734"/>
      <c r="BY228" s="734"/>
      <c r="BZ228" s="734"/>
      <c r="CA228" s="734"/>
      <c r="CB228" s="734"/>
      <c r="CC228" s="734"/>
      <c r="CD228" s="734"/>
      <c r="CE228" s="734"/>
      <c r="CF228" s="734"/>
      <c r="CG228" s="734"/>
      <c r="CH228" s="734"/>
      <c r="CI228" s="734"/>
      <c r="CJ228" s="734"/>
      <c r="CK228" s="734"/>
      <c r="CL228" s="734"/>
      <c r="CM228" s="734"/>
      <c r="CN228" s="734"/>
      <c r="CO228" s="734"/>
    </row>
    <row r="229" spans="1:93" s="920" customFormat="1">
      <c r="A229" s="673"/>
      <c r="B229" s="673"/>
      <c r="C229" s="861"/>
      <c r="D229" s="861"/>
      <c r="E229" s="661" t="str">
        <f t="shared" si="101"/>
        <v/>
      </c>
      <c r="F229" s="736"/>
      <c r="G229" s="736"/>
      <c r="H229" s="736"/>
      <c r="I229" s="736"/>
      <c r="J229" s="736"/>
      <c r="K229" s="736"/>
      <c r="L229" s="736"/>
      <c r="M229" s="922"/>
      <c r="N229" s="736"/>
      <c r="O229" s="736"/>
      <c r="P229" s="736"/>
      <c r="Q229" s="736"/>
      <c r="R229" s="736"/>
      <c r="S229" s="736"/>
      <c r="T229" s="736"/>
      <c r="U229" s="736"/>
      <c r="V229" s="736"/>
      <c r="W229" s="736"/>
      <c r="X229" s="736"/>
      <c r="Y229" s="736"/>
      <c r="Z229" s="736"/>
      <c r="AA229" s="736"/>
      <c r="AB229" s="736"/>
      <c r="AC229" s="736"/>
      <c r="AD229" s="734"/>
      <c r="AE229" s="734"/>
      <c r="AF229" s="734"/>
      <c r="AG229" s="734"/>
      <c r="AH229" s="734"/>
      <c r="AI229" s="734"/>
      <c r="AJ229" s="734"/>
      <c r="AK229" s="734"/>
      <c r="AL229" s="736"/>
      <c r="AM229" s="736"/>
      <c r="AN229" s="736"/>
      <c r="AO229" s="736"/>
      <c r="AP229" s="736"/>
      <c r="AQ229" s="736"/>
      <c r="AR229" s="736"/>
      <c r="AS229" s="736"/>
      <c r="AT229" s="736"/>
      <c r="AU229" s="736"/>
      <c r="AV229" s="736"/>
      <c r="AW229" s="736"/>
      <c r="AX229" s="736"/>
      <c r="AY229" s="736"/>
      <c r="AZ229" s="806"/>
      <c r="BA229" s="734"/>
      <c r="BB229" s="734"/>
      <c r="BC229" s="734"/>
      <c r="BD229" s="734"/>
      <c r="BE229" s="734"/>
      <c r="BF229" s="734"/>
      <c r="BG229" s="734"/>
      <c r="BH229" s="734"/>
      <c r="BI229" s="734"/>
      <c r="BJ229" s="734"/>
      <c r="BK229" s="734"/>
      <c r="BL229" s="734"/>
      <c r="BM229" s="734"/>
      <c r="BN229" s="734"/>
      <c r="BO229" s="734"/>
      <c r="BP229" s="734"/>
      <c r="BQ229" s="734"/>
      <c r="BR229" s="734"/>
      <c r="BS229" s="734"/>
      <c r="BT229" s="734"/>
      <c r="BU229" s="734"/>
      <c r="BV229" s="734"/>
      <c r="BW229" s="734"/>
      <c r="BX229" s="734"/>
      <c r="BY229" s="734"/>
      <c r="BZ229" s="734"/>
      <c r="CA229" s="734"/>
      <c r="CB229" s="734"/>
      <c r="CC229" s="734"/>
      <c r="CD229" s="734"/>
      <c r="CE229" s="734"/>
      <c r="CF229" s="734"/>
      <c r="CG229" s="734"/>
      <c r="CH229" s="734"/>
      <c r="CI229" s="734"/>
      <c r="CJ229" s="734"/>
      <c r="CK229" s="734"/>
      <c r="CL229" s="734"/>
      <c r="CM229" s="734"/>
      <c r="CN229" s="734"/>
      <c r="CO229" s="734"/>
    </row>
    <row r="230" spans="1:93" s="920" customFormat="1">
      <c r="A230" s="673"/>
      <c r="B230" s="673"/>
      <c r="C230" s="861"/>
      <c r="D230" s="861"/>
      <c r="E230" s="661" t="str">
        <f t="shared" si="101"/>
        <v/>
      </c>
      <c r="F230" s="736"/>
      <c r="G230" s="736"/>
      <c r="H230" s="736"/>
      <c r="I230" s="736"/>
      <c r="J230" s="736"/>
      <c r="K230" s="736"/>
      <c r="L230" s="736"/>
      <c r="M230" s="922"/>
      <c r="N230" s="736"/>
      <c r="O230" s="736"/>
      <c r="P230" s="736"/>
      <c r="Q230" s="736"/>
      <c r="R230" s="736"/>
      <c r="S230" s="736"/>
      <c r="T230" s="736"/>
      <c r="U230" s="736"/>
      <c r="V230" s="736"/>
      <c r="W230" s="923"/>
      <c r="X230" s="662">
        <f ca="1">SUMIF(J13:J145,"&gt;0.05")</f>
        <v>0</v>
      </c>
      <c r="Y230" s="736"/>
      <c r="Z230" s="736"/>
      <c r="AA230" s="736"/>
      <c r="AB230" s="736"/>
      <c r="AC230" s="736"/>
      <c r="AD230" s="734"/>
      <c r="AE230" s="734"/>
      <c r="AF230" s="734"/>
      <c r="AG230" s="734"/>
      <c r="AH230" s="734"/>
      <c r="AI230" s="734"/>
      <c r="AJ230" s="734"/>
      <c r="AK230" s="734"/>
      <c r="AL230" s="736"/>
      <c r="AM230" s="736"/>
      <c r="AN230" s="736"/>
      <c r="AO230" s="736"/>
      <c r="AP230" s="736"/>
      <c r="AQ230" s="736"/>
      <c r="AR230" s="736"/>
      <c r="AS230" s="736"/>
      <c r="AT230" s="736"/>
      <c r="AU230" s="736"/>
      <c r="AV230" s="736"/>
      <c r="AW230" s="736"/>
      <c r="AX230" s="736"/>
      <c r="AY230" s="736"/>
      <c r="AZ230" s="806"/>
      <c r="BA230" s="734"/>
      <c r="BB230" s="734"/>
      <c r="BC230" s="734"/>
      <c r="BD230" s="734"/>
      <c r="BE230" s="734"/>
      <c r="BF230" s="734"/>
      <c r="BG230" s="734"/>
      <c r="BH230" s="734"/>
      <c r="BI230" s="734"/>
      <c r="BJ230" s="734"/>
      <c r="BK230" s="734"/>
      <c r="BL230" s="734"/>
      <c r="BM230" s="734"/>
      <c r="BN230" s="734"/>
      <c r="BO230" s="734"/>
      <c r="BP230" s="734"/>
      <c r="BQ230" s="734"/>
      <c r="BR230" s="734"/>
      <c r="BS230" s="734"/>
      <c r="BT230" s="734"/>
      <c r="BU230" s="734"/>
      <c r="BV230" s="734"/>
      <c r="BW230" s="734"/>
      <c r="BX230" s="734"/>
      <c r="BY230" s="734"/>
      <c r="BZ230" s="734"/>
      <c r="CA230" s="734"/>
      <c r="CB230" s="734"/>
      <c r="CC230" s="734"/>
      <c r="CD230" s="734"/>
      <c r="CE230" s="734"/>
      <c r="CF230" s="734"/>
      <c r="CG230" s="734"/>
      <c r="CH230" s="734"/>
      <c r="CI230" s="734"/>
      <c r="CJ230" s="734"/>
      <c r="CK230" s="734"/>
      <c r="CL230" s="734"/>
      <c r="CM230" s="734"/>
      <c r="CN230" s="734"/>
      <c r="CO230" s="734"/>
    </row>
    <row r="231" spans="1:93" s="920" customFormat="1">
      <c r="A231" s="673"/>
      <c r="B231" s="673"/>
      <c r="C231" s="861"/>
      <c r="D231" s="861"/>
      <c r="E231" s="661" t="str">
        <f t="shared" si="101"/>
        <v/>
      </c>
      <c r="F231" s="736"/>
      <c r="G231" s="736"/>
      <c r="H231" s="736"/>
      <c r="I231" s="736"/>
      <c r="J231" s="736"/>
      <c r="K231" s="736"/>
      <c r="L231" s="736"/>
      <c r="M231" s="922"/>
      <c r="N231" s="736"/>
      <c r="O231" s="736"/>
      <c r="P231" s="736"/>
      <c r="Q231" s="736"/>
      <c r="R231" s="736"/>
      <c r="S231" s="736"/>
      <c r="T231" s="736"/>
      <c r="U231" s="736"/>
      <c r="V231" s="736"/>
      <c r="W231" s="923"/>
      <c r="X231" s="924"/>
      <c r="Y231" s="736"/>
      <c r="Z231" s="736"/>
      <c r="AA231" s="736"/>
      <c r="AB231" s="736"/>
      <c r="AC231" s="736"/>
      <c r="AD231" s="734"/>
      <c r="AE231" s="734"/>
      <c r="AF231" s="734"/>
      <c r="AG231" s="734"/>
      <c r="AH231" s="734"/>
      <c r="AI231" s="734"/>
      <c r="AJ231" s="734"/>
      <c r="AK231" s="734"/>
      <c r="AL231" s="736"/>
      <c r="AM231" s="736"/>
      <c r="AN231" s="736"/>
      <c r="AO231" s="736"/>
      <c r="AP231" s="736"/>
      <c r="AQ231" s="736"/>
      <c r="AR231" s="736"/>
      <c r="AS231" s="736"/>
      <c r="AT231" s="736"/>
      <c r="AU231" s="736"/>
      <c r="AV231" s="736"/>
      <c r="AW231" s="736"/>
      <c r="AX231" s="736"/>
      <c r="AY231" s="736"/>
      <c r="AZ231" s="806"/>
      <c r="BA231" s="734"/>
      <c r="BB231" s="734"/>
      <c r="BC231" s="734"/>
      <c r="BD231" s="734"/>
      <c r="BE231" s="734"/>
      <c r="BF231" s="734"/>
      <c r="BG231" s="734"/>
      <c r="BH231" s="734"/>
      <c r="BI231" s="734"/>
      <c r="BJ231" s="734"/>
      <c r="BK231" s="734"/>
      <c r="BL231" s="734"/>
      <c r="BM231" s="734"/>
      <c r="BN231" s="734"/>
      <c r="BO231" s="734"/>
      <c r="BP231" s="734"/>
      <c r="BQ231" s="734"/>
      <c r="BR231" s="734"/>
      <c r="BS231" s="734"/>
      <c r="BT231" s="734"/>
      <c r="BU231" s="734"/>
      <c r="BV231" s="734"/>
      <c r="BW231" s="734"/>
      <c r="BX231" s="734"/>
      <c r="BY231" s="734"/>
      <c r="BZ231" s="734"/>
      <c r="CA231" s="734"/>
      <c r="CB231" s="734"/>
      <c r="CC231" s="734"/>
      <c r="CD231" s="734"/>
      <c r="CE231" s="734"/>
      <c r="CF231" s="734"/>
      <c r="CG231" s="734"/>
      <c r="CH231" s="734"/>
      <c r="CI231" s="734"/>
      <c r="CJ231" s="734"/>
      <c r="CK231" s="734"/>
      <c r="CL231" s="734"/>
      <c r="CM231" s="734"/>
      <c r="CN231" s="734"/>
      <c r="CO231" s="734"/>
    </row>
    <row r="232" spans="1:93" s="920" customFormat="1">
      <c r="A232" s="673"/>
      <c r="B232" s="673"/>
      <c r="C232" s="861"/>
      <c r="D232" s="861"/>
      <c r="E232" s="661" t="str">
        <f t="shared" si="101"/>
        <v/>
      </c>
      <c r="F232" s="736"/>
      <c r="G232" s="736"/>
      <c r="H232" s="736"/>
      <c r="I232" s="736"/>
      <c r="J232" s="736"/>
      <c r="K232" s="736"/>
      <c r="L232" s="736"/>
      <c r="M232" s="922"/>
      <c r="N232" s="736"/>
      <c r="O232" s="736"/>
      <c r="P232" s="736"/>
      <c r="Q232" s="736"/>
      <c r="R232" s="736"/>
      <c r="S232" s="736"/>
      <c r="T232" s="736"/>
      <c r="U232" s="736"/>
      <c r="V232" s="736"/>
      <c r="W232" s="925"/>
      <c r="X232" s="662">
        <f ca="1">SUMIF(J13:J145,"&gt;0.049")</f>
        <v>0</v>
      </c>
      <c r="Y232" s="736"/>
      <c r="Z232" s="736"/>
      <c r="AA232" s="736"/>
      <c r="AB232" s="736"/>
      <c r="AC232" s="736"/>
      <c r="AD232" s="734"/>
      <c r="AE232" s="734"/>
      <c r="AF232" s="734"/>
      <c r="AG232" s="734"/>
      <c r="AH232" s="734"/>
      <c r="AI232" s="734"/>
      <c r="AJ232" s="734"/>
      <c r="AK232" s="734"/>
      <c r="AL232" s="736"/>
      <c r="AM232" s="736"/>
      <c r="AN232" s="736"/>
      <c r="AO232" s="736"/>
      <c r="AP232" s="736"/>
      <c r="AQ232" s="736"/>
      <c r="AR232" s="736"/>
      <c r="AS232" s="736"/>
      <c r="AT232" s="736"/>
      <c r="AU232" s="736"/>
      <c r="AV232" s="736"/>
      <c r="AW232" s="736"/>
      <c r="AX232" s="736"/>
      <c r="AY232" s="736"/>
      <c r="AZ232" s="806"/>
      <c r="BA232" s="734"/>
      <c r="BB232" s="734"/>
      <c r="BC232" s="734"/>
      <c r="BD232" s="734"/>
      <c r="BE232" s="734"/>
      <c r="BF232" s="734"/>
      <c r="BG232" s="734"/>
      <c r="BH232" s="734"/>
      <c r="BI232" s="734"/>
      <c r="BJ232" s="734"/>
      <c r="BK232" s="734"/>
      <c r="BL232" s="734"/>
      <c r="BM232" s="734"/>
      <c r="BN232" s="734"/>
      <c r="BO232" s="734"/>
      <c r="BP232" s="734"/>
      <c r="BQ232" s="734"/>
      <c r="BR232" s="734"/>
      <c r="BS232" s="734"/>
      <c r="BT232" s="734"/>
      <c r="BU232" s="734"/>
      <c r="BV232" s="734"/>
      <c r="BW232" s="734"/>
      <c r="BX232" s="734"/>
      <c r="BY232" s="734"/>
      <c r="BZ232" s="734"/>
      <c r="CA232" s="734"/>
      <c r="CB232" s="734"/>
      <c r="CC232" s="734"/>
      <c r="CD232" s="734"/>
      <c r="CE232" s="734"/>
      <c r="CF232" s="734"/>
      <c r="CG232" s="734"/>
      <c r="CH232" s="734"/>
      <c r="CI232" s="734"/>
      <c r="CJ232" s="734"/>
      <c r="CK232" s="734"/>
      <c r="CL232" s="734"/>
      <c r="CM232" s="734"/>
      <c r="CN232" s="734"/>
      <c r="CO232" s="734"/>
    </row>
    <row r="233" spans="1:93" s="920" customFormat="1">
      <c r="A233" s="673"/>
      <c r="B233" s="673"/>
      <c r="C233" s="921"/>
      <c r="D233" s="921"/>
      <c r="E233" s="661" t="str">
        <f t="shared" si="101"/>
        <v/>
      </c>
      <c r="F233" s="736"/>
      <c r="G233" s="736"/>
      <c r="H233" s="736"/>
      <c r="I233" s="736"/>
      <c r="J233" s="736"/>
      <c r="K233" s="736"/>
      <c r="L233" s="736"/>
      <c r="M233" s="922"/>
      <c r="N233" s="736"/>
      <c r="O233" s="736"/>
      <c r="P233" s="736"/>
      <c r="Q233" s="736"/>
      <c r="R233" s="736"/>
      <c r="S233" s="736"/>
      <c r="T233" s="736"/>
      <c r="U233" s="736"/>
      <c r="V233" s="736"/>
      <c r="W233" s="925"/>
      <c r="X233" s="662">
        <f ca="1">SUMIF(J13:J145,"&gt;0.0475")</f>
        <v>0</v>
      </c>
      <c r="Y233" s="736"/>
      <c r="Z233" s="736"/>
      <c r="AA233" s="736"/>
      <c r="AB233" s="736"/>
      <c r="AC233" s="736"/>
      <c r="AD233" s="734"/>
      <c r="AE233" s="734"/>
      <c r="AF233" s="734"/>
      <c r="AG233" s="734"/>
      <c r="AH233" s="734"/>
      <c r="AI233" s="734"/>
      <c r="AJ233" s="734"/>
      <c r="AK233" s="734"/>
      <c r="AL233" s="736"/>
      <c r="AM233" s="736"/>
      <c r="AN233" s="736"/>
      <c r="AO233" s="736"/>
      <c r="AP233" s="736"/>
      <c r="AQ233" s="736"/>
      <c r="AR233" s="736"/>
      <c r="AS233" s="736"/>
      <c r="AT233" s="736"/>
      <c r="AU233" s="736"/>
      <c r="AV233" s="736"/>
      <c r="AW233" s="736"/>
      <c r="AX233" s="736"/>
      <c r="AY233" s="736"/>
      <c r="AZ233" s="806"/>
      <c r="BA233" s="734"/>
      <c r="BB233" s="734"/>
      <c r="BC233" s="734"/>
      <c r="BD233" s="734"/>
      <c r="BE233" s="734"/>
      <c r="BF233" s="734"/>
      <c r="BG233" s="734"/>
      <c r="BH233" s="734"/>
      <c r="BI233" s="734"/>
      <c r="BJ233" s="734"/>
      <c r="BK233" s="734"/>
      <c r="BL233" s="734"/>
      <c r="BM233" s="734"/>
      <c r="BN233" s="734"/>
      <c r="BO233" s="734"/>
      <c r="BP233" s="734"/>
      <c r="BQ233" s="734"/>
      <c r="BR233" s="734"/>
      <c r="BS233" s="734"/>
      <c r="BT233" s="734"/>
      <c r="BU233" s="734"/>
      <c r="BV233" s="734"/>
      <c r="BW233" s="734"/>
      <c r="BX233" s="734"/>
      <c r="BY233" s="734"/>
      <c r="BZ233" s="734"/>
      <c r="CA233" s="734"/>
      <c r="CB233" s="734"/>
      <c r="CC233" s="734"/>
      <c r="CD233" s="734"/>
      <c r="CE233" s="734"/>
      <c r="CF233" s="734"/>
      <c r="CG233" s="734"/>
      <c r="CH233" s="734"/>
      <c r="CI233" s="734"/>
      <c r="CJ233" s="734"/>
      <c r="CK233" s="734"/>
      <c r="CL233" s="734"/>
      <c r="CM233" s="734"/>
      <c r="CN233" s="734"/>
      <c r="CO233" s="734"/>
    </row>
    <row r="234" spans="1:93" s="920" customFormat="1">
      <c r="A234" s="673"/>
      <c r="B234" s="673"/>
      <c r="C234" s="861"/>
      <c r="D234" s="861"/>
      <c r="E234" s="661" t="str">
        <f t="shared" si="101"/>
        <v/>
      </c>
      <c r="F234" s="736"/>
      <c r="G234" s="736"/>
      <c r="H234" s="736"/>
      <c r="I234" s="736"/>
      <c r="J234" s="736"/>
      <c r="K234" s="736"/>
      <c r="L234" s="736"/>
      <c r="M234" s="922"/>
      <c r="N234" s="736"/>
      <c r="O234" s="736"/>
      <c r="P234" s="736"/>
      <c r="Q234" s="736"/>
      <c r="R234" s="736"/>
      <c r="S234" s="736"/>
      <c r="T234" s="736"/>
      <c r="U234" s="736"/>
      <c r="V234" s="736"/>
      <c r="W234" s="736"/>
      <c r="X234" s="736"/>
      <c r="Y234" s="736"/>
      <c r="Z234" s="736"/>
      <c r="AA234" s="736"/>
      <c r="AB234" s="736"/>
      <c r="AC234" s="736"/>
      <c r="AD234" s="734"/>
      <c r="AE234" s="734"/>
      <c r="AF234" s="734"/>
      <c r="AG234" s="734"/>
      <c r="AH234" s="734"/>
      <c r="AI234" s="734"/>
      <c r="AJ234" s="734"/>
      <c r="AK234" s="734"/>
      <c r="AL234" s="736"/>
      <c r="AM234" s="736"/>
      <c r="AN234" s="736"/>
      <c r="AO234" s="736"/>
      <c r="AP234" s="736"/>
      <c r="AQ234" s="736"/>
      <c r="AR234" s="736"/>
      <c r="AS234" s="736"/>
      <c r="AT234" s="736"/>
      <c r="AU234" s="736"/>
      <c r="AV234" s="736"/>
      <c r="AW234" s="736"/>
      <c r="AX234" s="736"/>
      <c r="AY234" s="736"/>
      <c r="AZ234" s="806"/>
      <c r="BA234" s="734"/>
      <c r="BB234" s="734"/>
      <c r="BC234" s="734"/>
      <c r="BD234" s="734"/>
      <c r="BE234" s="734"/>
      <c r="BF234" s="734"/>
      <c r="BG234" s="734"/>
      <c r="BH234" s="734"/>
      <c r="BI234" s="734"/>
      <c r="BJ234" s="734"/>
      <c r="BK234" s="734"/>
      <c r="BL234" s="734"/>
      <c r="BM234" s="734"/>
      <c r="BN234" s="734"/>
      <c r="BO234" s="734"/>
      <c r="BP234" s="734"/>
      <c r="BQ234" s="734"/>
      <c r="BR234" s="734"/>
      <c r="BS234" s="734"/>
      <c r="BT234" s="734"/>
      <c r="BU234" s="734"/>
      <c r="BV234" s="734"/>
      <c r="BW234" s="734"/>
      <c r="BX234" s="734"/>
      <c r="BY234" s="734"/>
      <c r="BZ234" s="734"/>
      <c r="CA234" s="734"/>
      <c r="CB234" s="734"/>
      <c r="CC234" s="734"/>
      <c r="CD234" s="734"/>
      <c r="CE234" s="734"/>
      <c r="CF234" s="734"/>
      <c r="CG234" s="734"/>
      <c r="CH234" s="734"/>
      <c r="CI234" s="734"/>
      <c r="CJ234" s="734"/>
      <c r="CK234" s="734"/>
      <c r="CL234" s="734"/>
      <c r="CM234" s="734"/>
      <c r="CN234" s="734"/>
      <c r="CO234" s="734"/>
    </row>
    <row r="235" spans="1:93" s="920" customFormat="1">
      <c r="A235" s="673"/>
      <c r="B235" s="673"/>
      <c r="C235" s="861"/>
      <c r="D235" s="861"/>
      <c r="E235" s="661" t="str">
        <f t="shared" si="101"/>
        <v/>
      </c>
      <c r="F235" s="736"/>
      <c r="G235" s="736"/>
      <c r="H235" s="736"/>
      <c r="I235" s="736"/>
      <c r="J235" s="736"/>
      <c r="K235" s="736"/>
      <c r="L235" s="736"/>
      <c r="M235" s="922"/>
      <c r="N235" s="736"/>
      <c r="O235" s="736"/>
      <c r="P235" s="736"/>
      <c r="Q235" s="736"/>
      <c r="R235" s="736"/>
      <c r="S235" s="736"/>
      <c r="T235" s="736"/>
      <c r="U235" s="736"/>
      <c r="V235" s="736"/>
      <c r="W235" s="736"/>
      <c r="X235" s="736"/>
      <c r="Y235" s="736"/>
      <c r="Z235" s="736"/>
      <c r="AA235" s="736"/>
      <c r="AB235" s="736"/>
      <c r="AC235" s="736"/>
      <c r="AD235" s="734"/>
      <c r="AE235" s="734"/>
      <c r="AF235" s="734"/>
      <c r="AG235" s="734"/>
      <c r="AH235" s="734"/>
      <c r="AI235" s="734"/>
      <c r="AJ235" s="734"/>
      <c r="AK235" s="734"/>
      <c r="AL235" s="736"/>
      <c r="AM235" s="736"/>
      <c r="AN235" s="736"/>
      <c r="AO235" s="736"/>
      <c r="AP235" s="736"/>
      <c r="AQ235" s="736"/>
      <c r="AR235" s="736"/>
      <c r="AS235" s="736"/>
      <c r="AT235" s="736"/>
      <c r="AU235" s="736"/>
      <c r="AV235" s="736"/>
      <c r="AW235" s="736"/>
      <c r="AX235" s="736"/>
      <c r="AY235" s="736"/>
      <c r="AZ235" s="806"/>
      <c r="BA235" s="734"/>
      <c r="BB235" s="734"/>
      <c r="BC235" s="734"/>
      <c r="BD235" s="734"/>
      <c r="BE235" s="734"/>
      <c r="BF235" s="734"/>
      <c r="BG235" s="734"/>
      <c r="BH235" s="734"/>
      <c r="BI235" s="734"/>
      <c r="BJ235" s="734"/>
      <c r="BK235" s="734"/>
      <c r="BL235" s="734"/>
      <c r="BM235" s="734"/>
      <c r="BN235" s="734"/>
      <c r="BO235" s="734"/>
      <c r="BP235" s="734"/>
      <c r="BQ235" s="734"/>
      <c r="BR235" s="734"/>
      <c r="BS235" s="734"/>
      <c r="BT235" s="734"/>
      <c r="BU235" s="734"/>
      <c r="BV235" s="734"/>
      <c r="BW235" s="734"/>
      <c r="BX235" s="734"/>
      <c r="BY235" s="734"/>
      <c r="BZ235" s="734"/>
      <c r="CA235" s="734"/>
      <c r="CB235" s="734"/>
      <c r="CC235" s="734"/>
      <c r="CD235" s="734"/>
      <c r="CE235" s="734"/>
      <c r="CF235" s="734"/>
      <c r="CG235" s="734"/>
      <c r="CH235" s="734"/>
      <c r="CI235" s="734"/>
      <c r="CJ235" s="734"/>
      <c r="CK235" s="734"/>
      <c r="CL235" s="734"/>
      <c r="CM235" s="734"/>
      <c r="CN235" s="734"/>
      <c r="CO235" s="734"/>
    </row>
    <row r="236" spans="1:93" s="920" customFormat="1">
      <c r="A236" s="673"/>
      <c r="B236" s="673"/>
      <c r="C236" s="861"/>
      <c r="D236" s="861"/>
      <c r="E236" s="661" t="str">
        <f t="shared" si="101"/>
        <v/>
      </c>
      <c r="F236" s="736"/>
      <c r="G236" s="736"/>
      <c r="H236" s="736"/>
      <c r="I236" s="736"/>
      <c r="J236" s="736"/>
      <c r="K236" s="736"/>
      <c r="L236" s="736"/>
      <c r="M236" s="922"/>
      <c r="N236" s="736"/>
      <c r="O236" s="736"/>
      <c r="P236" s="736"/>
      <c r="Q236" s="736"/>
      <c r="R236" s="736"/>
      <c r="S236" s="736"/>
      <c r="T236" s="736"/>
      <c r="U236" s="736"/>
      <c r="V236" s="736"/>
      <c r="W236" s="925"/>
      <c r="X236" s="662">
        <f ca="1">SUMIF(J13:J145,"&gt;0.045")</f>
        <v>0</v>
      </c>
      <c r="Y236" s="736"/>
      <c r="Z236" s="736"/>
      <c r="AA236" s="736"/>
      <c r="AB236" s="736"/>
      <c r="AC236" s="736"/>
      <c r="AD236" s="734"/>
      <c r="AE236" s="734"/>
      <c r="AF236" s="734"/>
      <c r="AG236" s="734"/>
      <c r="AH236" s="734"/>
      <c r="AI236" s="734"/>
      <c r="AJ236" s="734"/>
      <c r="AK236" s="734"/>
      <c r="AL236" s="736"/>
      <c r="AM236" s="736"/>
      <c r="AN236" s="736"/>
      <c r="AO236" s="736"/>
      <c r="AP236" s="736"/>
      <c r="AQ236" s="736"/>
      <c r="AR236" s="736"/>
      <c r="AS236" s="736"/>
      <c r="AT236" s="736"/>
      <c r="AU236" s="736"/>
      <c r="AV236" s="736"/>
      <c r="AW236" s="736"/>
      <c r="AX236" s="736"/>
      <c r="AY236" s="736"/>
      <c r="AZ236" s="806"/>
      <c r="BA236" s="734"/>
      <c r="BB236" s="734"/>
      <c r="BC236" s="734"/>
      <c r="BD236" s="734"/>
      <c r="BE236" s="734"/>
      <c r="BF236" s="734"/>
      <c r="BG236" s="734"/>
      <c r="BH236" s="734"/>
      <c r="BI236" s="734"/>
      <c r="BJ236" s="734"/>
      <c r="BK236" s="734"/>
      <c r="BL236" s="734"/>
      <c r="BM236" s="734"/>
      <c r="BN236" s="734"/>
      <c r="BO236" s="734"/>
      <c r="BP236" s="734"/>
      <c r="BQ236" s="734"/>
      <c r="BR236" s="734"/>
      <c r="BS236" s="734"/>
      <c r="BT236" s="734"/>
      <c r="BU236" s="734"/>
      <c r="BV236" s="734"/>
      <c r="BW236" s="734"/>
      <c r="BX236" s="734"/>
      <c r="BY236" s="734"/>
      <c r="BZ236" s="734"/>
      <c r="CA236" s="734"/>
      <c r="CB236" s="734"/>
      <c r="CC236" s="734"/>
      <c r="CD236" s="734"/>
      <c r="CE236" s="734"/>
      <c r="CF236" s="734"/>
      <c r="CG236" s="734"/>
      <c r="CH236" s="734"/>
      <c r="CI236" s="734"/>
      <c r="CJ236" s="734"/>
      <c r="CK236" s="734"/>
      <c r="CL236" s="734"/>
      <c r="CM236" s="734"/>
      <c r="CN236" s="734"/>
      <c r="CO236" s="734"/>
    </row>
    <row r="237" spans="1:93" s="920" customFormat="1">
      <c r="A237" s="673"/>
      <c r="B237" s="673"/>
      <c r="C237" s="861"/>
      <c r="D237" s="861"/>
      <c r="E237" s="661" t="str">
        <f t="shared" si="101"/>
        <v/>
      </c>
      <c r="F237" s="736"/>
      <c r="G237" s="736"/>
      <c r="H237" s="736"/>
      <c r="I237" s="736"/>
      <c r="J237" s="736"/>
      <c r="K237" s="736"/>
      <c r="L237" s="736"/>
      <c r="M237" s="922"/>
      <c r="N237" s="736"/>
      <c r="O237" s="736"/>
      <c r="P237" s="736"/>
      <c r="Q237" s="736"/>
      <c r="R237" s="736"/>
      <c r="S237" s="736"/>
      <c r="T237" s="736"/>
      <c r="U237" s="736"/>
      <c r="V237" s="736"/>
      <c r="W237" s="736"/>
      <c r="X237" s="736"/>
      <c r="Y237" s="736"/>
      <c r="Z237" s="736"/>
      <c r="AA237" s="736"/>
      <c r="AB237" s="736"/>
      <c r="AC237" s="736"/>
      <c r="AD237" s="734"/>
      <c r="AE237" s="734"/>
      <c r="AF237" s="734"/>
      <c r="AG237" s="734"/>
      <c r="AH237" s="734"/>
      <c r="AI237" s="734"/>
      <c r="AJ237" s="734"/>
      <c r="AK237" s="734"/>
      <c r="AL237" s="736"/>
      <c r="AM237" s="736"/>
      <c r="AN237" s="736"/>
      <c r="AO237" s="736"/>
      <c r="AP237" s="736"/>
      <c r="AQ237" s="736"/>
      <c r="AR237" s="736"/>
      <c r="AS237" s="736"/>
      <c r="AT237" s="736"/>
      <c r="AU237" s="736"/>
      <c r="AV237" s="736"/>
      <c r="AW237" s="736"/>
      <c r="AX237" s="736"/>
      <c r="AY237" s="736"/>
      <c r="AZ237" s="806"/>
      <c r="BA237" s="734"/>
      <c r="BB237" s="734"/>
      <c r="BC237" s="734"/>
      <c r="BD237" s="734"/>
      <c r="BE237" s="734"/>
      <c r="BF237" s="734"/>
      <c r="BG237" s="734"/>
      <c r="BH237" s="734"/>
      <c r="BI237" s="734"/>
      <c r="BJ237" s="734"/>
      <c r="BK237" s="734"/>
      <c r="BL237" s="734"/>
      <c r="BM237" s="734"/>
      <c r="BN237" s="734"/>
      <c r="BO237" s="734"/>
      <c r="BP237" s="734"/>
      <c r="BQ237" s="734"/>
      <c r="BR237" s="734"/>
      <c r="BS237" s="734"/>
      <c r="BT237" s="734"/>
      <c r="BU237" s="734"/>
      <c r="BV237" s="734"/>
      <c r="BW237" s="734"/>
      <c r="BX237" s="734"/>
      <c r="BY237" s="734"/>
      <c r="BZ237" s="734"/>
      <c r="CA237" s="734"/>
      <c r="CB237" s="734"/>
      <c r="CC237" s="734"/>
      <c r="CD237" s="734"/>
      <c r="CE237" s="734"/>
      <c r="CF237" s="734"/>
      <c r="CG237" s="734"/>
      <c r="CH237" s="734"/>
      <c r="CI237" s="734"/>
      <c r="CJ237" s="734"/>
      <c r="CK237" s="734"/>
      <c r="CL237" s="734"/>
      <c r="CM237" s="734"/>
      <c r="CN237" s="734"/>
      <c r="CO237" s="734"/>
    </row>
    <row r="238" spans="1:93" s="920" customFormat="1">
      <c r="A238" s="673"/>
      <c r="B238" s="673"/>
      <c r="C238" s="861"/>
      <c r="D238" s="861"/>
      <c r="E238" s="661" t="str">
        <f t="shared" si="101"/>
        <v/>
      </c>
      <c r="F238" s="736"/>
      <c r="G238" s="736"/>
      <c r="H238" s="736"/>
      <c r="I238" s="736"/>
      <c r="J238" s="736"/>
      <c r="K238" s="736"/>
      <c r="L238" s="736"/>
      <c r="M238" s="922"/>
      <c r="N238" s="736"/>
      <c r="O238" s="736"/>
      <c r="P238" s="736"/>
      <c r="Q238" s="736"/>
      <c r="R238" s="736"/>
      <c r="S238" s="736"/>
      <c r="T238" s="736"/>
      <c r="U238" s="736"/>
      <c r="V238" s="736"/>
      <c r="W238" s="736"/>
      <c r="X238" s="736"/>
      <c r="Y238" s="736"/>
      <c r="Z238" s="736"/>
      <c r="AA238" s="736"/>
      <c r="AB238" s="736"/>
      <c r="AC238" s="736"/>
      <c r="AD238" s="734"/>
      <c r="AE238" s="734"/>
      <c r="AF238" s="734"/>
      <c r="AG238" s="734"/>
      <c r="AH238" s="734"/>
      <c r="AI238" s="734"/>
      <c r="AJ238" s="734"/>
      <c r="AK238" s="734"/>
      <c r="AL238" s="736"/>
      <c r="AM238" s="736"/>
      <c r="AN238" s="736"/>
      <c r="AO238" s="736"/>
      <c r="AP238" s="736"/>
      <c r="AQ238" s="736"/>
      <c r="AR238" s="736"/>
      <c r="AS238" s="736"/>
      <c r="AT238" s="736"/>
      <c r="AU238" s="736"/>
      <c r="AV238" s="736"/>
      <c r="AW238" s="736"/>
      <c r="AX238" s="736"/>
      <c r="AY238" s="736"/>
      <c r="AZ238" s="806"/>
      <c r="BA238" s="734"/>
      <c r="BB238" s="734"/>
      <c r="BC238" s="734"/>
      <c r="BD238" s="734"/>
      <c r="BE238" s="734"/>
      <c r="BF238" s="734"/>
      <c r="BG238" s="734"/>
      <c r="BH238" s="734"/>
      <c r="BI238" s="734"/>
      <c r="BJ238" s="734"/>
      <c r="BK238" s="734"/>
      <c r="BL238" s="734"/>
      <c r="BM238" s="734"/>
      <c r="BN238" s="734"/>
      <c r="BO238" s="734"/>
      <c r="BP238" s="734"/>
      <c r="BQ238" s="734"/>
      <c r="BR238" s="734"/>
      <c r="BS238" s="734"/>
      <c r="BT238" s="734"/>
      <c r="BU238" s="734"/>
      <c r="BV238" s="734"/>
      <c r="BW238" s="734"/>
      <c r="BX238" s="734"/>
      <c r="BY238" s="734"/>
      <c r="BZ238" s="734"/>
      <c r="CA238" s="734"/>
      <c r="CB238" s="734"/>
      <c r="CC238" s="734"/>
      <c r="CD238" s="734"/>
      <c r="CE238" s="734"/>
      <c r="CF238" s="734"/>
      <c r="CG238" s="734"/>
      <c r="CH238" s="734"/>
      <c r="CI238" s="734"/>
      <c r="CJ238" s="734"/>
      <c r="CK238" s="734"/>
      <c r="CL238" s="734"/>
      <c r="CM238" s="734"/>
      <c r="CN238" s="734"/>
      <c r="CO238" s="734"/>
    </row>
    <row r="239" spans="1:93" s="920" customFormat="1">
      <c r="A239" s="673"/>
      <c r="B239" s="673"/>
      <c r="C239" s="861"/>
      <c r="D239" s="861"/>
      <c r="E239" s="661" t="str">
        <f t="shared" si="101"/>
        <v/>
      </c>
      <c r="F239" s="736"/>
      <c r="G239" s="736"/>
      <c r="H239" s="736"/>
      <c r="I239" s="736"/>
      <c r="J239" s="736"/>
      <c r="K239" s="736"/>
      <c r="L239" s="736"/>
      <c r="M239" s="922"/>
      <c r="N239" s="736"/>
      <c r="O239" s="736"/>
      <c r="P239" s="736"/>
      <c r="Q239" s="736"/>
      <c r="R239" s="736"/>
      <c r="S239" s="736"/>
      <c r="T239" s="736"/>
      <c r="U239" s="736"/>
      <c r="V239" s="736"/>
      <c r="W239" s="736"/>
      <c r="X239" s="736"/>
      <c r="Y239" s="736"/>
      <c r="Z239" s="736"/>
      <c r="AA239" s="736"/>
      <c r="AB239" s="736"/>
      <c r="AC239" s="736"/>
      <c r="AD239" s="734"/>
      <c r="AE239" s="734"/>
      <c r="AF239" s="734"/>
      <c r="AG239" s="734"/>
      <c r="AH239" s="734"/>
      <c r="AI239" s="734"/>
      <c r="AJ239" s="734"/>
      <c r="AK239" s="734"/>
      <c r="AL239" s="736"/>
      <c r="AM239" s="736"/>
      <c r="AN239" s="736"/>
      <c r="AO239" s="736"/>
      <c r="AP239" s="736"/>
      <c r="AQ239" s="736"/>
      <c r="AR239" s="736"/>
      <c r="AS239" s="736"/>
      <c r="AT239" s="736"/>
      <c r="AU239" s="736"/>
      <c r="AV239" s="736"/>
      <c r="AW239" s="736"/>
      <c r="AX239" s="736"/>
      <c r="AY239" s="736"/>
      <c r="AZ239" s="806"/>
      <c r="BA239" s="734"/>
      <c r="BB239" s="734"/>
      <c r="BC239" s="734"/>
      <c r="BD239" s="734"/>
      <c r="BE239" s="734"/>
      <c r="BF239" s="734"/>
      <c r="BG239" s="734"/>
      <c r="BH239" s="734"/>
      <c r="BI239" s="734"/>
      <c r="BJ239" s="734"/>
      <c r="BK239" s="734"/>
      <c r="BL239" s="734"/>
      <c r="BM239" s="734"/>
      <c r="BN239" s="734"/>
      <c r="BO239" s="734"/>
      <c r="BP239" s="734"/>
      <c r="BQ239" s="734"/>
      <c r="BR239" s="734"/>
      <c r="BS239" s="734"/>
      <c r="BT239" s="734"/>
      <c r="BU239" s="734"/>
      <c r="BV239" s="734"/>
      <c r="BW239" s="734"/>
      <c r="BX239" s="734"/>
      <c r="BY239" s="734"/>
      <c r="BZ239" s="734"/>
      <c r="CA239" s="734"/>
      <c r="CB239" s="734"/>
      <c r="CC239" s="734"/>
      <c r="CD239" s="734"/>
      <c r="CE239" s="734"/>
      <c r="CF239" s="734"/>
      <c r="CG239" s="734"/>
      <c r="CH239" s="734"/>
      <c r="CI239" s="734"/>
      <c r="CJ239" s="734"/>
      <c r="CK239" s="734"/>
      <c r="CL239" s="734"/>
      <c r="CM239" s="734"/>
      <c r="CN239" s="734"/>
      <c r="CO239" s="734"/>
    </row>
    <row r="240" spans="1:93" s="920" customFormat="1">
      <c r="A240" s="673"/>
      <c r="B240" s="673"/>
      <c r="C240" s="861"/>
      <c r="D240" s="861"/>
      <c r="E240" s="661" t="str">
        <f t="shared" si="101"/>
        <v/>
      </c>
      <c r="F240" s="736"/>
      <c r="G240" s="736"/>
      <c r="H240" s="736"/>
      <c r="I240" s="736"/>
      <c r="J240" s="736"/>
      <c r="K240" s="736"/>
      <c r="L240" s="736"/>
      <c r="M240" s="922"/>
      <c r="N240" s="736"/>
      <c r="O240" s="736"/>
      <c r="P240" s="736"/>
      <c r="Q240" s="736"/>
      <c r="R240" s="736"/>
      <c r="S240" s="736"/>
      <c r="T240" s="736"/>
      <c r="U240" s="736"/>
      <c r="V240" s="736"/>
      <c r="W240" s="736"/>
      <c r="X240" s="736"/>
      <c r="Y240" s="736"/>
      <c r="Z240" s="736"/>
      <c r="AA240" s="736"/>
      <c r="AB240" s="736"/>
      <c r="AC240" s="736"/>
      <c r="AD240" s="734"/>
      <c r="AE240" s="734"/>
      <c r="AF240" s="734"/>
      <c r="AG240" s="734"/>
      <c r="AH240" s="734"/>
      <c r="AI240" s="734"/>
      <c r="AJ240" s="734"/>
      <c r="AK240" s="734"/>
      <c r="AL240" s="736"/>
      <c r="AM240" s="736"/>
      <c r="AN240" s="736"/>
      <c r="AO240" s="736"/>
      <c r="AP240" s="736"/>
      <c r="AQ240" s="736"/>
      <c r="AR240" s="736"/>
      <c r="AS240" s="736"/>
      <c r="AT240" s="736"/>
      <c r="AU240" s="736"/>
      <c r="AV240" s="736"/>
      <c r="AW240" s="736"/>
      <c r="AX240" s="736"/>
      <c r="AY240" s="736"/>
      <c r="AZ240" s="806"/>
      <c r="BA240" s="734"/>
      <c r="BB240" s="734"/>
      <c r="BC240" s="734"/>
      <c r="BD240" s="734"/>
      <c r="BE240" s="734"/>
      <c r="BF240" s="734"/>
      <c r="BG240" s="734"/>
      <c r="BH240" s="734"/>
      <c r="BI240" s="734"/>
      <c r="BJ240" s="734"/>
      <c r="BK240" s="734"/>
      <c r="BL240" s="734"/>
      <c r="BM240" s="734"/>
      <c r="BN240" s="734"/>
      <c r="BO240" s="734"/>
      <c r="BP240" s="734"/>
      <c r="BQ240" s="734"/>
      <c r="BR240" s="734"/>
      <c r="BS240" s="734"/>
      <c r="BT240" s="734"/>
      <c r="BU240" s="734"/>
      <c r="BV240" s="734"/>
      <c r="BW240" s="734"/>
      <c r="BX240" s="734"/>
      <c r="BY240" s="734"/>
      <c r="BZ240" s="734"/>
      <c r="CA240" s="734"/>
      <c r="CB240" s="734"/>
      <c r="CC240" s="734"/>
      <c r="CD240" s="734"/>
      <c r="CE240" s="734"/>
      <c r="CF240" s="734"/>
      <c r="CG240" s="734"/>
      <c r="CH240" s="734"/>
      <c r="CI240" s="734"/>
      <c r="CJ240" s="734"/>
      <c r="CK240" s="734"/>
      <c r="CL240" s="734"/>
      <c r="CM240" s="734"/>
      <c r="CN240" s="734"/>
      <c r="CO240" s="734"/>
    </row>
    <row r="241" spans="1:93" s="920" customFormat="1">
      <c r="A241" s="673"/>
      <c r="B241" s="673"/>
      <c r="C241" s="861"/>
      <c r="D241" s="861"/>
      <c r="E241" s="661" t="str">
        <f t="shared" ref="E241:E304" si="102">IF(B241&gt;7%,"Alert()","")</f>
        <v/>
      </c>
      <c r="F241" s="736"/>
      <c r="G241" s="736"/>
      <c r="H241" s="736"/>
      <c r="I241" s="736"/>
      <c r="J241" s="736"/>
      <c r="K241" s="736"/>
      <c r="L241" s="736"/>
      <c r="M241" s="922"/>
      <c r="N241" s="736"/>
      <c r="O241" s="736"/>
      <c r="P241" s="736"/>
      <c r="Q241" s="736"/>
      <c r="R241" s="736"/>
      <c r="S241" s="736"/>
      <c r="T241" s="736"/>
      <c r="U241" s="736"/>
      <c r="V241" s="736"/>
      <c r="W241" s="736"/>
      <c r="X241" s="736"/>
      <c r="Y241" s="736"/>
      <c r="Z241" s="736"/>
      <c r="AA241" s="736"/>
      <c r="AB241" s="736"/>
      <c r="AC241" s="736"/>
      <c r="AD241" s="734"/>
      <c r="AE241" s="734"/>
      <c r="AF241" s="734"/>
      <c r="AG241" s="734"/>
      <c r="AH241" s="734"/>
      <c r="AI241" s="734"/>
      <c r="AJ241" s="734"/>
      <c r="AK241" s="734"/>
      <c r="AL241" s="736"/>
      <c r="AM241" s="736"/>
      <c r="AN241" s="736"/>
      <c r="AO241" s="736"/>
      <c r="AP241" s="736"/>
      <c r="AQ241" s="736"/>
      <c r="AR241" s="736"/>
      <c r="AS241" s="736"/>
      <c r="AT241" s="736"/>
      <c r="AU241" s="736"/>
      <c r="AV241" s="736"/>
      <c r="AW241" s="736"/>
      <c r="AX241" s="736"/>
      <c r="AY241" s="736"/>
      <c r="AZ241" s="806"/>
      <c r="BA241" s="734"/>
      <c r="BB241" s="734"/>
      <c r="BC241" s="734"/>
      <c r="BD241" s="734"/>
      <c r="BE241" s="734"/>
      <c r="BF241" s="734"/>
      <c r="BG241" s="734"/>
      <c r="BH241" s="734"/>
      <c r="BI241" s="734"/>
      <c r="BJ241" s="734"/>
      <c r="BK241" s="734"/>
      <c r="BL241" s="734"/>
      <c r="BM241" s="734"/>
      <c r="BN241" s="734"/>
      <c r="BO241" s="734"/>
      <c r="BP241" s="734"/>
      <c r="BQ241" s="734"/>
      <c r="BR241" s="734"/>
      <c r="BS241" s="734"/>
      <c r="BT241" s="734"/>
      <c r="BU241" s="734"/>
      <c r="BV241" s="734"/>
      <c r="BW241" s="734"/>
      <c r="BX241" s="734"/>
      <c r="BY241" s="734"/>
      <c r="BZ241" s="734"/>
      <c r="CA241" s="734"/>
      <c r="CB241" s="734"/>
      <c r="CC241" s="734"/>
      <c r="CD241" s="734"/>
      <c r="CE241" s="734"/>
      <c r="CF241" s="734"/>
      <c r="CG241" s="734"/>
      <c r="CH241" s="734"/>
      <c r="CI241" s="734"/>
      <c r="CJ241" s="734"/>
      <c r="CK241" s="734"/>
      <c r="CL241" s="734"/>
      <c r="CM241" s="734"/>
      <c r="CN241" s="734"/>
      <c r="CO241" s="734"/>
    </row>
    <row r="242" spans="1:93" s="920" customFormat="1">
      <c r="A242" s="673"/>
      <c r="B242" s="673"/>
      <c r="C242" s="861"/>
      <c r="D242" s="861"/>
      <c r="E242" s="661" t="str">
        <f t="shared" si="102"/>
        <v/>
      </c>
      <c r="F242" s="736"/>
      <c r="G242" s="736"/>
      <c r="H242" s="736"/>
      <c r="I242" s="736"/>
      <c r="J242" s="736"/>
      <c r="K242" s="736"/>
      <c r="L242" s="736"/>
      <c r="M242" s="922"/>
      <c r="N242" s="736"/>
      <c r="O242" s="736"/>
      <c r="P242" s="736"/>
      <c r="Q242" s="736"/>
      <c r="R242" s="736"/>
      <c r="S242" s="736"/>
      <c r="T242" s="736"/>
      <c r="U242" s="736"/>
      <c r="V242" s="736"/>
      <c r="W242" s="736"/>
      <c r="X242" s="736"/>
      <c r="Y242" s="736"/>
      <c r="Z242" s="736"/>
      <c r="AA242" s="736"/>
      <c r="AB242" s="736"/>
      <c r="AC242" s="736"/>
      <c r="AD242" s="734"/>
      <c r="AE242" s="734"/>
      <c r="AF242" s="734"/>
      <c r="AG242" s="734"/>
      <c r="AH242" s="734"/>
      <c r="AI242" s="734"/>
      <c r="AJ242" s="734"/>
      <c r="AK242" s="734"/>
      <c r="AL242" s="736"/>
      <c r="AM242" s="736"/>
      <c r="AN242" s="736"/>
      <c r="AO242" s="736"/>
      <c r="AP242" s="736"/>
      <c r="AQ242" s="736"/>
      <c r="AR242" s="736"/>
      <c r="AS242" s="736"/>
      <c r="AT242" s="736"/>
      <c r="AU242" s="736"/>
      <c r="AV242" s="736"/>
      <c r="AW242" s="736"/>
      <c r="AX242" s="736"/>
      <c r="AY242" s="736"/>
      <c r="AZ242" s="806"/>
      <c r="BA242" s="734"/>
      <c r="BB242" s="734"/>
      <c r="BC242" s="734"/>
      <c r="BD242" s="734"/>
      <c r="BE242" s="734"/>
      <c r="BF242" s="734"/>
      <c r="BG242" s="734"/>
      <c r="BH242" s="734"/>
      <c r="BI242" s="734"/>
      <c r="BJ242" s="734"/>
      <c r="BK242" s="734"/>
      <c r="BL242" s="734"/>
      <c r="BM242" s="734"/>
      <c r="BN242" s="734"/>
      <c r="BO242" s="734"/>
      <c r="BP242" s="734"/>
      <c r="BQ242" s="734"/>
      <c r="BR242" s="734"/>
      <c r="BS242" s="734"/>
      <c r="BT242" s="734"/>
      <c r="BU242" s="734"/>
      <c r="BV242" s="734"/>
      <c r="BW242" s="734"/>
      <c r="BX242" s="734"/>
      <c r="BY242" s="734"/>
      <c r="BZ242" s="734"/>
      <c r="CA242" s="734"/>
      <c r="CB242" s="734"/>
      <c r="CC242" s="734"/>
      <c r="CD242" s="734"/>
      <c r="CE242" s="734"/>
      <c r="CF242" s="734"/>
      <c r="CG242" s="734"/>
      <c r="CH242" s="734"/>
      <c r="CI242" s="734"/>
      <c r="CJ242" s="734"/>
      <c r="CK242" s="734"/>
      <c r="CL242" s="734"/>
      <c r="CM242" s="734"/>
      <c r="CN242" s="734"/>
      <c r="CO242" s="734"/>
    </row>
    <row r="243" spans="1:93" s="920" customFormat="1">
      <c r="A243" s="673"/>
      <c r="B243" s="673"/>
      <c r="C243" s="861"/>
      <c r="D243" s="861"/>
      <c r="E243" s="661" t="str">
        <f t="shared" si="102"/>
        <v/>
      </c>
      <c r="F243" s="736"/>
      <c r="G243" s="736"/>
      <c r="H243" s="736"/>
      <c r="I243" s="736"/>
      <c r="J243" s="736"/>
      <c r="K243" s="736"/>
      <c r="L243" s="736"/>
      <c r="M243" s="736"/>
      <c r="N243" s="736"/>
      <c r="O243" s="736"/>
      <c r="P243" s="736"/>
      <c r="Q243" s="736"/>
      <c r="R243" s="736"/>
      <c r="S243" s="736"/>
      <c r="T243" s="736"/>
      <c r="U243" s="736"/>
      <c r="V243" s="736"/>
      <c r="W243" s="736"/>
      <c r="X243" s="736"/>
      <c r="Y243" s="736"/>
      <c r="Z243" s="736"/>
      <c r="AA243" s="736"/>
      <c r="AB243" s="736"/>
      <c r="AC243" s="736"/>
      <c r="AD243" s="734"/>
      <c r="AE243" s="734"/>
      <c r="AF243" s="734"/>
      <c r="AG243" s="734"/>
      <c r="AH243" s="734"/>
      <c r="AI243" s="734"/>
      <c r="AJ243" s="734"/>
      <c r="AK243" s="734"/>
      <c r="AL243" s="736"/>
      <c r="AM243" s="736"/>
      <c r="AN243" s="736"/>
      <c r="AO243" s="736"/>
      <c r="AP243" s="736"/>
      <c r="AQ243" s="736"/>
      <c r="AR243" s="736"/>
      <c r="AS243" s="736"/>
      <c r="AT243" s="736"/>
      <c r="AU243" s="736"/>
      <c r="AV243" s="736"/>
      <c r="AW243" s="736"/>
      <c r="AX243" s="736"/>
      <c r="AY243" s="736"/>
      <c r="AZ243" s="806"/>
      <c r="BA243" s="734"/>
      <c r="BB243" s="734"/>
      <c r="BC243" s="734"/>
      <c r="BD243" s="734"/>
      <c r="BE243" s="734"/>
      <c r="BF243" s="734"/>
      <c r="BG243" s="734"/>
      <c r="BH243" s="734"/>
      <c r="BI243" s="734"/>
      <c r="BJ243" s="734"/>
      <c r="BK243" s="734"/>
      <c r="BL243" s="734"/>
      <c r="BM243" s="734"/>
      <c r="BN243" s="734"/>
      <c r="BO243" s="734"/>
      <c r="BP243" s="734"/>
      <c r="BQ243" s="734"/>
      <c r="BR243" s="734"/>
      <c r="BS243" s="734"/>
      <c r="BT243" s="734"/>
      <c r="BU243" s="734"/>
      <c r="BV243" s="734"/>
      <c r="BW243" s="734"/>
      <c r="BX243" s="734"/>
      <c r="BY243" s="734"/>
      <c r="BZ243" s="734"/>
      <c r="CA243" s="734"/>
      <c r="CB243" s="734"/>
      <c r="CC243" s="734"/>
      <c r="CD243" s="734"/>
      <c r="CE243" s="734"/>
      <c r="CF243" s="734"/>
      <c r="CG243" s="734"/>
      <c r="CH243" s="734"/>
      <c r="CI243" s="734"/>
      <c r="CJ243" s="734"/>
      <c r="CK243" s="734"/>
      <c r="CL243" s="734"/>
      <c r="CM243" s="734"/>
      <c r="CN243" s="734"/>
      <c r="CO243" s="734"/>
    </row>
    <row r="244" spans="1:93" s="920" customFormat="1">
      <c r="A244" s="673"/>
      <c r="B244" s="673"/>
      <c r="C244" s="861"/>
      <c r="D244" s="861"/>
      <c r="E244" s="661" t="str">
        <f t="shared" si="102"/>
        <v/>
      </c>
      <c r="F244" s="736"/>
      <c r="G244" s="736"/>
      <c r="H244" s="736"/>
      <c r="I244" s="736"/>
      <c r="J244" s="736"/>
      <c r="K244" s="736"/>
      <c r="L244" s="736"/>
      <c r="M244" s="736"/>
      <c r="N244" s="736"/>
      <c r="O244" s="736"/>
      <c r="P244" s="736"/>
      <c r="Q244" s="736"/>
      <c r="R244" s="736"/>
      <c r="S244" s="736"/>
      <c r="T244" s="736"/>
      <c r="U244" s="736"/>
      <c r="V244" s="736"/>
      <c r="W244" s="736"/>
      <c r="X244" s="736"/>
      <c r="Y244" s="736"/>
      <c r="Z244" s="736"/>
      <c r="AA244" s="736"/>
      <c r="AB244" s="736"/>
      <c r="AC244" s="736"/>
      <c r="AD244" s="734"/>
      <c r="AE244" s="734"/>
      <c r="AF244" s="734"/>
      <c r="AG244" s="734"/>
      <c r="AH244" s="734"/>
      <c r="AI244" s="734"/>
      <c r="AJ244" s="734"/>
      <c r="AK244" s="734"/>
      <c r="AL244" s="736"/>
      <c r="AM244" s="736"/>
      <c r="AN244" s="736"/>
      <c r="AO244" s="736"/>
      <c r="AP244" s="736"/>
      <c r="AQ244" s="736"/>
      <c r="AR244" s="736"/>
      <c r="AS244" s="736"/>
      <c r="AT244" s="736"/>
      <c r="AU244" s="736"/>
      <c r="AV244" s="736"/>
      <c r="AW244" s="736"/>
      <c r="AX244" s="736"/>
      <c r="AY244" s="736"/>
      <c r="AZ244" s="806"/>
      <c r="BA244" s="734"/>
      <c r="BB244" s="734"/>
      <c r="BC244" s="734"/>
      <c r="BD244" s="734"/>
      <c r="BE244" s="734"/>
      <c r="BF244" s="734"/>
      <c r="BG244" s="734"/>
      <c r="BH244" s="734"/>
      <c r="BI244" s="734"/>
      <c r="BJ244" s="734"/>
      <c r="BK244" s="734"/>
      <c r="BL244" s="734"/>
      <c r="BM244" s="734"/>
      <c r="BN244" s="734"/>
      <c r="BO244" s="734"/>
      <c r="BP244" s="734"/>
      <c r="BQ244" s="734"/>
      <c r="BR244" s="734"/>
      <c r="BS244" s="734"/>
      <c r="BT244" s="734"/>
      <c r="BU244" s="734"/>
      <c r="BV244" s="734"/>
      <c r="BW244" s="734"/>
      <c r="BX244" s="734"/>
      <c r="BY244" s="734"/>
      <c r="BZ244" s="734"/>
      <c r="CA244" s="734"/>
      <c r="CB244" s="734"/>
      <c r="CC244" s="734"/>
      <c r="CD244" s="734"/>
      <c r="CE244" s="734"/>
      <c r="CF244" s="734"/>
      <c r="CG244" s="734"/>
      <c r="CH244" s="734"/>
      <c r="CI244" s="734"/>
      <c r="CJ244" s="734"/>
      <c r="CK244" s="734"/>
      <c r="CL244" s="734"/>
      <c r="CM244" s="734"/>
      <c r="CN244" s="734"/>
      <c r="CO244" s="734"/>
    </row>
    <row r="245" spans="1:93" s="920" customFormat="1">
      <c r="A245" s="673"/>
      <c r="B245" s="673"/>
      <c r="C245" s="921"/>
      <c r="D245" s="921"/>
      <c r="E245" s="661" t="str">
        <f t="shared" si="102"/>
        <v/>
      </c>
      <c r="F245" s="736"/>
      <c r="G245" s="736"/>
      <c r="H245" s="736"/>
      <c r="I245" s="736"/>
      <c r="J245" s="736"/>
      <c r="K245" s="736"/>
      <c r="L245" s="736"/>
      <c r="M245" s="736"/>
      <c r="N245" s="736"/>
      <c r="O245" s="736"/>
      <c r="P245" s="736"/>
      <c r="Q245" s="736"/>
      <c r="R245" s="736"/>
      <c r="S245" s="736"/>
      <c r="T245" s="736"/>
      <c r="U245" s="736"/>
      <c r="V245" s="736"/>
      <c r="W245" s="736"/>
      <c r="X245" s="736"/>
      <c r="Y245" s="736"/>
      <c r="Z245" s="736"/>
      <c r="AA245" s="736"/>
      <c r="AB245" s="736"/>
      <c r="AC245" s="736"/>
      <c r="AD245" s="734"/>
      <c r="AE245" s="734"/>
      <c r="AF245" s="734"/>
      <c r="AG245" s="734"/>
      <c r="AH245" s="734"/>
      <c r="AI245" s="734"/>
      <c r="AJ245" s="734"/>
      <c r="AK245" s="734"/>
      <c r="AL245" s="736"/>
      <c r="AM245" s="736"/>
      <c r="AN245" s="736"/>
      <c r="AO245" s="736"/>
      <c r="AP245" s="736"/>
      <c r="AQ245" s="736"/>
      <c r="AR245" s="736"/>
      <c r="AS245" s="736"/>
      <c r="AT245" s="736"/>
      <c r="AU245" s="736"/>
      <c r="AV245" s="736"/>
      <c r="AW245" s="736"/>
      <c r="AX245" s="736"/>
      <c r="AY245" s="736"/>
      <c r="AZ245" s="806"/>
      <c r="BA245" s="734"/>
      <c r="BB245" s="734"/>
      <c r="BC245" s="734"/>
      <c r="BD245" s="734"/>
      <c r="BE245" s="734"/>
      <c r="BF245" s="734"/>
      <c r="BG245" s="734"/>
      <c r="BH245" s="734"/>
      <c r="BI245" s="734"/>
      <c r="BJ245" s="734"/>
      <c r="BK245" s="734"/>
      <c r="BL245" s="734"/>
      <c r="BM245" s="734"/>
      <c r="BN245" s="734"/>
      <c r="BO245" s="734"/>
      <c r="BP245" s="734"/>
      <c r="BQ245" s="734"/>
      <c r="BR245" s="734"/>
      <c r="BS245" s="734"/>
      <c r="BT245" s="734"/>
      <c r="BU245" s="734"/>
      <c r="BV245" s="734"/>
      <c r="BW245" s="734"/>
      <c r="BX245" s="734"/>
      <c r="BY245" s="734"/>
      <c r="BZ245" s="734"/>
      <c r="CA245" s="734"/>
      <c r="CB245" s="734"/>
      <c r="CC245" s="734"/>
      <c r="CD245" s="734"/>
      <c r="CE245" s="734"/>
      <c r="CF245" s="734"/>
      <c r="CG245" s="734"/>
      <c r="CH245" s="734"/>
      <c r="CI245" s="734"/>
      <c r="CJ245" s="734"/>
      <c r="CK245" s="734"/>
      <c r="CL245" s="734"/>
      <c r="CM245" s="734"/>
      <c r="CN245" s="734"/>
      <c r="CO245" s="734"/>
    </row>
    <row r="246" spans="1:93" s="920" customFormat="1">
      <c r="A246" s="673"/>
      <c r="B246" s="673"/>
      <c r="C246" s="861"/>
      <c r="D246" s="861"/>
      <c r="E246" s="661" t="str">
        <f t="shared" si="102"/>
        <v/>
      </c>
      <c r="F246" s="736"/>
      <c r="G246" s="736"/>
      <c r="H246" s="736"/>
      <c r="I246" s="736"/>
      <c r="J246" s="736"/>
      <c r="K246" s="736"/>
      <c r="L246" s="736"/>
      <c r="M246" s="736"/>
      <c r="N246" s="736"/>
      <c r="O246" s="736"/>
      <c r="P246" s="736"/>
      <c r="Q246" s="736"/>
      <c r="R246" s="736"/>
      <c r="S246" s="736"/>
      <c r="T246" s="736"/>
      <c r="U246" s="736"/>
      <c r="V246" s="736"/>
      <c r="W246" s="736"/>
      <c r="X246" s="736"/>
      <c r="Y246" s="736"/>
      <c r="Z246" s="736"/>
      <c r="AA246" s="736"/>
      <c r="AB246" s="736"/>
      <c r="AC246" s="736"/>
      <c r="AD246" s="734"/>
      <c r="AE246" s="734"/>
      <c r="AF246" s="734"/>
      <c r="AG246" s="734"/>
      <c r="AH246" s="734"/>
      <c r="AI246" s="734"/>
      <c r="AJ246" s="734"/>
      <c r="AK246" s="734"/>
      <c r="AL246" s="736"/>
      <c r="AM246" s="736"/>
      <c r="AN246" s="736"/>
      <c r="AO246" s="736"/>
      <c r="AP246" s="736"/>
      <c r="AQ246" s="736"/>
      <c r="AR246" s="736"/>
      <c r="AS246" s="736"/>
      <c r="AT246" s="736"/>
      <c r="AU246" s="736"/>
      <c r="AV246" s="736"/>
      <c r="AW246" s="736"/>
      <c r="AX246" s="736"/>
      <c r="AY246" s="736"/>
      <c r="AZ246" s="806"/>
      <c r="BA246" s="734"/>
      <c r="BB246" s="734"/>
      <c r="BC246" s="734"/>
      <c r="BD246" s="734"/>
      <c r="BE246" s="734"/>
      <c r="BF246" s="734"/>
      <c r="BG246" s="734"/>
      <c r="BH246" s="734"/>
      <c r="BI246" s="734"/>
      <c r="BJ246" s="734"/>
      <c r="BK246" s="734"/>
      <c r="BL246" s="734"/>
      <c r="BM246" s="734"/>
      <c r="BN246" s="734"/>
      <c r="BO246" s="734"/>
      <c r="BP246" s="734"/>
      <c r="BQ246" s="734"/>
      <c r="BR246" s="734"/>
      <c r="BS246" s="734"/>
      <c r="BT246" s="734"/>
      <c r="BU246" s="734"/>
      <c r="BV246" s="734"/>
      <c r="BW246" s="734"/>
      <c r="BX246" s="734"/>
      <c r="BY246" s="734"/>
      <c r="BZ246" s="734"/>
      <c r="CA246" s="734"/>
      <c r="CB246" s="734"/>
      <c r="CC246" s="734"/>
      <c r="CD246" s="734"/>
      <c r="CE246" s="734"/>
      <c r="CF246" s="734"/>
      <c r="CG246" s="734"/>
      <c r="CH246" s="734"/>
      <c r="CI246" s="734"/>
      <c r="CJ246" s="734"/>
      <c r="CK246" s="734"/>
      <c r="CL246" s="734"/>
      <c r="CM246" s="734"/>
      <c r="CN246" s="734"/>
      <c r="CO246" s="734"/>
    </row>
    <row r="247" spans="1:93" s="920" customFormat="1">
      <c r="A247" s="673"/>
      <c r="B247" s="673"/>
      <c r="C247" s="861"/>
      <c r="D247" s="861"/>
      <c r="E247" s="661" t="str">
        <f t="shared" si="102"/>
        <v/>
      </c>
      <c r="F247" s="736"/>
      <c r="G247" s="736"/>
      <c r="H247" s="736"/>
      <c r="I247" s="736"/>
      <c r="J247" s="736"/>
      <c r="K247" s="736"/>
      <c r="L247" s="736"/>
      <c r="M247" s="736"/>
      <c r="N247" s="736"/>
      <c r="O247" s="736"/>
      <c r="P247" s="736"/>
      <c r="Q247" s="736"/>
      <c r="R247" s="736"/>
      <c r="S247" s="736"/>
      <c r="T247" s="736"/>
      <c r="U247" s="736"/>
      <c r="V247" s="736"/>
      <c r="W247" s="736"/>
      <c r="X247" s="736"/>
      <c r="Y247" s="736"/>
      <c r="Z247" s="736"/>
      <c r="AA247" s="736"/>
      <c r="AB247" s="736"/>
      <c r="AC247" s="736"/>
      <c r="AD247" s="734"/>
      <c r="AE247" s="734"/>
      <c r="AF247" s="734"/>
      <c r="AG247" s="734"/>
      <c r="AH247" s="734"/>
      <c r="AI247" s="734"/>
      <c r="AJ247" s="734"/>
      <c r="AK247" s="734"/>
      <c r="AL247" s="736"/>
      <c r="AM247" s="736"/>
      <c r="AN247" s="736"/>
      <c r="AO247" s="736"/>
      <c r="AP247" s="736"/>
      <c r="AQ247" s="736"/>
      <c r="AR247" s="736"/>
      <c r="AS247" s="736"/>
      <c r="AT247" s="736"/>
      <c r="AU247" s="736"/>
      <c r="AV247" s="736"/>
      <c r="AW247" s="736"/>
      <c r="AX247" s="736"/>
      <c r="AY247" s="736"/>
      <c r="AZ247" s="806"/>
      <c r="BA247" s="734"/>
      <c r="BB247" s="734"/>
      <c r="BC247" s="734"/>
      <c r="BD247" s="734"/>
      <c r="BE247" s="734"/>
      <c r="BF247" s="734"/>
      <c r="BG247" s="734"/>
      <c r="BH247" s="734"/>
      <c r="BI247" s="734"/>
      <c r="BJ247" s="734"/>
      <c r="BK247" s="734"/>
      <c r="BL247" s="734"/>
      <c r="BM247" s="734"/>
      <c r="BN247" s="734"/>
      <c r="BO247" s="734"/>
      <c r="BP247" s="734"/>
      <c r="BQ247" s="734"/>
      <c r="BR247" s="734"/>
      <c r="BS247" s="734"/>
      <c r="BT247" s="734"/>
      <c r="BU247" s="734"/>
      <c r="BV247" s="734"/>
      <c r="BW247" s="734"/>
      <c r="BX247" s="734"/>
      <c r="BY247" s="734"/>
      <c r="BZ247" s="734"/>
      <c r="CA247" s="734"/>
      <c r="CB247" s="734"/>
      <c r="CC247" s="734"/>
      <c r="CD247" s="734"/>
      <c r="CE247" s="734"/>
      <c r="CF247" s="734"/>
      <c r="CG247" s="734"/>
      <c r="CH247" s="734"/>
      <c r="CI247" s="734"/>
      <c r="CJ247" s="734"/>
      <c r="CK247" s="734"/>
      <c r="CL247" s="734"/>
      <c r="CM247" s="734"/>
      <c r="CN247" s="734"/>
      <c r="CO247" s="734"/>
    </row>
    <row r="248" spans="1:93" s="920" customFormat="1">
      <c r="A248" s="673"/>
      <c r="B248" s="673"/>
      <c r="C248" s="861"/>
      <c r="D248" s="861"/>
      <c r="E248" s="661" t="str">
        <f t="shared" si="102"/>
        <v/>
      </c>
      <c r="F248" s="736"/>
      <c r="G248" s="736"/>
      <c r="H248" s="736"/>
      <c r="I248" s="736"/>
      <c r="J248" s="736"/>
      <c r="K248" s="736"/>
      <c r="L248" s="736"/>
      <c r="M248" s="736"/>
      <c r="N248" s="736"/>
      <c r="O248" s="736"/>
      <c r="P248" s="736"/>
      <c r="Q248" s="736"/>
      <c r="R248" s="736"/>
      <c r="S248" s="736"/>
      <c r="T248" s="736"/>
      <c r="U248" s="736"/>
      <c r="V248" s="736"/>
      <c r="W248" s="736"/>
      <c r="X248" s="736"/>
      <c r="Y248" s="736"/>
      <c r="Z248" s="736"/>
      <c r="AA248" s="736"/>
      <c r="AB248" s="736"/>
      <c r="AC248" s="736"/>
      <c r="AD248" s="734"/>
      <c r="AE248" s="734"/>
      <c r="AF248" s="734"/>
      <c r="AG248" s="734"/>
      <c r="AH248" s="734"/>
      <c r="AI248" s="734"/>
      <c r="AJ248" s="734"/>
      <c r="AK248" s="734"/>
      <c r="AL248" s="736"/>
      <c r="AM248" s="736"/>
      <c r="AN248" s="736"/>
      <c r="AO248" s="736"/>
      <c r="AP248" s="736"/>
      <c r="AQ248" s="736"/>
      <c r="AR248" s="736"/>
      <c r="AS248" s="736"/>
      <c r="AT248" s="736"/>
      <c r="AU248" s="736"/>
      <c r="AV248" s="736"/>
      <c r="AW248" s="736"/>
      <c r="AX248" s="736"/>
      <c r="AY248" s="736"/>
      <c r="AZ248" s="806"/>
      <c r="BA248" s="734"/>
      <c r="BB248" s="734"/>
      <c r="BC248" s="734"/>
      <c r="BD248" s="734"/>
      <c r="BE248" s="734"/>
      <c r="BF248" s="734"/>
      <c r="BG248" s="734"/>
      <c r="BH248" s="734"/>
      <c r="BI248" s="734"/>
      <c r="BJ248" s="734"/>
      <c r="BK248" s="734"/>
      <c r="BL248" s="734"/>
      <c r="BM248" s="734"/>
      <c r="BN248" s="734"/>
      <c r="BO248" s="734"/>
      <c r="BP248" s="734"/>
      <c r="BQ248" s="734"/>
      <c r="BR248" s="734"/>
      <c r="BS248" s="734"/>
      <c r="BT248" s="734"/>
      <c r="BU248" s="734"/>
      <c r="BV248" s="734"/>
      <c r="BW248" s="734"/>
      <c r="BX248" s="734"/>
      <c r="BY248" s="734"/>
      <c r="BZ248" s="734"/>
      <c r="CA248" s="734"/>
      <c r="CB248" s="734"/>
      <c r="CC248" s="734"/>
      <c r="CD248" s="734"/>
      <c r="CE248" s="734"/>
      <c r="CF248" s="734"/>
      <c r="CG248" s="734"/>
      <c r="CH248" s="734"/>
      <c r="CI248" s="734"/>
      <c r="CJ248" s="734"/>
      <c r="CK248" s="734"/>
      <c r="CL248" s="734"/>
      <c r="CM248" s="734"/>
      <c r="CN248" s="734"/>
      <c r="CO248" s="734"/>
    </row>
    <row r="249" spans="1:93" s="920" customFormat="1">
      <c r="A249" s="673"/>
      <c r="B249" s="673"/>
      <c r="C249" s="861"/>
      <c r="D249" s="861"/>
      <c r="E249" s="661" t="str">
        <f t="shared" si="102"/>
        <v/>
      </c>
      <c r="F249" s="736"/>
      <c r="G249" s="736"/>
      <c r="H249" s="736"/>
      <c r="I249" s="736"/>
      <c r="J249" s="736"/>
      <c r="K249" s="736"/>
      <c r="L249" s="736"/>
      <c r="M249" s="736"/>
      <c r="N249" s="736"/>
      <c r="O249" s="736"/>
      <c r="P249" s="736"/>
      <c r="Q249" s="736"/>
      <c r="R249" s="736"/>
      <c r="S249" s="736"/>
      <c r="T249" s="736"/>
      <c r="U249" s="736"/>
      <c r="V249" s="736"/>
      <c r="W249" s="736"/>
      <c r="X249" s="736"/>
      <c r="Y249" s="736"/>
      <c r="Z249" s="736"/>
      <c r="AA249" s="736"/>
      <c r="AB249" s="736"/>
      <c r="AC249" s="736"/>
      <c r="AD249" s="734"/>
      <c r="AE249" s="734"/>
      <c r="AF249" s="734"/>
      <c r="AG249" s="734"/>
      <c r="AH249" s="734"/>
      <c r="AI249" s="734"/>
      <c r="AJ249" s="734"/>
      <c r="AK249" s="734"/>
      <c r="AL249" s="736"/>
      <c r="AM249" s="736"/>
      <c r="AN249" s="736"/>
      <c r="AO249" s="736"/>
      <c r="AP249" s="736"/>
      <c r="AQ249" s="736"/>
      <c r="AR249" s="736"/>
      <c r="AS249" s="736"/>
      <c r="AT249" s="736"/>
      <c r="AU249" s="736"/>
      <c r="AV249" s="736"/>
      <c r="AW249" s="736"/>
      <c r="AX249" s="736"/>
      <c r="AY249" s="736"/>
      <c r="AZ249" s="806"/>
      <c r="BA249" s="734"/>
      <c r="BB249" s="734"/>
      <c r="BC249" s="734"/>
      <c r="BD249" s="734"/>
      <c r="BE249" s="734"/>
      <c r="BF249" s="734"/>
      <c r="BG249" s="734"/>
      <c r="BH249" s="734"/>
      <c r="BI249" s="734"/>
      <c r="BJ249" s="734"/>
      <c r="BK249" s="734"/>
      <c r="BL249" s="734"/>
      <c r="BM249" s="734"/>
      <c r="BN249" s="734"/>
      <c r="BO249" s="734"/>
      <c r="BP249" s="734"/>
      <c r="BQ249" s="734"/>
      <c r="BR249" s="734"/>
      <c r="BS249" s="734"/>
      <c r="BT249" s="734"/>
      <c r="BU249" s="734"/>
      <c r="BV249" s="734"/>
      <c r="BW249" s="734"/>
      <c r="BX249" s="734"/>
      <c r="BY249" s="734"/>
      <c r="BZ249" s="734"/>
      <c r="CA249" s="734"/>
      <c r="CB249" s="734"/>
      <c r="CC249" s="734"/>
      <c r="CD249" s="734"/>
      <c r="CE249" s="734"/>
      <c r="CF249" s="734"/>
      <c r="CG249" s="734"/>
      <c r="CH249" s="734"/>
      <c r="CI249" s="734"/>
      <c r="CJ249" s="734"/>
      <c r="CK249" s="734"/>
      <c r="CL249" s="734"/>
      <c r="CM249" s="734"/>
      <c r="CN249" s="734"/>
      <c r="CO249" s="734"/>
    </row>
    <row r="250" spans="1:93" s="920" customFormat="1">
      <c r="A250" s="673"/>
      <c r="B250" s="673"/>
      <c r="C250" s="861"/>
      <c r="D250" s="861"/>
      <c r="E250" s="661" t="str">
        <f t="shared" si="102"/>
        <v/>
      </c>
      <c r="F250" s="736"/>
      <c r="G250" s="736"/>
      <c r="H250" s="736"/>
      <c r="I250" s="736"/>
      <c r="J250" s="736"/>
      <c r="K250" s="736"/>
      <c r="L250" s="736"/>
      <c r="M250" s="736"/>
      <c r="N250" s="736"/>
      <c r="O250" s="736"/>
      <c r="P250" s="736"/>
      <c r="Q250" s="736"/>
      <c r="R250" s="736"/>
      <c r="S250" s="736"/>
      <c r="T250" s="736"/>
      <c r="U250" s="736"/>
      <c r="V250" s="736"/>
      <c r="W250" s="736"/>
      <c r="X250" s="736"/>
      <c r="Y250" s="736"/>
      <c r="Z250" s="736"/>
      <c r="AA250" s="736"/>
      <c r="AB250" s="736"/>
      <c r="AC250" s="736"/>
      <c r="AD250" s="734"/>
      <c r="AE250" s="734"/>
      <c r="AF250" s="734"/>
      <c r="AG250" s="734"/>
      <c r="AH250" s="734"/>
      <c r="AI250" s="734"/>
      <c r="AJ250" s="734"/>
      <c r="AK250" s="734"/>
      <c r="AL250" s="736"/>
      <c r="AM250" s="736"/>
      <c r="AN250" s="736"/>
      <c r="AO250" s="736"/>
      <c r="AP250" s="736"/>
      <c r="AQ250" s="736"/>
      <c r="AR250" s="736"/>
      <c r="AS250" s="736"/>
      <c r="AT250" s="736"/>
      <c r="AU250" s="736"/>
      <c r="AV250" s="736"/>
      <c r="AW250" s="736"/>
      <c r="AX250" s="736"/>
      <c r="AY250" s="736"/>
      <c r="AZ250" s="806"/>
      <c r="BA250" s="734"/>
      <c r="BB250" s="734"/>
      <c r="BC250" s="734"/>
      <c r="BD250" s="734"/>
      <c r="BE250" s="734"/>
      <c r="BF250" s="734"/>
      <c r="BG250" s="734"/>
      <c r="BH250" s="734"/>
      <c r="BI250" s="734"/>
      <c r="BJ250" s="734"/>
      <c r="BK250" s="734"/>
      <c r="BL250" s="734"/>
      <c r="BM250" s="734"/>
      <c r="BN250" s="734"/>
      <c r="BO250" s="734"/>
      <c r="BP250" s="734"/>
      <c r="BQ250" s="734"/>
      <c r="BR250" s="734"/>
      <c r="BS250" s="734"/>
      <c r="BT250" s="734"/>
      <c r="BU250" s="734"/>
      <c r="BV250" s="734"/>
      <c r="BW250" s="734"/>
      <c r="BX250" s="734"/>
      <c r="BY250" s="734"/>
      <c r="BZ250" s="734"/>
      <c r="CA250" s="734"/>
      <c r="CB250" s="734"/>
      <c r="CC250" s="734"/>
      <c r="CD250" s="734"/>
      <c r="CE250" s="734"/>
      <c r="CF250" s="734"/>
      <c r="CG250" s="734"/>
      <c r="CH250" s="734"/>
      <c r="CI250" s="734"/>
      <c r="CJ250" s="734"/>
      <c r="CK250" s="734"/>
      <c r="CL250" s="734"/>
      <c r="CM250" s="734"/>
      <c r="CN250" s="734"/>
      <c r="CO250" s="734"/>
    </row>
    <row r="251" spans="1:93" s="920" customFormat="1">
      <c r="A251" s="673"/>
      <c r="B251" s="673"/>
      <c r="C251" s="861"/>
      <c r="D251" s="861"/>
      <c r="E251" s="661" t="str">
        <f t="shared" si="102"/>
        <v/>
      </c>
      <c r="F251" s="736"/>
      <c r="G251" s="736"/>
      <c r="H251" s="736"/>
      <c r="I251" s="736"/>
      <c r="J251" s="736"/>
      <c r="K251" s="736"/>
      <c r="L251" s="736"/>
      <c r="M251" s="736"/>
      <c r="N251" s="736"/>
      <c r="O251" s="736"/>
      <c r="P251" s="736"/>
      <c r="Q251" s="736"/>
      <c r="R251" s="736"/>
      <c r="S251" s="736"/>
      <c r="T251" s="736"/>
      <c r="U251" s="736"/>
      <c r="V251" s="736"/>
      <c r="W251" s="736"/>
      <c r="X251" s="736"/>
      <c r="Y251" s="736"/>
      <c r="Z251" s="736"/>
      <c r="AA251" s="736"/>
      <c r="AB251" s="736"/>
      <c r="AC251" s="736"/>
      <c r="AD251" s="734"/>
      <c r="AE251" s="734"/>
      <c r="AF251" s="734"/>
      <c r="AG251" s="734"/>
      <c r="AH251" s="734"/>
      <c r="AI251" s="734"/>
      <c r="AJ251" s="734"/>
      <c r="AK251" s="734"/>
      <c r="AL251" s="736"/>
      <c r="AM251" s="736"/>
      <c r="AN251" s="736"/>
      <c r="AO251" s="736"/>
      <c r="AP251" s="736"/>
      <c r="AQ251" s="736"/>
      <c r="AR251" s="736"/>
      <c r="AS251" s="736"/>
      <c r="AT251" s="736"/>
      <c r="AU251" s="736"/>
      <c r="AV251" s="736"/>
      <c r="AW251" s="736"/>
      <c r="AX251" s="736"/>
      <c r="AY251" s="736"/>
      <c r="AZ251" s="806"/>
      <c r="BA251" s="734"/>
      <c r="BB251" s="734"/>
      <c r="BC251" s="734"/>
      <c r="BD251" s="734"/>
      <c r="BE251" s="734"/>
      <c r="BF251" s="734"/>
      <c r="BG251" s="734"/>
      <c r="BH251" s="734"/>
      <c r="BI251" s="734"/>
      <c r="BJ251" s="734"/>
      <c r="BK251" s="734"/>
      <c r="BL251" s="734"/>
      <c r="BM251" s="734"/>
      <c r="BN251" s="734"/>
      <c r="BO251" s="734"/>
      <c r="BP251" s="734"/>
      <c r="BQ251" s="734"/>
      <c r="BR251" s="734"/>
      <c r="BS251" s="734"/>
      <c r="BT251" s="734"/>
      <c r="BU251" s="734"/>
      <c r="BV251" s="734"/>
      <c r="BW251" s="734"/>
      <c r="BX251" s="734"/>
      <c r="BY251" s="734"/>
      <c r="BZ251" s="734"/>
      <c r="CA251" s="734"/>
      <c r="CB251" s="734"/>
      <c r="CC251" s="734"/>
      <c r="CD251" s="734"/>
      <c r="CE251" s="734"/>
      <c r="CF251" s="734"/>
      <c r="CG251" s="734"/>
      <c r="CH251" s="734"/>
      <c r="CI251" s="734"/>
      <c r="CJ251" s="734"/>
      <c r="CK251" s="734"/>
      <c r="CL251" s="734"/>
      <c r="CM251" s="734"/>
      <c r="CN251" s="734"/>
      <c r="CO251" s="734"/>
    </row>
    <row r="252" spans="1:93" s="920" customFormat="1">
      <c r="A252" s="673"/>
      <c r="B252" s="673"/>
      <c r="C252" s="861"/>
      <c r="D252" s="861"/>
      <c r="E252" s="661" t="str">
        <f t="shared" si="102"/>
        <v/>
      </c>
      <c r="F252" s="736"/>
      <c r="G252" s="736"/>
      <c r="H252" s="736"/>
      <c r="I252" s="736"/>
      <c r="J252" s="736"/>
      <c r="K252" s="736"/>
      <c r="L252" s="736"/>
      <c r="M252" s="736"/>
      <c r="N252" s="736"/>
      <c r="O252" s="736"/>
      <c r="P252" s="736"/>
      <c r="Q252" s="736"/>
      <c r="R252" s="736"/>
      <c r="S252" s="736"/>
      <c r="T252" s="736"/>
      <c r="U252" s="736"/>
      <c r="V252" s="736"/>
      <c r="W252" s="736"/>
      <c r="X252" s="736"/>
      <c r="Y252" s="736"/>
      <c r="Z252" s="736"/>
      <c r="AA252" s="736"/>
      <c r="AB252" s="736"/>
      <c r="AC252" s="736"/>
      <c r="AD252" s="734"/>
      <c r="AE252" s="734"/>
      <c r="AF252" s="734"/>
      <c r="AG252" s="734"/>
      <c r="AH252" s="734"/>
      <c r="AI252" s="734"/>
      <c r="AJ252" s="734"/>
      <c r="AK252" s="734"/>
      <c r="AL252" s="736"/>
      <c r="AM252" s="736"/>
      <c r="AN252" s="736"/>
      <c r="AO252" s="736"/>
      <c r="AP252" s="736"/>
      <c r="AQ252" s="736"/>
      <c r="AR252" s="736"/>
      <c r="AS252" s="736"/>
      <c r="AT252" s="736"/>
      <c r="AU252" s="736"/>
      <c r="AV252" s="736"/>
      <c r="AW252" s="736"/>
      <c r="AX252" s="736"/>
      <c r="AY252" s="736"/>
      <c r="AZ252" s="806"/>
      <c r="BA252" s="734"/>
      <c r="BB252" s="734"/>
      <c r="BC252" s="734"/>
      <c r="BD252" s="734"/>
      <c r="BE252" s="734"/>
      <c r="BF252" s="734"/>
      <c r="BG252" s="734"/>
      <c r="BH252" s="734"/>
      <c r="BI252" s="734"/>
      <c r="BJ252" s="734"/>
      <c r="BK252" s="734"/>
      <c r="BL252" s="734"/>
      <c r="BM252" s="734"/>
      <c r="BN252" s="734"/>
      <c r="BO252" s="734"/>
      <c r="BP252" s="734"/>
      <c r="BQ252" s="734"/>
      <c r="BR252" s="734"/>
      <c r="BS252" s="734"/>
      <c r="BT252" s="734"/>
      <c r="BU252" s="734"/>
      <c r="BV252" s="734"/>
      <c r="BW252" s="734"/>
      <c r="BX252" s="734"/>
      <c r="BY252" s="734"/>
      <c r="BZ252" s="734"/>
      <c r="CA252" s="734"/>
      <c r="CB252" s="734"/>
      <c r="CC252" s="734"/>
      <c r="CD252" s="734"/>
      <c r="CE252" s="734"/>
      <c r="CF252" s="734"/>
      <c r="CG252" s="734"/>
      <c r="CH252" s="734"/>
      <c r="CI252" s="734"/>
      <c r="CJ252" s="734"/>
      <c r="CK252" s="734"/>
      <c r="CL252" s="734"/>
      <c r="CM252" s="734"/>
      <c r="CN252" s="734"/>
      <c r="CO252" s="734"/>
    </row>
    <row r="253" spans="1:93" s="920" customFormat="1">
      <c r="A253" s="673"/>
      <c r="B253" s="673"/>
      <c r="C253" s="861"/>
      <c r="D253" s="861"/>
      <c r="E253" s="661" t="str">
        <f t="shared" si="102"/>
        <v/>
      </c>
      <c r="F253" s="736"/>
      <c r="G253" s="736"/>
      <c r="H253" s="736"/>
      <c r="I253" s="736"/>
      <c r="J253" s="736"/>
      <c r="K253" s="736"/>
      <c r="L253" s="736"/>
      <c r="M253" s="736"/>
      <c r="N253" s="736"/>
      <c r="O253" s="736"/>
      <c r="P253" s="736"/>
      <c r="Q253" s="736"/>
      <c r="R253" s="736"/>
      <c r="S253" s="736"/>
      <c r="T253" s="736"/>
      <c r="U253" s="736"/>
      <c r="V253" s="736"/>
      <c r="W253" s="736"/>
      <c r="X253" s="736"/>
      <c r="Y253" s="736"/>
      <c r="Z253" s="736"/>
      <c r="AA253" s="736"/>
      <c r="AB253" s="736"/>
      <c r="AC253" s="736"/>
      <c r="AD253" s="734"/>
      <c r="AE253" s="734"/>
      <c r="AF253" s="734"/>
      <c r="AG253" s="734"/>
      <c r="AH253" s="734"/>
      <c r="AI253" s="734"/>
      <c r="AJ253" s="734"/>
      <c r="AK253" s="734"/>
      <c r="AL253" s="736"/>
      <c r="AM253" s="736"/>
      <c r="AN253" s="736"/>
      <c r="AO253" s="736"/>
      <c r="AP253" s="736"/>
      <c r="AQ253" s="736"/>
      <c r="AR253" s="736"/>
      <c r="AS253" s="736"/>
      <c r="AT253" s="736"/>
      <c r="AU253" s="736"/>
      <c r="AV253" s="736"/>
      <c r="AW253" s="736"/>
      <c r="AX253" s="736"/>
      <c r="AY253" s="736"/>
      <c r="AZ253" s="806"/>
      <c r="BA253" s="734"/>
      <c r="BB253" s="734"/>
      <c r="BC253" s="734"/>
      <c r="BD253" s="734"/>
      <c r="BE253" s="734"/>
      <c r="BF253" s="734"/>
      <c r="BG253" s="734"/>
      <c r="BH253" s="734"/>
      <c r="BI253" s="734"/>
      <c r="BJ253" s="734"/>
      <c r="BK253" s="734"/>
      <c r="BL253" s="734"/>
      <c r="BM253" s="734"/>
      <c r="BN253" s="734"/>
      <c r="BO253" s="734"/>
      <c r="BP253" s="734"/>
      <c r="BQ253" s="734"/>
      <c r="BR253" s="734"/>
      <c r="BS253" s="734"/>
      <c r="BT253" s="734"/>
      <c r="BU253" s="734"/>
      <c r="BV253" s="734"/>
      <c r="BW253" s="734"/>
      <c r="BX253" s="734"/>
      <c r="BY253" s="734"/>
      <c r="BZ253" s="734"/>
      <c r="CA253" s="734"/>
      <c r="CB253" s="734"/>
      <c r="CC253" s="734"/>
      <c r="CD253" s="734"/>
      <c r="CE253" s="734"/>
      <c r="CF253" s="734"/>
      <c r="CG253" s="734"/>
      <c r="CH253" s="734"/>
      <c r="CI253" s="734"/>
      <c r="CJ253" s="734"/>
      <c r="CK253" s="734"/>
      <c r="CL253" s="734"/>
      <c r="CM253" s="734"/>
      <c r="CN253" s="734"/>
      <c r="CO253" s="734"/>
    </row>
    <row r="254" spans="1:93" s="920" customFormat="1">
      <c r="A254" s="673"/>
      <c r="B254" s="673"/>
      <c r="C254" s="861"/>
      <c r="D254" s="861"/>
      <c r="E254" s="661" t="str">
        <f t="shared" si="102"/>
        <v/>
      </c>
      <c r="F254" s="736"/>
      <c r="G254" s="736"/>
      <c r="H254" s="736"/>
      <c r="I254" s="736"/>
      <c r="J254" s="736"/>
      <c r="K254" s="736"/>
      <c r="L254" s="736"/>
      <c r="M254" s="736"/>
      <c r="N254" s="736"/>
      <c r="O254" s="736"/>
      <c r="P254" s="736"/>
      <c r="Q254" s="736"/>
      <c r="R254" s="736"/>
      <c r="S254" s="736"/>
      <c r="T254" s="736"/>
      <c r="U254" s="736"/>
      <c r="V254" s="736"/>
      <c r="W254" s="736"/>
      <c r="X254" s="736"/>
      <c r="Y254" s="736"/>
      <c r="Z254" s="736"/>
      <c r="AA254" s="736"/>
      <c r="AB254" s="736"/>
      <c r="AC254" s="736"/>
      <c r="AD254" s="734"/>
      <c r="AE254" s="734"/>
      <c r="AF254" s="734"/>
      <c r="AG254" s="734"/>
      <c r="AH254" s="734"/>
      <c r="AI254" s="734"/>
      <c r="AJ254" s="734"/>
      <c r="AK254" s="734"/>
      <c r="AL254" s="736"/>
      <c r="AM254" s="736"/>
      <c r="AN254" s="736"/>
      <c r="AO254" s="736"/>
      <c r="AP254" s="736"/>
      <c r="AQ254" s="736"/>
      <c r="AR254" s="736"/>
      <c r="AS254" s="736"/>
      <c r="AT254" s="736"/>
      <c r="AU254" s="736"/>
      <c r="AV254" s="736"/>
      <c r="AW254" s="736"/>
      <c r="AX254" s="736"/>
      <c r="AY254" s="736"/>
      <c r="AZ254" s="806"/>
      <c r="BA254" s="734"/>
      <c r="BB254" s="734"/>
      <c r="BC254" s="734"/>
      <c r="BD254" s="734"/>
      <c r="BE254" s="734"/>
      <c r="BF254" s="734"/>
      <c r="BG254" s="734"/>
      <c r="BH254" s="734"/>
      <c r="BI254" s="734"/>
      <c r="BJ254" s="734"/>
      <c r="BK254" s="734"/>
      <c r="BL254" s="734"/>
      <c r="BM254" s="734"/>
      <c r="BN254" s="734"/>
      <c r="BO254" s="734"/>
      <c r="BP254" s="734"/>
      <c r="BQ254" s="734"/>
      <c r="BR254" s="734"/>
      <c r="BS254" s="734"/>
      <c r="BT254" s="734"/>
      <c r="BU254" s="734"/>
      <c r="BV254" s="734"/>
      <c r="BW254" s="734"/>
      <c r="BX254" s="734"/>
      <c r="BY254" s="734"/>
      <c r="BZ254" s="734"/>
      <c r="CA254" s="734"/>
      <c r="CB254" s="734"/>
      <c r="CC254" s="734"/>
      <c r="CD254" s="734"/>
      <c r="CE254" s="734"/>
      <c r="CF254" s="734"/>
      <c r="CG254" s="734"/>
      <c r="CH254" s="734"/>
      <c r="CI254" s="734"/>
      <c r="CJ254" s="734"/>
      <c r="CK254" s="734"/>
      <c r="CL254" s="734"/>
      <c r="CM254" s="734"/>
      <c r="CN254" s="734"/>
      <c r="CO254" s="734"/>
    </row>
    <row r="255" spans="1:93" s="920" customFormat="1">
      <c r="A255" s="673"/>
      <c r="B255" s="673"/>
      <c r="C255" s="861"/>
      <c r="D255" s="861"/>
      <c r="E255" s="661" t="str">
        <f t="shared" si="102"/>
        <v/>
      </c>
      <c r="F255" s="736"/>
      <c r="G255" s="736"/>
      <c r="H255" s="736"/>
      <c r="I255" s="736"/>
      <c r="J255" s="736"/>
      <c r="K255" s="736"/>
      <c r="L255" s="736"/>
      <c r="M255" s="736"/>
      <c r="N255" s="736"/>
      <c r="O255" s="736"/>
      <c r="P255" s="736"/>
      <c r="Q255" s="736"/>
      <c r="R255" s="736"/>
      <c r="S255" s="736"/>
      <c r="T255" s="736"/>
      <c r="U255" s="736"/>
      <c r="V255" s="736"/>
      <c r="W255" s="736"/>
      <c r="X255" s="736"/>
      <c r="Y255" s="736"/>
      <c r="Z255" s="736"/>
      <c r="AA255" s="736"/>
      <c r="AB255" s="736"/>
      <c r="AC255" s="736"/>
      <c r="AD255" s="734"/>
      <c r="AE255" s="734"/>
      <c r="AF255" s="734"/>
      <c r="AG255" s="734"/>
      <c r="AH255" s="734"/>
      <c r="AI255" s="734"/>
      <c r="AJ255" s="734"/>
      <c r="AK255" s="734"/>
      <c r="AL255" s="736"/>
      <c r="AM255" s="736"/>
      <c r="AN255" s="736"/>
      <c r="AO255" s="736"/>
      <c r="AP255" s="736"/>
      <c r="AQ255" s="736"/>
      <c r="AR255" s="736"/>
      <c r="AS255" s="736"/>
      <c r="AT255" s="736"/>
      <c r="AU255" s="736"/>
      <c r="AV255" s="736"/>
      <c r="AW255" s="736"/>
      <c r="AX255" s="736"/>
      <c r="AY255" s="736"/>
      <c r="AZ255" s="806"/>
      <c r="BA255" s="734"/>
      <c r="BB255" s="734"/>
      <c r="BC255" s="734"/>
      <c r="BD255" s="734"/>
      <c r="BE255" s="734"/>
      <c r="BF255" s="734"/>
      <c r="BG255" s="734"/>
      <c r="BH255" s="734"/>
      <c r="BI255" s="734"/>
      <c r="BJ255" s="734"/>
      <c r="BK255" s="734"/>
      <c r="BL255" s="734"/>
      <c r="BM255" s="734"/>
      <c r="BN255" s="734"/>
      <c r="BO255" s="734"/>
      <c r="BP255" s="734"/>
      <c r="BQ255" s="734"/>
      <c r="BR255" s="734"/>
      <c r="BS255" s="734"/>
      <c r="BT255" s="734"/>
      <c r="BU255" s="734"/>
      <c r="BV255" s="734"/>
      <c r="BW255" s="734"/>
      <c r="BX255" s="734"/>
      <c r="BY255" s="734"/>
      <c r="BZ255" s="734"/>
      <c r="CA255" s="734"/>
      <c r="CB255" s="734"/>
      <c r="CC255" s="734"/>
      <c r="CD255" s="734"/>
      <c r="CE255" s="734"/>
      <c r="CF255" s="734"/>
      <c r="CG255" s="734"/>
      <c r="CH255" s="734"/>
      <c r="CI255" s="734"/>
      <c r="CJ255" s="734"/>
      <c r="CK255" s="734"/>
      <c r="CL255" s="734"/>
      <c r="CM255" s="734"/>
      <c r="CN255" s="734"/>
      <c r="CO255" s="734"/>
    </row>
    <row r="256" spans="1:93" s="920" customFormat="1">
      <c r="A256" s="673"/>
      <c r="B256" s="673"/>
      <c r="C256" s="861"/>
      <c r="D256" s="861"/>
      <c r="E256" s="661" t="str">
        <f t="shared" si="102"/>
        <v/>
      </c>
      <c r="F256" s="736"/>
      <c r="G256" s="736"/>
      <c r="H256" s="736"/>
      <c r="I256" s="736"/>
      <c r="J256" s="736"/>
      <c r="K256" s="736"/>
      <c r="L256" s="736"/>
      <c r="M256" s="736"/>
      <c r="N256" s="736"/>
      <c r="O256" s="736"/>
      <c r="P256" s="736"/>
      <c r="Q256" s="736"/>
      <c r="R256" s="736"/>
      <c r="S256" s="736"/>
      <c r="T256" s="736"/>
      <c r="U256" s="736"/>
      <c r="V256" s="736"/>
      <c r="W256" s="736"/>
      <c r="X256" s="736"/>
      <c r="Y256" s="736"/>
      <c r="Z256" s="736"/>
      <c r="AA256" s="736"/>
      <c r="AB256" s="736"/>
      <c r="AC256" s="736"/>
      <c r="AD256" s="734"/>
      <c r="AE256" s="734"/>
      <c r="AF256" s="734"/>
      <c r="AG256" s="734"/>
      <c r="AH256" s="734"/>
      <c r="AI256" s="734"/>
      <c r="AJ256" s="734"/>
      <c r="AK256" s="734"/>
      <c r="AL256" s="736"/>
      <c r="AM256" s="736"/>
      <c r="AN256" s="736"/>
      <c r="AO256" s="736"/>
      <c r="AP256" s="736"/>
      <c r="AQ256" s="736"/>
      <c r="AR256" s="736"/>
      <c r="AS256" s="736"/>
      <c r="AT256" s="736"/>
      <c r="AU256" s="736"/>
      <c r="AV256" s="736"/>
      <c r="AW256" s="736"/>
      <c r="AX256" s="736"/>
      <c r="AY256" s="736"/>
      <c r="AZ256" s="806"/>
      <c r="BA256" s="734"/>
      <c r="BB256" s="734"/>
      <c r="BC256" s="734"/>
      <c r="BD256" s="734"/>
      <c r="BE256" s="734"/>
      <c r="BF256" s="734"/>
      <c r="BG256" s="734"/>
      <c r="BH256" s="734"/>
      <c r="BI256" s="734"/>
      <c r="BJ256" s="734"/>
      <c r="BK256" s="734"/>
      <c r="BL256" s="734"/>
      <c r="BM256" s="734"/>
      <c r="BN256" s="734"/>
      <c r="BO256" s="734"/>
      <c r="BP256" s="734"/>
      <c r="BQ256" s="734"/>
      <c r="BR256" s="734"/>
      <c r="BS256" s="734"/>
      <c r="BT256" s="734"/>
      <c r="BU256" s="734"/>
      <c r="BV256" s="734"/>
      <c r="BW256" s="734"/>
      <c r="BX256" s="734"/>
      <c r="BY256" s="734"/>
      <c r="BZ256" s="734"/>
      <c r="CA256" s="734"/>
      <c r="CB256" s="734"/>
      <c r="CC256" s="734"/>
      <c r="CD256" s="734"/>
      <c r="CE256" s="734"/>
      <c r="CF256" s="734"/>
      <c r="CG256" s="734"/>
      <c r="CH256" s="734"/>
      <c r="CI256" s="734"/>
      <c r="CJ256" s="734"/>
      <c r="CK256" s="734"/>
      <c r="CL256" s="734"/>
      <c r="CM256" s="734"/>
      <c r="CN256" s="734"/>
      <c r="CO256" s="734"/>
    </row>
    <row r="257" spans="1:93" s="920" customFormat="1">
      <c r="A257" s="673"/>
      <c r="B257" s="673"/>
      <c r="C257" s="921"/>
      <c r="D257" s="921"/>
      <c r="E257" s="661" t="str">
        <f t="shared" si="102"/>
        <v/>
      </c>
      <c r="F257" s="736"/>
      <c r="G257" s="736"/>
      <c r="H257" s="736"/>
      <c r="I257" s="736"/>
      <c r="J257" s="736"/>
      <c r="K257" s="736"/>
      <c r="L257" s="736"/>
      <c r="M257" s="736"/>
      <c r="N257" s="736"/>
      <c r="O257" s="736"/>
      <c r="P257" s="736"/>
      <c r="Q257" s="736"/>
      <c r="R257" s="736"/>
      <c r="S257" s="736"/>
      <c r="T257" s="736"/>
      <c r="U257" s="736"/>
      <c r="V257" s="736"/>
      <c r="W257" s="736"/>
      <c r="X257" s="736"/>
      <c r="Y257" s="736"/>
      <c r="Z257" s="736"/>
      <c r="AA257" s="736"/>
      <c r="AB257" s="736"/>
      <c r="AC257" s="736"/>
      <c r="AD257" s="734"/>
      <c r="AE257" s="734"/>
      <c r="AF257" s="734"/>
      <c r="AG257" s="734"/>
      <c r="AH257" s="734"/>
      <c r="AI257" s="734"/>
      <c r="AJ257" s="734"/>
      <c r="AK257" s="734"/>
      <c r="AL257" s="736"/>
      <c r="AM257" s="736"/>
      <c r="AN257" s="736"/>
      <c r="AO257" s="736"/>
      <c r="AP257" s="736"/>
      <c r="AQ257" s="736"/>
      <c r="AR257" s="736"/>
      <c r="AS257" s="736"/>
      <c r="AT257" s="736"/>
      <c r="AU257" s="736"/>
      <c r="AV257" s="736"/>
      <c r="AW257" s="736"/>
      <c r="AX257" s="736"/>
      <c r="AY257" s="736"/>
      <c r="AZ257" s="806"/>
      <c r="BA257" s="734"/>
      <c r="BB257" s="734"/>
      <c r="BC257" s="734"/>
      <c r="BD257" s="734"/>
      <c r="BE257" s="734"/>
      <c r="BF257" s="734"/>
      <c r="BG257" s="734"/>
      <c r="BH257" s="734"/>
      <c r="BI257" s="734"/>
      <c r="BJ257" s="734"/>
      <c r="BK257" s="734"/>
      <c r="BL257" s="734"/>
      <c r="BM257" s="734"/>
      <c r="BN257" s="734"/>
      <c r="BO257" s="734"/>
      <c r="BP257" s="734"/>
      <c r="BQ257" s="734"/>
      <c r="BR257" s="734"/>
      <c r="BS257" s="734"/>
      <c r="BT257" s="734"/>
      <c r="BU257" s="734"/>
      <c r="BV257" s="734"/>
      <c r="BW257" s="734"/>
      <c r="BX257" s="734"/>
      <c r="BY257" s="734"/>
      <c r="BZ257" s="734"/>
      <c r="CA257" s="734"/>
      <c r="CB257" s="734"/>
      <c r="CC257" s="734"/>
      <c r="CD257" s="734"/>
      <c r="CE257" s="734"/>
      <c r="CF257" s="734"/>
      <c r="CG257" s="734"/>
      <c r="CH257" s="734"/>
      <c r="CI257" s="734"/>
      <c r="CJ257" s="734"/>
      <c r="CK257" s="734"/>
      <c r="CL257" s="734"/>
      <c r="CM257" s="734"/>
      <c r="CN257" s="734"/>
      <c r="CO257" s="734"/>
    </row>
    <row r="258" spans="1:93" s="920" customFormat="1">
      <c r="A258" s="673"/>
      <c r="B258" s="673"/>
      <c r="C258" s="861"/>
      <c r="D258" s="861"/>
      <c r="E258" s="661" t="str">
        <f t="shared" si="102"/>
        <v/>
      </c>
      <c r="F258" s="736"/>
      <c r="G258" s="736"/>
      <c r="H258" s="736"/>
      <c r="I258" s="736"/>
      <c r="J258" s="736"/>
      <c r="K258" s="736"/>
      <c r="L258" s="736"/>
      <c r="M258" s="736"/>
      <c r="N258" s="736"/>
      <c r="O258" s="736"/>
      <c r="P258" s="736"/>
      <c r="Q258" s="736"/>
      <c r="R258" s="736"/>
      <c r="S258" s="736"/>
      <c r="T258" s="736"/>
      <c r="U258" s="736"/>
      <c r="V258" s="736"/>
      <c r="W258" s="736"/>
      <c r="X258" s="736"/>
      <c r="Y258" s="736"/>
      <c r="Z258" s="736"/>
      <c r="AA258" s="736"/>
      <c r="AB258" s="736"/>
      <c r="AC258" s="736"/>
      <c r="AD258" s="734"/>
      <c r="AE258" s="734"/>
      <c r="AF258" s="734"/>
      <c r="AG258" s="734"/>
      <c r="AH258" s="734"/>
      <c r="AI258" s="734"/>
      <c r="AJ258" s="734"/>
      <c r="AK258" s="734"/>
      <c r="AL258" s="736"/>
      <c r="AM258" s="736"/>
      <c r="AN258" s="736"/>
      <c r="AO258" s="736"/>
      <c r="AP258" s="736"/>
      <c r="AQ258" s="736"/>
      <c r="AR258" s="736"/>
      <c r="AS258" s="736"/>
      <c r="AT258" s="736"/>
      <c r="AU258" s="736"/>
      <c r="AV258" s="736"/>
      <c r="AW258" s="736"/>
      <c r="AX258" s="736"/>
      <c r="AY258" s="736"/>
      <c r="AZ258" s="806"/>
      <c r="BA258" s="734"/>
      <c r="BB258" s="734"/>
      <c r="BC258" s="734"/>
      <c r="BD258" s="734"/>
      <c r="BE258" s="734"/>
      <c r="BF258" s="734"/>
      <c r="BG258" s="734"/>
      <c r="BH258" s="734"/>
      <c r="BI258" s="734"/>
      <c r="BJ258" s="734"/>
      <c r="BK258" s="734"/>
      <c r="BL258" s="734"/>
      <c r="BM258" s="734"/>
      <c r="BN258" s="734"/>
      <c r="BO258" s="734"/>
      <c r="BP258" s="734"/>
      <c r="BQ258" s="734"/>
      <c r="BR258" s="734"/>
      <c r="BS258" s="734"/>
      <c r="BT258" s="734"/>
      <c r="BU258" s="734"/>
      <c r="BV258" s="734"/>
      <c r="BW258" s="734"/>
      <c r="BX258" s="734"/>
      <c r="BY258" s="734"/>
      <c r="BZ258" s="734"/>
      <c r="CA258" s="734"/>
      <c r="CB258" s="734"/>
      <c r="CC258" s="734"/>
      <c r="CD258" s="734"/>
      <c r="CE258" s="734"/>
      <c r="CF258" s="734"/>
      <c r="CG258" s="734"/>
      <c r="CH258" s="734"/>
      <c r="CI258" s="734"/>
      <c r="CJ258" s="734"/>
      <c r="CK258" s="734"/>
      <c r="CL258" s="734"/>
      <c r="CM258" s="734"/>
      <c r="CN258" s="734"/>
      <c r="CO258" s="734"/>
    </row>
    <row r="259" spans="1:93" s="920" customFormat="1">
      <c r="A259" s="673"/>
      <c r="B259" s="673"/>
      <c r="C259" s="861"/>
      <c r="D259" s="861"/>
      <c r="E259" s="661" t="str">
        <f t="shared" si="102"/>
        <v/>
      </c>
      <c r="F259" s="736"/>
      <c r="G259" s="736"/>
      <c r="H259" s="736"/>
      <c r="I259" s="736"/>
      <c r="J259" s="736"/>
      <c r="K259" s="736"/>
      <c r="L259" s="736"/>
      <c r="M259" s="736"/>
      <c r="N259" s="736"/>
      <c r="O259" s="736"/>
      <c r="P259" s="736"/>
      <c r="Q259" s="736"/>
      <c r="R259" s="736"/>
      <c r="S259" s="736"/>
      <c r="T259" s="736"/>
      <c r="U259" s="736"/>
      <c r="V259" s="736"/>
      <c r="W259" s="736"/>
      <c r="X259" s="736"/>
      <c r="Y259" s="736"/>
      <c r="Z259" s="736"/>
      <c r="AA259" s="736"/>
      <c r="AB259" s="736"/>
      <c r="AC259" s="736"/>
      <c r="AD259" s="734"/>
      <c r="AE259" s="734"/>
      <c r="AF259" s="734"/>
      <c r="AG259" s="734"/>
      <c r="AH259" s="734"/>
      <c r="AI259" s="734"/>
      <c r="AJ259" s="734"/>
      <c r="AK259" s="734"/>
      <c r="AL259" s="736"/>
      <c r="AM259" s="736"/>
      <c r="AN259" s="736"/>
      <c r="AO259" s="736"/>
      <c r="AP259" s="736"/>
      <c r="AQ259" s="736"/>
      <c r="AR259" s="736"/>
      <c r="AS259" s="736"/>
      <c r="AT259" s="736"/>
      <c r="AU259" s="736"/>
      <c r="AV259" s="736"/>
      <c r="AW259" s="736"/>
      <c r="AX259" s="736"/>
      <c r="AY259" s="736"/>
      <c r="AZ259" s="806"/>
      <c r="BA259" s="734"/>
      <c r="BB259" s="734"/>
      <c r="BC259" s="734"/>
      <c r="BD259" s="734"/>
      <c r="BE259" s="734"/>
      <c r="BF259" s="734"/>
      <c r="BG259" s="734"/>
      <c r="BH259" s="734"/>
      <c r="BI259" s="734"/>
      <c r="BJ259" s="734"/>
      <c r="BK259" s="734"/>
      <c r="BL259" s="734"/>
      <c r="BM259" s="734"/>
      <c r="BN259" s="734"/>
      <c r="BO259" s="734"/>
      <c r="BP259" s="734"/>
      <c r="BQ259" s="734"/>
      <c r="BR259" s="734"/>
      <c r="BS259" s="734"/>
      <c r="BT259" s="734"/>
      <c r="BU259" s="734"/>
      <c r="BV259" s="734"/>
      <c r="BW259" s="734"/>
      <c r="BX259" s="734"/>
      <c r="BY259" s="734"/>
      <c r="BZ259" s="734"/>
      <c r="CA259" s="734"/>
      <c r="CB259" s="734"/>
      <c r="CC259" s="734"/>
      <c r="CD259" s="734"/>
      <c r="CE259" s="734"/>
      <c r="CF259" s="734"/>
      <c r="CG259" s="734"/>
      <c r="CH259" s="734"/>
      <c r="CI259" s="734"/>
      <c r="CJ259" s="734"/>
      <c r="CK259" s="734"/>
      <c r="CL259" s="734"/>
      <c r="CM259" s="734"/>
      <c r="CN259" s="734"/>
      <c r="CO259" s="734"/>
    </row>
    <row r="260" spans="1:93" s="920" customFormat="1">
      <c r="A260" s="673"/>
      <c r="B260" s="673"/>
      <c r="C260" s="861"/>
      <c r="D260" s="861"/>
      <c r="E260" s="661" t="str">
        <f t="shared" si="102"/>
        <v/>
      </c>
      <c r="F260" s="736"/>
      <c r="G260" s="736"/>
      <c r="H260" s="736"/>
      <c r="I260" s="736"/>
      <c r="J260" s="736"/>
      <c r="K260" s="736"/>
      <c r="L260" s="736"/>
      <c r="M260" s="736"/>
      <c r="N260" s="736"/>
      <c r="O260" s="736"/>
      <c r="P260" s="736"/>
      <c r="Q260" s="736"/>
      <c r="R260" s="736"/>
      <c r="S260" s="736"/>
      <c r="T260" s="736"/>
      <c r="U260" s="736"/>
      <c r="V260" s="736"/>
      <c r="W260" s="736"/>
      <c r="X260" s="736"/>
      <c r="Y260" s="736"/>
      <c r="Z260" s="736"/>
      <c r="AA260" s="736"/>
      <c r="AB260" s="736"/>
      <c r="AC260" s="736"/>
      <c r="AD260" s="734"/>
      <c r="AE260" s="734"/>
      <c r="AF260" s="734"/>
      <c r="AG260" s="734"/>
      <c r="AH260" s="734"/>
      <c r="AI260" s="734"/>
      <c r="AJ260" s="734"/>
      <c r="AK260" s="734"/>
      <c r="AL260" s="736"/>
      <c r="AM260" s="736"/>
      <c r="AN260" s="736"/>
      <c r="AO260" s="736"/>
      <c r="AP260" s="736"/>
      <c r="AQ260" s="736"/>
      <c r="AR260" s="736"/>
      <c r="AS260" s="736"/>
      <c r="AT260" s="736"/>
      <c r="AU260" s="736"/>
      <c r="AV260" s="736"/>
      <c r="AW260" s="736"/>
      <c r="AX260" s="736"/>
      <c r="AY260" s="736"/>
      <c r="AZ260" s="806"/>
      <c r="BA260" s="734"/>
      <c r="BB260" s="734"/>
      <c r="BC260" s="734"/>
      <c r="BD260" s="734"/>
      <c r="BE260" s="734"/>
      <c r="BF260" s="734"/>
      <c r="BG260" s="734"/>
      <c r="BH260" s="734"/>
      <c r="BI260" s="734"/>
      <c r="BJ260" s="734"/>
      <c r="BK260" s="734"/>
      <c r="BL260" s="734"/>
      <c r="BM260" s="734"/>
      <c r="BN260" s="734"/>
      <c r="BO260" s="734"/>
      <c r="BP260" s="734"/>
      <c r="BQ260" s="734"/>
      <c r="BR260" s="734"/>
      <c r="BS260" s="734"/>
      <c r="BT260" s="734"/>
      <c r="BU260" s="734"/>
      <c r="BV260" s="734"/>
      <c r="BW260" s="734"/>
      <c r="BX260" s="734"/>
      <c r="BY260" s="734"/>
      <c r="BZ260" s="734"/>
      <c r="CA260" s="734"/>
      <c r="CB260" s="734"/>
      <c r="CC260" s="734"/>
      <c r="CD260" s="734"/>
      <c r="CE260" s="734"/>
      <c r="CF260" s="734"/>
      <c r="CG260" s="734"/>
      <c r="CH260" s="734"/>
      <c r="CI260" s="734"/>
      <c r="CJ260" s="734"/>
      <c r="CK260" s="734"/>
      <c r="CL260" s="734"/>
      <c r="CM260" s="734"/>
      <c r="CN260" s="734"/>
      <c r="CO260" s="734"/>
    </row>
    <row r="261" spans="1:93" s="920" customFormat="1">
      <c r="A261" s="673"/>
      <c r="B261" s="673"/>
      <c r="C261" s="861"/>
      <c r="D261" s="861"/>
      <c r="E261" s="661" t="str">
        <f t="shared" si="102"/>
        <v/>
      </c>
      <c r="F261" s="736"/>
      <c r="G261" s="736"/>
      <c r="H261" s="736"/>
      <c r="I261" s="736"/>
      <c r="J261" s="736"/>
      <c r="K261" s="736"/>
      <c r="L261" s="736"/>
      <c r="M261" s="736"/>
      <c r="N261" s="736"/>
      <c r="O261" s="736"/>
      <c r="P261" s="736"/>
      <c r="Q261" s="736"/>
      <c r="R261" s="736"/>
      <c r="S261" s="736"/>
      <c r="T261" s="736"/>
      <c r="U261" s="736"/>
      <c r="V261" s="736"/>
      <c r="W261" s="736"/>
      <c r="X261" s="736"/>
      <c r="Y261" s="736"/>
      <c r="Z261" s="736"/>
      <c r="AA261" s="736"/>
      <c r="AB261" s="736"/>
      <c r="AC261" s="736"/>
      <c r="AD261" s="734"/>
      <c r="AE261" s="734"/>
      <c r="AF261" s="734"/>
      <c r="AG261" s="734"/>
      <c r="AH261" s="734"/>
      <c r="AI261" s="734"/>
      <c r="AJ261" s="734"/>
      <c r="AK261" s="734"/>
      <c r="AL261" s="736"/>
      <c r="AM261" s="736"/>
      <c r="AN261" s="736"/>
      <c r="AO261" s="736"/>
      <c r="AP261" s="736"/>
      <c r="AQ261" s="736"/>
      <c r="AR261" s="736"/>
      <c r="AS261" s="736"/>
      <c r="AT261" s="736"/>
      <c r="AU261" s="736"/>
      <c r="AV261" s="736"/>
      <c r="AW261" s="736"/>
      <c r="AX261" s="736"/>
      <c r="AY261" s="736"/>
      <c r="AZ261" s="806"/>
      <c r="BA261" s="734"/>
      <c r="BB261" s="734"/>
      <c r="BC261" s="734"/>
      <c r="BD261" s="734"/>
      <c r="BE261" s="734"/>
      <c r="BF261" s="734"/>
      <c r="BG261" s="734"/>
      <c r="BH261" s="734"/>
      <c r="BI261" s="734"/>
      <c r="BJ261" s="734"/>
      <c r="BK261" s="734"/>
      <c r="BL261" s="734"/>
      <c r="BM261" s="734"/>
      <c r="BN261" s="734"/>
      <c r="BO261" s="734"/>
      <c r="BP261" s="734"/>
      <c r="BQ261" s="734"/>
      <c r="BR261" s="734"/>
      <c r="BS261" s="734"/>
      <c r="BT261" s="734"/>
      <c r="BU261" s="734"/>
      <c r="BV261" s="734"/>
      <c r="BW261" s="734"/>
      <c r="BX261" s="734"/>
      <c r="BY261" s="734"/>
      <c r="BZ261" s="734"/>
      <c r="CA261" s="734"/>
      <c r="CB261" s="734"/>
      <c r="CC261" s="734"/>
      <c r="CD261" s="734"/>
      <c r="CE261" s="734"/>
      <c r="CF261" s="734"/>
      <c r="CG261" s="734"/>
      <c r="CH261" s="734"/>
      <c r="CI261" s="734"/>
      <c r="CJ261" s="734"/>
      <c r="CK261" s="734"/>
      <c r="CL261" s="734"/>
      <c r="CM261" s="734"/>
      <c r="CN261" s="734"/>
      <c r="CO261" s="734"/>
    </row>
    <row r="262" spans="1:93" s="920" customFormat="1">
      <c r="A262" s="673"/>
      <c r="B262" s="673"/>
      <c r="C262" s="861"/>
      <c r="D262" s="861"/>
      <c r="E262" s="661" t="str">
        <f t="shared" si="102"/>
        <v/>
      </c>
      <c r="F262" s="736"/>
      <c r="G262" s="736"/>
      <c r="H262" s="736"/>
      <c r="I262" s="736"/>
      <c r="J262" s="736"/>
      <c r="K262" s="736"/>
      <c r="L262" s="736"/>
      <c r="M262" s="736"/>
      <c r="N262" s="736"/>
      <c r="O262" s="736"/>
      <c r="P262" s="736"/>
      <c r="Q262" s="736"/>
      <c r="R262" s="736"/>
      <c r="S262" s="736"/>
      <c r="T262" s="736"/>
      <c r="U262" s="736"/>
      <c r="V262" s="736"/>
      <c r="W262" s="736"/>
      <c r="X262" s="736"/>
      <c r="Y262" s="736"/>
      <c r="Z262" s="736"/>
      <c r="AA262" s="736"/>
      <c r="AB262" s="736"/>
      <c r="AC262" s="736"/>
      <c r="AD262" s="734"/>
      <c r="AE262" s="734"/>
      <c r="AF262" s="734"/>
      <c r="AG262" s="734"/>
      <c r="AH262" s="734"/>
      <c r="AI262" s="734"/>
      <c r="AJ262" s="734"/>
      <c r="AK262" s="734"/>
      <c r="AL262" s="736"/>
      <c r="AM262" s="736"/>
      <c r="AN262" s="736"/>
      <c r="AO262" s="736"/>
      <c r="AP262" s="736"/>
      <c r="AQ262" s="736"/>
      <c r="AR262" s="736"/>
      <c r="AS262" s="736"/>
      <c r="AT262" s="736"/>
      <c r="AU262" s="736"/>
      <c r="AV262" s="736"/>
      <c r="AW262" s="736"/>
      <c r="AX262" s="736"/>
      <c r="AY262" s="736"/>
      <c r="AZ262" s="806"/>
      <c r="BA262" s="734"/>
      <c r="BB262" s="734"/>
      <c r="BC262" s="734"/>
      <c r="BD262" s="734"/>
      <c r="BE262" s="734"/>
      <c r="BF262" s="734"/>
      <c r="BG262" s="734"/>
      <c r="BH262" s="734"/>
      <c r="BI262" s="734"/>
      <c r="BJ262" s="734"/>
      <c r="BK262" s="734"/>
      <c r="BL262" s="734"/>
      <c r="BM262" s="734"/>
      <c r="BN262" s="734"/>
      <c r="BO262" s="734"/>
      <c r="BP262" s="734"/>
      <c r="BQ262" s="734"/>
      <c r="BR262" s="734"/>
      <c r="BS262" s="734"/>
      <c r="BT262" s="734"/>
      <c r="BU262" s="734"/>
      <c r="BV262" s="734"/>
      <c r="BW262" s="734"/>
      <c r="BX262" s="734"/>
      <c r="BY262" s="734"/>
      <c r="BZ262" s="734"/>
      <c r="CA262" s="734"/>
      <c r="CB262" s="734"/>
      <c r="CC262" s="734"/>
      <c r="CD262" s="734"/>
      <c r="CE262" s="734"/>
      <c r="CF262" s="734"/>
      <c r="CG262" s="734"/>
      <c r="CH262" s="734"/>
      <c r="CI262" s="734"/>
      <c r="CJ262" s="734"/>
      <c r="CK262" s="734"/>
      <c r="CL262" s="734"/>
      <c r="CM262" s="734"/>
      <c r="CN262" s="734"/>
      <c r="CO262" s="734"/>
    </row>
    <row r="263" spans="1:93" s="920" customFormat="1">
      <c r="A263" s="673"/>
      <c r="B263" s="673"/>
      <c r="C263" s="861"/>
      <c r="D263" s="861"/>
      <c r="E263" s="661" t="str">
        <f t="shared" si="102"/>
        <v/>
      </c>
      <c r="F263" s="736"/>
      <c r="G263" s="736"/>
      <c r="H263" s="736"/>
      <c r="I263" s="736"/>
      <c r="J263" s="736"/>
      <c r="K263" s="736"/>
      <c r="L263" s="736"/>
      <c r="M263" s="736"/>
      <c r="N263" s="736"/>
      <c r="O263" s="736"/>
      <c r="P263" s="736"/>
      <c r="Q263" s="736"/>
      <c r="R263" s="736"/>
      <c r="S263" s="736"/>
      <c r="T263" s="736"/>
      <c r="U263" s="736"/>
      <c r="V263" s="736"/>
      <c r="W263" s="736"/>
      <c r="X263" s="736"/>
      <c r="Y263" s="736"/>
      <c r="Z263" s="736"/>
      <c r="AA263" s="736"/>
      <c r="AB263" s="736"/>
      <c r="AC263" s="736"/>
      <c r="AD263" s="734"/>
      <c r="AE263" s="734"/>
      <c r="AF263" s="734"/>
      <c r="AG263" s="734"/>
      <c r="AH263" s="734"/>
      <c r="AI263" s="734"/>
      <c r="AJ263" s="734"/>
      <c r="AK263" s="734"/>
      <c r="AL263" s="736"/>
      <c r="AM263" s="736"/>
      <c r="AN263" s="736"/>
      <c r="AO263" s="736"/>
      <c r="AP263" s="736"/>
      <c r="AQ263" s="736"/>
      <c r="AR263" s="736"/>
      <c r="AS263" s="736"/>
      <c r="AT263" s="736"/>
      <c r="AU263" s="736"/>
      <c r="AV263" s="736"/>
      <c r="AW263" s="736"/>
      <c r="AX263" s="736"/>
      <c r="AY263" s="736"/>
      <c r="AZ263" s="806"/>
      <c r="BA263" s="734"/>
      <c r="BB263" s="734"/>
      <c r="BC263" s="734"/>
      <c r="BD263" s="734"/>
      <c r="BE263" s="734"/>
      <c r="BF263" s="734"/>
      <c r="BG263" s="734"/>
      <c r="BH263" s="734"/>
      <c r="BI263" s="734"/>
      <c r="BJ263" s="734"/>
      <c r="BK263" s="734"/>
      <c r="BL263" s="734"/>
      <c r="BM263" s="734"/>
      <c r="BN263" s="734"/>
      <c r="BO263" s="734"/>
      <c r="BP263" s="734"/>
      <c r="BQ263" s="734"/>
      <c r="BR263" s="734"/>
      <c r="BS263" s="734"/>
      <c r="BT263" s="734"/>
      <c r="BU263" s="734"/>
      <c r="BV263" s="734"/>
      <c r="BW263" s="734"/>
      <c r="BX263" s="734"/>
      <c r="BY263" s="734"/>
      <c r="BZ263" s="734"/>
      <c r="CA263" s="734"/>
      <c r="CB263" s="734"/>
      <c r="CC263" s="734"/>
      <c r="CD263" s="734"/>
      <c r="CE263" s="734"/>
      <c r="CF263" s="734"/>
      <c r="CG263" s="734"/>
      <c r="CH263" s="734"/>
      <c r="CI263" s="734"/>
      <c r="CJ263" s="734"/>
      <c r="CK263" s="734"/>
      <c r="CL263" s="734"/>
      <c r="CM263" s="734"/>
      <c r="CN263" s="734"/>
      <c r="CO263" s="734"/>
    </row>
    <row r="264" spans="1:93" s="920" customFormat="1">
      <c r="A264" s="673"/>
      <c r="B264" s="673"/>
      <c r="C264" s="861"/>
      <c r="D264" s="861"/>
      <c r="E264" s="661" t="str">
        <f t="shared" si="102"/>
        <v/>
      </c>
      <c r="F264" s="736"/>
      <c r="G264" s="736"/>
      <c r="H264" s="736"/>
      <c r="I264" s="736"/>
      <c r="J264" s="736"/>
      <c r="K264" s="736"/>
      <c r="L264" s="736"/>
      <c r="M264" s="736"/>
      <c r="N264" s="736"/>
      <c r="O264" s="736"/>
      <c r="P264" s="736"/>
      <c r="Q264" s="736"/>
      <c r="R264" s="736"/>
      <c r="S264" s="736"/>
      <c r="T264" s="736"/>
      <c r="U264" s="736"/>
      <c r="V264" s="736"/>
      <c r="W264" s="736"/>
      <c r="X264" s="736"/>
      <c r="Y264" s="736"/>
      <c r="Z264" s="736"/>
      <c r="AA264" s="736"/>
      <c r="AB264" s="736"/>
      <c r="AC264" s="736"/>
      <c r="AD264" s="734"/>
      <c r="AE264" s="734"/>
      <c r="AF264" s="734"/>
      <c r="AG264" s="734"/>
      <c r="AH264" s="734"/>
      <c r="AI264" s="734"/>
      <c r="AJ264" s="734"/>
      <c r="AK264" s="734"/>
      <c r="AL264" s="736"/>
      <c r="AM264" s="736"/>
      <c r="AN264" s="736"/>
      <c r="AO264" s="736"/>
      <c r="AP264" s="736"/>
      <c r="AQ264" s="736"/>
      <c r="AR264" s="736"/>
      <c r="AS264" s="736"/>
      <c r="AT264" s="736"/>
      <c r="AU264" s="736"/>
      <c r="AV264" s="736"/>
      <c r="AW264" s="736"/>
      <c r="AX264" s="736"/>
      <c r="AY264" s="736"/>
      <c r="AZ264" s="806"/>
      <c r="BA264" s="734"/>
      <c r="BB264" s="734"/>
      <c r="BC264" s="734"/>
      <c r="BD264" s="734"/>
      <c r="BE264" s="734"/>
      <c r="BF264" s="734"/>
      <c r="BG264" s="734"/>
      <c r="BH264" s="734"/>
      <c r="BI264" s="734"/>
      <c r="BJ264" s="734"/>
      <c r="BK264" s="734"/>
      <c r="BL264" s="734"/>
      <c r="BM264" s="734"/>
      <c r="BN264" s="734"/>
      <c r="BO264" s="734"/>
      <c r="BP264" s="734"/>
      <c r="BQ264" s="734"/>
      <c r="BR264" s="734"/>
      <c r="BS264" s="734"/>
      <c r="BT264" s="734"/>
      <c r="BU264" s="734"/>
      <c r="BV264" s="734"/>
      <c r="BW264" s="734"/>
      <c r="BX264" s="734"/>
      <c r="BY264" s="734"/>
      <c r="BZ264" s="734"/>
      <c r="CA264" s="734"/>
      <c r="CB264" s="734"/>
      <c r="CC264" s="734"/>
      <c r="CD264" s="734"/>
      <c r="CE264" s="734"/>
      <c r="CF264" s="734"/>
      <c r="CG264" s="734"/>
      <c r="CH264" s="734"/>
      <c r="CI264" s="734"/>
      <c r="CJ264" s="734"/>
      <c r="CK264" s="734"/>
      <c r="CL264" s="734"/>
      <c r="CM264" s="734"/>
      <c r="CN264" s="734"/>
      <c r="CO264" s="734"/>
    </row>
    <row r="265" spans="1:93" s="920" customFormat="1">
      <c r="A265" s="673"/>
      <c r="B265" s="673"/>
      <c r="C265" s="861"/>
      <c r="D265" s="861"/>
      <c r="E265" s="661" t="str">
        <f t="shared" si="102"/>
        <v/>
      </c>
      <c r="F265" s="736"/>
      <c r="G265" s="736"/>
      <c r="H265" s="736"/>
      <c r="I265" s="736"/>
      <c r="J265" s="736"/>
      <c r="K265" s="736"/>
      <c r="L265" s="736"/>
      <c r="M265" s="736"/>
      <c r="N265" s="736"/>
      <c r="O265" s="736"/>
      <c r="P265" s="736"/>
      <c r="Q265" s="736"/>
      <c r="R265" s="736"/>
      <c r="S265" s="736"/>
      <c r="T265" s="736"/>
      <c r="U265" s="736"/>
      <c r="V265" s="736"/>
      <c r="W265" s="736"/>
      <c r="X265" s="736"/>
      <c r="Y265" s="736"/>
      <c r="Z265" s="736"/>
      <c r="AA265" s="736"/>
      <c r="AB265" s="736"/>
      <c r="AC265" s="736"/>
      <c r="AD265" s="734"/>
      <c r="AE265" s="734"/>
      <c r="AF265" s="734"/>
      <c r="AG265" s="734"/>
      <c r="AH265" s="734"/>
      <c r="AI265" s="734"/>
      <c r="AJ265" s="734"/>
      <c r="AK265" s="734"/>
      <c r="AL265" s="736"/>
      <c r="AM265" s="736"/>
      <c r="AN265" s="736"/>
      <c r="AO265" s="736"/>
      <c r="AP265" s="736"/>
      <c r="AQ265" s="736"/>
      <c r="AR265" s="736"/>
      <c r="AS265" s="736"/>
      <c r="AT265" s="736"/>
      <c r="AU265" s="736"/>
      <c r="AV265" s="736"/>
      <c r="AW265" s="736"/>
      <c r="AX265" s="736"/>
      <c r="AY265" s="736"/>
      <c r="AZ265" s="806"/>
      <c r="BA265" s="734"/>
      <c r="BB265" s="734"/>
      <c r="BC265" s="734"/>
      <c r="BD265" s="734"/>
      <c r="BE265" s="734"/>
      <c r="BF265" s="734"/>
      <c r="BG265" s="734"/>
      <c r="BH265" s="734"/>
      <c r="BI265" s="734"/>
      <c r="BJ265" s="734"/>
      <c r="BK265" s="734"/>
      <c r="BL265" s="734"/>
      <c r="BM265" s="734"/>
      <c r="BN265" s="734"/>
      <c r="BO265" s="734"/>
      <c r="BP265" s="734"/>
      <c r="BQ265" s="734"/>
      <c r="BR265" s="734"/>
      <c r="BS265" s="734"/>
      <c r="BT265" s="734"/>
      <c r="BU265" s="734"/>
      <c r="BV265" s="734"/>
      <c r="BW265" s="734"/>
      <c r="BX265" s="734"/>
      <c r="BY265" s="734"/>
      <c r="BZ265" s="734"/>
      <c r="CA265" s="734"/>
      <c r="CB265" s="734"/>
      <c r="CC265" s="734"/>
      <c r="CD265" s="734"/>
      <c r="CE265" s="734"/>
      <c r="CF265" s="734"/>
      <c r="CG265" s="734"/>
      <c r="CH265" s="734"/>
      <c r="CI265" s="734"/>
      <c r="CJ265" s="734"/>
      <c r="CK265" s="734"/>
      <c r="CL265" s="734"/>
      <c r="CM265" s="734"/>
      <c r="CN265" s="734"/>
      <c r="CO265" s="734"/>
    </row>
    <row r="266" spans="1:93" s="920" customFormat="1">
      <c r="A266" s="673"/>
      <c r="B266" s="673"/>
      <c r="C266" s="861"/>
      <c r="D266" s="861"/>
      <c r="E266" s="661" t="str">
        <f t="shared" si="102"/>
        <v/>
      </c>
      <c r="F266" s="736"/>
      <c r="G266" s="736"/>
      <c r="H266" s="736"/>
      <c r="I266" s="736"/>
      <c r="J266" s="736"/>
      <c r="K266" s="736"/>
      <c r="L266" s="736"/>
      <c r="M266" s="736"/>
      <c r="N266" s="736"/>
      <c r="O266" s="736"/>
      <c r="P266" s="736"/>
      <c r="Q266" s="736"/>
      <c r="R266" s="736"/>
      <c r="S266" s="736"/>
      <c r="T266" s="736"/>
      <c r="U266" s="736"/>
      <c r="V266" s="736"/>
      <c r="W266" s="736"/>
      <c r="X266" s="736"/>
      <c r="Y266" s="736"/>
      <c r="Z266" s="736"/>
      <c r="AA266" s="736"/>
      <c r="AB266" s="736"/>
      <c r="AC266" s="736"/>
      <c r="AD266" s="734"/>
      <c r="AE266" s="734"/>
      <c r="AF266" s="734"/>
      <c r="AG266" s="734"/>
      <c r="AH266" s="734"/>
      <c r="AI266" s="734"/>
      <c r="AJ266" s="734"/>
      <c r="AK266" s="734"/>
      <c r="AL266" s="736"/>
      <c r="AM266" s="736"/>
      <c r="AN266" s="736"/>
      <c r="AO266" s="736"/>
      <c r="AP266" s="736"/>
      <c r="AQ266" s="736"/>
      <c r="AR266" s="736"/>
      <c r="AS266" s="736"/>
      <c r="AT266" s="736"/>
      <c r="AU266" s="736"/>
      <c r="AV266" s="736"/>
      <c r="AW266" s="736"/>
      <c r="AX266" s="736"/>
      <c r="AY266" s="736"/>
      <c r="AZ266" s="806"/>
      <c r="BA266" s="734"/>
      <c r="BB266" s="734"/>
      <c r="BC266" s="734"/>
      <c r="BD266" s="734"/>
      <c r="BE266" s="734"/>
      <c r="BF266" s="734"/>
      <c r="BG266" s="734"/>
      <c r="BH266" s="734"/>
      <c r="BI266" s="734"/>
      <c r="BJ266" s="734"/>
      <c r="BK266" s="734"/>
      <c r="BL266" s="734"/>
      <c r="BM266" s="734"/>
      <c r="BN266" s="734"/>
      <c r="BO266" s="734"/>
      <c r="BP266" s="734"/>
      <c r="BQ266" s="734"/>
      <c r="BR266" s="734"/>
      <c r="BS266" s="734"/>
      <c r="BT266" s="734"/>
      <c r="BU266" s="734"/>
      <c r="BV266" s="734"/>
      <c r="BW266" s="734"/>
      <c r="BX266" s="734"/>
      <c r="BY266" s="734"/>
      <c r="BZ266" s="734"/>
      <c r="CA266" s="734"/>
      <c r="CB266" s="734"/>
      <c r="CC266" s="734"/>
      <c r="CD266" s="734"/>
      <c r="CE266" s="734"/>
      <c r="CF266" s="734"/>
      <c r="CG266" s="734"/>
      <c r="CH266" s="734"/>
      <c r="CI266" s="734"/>
      <c r="CJ266" s="734"/>
      <c r="CK266" s="734"/>
      <c r="CL266" s="734"/>
      <c r="CM266" s="734"/>
      <c r="CN266" s="734"/>
      <c r="CO266" s="734"/>
    </row>
    <row r="267" spans="1:93" s="920" customFormat="1">
      <c r="A267" s="673"/>
      <c r="B267" s="673"/>
      <c r="C267" s="861"/>
      <c r="D267" s="861"/>
      <c r="E267" s="661" t="str">
        <f t="shared" si="102"/>
        <v/>
      </c>
      <c r="F267" s="736"/>
      <c r="G267" s="736"/>
      <c r="H267" s="736"/>
      <c r="I267" s="736"/>
      <c r="J267" s="736"/>
      <c r="K267" s="736"/>
      <c r="L267" s="736"/>
      <c r="M267" s="736"/>
      <c r="N267" s="736"/>
      <c r="O267" s="736"/>
      <c r="P267" s="736"/>
      <c r="Q267" s="736"/>
      <c r="R267" s="736"/>
      <c r="S267" s="736"/>
      <c r="T267" s="736"/>
      <c r="U267" s="736"/>
      <c r="V267" s="736"/>
      <c r="W267" s="736"/>
      <c r="X267" s="736"/>
      <c r="Y267" s="736"/>
      <c r="Z267" s="736"/>
      <c r="AA267" s="736"/>
      <c r="AB267" s="736"/>
      <c r="AC267" s="736"/>
      <c r="AD267" s="734"/>
      <c r="AE267" s="734"/>
      <c r="AF267" s="734"/>
      <c r="AG267" s="734"/>
      <c r="AH267" s="734"/>
      <c r="AI267" s="734"/>
      <c r="AJ267" s="734"/>
      <c r="AK267" s="734"/>
      <c r="AL267" s="736"/>
      <c r="AM267" s="736"/>
      <c r="AN267" s="736"/>
      <c r="AO267" s="736"/>
      <c r="AP267" s="736"/>
      <c r="AQ267" s="736"/>
      <c r="AR267" s="736"/>
      <c r="AS267" s="736"/>
      <c r="AT267" s="736"/>
      <c r="AU267" s="736"/>
      <c r="AV267" s="736"/>
      <c r="AW267" s="736"/>
      <c r="AX267" s="736"/>
      <c r="AY267" s="736"/>
      <c r="AZ267" s="806"/>
      <c r="BA267" s="734"/>
      <c r="BB267" s="734"/>
      <c r="BC267" s="734"/>
      <c r="BD267" s="734"/>
      <c r="BE267" s="734"/>
      <c r="BF267" s="734"/>
      <c r="BG267" s="734"/>
      <c r="BH267" s="734"/>
      <c r="BI267" s="734"/>
      <c r="BJ267" s="734"/>
      <c r="BK267" s="734"/>
      <c r="BL267" s="734"/>
      <c r="BM267" s="734"/>
      <c r="BN267" s="734"/>
      <c r="BO267" s="734"/>
      <c r="BP267" s="734"/>
      <c r="BQ267" s="734"/>
      <c r="BR267" s="734"/>
      <c r="BS267" s="734"/>
      <c r="BT267" s="734"/>
      <c r="BU267" s="734"/>
      <c r="BV267" s="734"/>
      <c r="BW267" s="734"/>
      <c r="BX267" s="734"/>
      <c r="BY267" s="734"/>
      <c r="BZ267" s="734"/>
      <c r="CA267" s="734"/>
      <c r="CB267" s="734"/>
      <c r="CC267" s="734"/>
      <c r="CD267" s="734"/>
      <c r="CE267" s="734"/>
      <c r="CF267" s="734"/>
      <c r="CG267" s="734"/>
      <c r="CH267" s="734"/>
      <c r="CI267" s="734"/>
      <c r="CJ267" s="734"/>
      <c r="CK267" s="734"/>
      <c r="CL267" s="734"/>
      <c r="CM267" s="734"/>
      <c r="CN267" s="734"/>
      <c r="CO267" s="734"/>
    </row>
    <row r="268" spans="1:93" s="920" customFormat="1">
      <c r="A268" s="673"/>
      <c r="B268" s="673"/>
      <c r="C268" s="861"/>
      <c r="D268" s="861"/>
      <c r="E268" s="661" t="str">
        <f t="shared" si="102"/>
        <v/>
      </c>
      <c r="F268" s="736"/>
      <c r="G268" s="736"/>
      <c r="H268" s="736"/>
      <c r="I268" s="736"/>
      <c r="J268" s="736"/>
      <c r="K268" s="736"/>
      <c r="L268" s="736"/>
      <c r="M268" s="736"/>
      <c r="N268" s="736"/>
      <c r="O268" s="736"/>
      <c r="P268" s="736"/>
      <c r="Q268" s="736"/>
      <c r="R268" s="736"/>
      <c r="S268" s="736"/>
      <c r="T268" s="736"/>
      <c r="U268" s="736"/>
      <c r="V268" s="736"/>
      <c r="W268" s="736"/>
      <c r="X268" s="736"/>
      <c r="Y268" s="736"/>
      <c r="Z268" s="736"/>
      <c r="AA268" s="736"/>
      <c r="AB268" s="736"/>
      <c r="AC268" s="736"/>
      <c r="AD268" s="734"/>
      <c r="AE268" s="734"/>
      <c r="AF268" s="734"/>
      <c r="AG268" s="734"/>
      <c r="AH268" s="734"/>
      <c r="AI268" s="734"/>
      <c r="AJ268" s="734"/>
      <c r="AK268" s="734"/>
      <c r="AL268" s="736"/>
      <c r="AM268" s="736"/>
      <c r="AN268" s="736"/>
      <c r="AO268" s="736"/>
      <c r="AP268" s="736"/>
      <c r="AQ268" s="736"/>
      <c r="AR268" s="736"/>
      <c r="AS268" s="736"/>
      <c r="AT268" s="736"/>
      <c r="AU268" s="736"/>
      <c r="AV268" s="736"/>
      <c r="AW268" s="736"/>
      <c r="AX268" s="736"/>
      <c r="AY268" s="736"/>
      <c r="AZ268" s="806"/>
      <c r="BA268" s="734"/>
      <c r="BB268" s="734"/>
      <c r="BC268" s="734"/>
      <c r="BD268" s="734"/>
      <c r="BE268" s="734"/>
      <c r="BF268" s="734"/>
      <c r="BG268" s="734"/>
      <c r="BH268" s="734"/>
      <c r="BI268" s="734"/>
      <c r="BJ268" s="734"/>
      <c r="BK268" s="734"/>
      <c r="BL268" s="734"/>
      <c r="BM268" s="734"/>
      <c r="BN268" s="734"/>
      <c r="BO268" s="734"/>
      <c r="BP268" s="734"/>
      <c r="BQ268" s="734"/>
      <c r="BR268" s="734"/>
      <c r="BS268" s="734"/>
      <c r="BT268" s="734"/>
      <c r="BU268" s="734"/>
      <c r="BV268" s="734"/>
      <c r="BW268" s="734"/>
      <c r="BX268" s="734"/>
      <c r="BY268" s="734"/>
      <c r="BZ268" s="734"/>
      <c r="CA268" s="734"/>
      <c r="CB268" s="734"/>
      <c r="CC268" s="734"/>
      <c r="CD268" s="734"/>
      <c r="CE268" s="734"/>
      <c r="CF268" s="734"/>
      <c r="CG268" s="734"/>
      <c r="CH268" s="734"/>
      <c r="CI268" s="734"/>
      <c r="CJ268" s="734"/>
      <c r="CK268" s="734"/>
      <c r="CL268" s="734"/>
      <c r="CM268" s="734"/>
      <c r="CN268" s="734"/>
      <c r="CO268" s="734"/>
    </row>
    <row r="269" spans="1:93" s="920" customFormat="1">
      <c r="A269" s="673"/>
      <c r="B269" s="673"/>
      <c r="C269" s="861"/>
      <c r="D269" s="861"/>
      <c r="E269" s="661" t="str">
        <f t="shared" si="102"/>
        <v/>
      </c>
      <c r="F269" s="736"/>
      <c r="G269" s="736"/>
      <c r="H269" s="736"/>
      <c r="I269" s="736"/>
      <c r="J269" s="736"/>
      <c r="K269" s="736"/>
      <c r="L269" s="736"/>
      <c r="M269" s="736"/>
      <c r="N269" s="736"/>
      <c r="O269" s="736"/>
      <c r="P269" s="736"/>
      <c r="Q269" s="736"/>
      <c r="R269" s="736"/>
      <c r="S269" s="736"/>
      <c r="T269" s="736"/>
      <c r="U269" s="736"/>
      <c r="V269" s="736"/>
      <c r="W269" s="736"/>
      <c r="X269" s="736"/>
      <c r="Y269" s="736"/>
      <c r="Z269" s="736"/>
      <c r="AA269" s="736"/>
      <c r="AB269" s="736"/>
      <c r="AC269" s="736"/>
      <c r="AD269" s="734"/>
      <c r="AE269" s="734"/>
      <c r="AF269" s="734"/>
      <c r="AG269" s="734"/>
      <c r="AH269" s="734"/>
      <c r="AI269" s="734"/>
      <c r="AJ269" s="734"/>
      <c r="AK269" s="734"/>
      <c r="AL269" s="736"/>
      <c r="AM269" s="736"/>
      <c r="AN269" s="736"/>
      <c r="AO269" s="736"/>
      <c r="AP269" s="736"/>
      <c r="AQ269" s="736"/>
      <c r="AR269" s="736"/>
      <c r="AS269" s="736"/>
      <c r="AT269" s="736"/>
      <c r="AU269" s="736"/>
      <c r="AV269" s="736"/>
      <c r="AW269" s="736"/>
      <c r="AX269" s="736"/>
      <c r="AY269" s="736"/>
      <c r="AZ269" s="806"/>
      <c r="BA269" s="734"/>
      <c r="BB269" s="734"/>
      <c r="BC269" s="734"/>
      <c r="BD269" s="734"/>
      <c r="BE269" s="734"/>
      <c r="BF269" s="734"/>
      <c r="BG269" s="734"/>
      <c r="BH269" s="734"/>
      <c r="BI269" s="734"/>
      <c r="BJ269" s="734"/>
      <c r="BK269" s="734"/>
      <c r="BL269" s="734"/>
      <c r="BM269" s="734"/>
      <c r="BN269" s="734"/>
      <c r="BO269" s="734"/>
      <c r="BP269" s="734"/>
      <c r="BQ269" s="734"/>
      <c r="BR269" s="734"/>
      <c r="BS269" s="734"/>
      <c r="BT269" s="734"/>
      <c r="BU269" s="734"/>
      <c r="BV269" s="734"/>
      <c r="BW269" s="734"/>
      <c r="BX269" s="734"/>
      <c r="BY269" s="734"/>
      <c r="BZ269" s="734"/>
      <c r="CA269" s="734"/>
      <c r="CB269" s="734"/>
      <c r="CC269" s="734"/>
      <c r="CD269" s="734"/>
      <c r="CE269" s="734"/>
      <c r="CF269" s="734"/>
      <c r="CG269" s="734"/>
      <c r="CH269" s="734"/>
      <c r="CI269" s="734"/>
      <c r="CJ269" s="734"/>
      <c r="CK269" s="734"/>
      <c r="CL269" s="734"/>
      <c r="CM269" s="734"/>
      <c r="CN269" s="734"/>
      <c r="CO269" s="734"/>
    </row>
    <row r="270" spans="1:93" s="920" customFormat="1">
      <c r="A270" s="673"/>
      <c r="B270" s="673"/>
      <c r="C270" s="736"/>
      <c r="D270" s="736"/>
      <c r="E270" s="661" t="str">
        <f t="shared" si="102"/>
        <v/>
      </c>
      <c r="F270" s="736"/>
      <c r="G270" s="736"/>
      <c r="H270" s="736"/>
      <c r="I270" s="736"/>
      <c r="J270" s="736"/>
      <c r="K270" s="736"/>
      <c r="L270" s="736"/>
      <c r="M270" s="736"/>
      <c r="N270" s="736"/>
      <c r="O270" s="736"/>
      <c r="P270" s="736"/>
      <c r="Q270" s="736"/>
      <c r="R270" s="736"/>
      <c r="S270" s="736"/>
      <c r="T270" s="736"/>
      <c r="U270" s="736"/>
      <c r="V270" s="736"/>
      <c r="W270" s="736"/>
      <c r="X270" s="736"/>
      <c r="Y270" s="736"/>
      <c r="Z270" s="736"/>
      <c r="AA270" s="736"/>
      <c r="AB270" s="736"/>
      <c r="AC270" s="736"/>
      <c r="AD270" s="734"/>
      <c r="AE270" s="734"/>
      <c r="AF270" s="734"/>
      <c r="AG270" s="734"/>
      <c r="AH270" s="734"/>
      <c r="AI270" s="734"/>
      <c r="AJ270" s="734"/>
      <c r="AK270" s="734"/>
      <c r="AL270" s="736"/>
      <c r="AM270" s="736"/>
      <c r="AN270" s="736"/>
      <c r="AO270" s="736"/>
      <c r="AP270" s="736"/>
      <c r="AQ270" s="736"/>
      <c r="AR270" s="736"/>
      <c r="AS270" s="736"/>
      <c r="AT270" s="736"/>
      <c r="AU270" s="736"/>
      <c r="AV270" s="736"/>
      <c r="AW270" s="736"/>
      <c r="AX270" s="736"/>
      <c r="AY270" s="736"/>
      <c r="AZ270" s="806"/>
      <c r="BA270" s="734"/>
      <c r="BB270" s="734"/>
      <c r="BC270" s="734"/>
      <c r="BD270" s="734"/>
      <c r="BE270" s="734"/>
      <c r="BF270" s="734"/>
      <c r="BG270" s="734"/>
      <c r="BH270" s="734"/>
      <c r="BI270" s="734"/>
      <c r="BJ270" s="734"/>
      <c r="BK270" s="734"/>
      <c r="BL270" s="734"/>
      <c r="BM270" s="734"/>
      <c r="BN270" s="734"/>
      <c r="BO270" s="734"/>
      <c r="BP270" s="734"/>
      <c r="BQ270" s="734"/>
      <c r="BR270" s="734"/>
      <c r="BS270" s="734"/>
      <c r="BT270" s="734"/>
      <c r="BU270" s="734"/>
      <c r="BV270" s="734"/>
      <c r="BW270" s="734"/>
      <c r="BX270" s="734"/>
      <c r="BY270" s="734"/>
      <c r="BZ270" s="734"/>
      <c r="CA270" s="734"/>
      <c r="CB270" s="734"/>
      <c r="CC270" s="734"/>
      <c r="CD270" s="734"/>
      <c r="CE270" s="734"/>
      <c r="CF270" s="734"/>
      <c r="CG270" s="734"/>
      <c r="CH270" s="734"/>
      <c r="CI270" s="734"/>
      <c r="CJ270" s="734"/>
      <c r="CK270" s="734"/>
      <c r="CL270" s="734"/>
      <c r="CM270" s="734"/>
      <c r="CN270" s="734"/>
      <c r="CO270" s="734"/>
    </row>
    <row r="271" spans="1:93" s="920" customFormat="1">
      <c r="A271" s="673"/>
      <c r="B271" s="673"/>
      <c r="C271" s="736"/>
      <c r="D271" s="736"/>
      <c r="E271" s="661" t="str">
        <f t="shared" si="102"/>
        <v/>
      </c>
      <c r="F271" s="736"/>
      <c r="G271" s="736"/>
      <c r="H271" s="736"/>
      <c r="I271" s="736"/>
      <c r="J271" s="736"/>
      <c r="K271" s="736"/>
      <c r="L271" s="736"/>
      <c r="M271" s="736"/>
      <c r="N271" s="736"/>
      <c r="O271" s="736"/>
      <c r="P271" s="736"/>
      <c r="Q271" s="736"/>
      <c r="R271" s="736"/>
      <c r="S271" s="736"/>
      <c r="T271" s="736"/>
      <c r="U271" s="736"/>
      <c r="V271" s="736"/>
      <c r="W271" s="736"/>
      <c r="X271" s="736"/>
      <c r="Y271" s="736"/>
      <c r="Z271" s="736"/>
      <c r="AA271" s="736"/>
      <c r="AB271" s="736"/>
      <c r="AC271" s="736"/>
      <c r="AD271" s="734"/>
      <c r="AE271" s="734"/>
      <c r="AF271" s="734"/>
      <c r="AG271" s="734"/>
      <c r="AH271" s="734"/>
      <c r="AI271" s="734"/>
      <c r="AJ271" s="734"/>
      <c r="AK271" s="734"/>
      <c r="AL271" s="736"/>
      <c r="AM271" s="736"/>
      <c r="AN271" s="736"/>
      <c r="AO271" s="736"/>
      <c r="AP271" s="736"/>
      <c r="AQ271" s="736"/>
      <c r="AR271" s="736"/>
      <c r="AS271" s="736"/>
      <c r="AT271" s="736"/>
      <c r="AU271" s="736"/>
      <c r="AV271" s="736"/>
      <c r="AW271" s="736"/>
      <c r="AX271" s="736"/>
      <c r="AY271" s="736"/>
      <c r="AZ271" s="806"/>
      <c r="BA271" s="734"/>
      <c r="BB271" s="734"/>
      <c r="BC271" s="734"/>
      <c r="BD271" s="734"/>
      <c r="BE271" s="734"/>
      <c r="BF271" s="734"/>
      <c r="BG271" s="734"/>
      <c r="BH271" s="734"/>
      <c r="BI271" s="734"/>
      <c r="BJ271" s="734"/>
      <c r="BK271" s="734"/>
      <c r="BL271" s="734"/>
      <c r="BM271" s="734"/>
      <c r="BN271" s="734"/>
      <c r="BO271" s="734"/>
      <c r="BP271" s="734"/>
      <c r="BQ271" s="734"/>
      <c r="BR271" s="734"/>
      <c r="BS271" s="734"/>
      <c r="BT271" s="734"/>
      <c r="BU271" s="734"/>
      <c r="BV271" s="734"/>
      <c r="BW271" s="734"/>
      <c r="BX271" s="734"/>
      <c r="BY271" s="734"/>
      <c r="BZ271" s="734"/>
      <c r="CA271" s="734"/>
      <c r="CB271" s="734"/>
      <c r="CC271" s="734"/>
      <c r="CD271" s="734"/>
      <c r="CE271" s="734"/>
      <c r="CF271" s="734"/>
      <c r="CG271" s="734"/>
      <c r="CH271" s="734"/>
      <c r="CI271" s="734"/>
      <c r="CJ271" s="734"/>
      <c r="CK271" s="734"/>
      <c r="CL271" s="734"/>
      <c r="CM271" s="734"/>
      <c r="CN271" s="734"/>
      <c r="CO271" s="734"/>
    </row>
    <row r="272" spans="1:93" s="920" customFormat="1">
      <c r="A272" s="673"/>
      <c r="B272" s="673"/>
      <c r="C272" s="736"/>
      <c r="D272" s="736"/>
      <c r="E272" s="661" t="str">
        <f t="shared" si="102"/>
        <v/>
      </c>
      <c r="F272" s="736"/>
      <c r="G272" s="736"/>
      <c r="H272" s="736"/>
      <c r="I272" s="736"/>
      <c r="J272" s="736"/>
      <c r="K272" s="736"/>
      <c r="L272" s="736"/>
      <c r="M272" s="736"/>
      <c r="N272" s="736"/>
      <c r="O272" s="736"/>
      <c r="P272" s="736"/>
      <c r="Q272" s="736"/>
      <c r="R272" s="736"/>
      <c r="S272" s="736"/>
      <c r="T272" s="736"/>
      <c r="U272" s="736"/>
      <c r="V272" s="736"/>
      <c r="W272" s="736"/>
      <c r="X272" s="736"/>
      <c r="Y272" s="736"/>
      <c r="Z272" s="736"/>
      <c r="AA272" s="736"/>
      <c r="AB272" s="736"/>
      <c r="AC272" s="736"/>
      <c r="AD272" s="734"/>
      <c r="AE272" s="734"/>
      <c r="AF272" s="734"/>
      <c r="AG272" s="734"/>
      <c r="AH272" s="734"/>
      <c r="AI272" s="734"/>
      <c r="AJ272" s="734"/>
      <c r="AK272" s="734"/>
      <c r="AL272" s="736"/>
      <c r="AM272" s="736"/>
      <c r="AN272" s="736"/>
      <c r="AO272" s="736"/>
      <c r="AP272" s="736"/>
      <c r="AQ272" s="736"/>
      <c r="AR272" s="736"/>
      <c r="AS272" s="736"/>
      <c r="AT272" s="736"/>
      <c r="AU272" s="736"/>
      <c r="AV272" s="736"/>
      <c r="AW272" s="736"/>
      <c r="AX272" s="736"/>
      <c r="AY272" s="736"/>
      <c r="AZ272" s="806"/>
      <c r="BA272" s="734"/>
      <c r="BB272" s="734"/>
      <c r="BC272" s="734"/>
      <c r="BD272" s="734"/>
      <c r="BE272" s="734"/>
      <c r="BF272" s="734"/>
      <c r="BG272" s="734"/>
      <c r="BH272" s="734"/>
      <c r="BI272" s="734"/>
      <c r="BJ272" s="734"/>
      <c r="BK272" s="734"/>
      <c r="BL272" s="734"/>
      <c r="BM272" s="734"/>
      <c r="BN272" s="734"/>
      <c r="BO272" s="734"/>
      <c r="BP272" s="734"/>
      <c r="BQ272" s="734"/>
      <c r="BR272" s="734"/>
      <c r="BS272" s="734"/>
      <c r="BT272" s="734"/>
      <c r="BU272" s="734"/>
      <c r="BV272" s="734"/>
      <c r="BW272" s="734"/>
      <c r="BX272" s="734"/>
      <c r="BY272" s="734"/>
      <c r="BZ272" s="734"/>
      <c r="CA272" s="734"/>
      <c r="CB272" s="734"/>
      <c r="CC272" s="734"/>
      <c r="CD272" s="734"/>
      <c r="CE272" s="734"/>
      <c r="CF272" s="734"/>
      <c r="CG272" s="734"/>
      <c r="CH272" s="734"/>
      <c r="CI272" s="734"/>
      <c r="CJ272" s="734"/>
      <c r="CK272" s="734"/>
      <c r="CL272" s="734"/>
      <c r="CM272" s="734"/>
      <c r="CN272" s="734"/>
      <c r="CO272" s="734"/>
    </row>
    <row r="273" spans="1:93" s="920" customFormat="1">
      <c r="A273" s="673"/>
      <c r="B273" s="673"/>
      <c r="C273" s="736"/>
      <c r="D273" s="736"/>
      <c r="E273" s="661" t="str">
        <f t="shared" si="102"/>
        <v/>
      </c>
      <c r="F273" s="736"/>
      <c r="G273" s="736"/>
      <c r="H273" s="736"/>
      <c r="I273" s="736"/>
      <c r="J273" s="736"/>
      <c r="K273" s="736"/>
      <c r="L273" s="736"/>
      <c r="M273" s="736"/>
      <c r="N273" s="736"/>
      <c r="O273" s="736"/>
      <c r="P273" s="736"/>
      <c r="Q273" s="736"/>
      <c r="R273" s="736"/>
      <c r="S273" s="736"/>
      <c r="T273" s="736"/>
      <c r="U273" s="736"/>
      <c r="V273" s="736"/>
      <c r="W273" s="736"/>
      <c r="X273" s="736"/>
      <c r="Y273" s="736"/>
      <c r="Z273" s="736"/>
      <c r="AA273" s="736"/>
      <c r="AB273" s="736"/>
      <c r="AC273" s="736"/>
      <c r="AD273" s="734"/>
      <c r="AE273" s="734"/>
      <c r="AF273" s="734"/>
      <c r="AG273" s="734"/>
      <c r="AH273" s="734"/>
      <c r="AI273" s="734"/>
      <c r="AJ273" s="734"/>
      <c r="AK273" s="734"/>
      <c r="AL273" s="736"/>
      <c r="AM273" s="736"/>
      <c r="AN273" s="736"/>
      <c r="AO273" s="736"/>
      <c r="AP273" s="736"/>
      <c r="AQ273" s="736"/>
      <c r="AR273" s="736"/>
      <c r="AS273" s="736"/>
      <c r="AT273" s="736"/>
      <c r="AU273" s="736"/>
      <c r="AV273" s="736"/>
      <c r="AW273" s="736"/>
      <c r="AX273" s="736"/>
      <c r="AY273" s="736"/>
      <c r="AZ273" s="806"/>
      <c r="BA273" s="734"/>
      <c r="BB273" s="734"/>
      <c r="BC273" s="734"/>
      <c r="BD273" s="734"/>
      <c r="BE273" s="734"/>
      <c r="BF273" s="734"/>
      <c r="BG273" s="734"/>
      <c r="BH273" s="734"/>
      <c r="BI273" s="734"/>
      <c r="BJ273" s="734"/>
      <c r="BK273" s="734"/>
      <c r="BL273" s="734"/>
      <c r="BM273" s="734"/>
      <c r="BN273" s="734"/>
      <c r="BO273" s="734"/>
      <c r="BP273" s="734"/>
      <c r="BQ273" s="734"/>
      <c r="BR273" s="734"/>
      <c r="BS273" s="734"/>
      <c r="BT273" s="734"/>
      <c r="BU273" s="734"/>
      <c r="BV273" s="734"/>
      <c r="BW273" s="734"/>
      <c r="BX273" s="734"/>
      <c r="BY273" s="734"/>
      <c r="BZ273" s="734"/>
      <c r="CA273" s="734"/>
      <c r="CB273" s="734"/>
      <c r="CC273" s="734"/>
      <c r="CD273" s="734"/>
      <c r="CE273" s="734"/>
      <c r="CF273" s="734"/>
      <c r="CG273" s="734"/>
      <c r="CH273" s="734"/>
      <c r="CI273" s="734"/>
      <c r="CJ273" s="734"/>
      <c r="CK273" s="734"/>
      <c r="CL273" s="734"/>
      <c r="CM273" s="734"/>
      <c r="CN273" s="734"/>
      <c r="CO273" s="734"/>
    </row>
    <row r="274" spans="1:93" s="920" customFormat="1">
      <c r="A274" s="673"/>
      <c r="B274" s="673"/>
      <c r="C274" s="736"/>
      <c r="D274" s="736"/>
      <c r="E274" s="661" t="str">
        <f t="shared" si="102"/>
        <v/>
      </c>
      <c r="F274" s="736"/>
      <c r="G274" s="736"/>
      <c r="H274" s="736"/>
      <c r="I274" s="736"/>
      <c r="J274" s="736"/>
      <c r="K274" s="736"/>
      <c r="L274" s="736"/>
      <c r="M274" s="736"/>
      <c r="N274" s="736"/>
      <c r="O274" s="736"/>
      <c r="P274" s="736"/>
      <c r="Q274" s="736"/>
      <c r="R274" s="736"/>
      <c r="S274" s="736"/>
      <c r="T274" s="736"/>
      <c r="U274" s="736"/>
      <c r="V274" s="736"/>
      <c r="W274" s="736"/>
      <c r="X274" s="736"/>
      <c r="Y274" s="736"/>
      <c r="Z274" s="736"/>
      <c r="AA274" s="736"/>
      <c r="AB274" s="736"/>
      <c r="AC274" s="736"/>
      <c r="AD274" s="734"/>
      <c r="AE274" s="734"/>
      <c r="AF274" s="734"/>
      <c r="AG274" s="734"/>
      <c r="AH274" s="734"/>
      <c r="AI274" s="734"/>
      <c r="AJ274" s="734"/>
      <c r="AK274" s="734"/>
      <c r="AL274" s="736"/>
      <c r="AM274" s="736"/>
      <c r="AN274" s="736"/>
      <c r="AO274" s="736"/>
      <c r="AP274" s="736"/>
      <c r="AQ274" s="736"/>
      <c r="AR274" s="736"/>
      <c r="AS274" s="736"/>
      <c r="AT274" s="736"/>
      <c r="AU274" s="736"/>
      <c r="AV274" s="736"/>
      <c r="AW274" s="736"/>
      <c r="AX274" s="736"/>
      <c r="AY274" s="736"/>
      <c r="AZ274" s="806"/>
      <c r="BA274" s="734"/>
      <c r="BB274" s="734"/>
      <c r="BC274" s="734"/>
      <c r="BD274" s="734"/>
      <c r="BE274" s="734"/>
      <c r="BF274" s="734"/>
      <c r="BG274" s="734"/>
      <c r="BH274" s="734"/>
      <c r="BI274" s="734"/>
      <c r="BJ274" s="734"/>
      <c r="BK274" s="734"/>
      <c r="BL274" s="734"/>
      <c r="BM274" s="734"/>
      <c r="BN274" s="734"/>
      <c r="BO274" s="734"/>
      <c r="BP274" s="734"/>
      <c r="BQ274" s="734"/>
      <c r="BR274" s="734"/>
      <c r="BS274" s="734"/>
      <c r="BT274" s="734"/>
      <c r="BU274" s="734"/>
      <c r="BV274" s="734"/>
      <c r="BW274" s="734"/>
      <c r="BX274" s="734"/>
      <c r="BY274" s="734"/>
      <c r="BZ274" s="734"/>
      <c r="CA274" s="734"/>
      <c r="CB274" s="734"/>
      <c r="CC274" s="734"/>
      <c r="CD274" s="734"/>
      <c r="CE274" s="734"/>
      <c r="CF274" s="734"/>
      <c r="CG274" s="734"/>
      <c r="CH274" s="734"/>
      <c r="CI274" s="734"/>
      <c r="CJ274" s="734"/>
      <c r="CK274" s="734"/>
      <c r="CL274" s="734"/>
      <c r="CM274" s="734"/>
      <c r="CN274" s="734"/>
      <c r="CO274" s="734"/>
    </row>
    <row r="275" spans="1:93" s="920" customFormat="1">
      <c r="A275" s="673"/>
      <c r="B275" s="673"/>
      <c r="C275" s="736"/>
      <c r="D275" s="736"/>
      <c r="E275" s="661" t="str">
        <f t="shared" si="102"/>
        <v/>
      </c>
      <c r="F275" s="736"/>
      <c r="G275" s="736"/>
      <c r="H275" s="736"/>
      <c r="I275" s="736"/>
      <c r="J275" s="736"/>
      <c r="K275" s="736"/>
      <c r="L275" s="736"/>
      <c r="M275" s="736"/>
      <c r="N275" s="736"/>
      <c r="O275" s="736"/>
      <c r="P275" s="736"/>
      <c r="Q275" s="736"/>
      <c r="R275" s="736"/>
      <c r="S275" s="736"/>
      <c r="T275" s="736"/>
      <c r="U275" s="736"/>
      <c r="V275" s="736"/>
      <c r="W275" s="736"/>
      <c r="X275" s="736"/>
      <c r="Y275" s="736"/>
      <c r="Z275" s="736"/>
      <c r="AA275" s="736"/>
      <c r="AB275" s="736"/>
      <c r="AC275" s="736"/>
      <c r="AD275" s="734"/>
      <c r="AE275" s="734"/>
      <c r="AF275" s="734"/>
      <c r="AG275" s="734"/>
      <c r="AH275" s="734"/>
      <c r="AI275" s="734"/>
      <c r="AJ275" s="734"/>
      <c r="AK275" s="734"/>
      <c r="AL275" s="736"/>
      <c r="AM275" s="736"/>
      <c r="AN275" s="736"/>
      <c r="AO275" s="736"/>
      <c r="AP275" s="736"/>
      <c r="AQ275" s="736"/>
      <c r="AR275" s="736"/>
      <c r="AS275" s="736"/>
      <c r="AT275" s="736"/>
      <c r="AU275" s="736"/>
      <c r="AV275" s="736"/>
      <c r="AW275" s="736"/>
      <c r="AX275" s="736"/>
      <c r="AY275" s="736"/>
      <c r="AZ275" s="806"/>
      <c r="BA275" s="734"/>
      <c r="BB275" s="734"/>
      <c r="BC275" s="734"/>
      <c r="BD275" s="734"/>
      <c r="BE275" s="734"/>
      <c r="BF275" s="734"/>
      <c r="BG275" s="734"/>
      <c r="BH275" s="734"/>
      <c r="BI275" s="734"/>
      <c r="BJ275" s="734"/>
      <c r="BK275" s="734"/>
      <c r="BL275" s="734"/>
      <c r="BM275" s="734"/>
      <c r="BN275" s="734"/>
      <c r="BO275" s="734"/>
      <c r="BP275" s="734"/>
      <c r="BQ275" s="734"/>
      <c r="BR275" s="734"/>
      <c r="BS275" s="734"/>
      <c r="BT275" s="734"/>
      <c r="BU275" s="734"/>
      <c r="BV275" s="734"/>
      <c r="BW275" s="734"/>
      <c r="BX275" s="734"/>
      <c r="BY275" s="734"/>
      <c r="BZ275" s="734"/>
      <c r="CA275" s="734"/>
      <c r="CB275" s="734"/>
      <c r="CC275" s="734"/>
      <c r="CD275" s="734"/>
      <c r="CE275" s="734"/>
      <c r="CF275" s="734"/>
      <c r="CG275" s="734"/>
      <c r="CH275" s="734"/>
      <c r="CI275" s="734"/>
      <c r="CJ275" s="734"/>
      <c r="CK275" s="734"/>
      <c r="CL275" s="734"/>
      <c r="CM275" s="734"/>
      <c r="CN275" s="734"/>
      <c r="CO275" s="734"/>
    </row>
    <row r="276" spans="1:93" s="920" customFormat="1">
      <c r="A276" s="673"/>
      <c r="B276" s="673"/>
      <c r="C276" s="736"/>
      <c r="D276" s="736"/>
      <c r="E276" s="661" t="str">
        <f t="shared" si="102"/>
        <v/>
      </c>
      <c r="F276" s="736"/>
      <c r="G276" s="736"/>
      <c r="H276" s="736"/>
      <c r="I276" s="736"/>
      <c r="J276" s="736"/>
      <c r="K276" s="736"/>
      <c r="L276" s="736"/>
      <c r="M276" s="736"/>
      <c r="N276" s="736"/>
      <c r="O276" s="736"/>
      <c r="P276" s="736"/>
      <c r="Q276" s="736"/>
      <c r="R276" s="736"/>
      <c r="S276" s="736"/>
      <c r="T276" s="736"/>
      <c r="U276" s="736"/>
      <c r="V276" s="736"/>
      <c r="W276" s="736"/>
      <c r="X276" s="736"/>
      <c r="Y276" s="736"/>
      <c r="Z276" s="736"/>
      <c r="AA276" s="736"/>
      <c r="AB276" s="736"/>
      <c r="AC276" s="736"/>
      <c r="AD276" s="734"/>
      <c r="AE276" s="734"/>
      <c r="AF276" s="734"/>
      <c r="AG276" s="734"/>
      <c r="AH276" s="734"/>
      <c r="AI276" s="734"/>
      <c r="AJ276" s="734"/>
      <c r="AK276" s="734"/>
      <c r="AL276" s="736"/>
      <c r="AM276" s="736"/>
      <c r="AN276" s="736"/>
      <c r="AO276" s="736"/>
      <c r="AP276" s="736"/>
      <c r="AQ276" s="736"/>
      <c r="AR276" s="736"/>
      <c r="AS276" s="736"/>
      <c r="AT276" s="736"/>
      <c r="AU276" s="736"/>
      <c r="AV276" s="736"/>
      <c r="AW276" s="736"/>
      <c r="AX276" s="736"/>
      <c r="AY276" s="736"/>
      <c r="AZ276" s="806"/>
      <c r="BA276" s="734"/>
      <c r="BB276" s="734"/>
      <c r="BC276" s="734"/>
      <c r="BD276" s="734"/>
      <c r="BE276" s="734"/>
      <c r="BF276" s="734"/>
      <c r="BG276" s="734"/>
      <c r="BH276" s="734"/>
      <c r="BI276" s="734"/>
      <c r="BJ276" s="734"/>
      <c r="BK276" s="734"/>
      <c r="BL276" s="734"/>
      <c r="BM276" s="734"/>
      <c r="BN276" s="734"/>
      <c r="BO276" s="734"/>
      <c r="BP276" s="734"/>
      <c r="BQ276" s="734"/>
      <c r="BR276" s="734"/>
      <c r="BS276" s="734"/>
      <c r="BT276" s="734"/>
      <c r="BU276" s="734"/>
      <c r="BV276" s="734"/>
      <c r="BW276" s="734"/>
      <c r="BX276" s="734"/>
      <c r="BY276" s="734"/>
      <c r="BZ276" s="734"/>
      <c r="CA276" s="734"/>
      <c r="CB276" s="734"/>
      <c r="CC276" s="734"/>
      <c r="CD276" s="734"/>
      <c r="CE276" s="734"/>
      <c r="CF276" s="734"/>
      <c r="CG276" s="734"/>
      <c r="CH276" s="734"/>
      <c r="CI276" s="734"/>
      <c r="CJ276" s="734"/>
      <c r="CK276" s="734"/>
      <c r="CL276" s="734"/>
      <c r="CM276" s="734"/>
      <c r="CN276" s="734"/>
      <c r="CO276" s="734"/>
    </row>
    <row r="277" spans="1:93" s="920" customFormat="1">
      <c r="A277" s="673"/>
      <c r="B277" s="673"/>
      <c r="C277" s="736"/>
      <c r="D277" s="736"/>
      <c r="E277" s="661" t="str">
        <f t="shared" si="102"/>
        <v/>
      </c>
      <c r="F277" s="736"/>
      <c r="G277" s="736"/>
      <c r="H277" s="736"/>
      <c r="I277" s="736"/>
      <c r="J277" s="736"/>
      <c r="K277" s="736"/>
      <c r="L277" s="736"/>
      <c r="M277" s="736"/>
      <c r="N277" s="736"/>
      <c r="O277" s="736"/>
      <c r="P277" s="736"/>
      <c r="Q277" s="736"/>
      <c r="R277" s="736"/>
      <c r="S277" s="736"/>
      <c r="T277" s="736"/>
      <c r="U277" s="736"/>
      <c r="V277" s="736"/>
      <c r="W277" s="736"/>
      <c r="X277" s="736"/>
      <c r="Y277" s="736"/>
      <c r="Z277" s="736"/>
      <c r="AA277" s="736"/>
      <c r="AB277" s="736"/>
      <c r="AC277" s="736"/>
      <c r="AD277" s="734"/>
      <c r="AE277" s="734"/>
      <c r="AF277" s="734"/>
      <c r="AG277" s="734"/>
      <c r="AH277" s="734"/>
      <c r="AI277" s="734"/>
      <c r="AJ277" s="734"/>
      <c r="AK277" s="734"/>
      <c r="AL277" s="736"/>
      <c r="AM277" s="736"/>
      <c r="AN277" s="736"/>
      <c r="AO277" s="736"/>
      <c r="AP277" s="736"/>
      <c r="AQ277" s="736"/>
      <c r="AR277" s="736"/>
      <c r="AS277" s="736"/>
      <c r="AT277" s="736"/>
      <c r="AU277" s="736"/>
      <c r="AV277" s="736"/>
      <c r="AW277" s="736"/>
      <c r="AX277" s="736"/>
      <c r="AY277" s="736"/>
      <c r="AZ277" s="806"/>
      <c r="BA277" s="734"/>
      <c r="BB277" s="734"/>
      <c r="BC277" s="734"/>
      <c r="BD277" s="734"/>
      <c r="BE277" s="734"/>
      <c r="BF277" s="734"/>
      <c r="BG277" s="734"/>
      <c r="BH277" s="734"/>
      <c r="BI277" s="734"/>
      <c r="BJ277" s="734"/>
      <c r="BK277" s="734"/>
      <c r="BL277" s="734"/>
      <c r="BM277" s="734"/>
      <c r="BN277" s="734"/>
      <c r="BO277" s="734"/>
      <c r="BP277" s="734"/>
      <c r="BQ277" s="734"/>
      <c r="BR277" s="734"/>
      <c r="BS277" s="734"/>
      <c r="BT277" s="734"/>
      <c r="BU277" s="734"/>
      <c r="BV277" s="734"/>
      <c r="BW277" s="734"/>
      <c r="BX277" s="734"/>
      <c r="BY277" s="734"/>
      <c r="BZ277" s="734"/>
      <c r="CA277" s="734"/>
      <c r="CB277" s="734"/>
      <c r="CC277" s="734"/>
      <c r="CD277" s="734"/>
      <c r="CE277" s="734"/>
      <c r="CF277" s="734"/>
      <c r="CG277" s="734"/>
      <c r="CH277" s="734"/>
      <c r="CI277" s="734"/>
      <c r="CJ277" s="734"/>
      <c r="CK277" s="734"/>
      <c r="CL277" s="734"/>
      <c r="CM277" s="734"/>
      <c r="CN277" s="734"/>
      <c r="CO277" s="734"/>
    </row>
    <row r="278" spans="1:93" s="920" customFormat="1">
      <c r="A278" s="673"/>
      <c r="B278" s="673"/>
      <c r="C278" s="736"/>
      <c r="D278" s="736"/>
      <c r="E278" s="661" t="str">
        <f t="shared" si="102"/>
        <v/>
      </c>
      <c r="F278" s="736"/>
      <c r="G278" s="736"/>
      <c r="H278" s="736"/>
      <c r="I278" s="736"/>
      <c r="J278" s="736"/>
      <c r="K278" s="736"/>
      <c r="L278" s="736"/>
      <c r="M278" s="736"/>
      <c r="N278" s="736"/>
      <c r="O278" s="736"/>
      <c r="P278" s="736"/>
      <c r="Q278" s="736"/>
      <c r="R278" s="736"/>
      <c r="S278" s="736"/>
      <c r="T278" s="736"/>
      <c r="U278" s="736"/>
      <c r="V278" s="736"/>
      <c r="W278" s="736"/>
      <c r="X278" s="736"/>
      <c r="Y278" s="736"/>
      <c r="Z278" s="736"/>
      <c r="AA278" s="736"/>
      <c r="AB278" s="736"/>
      <c r="AC278" s="736"/>
      <c r="AD278" s="734"/>
      <c r="AE278" s="734"/>
      <c r="AF278" s="734"/>
      <c r="AG278" s="734"/>
      <c r="AH278" s="734"/>
      <c r="AI278" s="734"/>
      <c r="AJ278" s="734"/>
      <c r="AK278" s="734"/>
      <c r="AL278" s="736"/>
      <c r="AM278" s="736"/>
      <c r="AN278" s="736"/>
      <c r="AO278" s="736"/>
      <c r="AP278" s="736"/>
      <c r="AQ278" s="736"/>
      <c r="AR278" s="736"/>
      <c r="AS278" s="736"/>
      <c r="AT278" s="736"/>
      <c r="AU278" s="736"/>
      <c r="AV278" s="736"/>
      <c r="AW278" s="736"/>
      <c r="AX278" s="736"/>
      <c r="AY278" s="736"/>
      <c r="AZ278" s="806"/>
      <c r="BA278" s="734"/>
      <c r="BB278" s="734"/>
      <c r="BC278" s="734"/>
      <c r="BD278" s="734"/>
      <c r="BE278" s="734"/>
      <c r="BF278" s="734"/>
      <c r="BG278" s="734"/>
      <c r="BH278" s="734"/>
      <c r="BI278" s="734"/>
      <c r="BJ278" s="734"/>
      <c r="BK278" s="734"/>
      <c r="BL278" s="734"/>
      <c r="BM278" s="734"/>
      <c r="BN278" s="734"/>
      <c r="BO278" s="734"/>
      <c r="BP278" s="734"/>
      <c r="BQ278" s="734"/>
      <c r="BR278" s="734"/>
      <c r="BS278" s="734"/>
      <c r="BT278" s="734"/>
      <c r="BU278" s="734"/>
      <c r="BV278" s="734"/>
      <c r="BW278" s="734"/>
      <c r="BX278" s="734"/>
      <c r="BY278" s="734"/>
      <c r="BZ278" s="734"/>
      <c r="CA278" s="734"/>
      <c r="CB278" s="734"/>
      <c r="CC278" s="734"/>
      <c r="CD278" s="734"/>
      <c r="CE278" s="734"/>
      <c r="CF278" s="734"/>
      <c r="CG278" s="734"/>
      <c r="CH278" s="734"/>
      <c r="CI278" s="734"/>
      <c r="CJ278" s="734"/>
      <c r="CK278" s="734"/>
      <c r="CL278" s="734"/>
      <c r="CM278" s="734"/>
      <c r="CN278" s="734"/>
      <c r="CO278" s="734"/>
    </row>
    <row r="279" spans="1:93" s="920" customFormat="1">
      <c r="A279" s="673"/>
      <c r="B279" s="673"/>
      <c r="C279" s="736"/>
      <c r="D279" s="736"/>
      <c r="E279" s="661" t="str">
        <f t="shared" si="102"/>
        <v/>
      </c>
      <c r="F279" s="736"/>
      <c r="G279" s="736"/>
      <c r="H279" s="736"/>
      <c r="I279" s="736"/>
      <c r="J279" s="736"/>
      <c r="K279" s="736"/>
      <c r="L279" s="736"/>
      <c r="M279" s="736"/>
      <c r="N279" s="736"/>
      <c r="O279" s="736"/>
      <c r="P279" s="736"/>
      <c r="Q279" s="736"/>
      <c r="R279" s="736"/>
      <c r="S279" s="736"/>
      <c r="T279" s="736"/>
      <c r="U279" s="736"/>
      <c r="V279" s="736"/>
      <c r="W279" s="736"/>
      <c r="X279" s="736"/>
      <c r="Y279" s="736"/>
      <c r="Z279" s="736"/>
      <c r="AA279" s="736"/>
      <c r="AB279" s="736"/>
      <c r="AC279" s="736"/>
      <c r="AD279" s="734"/>
      <c r="AE279" s="734"/>
      <c r="AF279" s="734"/>
      <c r="AG279" s="734"/>
      <c r="AH279" s="734"/>
      <c r="AI279" s="734"/>
      <c r="AJ279" s="734"/>
      <c r="AK279" s="734"/>
      <c r="AL279" s="736"/>
      <c r="AM279" s="736"/>
      <c r="AN279" s="736"/>
      <c r="AO279" s="736"/>
      <c r="AP279" s="736"/>
      <c r="AQ279" s="736"/>
      <c r="AR279" s="736"/>
      <c r="AS279" s="736"/>
      <c r="AT279" s="736"/>
      <c r="AU279" s="736"/>
      <c r="AV279" s="736"/>
      <c r="AW279" s="736"/>
      <c r="AX279" s="736"/>
      <c r="AY279" s="736"/>
      <c r="AZ279" s="806"/>
      <c r="BA279" s="734"/>
      <c r="BB279" s="734"/>
      <c r="BC279" s="734"/>
      <c r="BD279" s="734"/>
      <c r="BE279" s="734"/>
      <c r="BF279" s="734"/>
      <c r="BG279" s="734"/>
      <c r="BH279" s="734"/>
      <c r="BI279" s="734"/>
      <c r="BJ279" s="734"/>
      <c r="BK279" s="734"/>
      <c r="BL279" s="734"/>
      <c r="BM279" s="734"/>
      <c r="BN279" s="734"/>
      <c r="BO279" s="734"/>
      <c r="BP279" s="734"/>
      <c r="BQ279" s="734"/>
      <c r="BR279" s="734"/>
      <c r="BS279" s="734"/>
      <c r="BT279" s="734"/>
      <c r="BU279" s="734"/>
      <c r="BV279" s="734"/>
      <c r="BW279" s="734"/>
      <c r="BX279" s="734"/>
      <c r="BY279" s="734"/>
      <c r="BZ279" s="734"/>
      <c r="CA279" s="734"/>
      <c r="CB279" s="734"/>
      <c r="CC279" s="734"/>
      <c r="CD279" s="734"/>
      <c r="CE279" s="734"/>
      <c r="CF279" s="734"/>
      <c r="CG279" s="734"/>
      <c r="CH279" s="734"/>
      <c r="CI279" s="734"/>
      <c r="CJ279" s="734"/>
      <c r="CK279" s="734"/>
      <c r="CL279" s="734"/>
      <c r="CM279" s="734"/>
      <c r="CN279" s="734"/>
      <c r="CO279" s="734"/>
    </row>
    <row r="280" spans="1:93" s="920" customFormat="1">
      <c r="A280" s="673"/>
      <c r="B280" s="673"/>
      <c r="C280" s="736"/>
      <c r="D280" s="736"/>
      <c r="E280" s="661" t="str">
        <f t="shared" si="102"/>
        <v/>
      </c>
      <c r="F280" s="736"/>
      <c r="G280" s="736"/>
      <c r="H280" s="736"/>
      <c r="I280" s="736"/>
      <c r="J280" s="736"/>
      <c r="K280" s="736"/>
      <c r="L280" s="736"/>
      <c r="M280" s="736"/>
      <c r="N280" s="736"/>
      <c r="O280" s="736"/>
      <c r="P280" s="736"/>
      <c r="Q280" s="736"/>
      <c r="R280" s="736"/>
      <c r="S280" s="736"/>
      <c r="T280" s="736"/>
      <c r="U280" s="736"/>
      <c r="V280" s="736"/>
      <c r="W280" s="736"/>
      <c r="X280" s="736"/>
      <c r="Y280" s="736"/>
      <c r="Z280" s="736"/>
      <c r="AA280" s="736"/>
      <c r="AB280" s="736"/>
      <c r="AC280" s="736"/>
      <c r="AD280" s="734"/>
      <c r="AE280" s="734"/>
      <c r="AF280" s="734"/>
      <c r="AG280" s="734"/>
      <c r="AH280" s="734"/>
      <c r="AI280" s="734"/>
      <c r="AJ280" s="734"/>
      <c r="AK280" s="734"/>
      <c r="AL280" s="736"/>
      <c r="AM280" s="736"/>
      <c r="AN280" s="736"/>
      <c r="AO280" s="736"/>
      <c r="AP280" s="736"/>
      <c r="AQ280" s="736"/>
      <c r="AR280" s="736"/>
      <c r="AS280" s="736"/>
      <c r="AT280" s="736"/>
      <c r="AU280" s="736"/>
      <c r="AV280" s="736"/>
      <c r="AW280" s="736"/>
      <c r="AX280" s="736"/>
      <c r="AY280" s="736"/>
      <c r="AZ280" s="806"/>
      <c r="BA280" s="734"/>
      <c r="BB280" s="734"/>
      <c r="BC280" s="734"/>
      <c r="BD280" s="734"/>
      <c r="BE280" s="734"/>
      <c r="BF280" s="734"/>
      <c r="BG280" s="734"/>
      <c r="BH280" s="734"/>
      <c r="BI280" s="734"/>
      <c r="BJ280" s="734"/>
      <c r="BK280" s="734"/>
      <c r="BL280" s="734"/>
      <c r="BM280" s="734"/>
      <c r="BN280" s="734"/>
      <c r="BO280" s="734"/>
      <c r="BP280" s="734"/>
      <c r="BQ280" s="734"/>
      <c r="BR280" s="734"/>
      <c r="BS280" s="734"/>
      <c r="BT280" s="734"/>
      <c r="BU280" s="734"/>
      <c r="BV280" s="734"/>
      <c r="BW280" s="734"/>
      <c r="BX280" s="734"/>
      <c r="BY280" s="734"/>
      <c r="BZ280" s="734"/>
      <c r="CA280" s="734"/>
      <c r="CB280" s="734"/>
      <c r="CC280" s="734"/>
      <c r="CD280" s="734"/>
      <c r="CE280" s="734"/>
      <c r="CF280" s="734"/>
      <c r="CG280" s="734"/>
      <c r="CH280" s="734"/>
      <c r="CI280" s="734"/>
      <c r="CJ280" s="734"/>
      <c r="CK280" s="734"/>
      <c r="CL280" s="734"/>
      <c r="CM280" s="734"/>
      <c r="CN280" s="734"/>
      <c r="CO280" s="734"/>
    </row>
    <row r="281" spans="1:93" s="920" customFormat="1">
      <c r="A281" s="673"/>
      <c r="B281" s="673"/>
      <c r="C281" s="736"/>
      <c r="D281" s="736"/>
      <c r="E281" s="661" t="str">
        <f t="shared" si="102"/>
        <v/>
      </c>
      <c r="F281" s="736"/>
      <c r="G281" s="736"/>
      <c r="H281" s="736"/>
      <c r="I281" s="736"/>
      <c r="J281" s="736"/>
      <c r="K281" s="736"/>
      <c r="L281" s="736"/>
      <c r="M281" s="736"/>
      <c r="N281" s="736"/>
      <c r="O281" s="736"/>
      <c r="P281" s="736"/>
      <c r="Q281" s="736"/>
      <c r="R281" s="736"/>
      <c r="S281" s="736"/>
      <c r="T281" s="736"/>
      <c r="U281" s="736"/>
      <c r="V281" s="736"/>
      <c r="W281" s="736"/>
      <c r="X281" s="736"/>
      <c r="Y281" s="736"/>
      <c r="Z281" s="736"/>
      <c r="AA281" s="736"/>
      <c r="AB281" s="736"/>
      <c r="AC281" s="736"/>
      <c r="AD281" s="734"/>
      <c r="AE281" s="734"/>
      <c r="AF281" s="734"/>
      <c r="AG281" s="734"/>
      <c r="AH281" s="734"/>
      <c r="AI281" s="734"/>
      <c r="AJ281" s="734"/>
      <c r="AK281" s="734"/>
      <c r="AL281" s="736"/>
      <c r="AM281" s="736"/>
      <c r="AN281" s="736"/>
      <c r="AO281" s="736"/>
      <c r="AP281" s="736"/>
      <c r="AQ281" s="736"/>
      <c r="AR281" s="736"/>
      <c r="AS281" s="736"/>
      <c r="AT281" s="736"/>
      <c r="AU281" s="736"/>
      <c r="AV281" s="736"/>
      <c r="AW281" s="736"/>
      <c r="AX281" s="736"/>
      <c r="AY281" s="736"/>
      <c r="AZ281" s="806"/>
      <c r="BA281" s="734"/>
      <c r="BB281" s="734"/>
      <c r="BC281" s="734"/>
      <c r="BD281" s="734"/>
      <c r="BE281" s="734"/>
      <c r="BF281" s="734"/>
      <c r="BG281" s="734"/>
      <c r="BH281" s="734"/>
      <c r="BI281" s="734"/>
      <c r="BJ281" s="734"/>
      <c r="BK281" s="734"/>
      <c r="BL281" s="734"/>
      <c r="BM281" s="734"/>
      <c r="BN281" s="734"/>
      <c r="BO281" s="734"/>
      <c r="BP281" s="734"/>
      <c r="BQ281" s="734"/>
      <c r="BR281" s="734"/>
      <c r="BS281" s="734"/>
      <c r="BT281" s="734"/>
      <c r="BU281" s="734"/>
      <c r="BV281" s="734"/>
      <c r="BW281" s="734"/>
      <c r="BX281" s="734"/>
      <c r="BY281" s="734"/>
      <c r="BZ281" s="734"/>
      <c r="CA281" s="734"/>
      <c r="CB281" s="734"/>
      <c r="CC281" s="734"/>
      <c r="CD281" s="734"/>
      <c r="CE281" s="734"/>
      <c r="CF281" s="734"/>
      <c r="CG281" s="734"/>
      <c r="CH281" s="734"/>
      <c r="CI281" s="734"/>
      <c r="CJ281" s="734"/>
      <c r="CK281" s="734"/>
      <c r="CL281" s="734"/>
      <c r="CM281" s="734"/>
      <c r="CN281" s="734"/>
      <c r="CO281" s="734"/>
    </row>
    <row r="282" spans="1:93" s="920" customFormat="1">
      <c r="A282" s="673"/>
      <c r="B282" s="673"/>
      <c r="C282" s="736"/>
      <c r="D282" s="736"/>
      <c r="E282" s="661" t="str">
        <f t="shared" si="102"/>
        <v/>
      </c>
      <c r="F282" s="736"/>
      <c r="G282" s="736"/>
      <c r="H282" s="736"/>
      <c r="I282" s="736"/>
      <c r="J282" s="736"/>
      <c r="K282" s="736"/>
      <c r="L282" s="736"/>
      <c r="M282" s="736"/>
      <c r="N282" s="736"/>
      <c r="O282" s="736"/>
      <c r="P282" s="736"/>
      <c r="Q282" s="736"/>
      <c r="R282" s="736"/>
      <c r="S282" s="736"/>
      <c r="T282" s="736"/>
      <c r="U282" s="736"/>
      <c r="V282" s="736"/>
      <c r="W282" s="736"/>
      <c r="X282" s="736"/>
      <c r="Y282" s="736"/>
      <c r="Z282" s="736"/>
      <c r="AA282" s="736"/>
      <c r="AB282" s="736"/>
      <c r="AC282" s="736"/>
      <c r="AD282" s="734"/>
      <c r="AE282" s="734"/>
      <c r="AF282" s="734"/>
      <c r="AG282" s="734"/>
      <c r="AH282" s="734"/>
      <c r="AI282" s="734"/>
      <c r="AJ282" s="734"/>
      <c r="AK282" s="734"/>
      <c r="AL282" s="736"/>
      <c r="AM282" s="736"/>
      <c r="AN282" s="736"/>
      <c r="AO282" s="736"/>
      <c r="AP282" s="736"/>
      <c r="AQ282" s="736"/>
      <c r="AR282" s="736"/>
      <c r="AS282" s="736"/>
      <c r="AT282" s="736"/>
      <c r="AU282" s="736"/>
      <c r="AV282" s="736"/>
      <c r="AW282" s="736"/>
      <c r="AX282" s="736"/>
      <c r="AY282" s="736"/>
      <c r="AZ282" s="806"/>
      <c r="BA282" s="734"/>
      <c r="BB282" s="734"/>
      <c r="BC282" s="734"/>
      <c r="BD282" s="734"/>
      <c r="BE282" s="734"/>
      <c r="BF282" s="734"/>
      <c r="BG282" s="734"/>
      <c r="BH282" s="734"/>
      <c r="BI282" s="734"/>
      <c r="BJ282" s="734"/>
      <c r="BK282" s="734"/>
      <c r="BL282" s="734"/>
      <c r="BM282" s="734"/>
      <c r="BN282" s="734"/>
      <c r="BO282" s="734"/>
      <c r="BP282" s="734"/>
      <c r="BQ282" s="734"/>
      <c r="BR282" s="734"/>
      <c r="BS282" s="734"/>
      <c r="BT282" s="734"/>
      <c r="BU282" s="734"/>
      <c r="BV282" s="734"/>
      <c r="BW282" s="734"/>
      <c r="BX282" s="734"/>
      <c r="BY282" s="734"/>
      <c r="BZ282" s="734"/>
      <c r="CA282" s="734"/>
      <c r="CB282" s="734"/>
      <c r="CC282" s="734"/>
      <c r="CD282" s="734"/>
      <c r="CE282" s="734"/>
      <c r="CF282" s="734"/>
      <c r="CG282" s="734"/>
      <c r="CH282" s="734"/>
      <c r="CI282" s="734"/>
      <c r="CJ282" s="734"/>
      <c r="CK282" s="734"/>
      <c r="CL282" s="734"/>
      <c r="CM282" s="734"/>
      <c r="CN282" s="734"/>
      <c r="CO282" s="734"/>
    </row>
    <row r="283" spans="1:93" s="920" customFormat="1">
      <c r="A283" s="673"/>
      <c r="B283" s="673"/>
      <c r="C283" s="736"/>
      <c r="D283" s="736"/>
      <c r="E283" s="661" t="str">
        <f t="shared" si="102"/>
        <v/>
      </c>
      <c r="F283" s="736"/>
      <c r="G283" s="736"/>
      <c r="H283" s="736"/>
      <c r="I283" s="736"/>
      <c r="J283" s="736"/>
      <c r="K283" s="736"/>
      <c r="L283" s="736"/>
      <c r="M283" s="736"/>
      <c r="N283" s="736"/>
      <c r="O283" s="736"/>
      <c r="P283" s="736"/>
      <c r="Q283" s="736"/>
      <c r="R283" s="736"/>
      <c r="S283" s="736"/>
      <c r="T283" s="736"/>
      <c r="U283" s="736"/>
      <c r="V283" s="736"/>
      <c r="W283" s="736"/>
      <c r="X283" s="736"/>
      <c r="Y283" s="736"/>
      <c r="Z283" s="736"/>
      <c r="AA283" s="736"/>
      <c r="AB283" s="736"/>
      <c r="AC283" s="736"/>
      <c r="AD283" s="734"/>
      <c r="AE283" s="734"/>
      <c r="AF283" s="734"/>
      <c r="AG283" s="734"/>
      <c r="AH283" s="734"/>
      <c r="AI283" s="734"/>
      <c r="AJ283" s="734"/>
      <c r="AK283" s="734"/>
      <c r="AL283" s="736"/>
      <c r="AM283" s="736"/>
      <c r="AN283" s="736"/>
      <c r="AO283" s="736"/>
      <c r="AP283" s="736"/>
      <c r="AQ283" s="736"/>
      <c r="AR283" s="736"/>
      <c r="AS283" s="736"/>
      <c r="AT283" s="736"/>
      <c r="AU283" s="736"/>
      <c r="AV283" s="736"/>
      <c r="AW283" s="736"/>
      <c r="AX283" s="736"/>
      <c r="AY283" s="736"/>
      <c r="AZ283" s="806"/>
      <c r="BA283" s="734"/>
      <c r="BB283" s="734"/>
      <c r="BC283" s="734"/>
      <c r="BD283" s="734"/>
      <c r="BE283" s="734"/>
      <c r="BF283" s="734"/>
      <c r="BG283" s="734"/>
      <c r="BH283" s="734"/>
      <c r="BI283" s="734"/>
      <c r="BJ283" s="734"/>
      <c r="BK283" s="734"/>
      <c r="BL283" s="734"/>
      <c r="BM283" s="734"/>
      <c r="BN283" s="734"/>
      <c r="BO283" s="734"/>
      <c r="BP283" s="734"/>
      <c r="BQ283" s="734"/>
      <c r="BR283" s="734"/>
      <c r="BS283" s="734"/>
      <c r="BT283" s="734"/>
      <c r="BU283" s="734"/>
      <c r="BV283" s="734"/>
      <c r="BW283" s="734"/>
      <c r="BX283" s="734"/>
      <c r="BY283" s="734"/>
      <c r="BZ283" s="734"/>
      <c r="CA283" s="734"/>
      <c r="CB283" s="734"/>
      <c r="CC283" s="734"/>
      <c r="CD283" s="734"/>
      <c r="CE283" s="734"/>
      <c r="CF283" s="734"/>
      <c r="CG283" s="734"/>
      <c r="CH283" s="734"/>
      <c r="CI283" s="734"/>
      <c r="CJ283" s="734"/>
      <c r="CK283" s="734"/>
      <c r="CL283" s="734"/>
      <c r="CM283" s="734"/>
      <c r="CN283" s="734"/>
      <c r="CO283" s="734"/>
    </row>
    <row r="284" spans="1:93" s="920" customFormat="1">
      <c r="A284" s="673"/>
      <c r="B284" s="673"/>
      <c r="C284" s="736"/>
      <c r="D284" s="736"/>
      <c r="E284" s="661" t="str">
        <f t="shared" si="102"/>
        <v/>
      </c>
      <c r="F284" s="736"/>
      <c r="G284" s="736"/>
      <c r="H284" s="736"/>
      <c r="I284" s="736"/>
      <c r="J284" s="736"/>
      <c r="K284" s="736"/>
      <c r="L284" s="736"/>
      <c r="M284" s="736"/>
      <c r="N284" s="736"/>
      <c r="O284" s="736"/>
      <c r="P284" s="736"/>
      <c r="Q284" s="736"/>
      <c r="R284" s="736"/>
      <c r="S284" s="736"/>
      <c r="T284" s="736"/>
      <c r="U284" s="736"/>
      <c r="V284" s="736"/>
      <c r="W284" s="736"/>
      <c r="X284" s="736"/>
      <c r="Y284" s="736"/>
      <c r="Z284" s="736"/>
      <c r="AA284" s="736"/>
      <c r="AB284" s="736"/>
      <c r="AC284" s="736"/>
      <c r="AD284" s="734"/>
      <c r="AE284" s="734"/>
      <c r="AF284" s="734"/>
      <c r="AG284" s="734"/>
      <c r="AH284" s="734"/>
      <c r="AI284" s="734"/>
      <c r="AJ284" s="734"/>
      <c r="AK284" s="734"/>
      <c r="AL284" s="736"/>
      <c r="AM284" s="736"/>
      <c r="AN284" s="736"/>
      <c r="AO284" s="736"/>
      <c r="AP284" s="736"/>
      <c r="AQ284" s="736"/>
      <c r="AR284" s="736"/>
      <c r="AS284" s="736"/>
      <c r="AT284" s="736"/>
      <c r="AU284" s="736"/>
      <c r="AV284" s="736"/>
      <c r="AW284" s="736"/>
      <c r="AX284" s="736"/>
      <c r="AY284" s="736"/>
      <c r="AZ284" s="806"/>
      <c r="BA284" s="734"/>
      <c r="BB284" s="734"/>
      <c r="BC284" s="734"/>
      <c r="BD284" s="734"/>
      <c r="BE284" s="734"/>
      <c r="BF284" s="734"/>
      <c r="BG284" s="734"/>
      <c r="BH284" s="734"/>
      <c r="BI284" s="734"/>
      <c r="BJ284" s="734"/>
      <c r="BK284" s="734"/>
      <c r="BL284" s="734"/>
      <c r="BM284" s="734"/>
      <c r="BN284" s="734"/>
      <c r="BO284" s="734"/>
      <c r="BP284" s="734"/>
      <c r="BQ284" s="734"/>
      <c r="BR284" s="734"/>
      <c r="BS284" s="734"/>
      <c r="BT284" s="734"/>
      <c r="BU284" s="734"/>
      <c r="BV284" s="734"/>
      <c r="BW284" s="734"/>
      <c r="BX284" s="734"/>
      <c r="BY284" s="734"/>
      <c r="BZ284" s="734"/>
      <c r="CA284" s="734"/>
      <c r="CB284" s="734"/>
      <c r="CC284" s="734"/>
      <c r="CD284" s="734"/>
      <c r="CE284" s="734"/>
      <c r="CF284" s="734"/>
      <c r="CG284" s="734"/>
      <c r="CH284" s="734"/>
      <c r="CI284" s="734"/>
      <c r="CJ284" s="734"/>
      <c r="CK284" s="734"/>
      <c r="CL284" s="734"/>
      <c r="CM284" s="734"/>
      <c r="CN284" s="734"/>
      <c r="CO284" s="734"/>
    </row>
    <row r="285" spans="1:93" s="920" customFormat="1">
      <c r="A285" s="673"/>
      <c r="B285" s="673"/>
      <c r="C285" s="736"/>
      <c r="D285" s="736"/>
      <c r="E285" s="661" t="str">
        <f t="shared" si="102"/>
        <v/>
      </c>
      <c r="F285" s="736"/>
      <c r="G285" s="736"/>
      <c r="H285" s="736"/>
      <c r="I285" s="736"/>
      <c r="J285" s="736"/>
      <c r="K285" s="736"/>
      <c r="L285" s="736"/>
      <c r="M285" s="736"/>
      <c r="N285" s="736"/>
      <c r="O285" s="736"/>
      <c r="P285" s="736"/>
      <c r="Q285" s="736"/>
      <c r="R285" s="736"/>
      <c r="S285" s="736"/>
      <c r="T285" s="736"/>
      <c r="U285" s="736"/>
      <c r="V285" s="736"/>
      <c r="W285" s="736"/>
      <c r="X285" s="736"/>
      <c r="Y285" s="736"/>
      <c r="Z285" s="736"/>
      <c r="AA285" s="736"/>
      <c r="AB285" s="736"/>
      <c r="AC285" s="736"/>
      <c r="AD285" s="734"/>
      <c r="AE285" s="734"/>
      <c r="AF285" s="734"/>
      <c r="AG285" s="734"/>
      <c r="AH285" s="734"/>
      <c r="AI285" s="734"/>
      <c r="AJ285" s="734"/>
      <c r="AK285" s="734"/>
      <c r="AL285" s="736"/>
      <c r="AM285" s="736"/>
      <c r="AN285" s="736"/>
      <c r="AO285" s="736"/>
      <c r="AP285" s="736"/>
      <c r="AQ285" s="736"/>
      <c r="AR285" s="736"/>
      <c r="AS285" s="736"/>
      <c r="AT285" s="736"/>
      <c r="AU285" s="736"/>
      <c r="AV285" s="736"/>
      <c r="AW285" s="736"/>
      <c r="AX285" s="736"/>
      <c r="AY285" s="736"/>
      <c r="AZ285" s="806"/>
      <c r="BA285" s="734"/>
      <c r="BB285" s="734"/>
      <c r="BC285" s="734"/>
      <c r="BD285" s="734"/>
      <c r="BE285" s="734"/>
      <c r="BF285" s="734"/>
      <c r="BG285" s="734"/>
      <c r="BH285" s="734"/>
      <c r="BI285" s="734"/>
      <c r="BJ285" s="734"/>
      <c r="BK285" s="734"/>
      <c r="BL285" s="734"/>
      <c r="BM285" s="734"/>
      <c r="BN285" s="734"/>
      <c r="BO285" s="734"/>
      <c r="BP285" s="734"/>
      <c r="BQ285" s="734"/>
      <c r="BR285" s="734"/>
      <c r="BS285" s="734"/>
      <c r="BT285" s="734"/>
      <c r="BU285" s="734"/>
      <c r="BV285" s="734"/>
      <c r="BW285" s="734"/>
      <c r="BX285" s="734"/>
      <c r="BY285" s="734"/>
      <c r="BZ285" s="734"/>
      <c r="CA285" s="734"/>
      <c r="CB285" s="734"/>
      <c r="CC285" s="734"/>
      <c r="CD285" s="734"/>
      <c r="CE285" s="734"/>
      <c r="CF285" s="734"/>
      <c r="CG285" s="734"/>
      <c r="CH285" s="734"/>
      <c r="CI285" s="734"/>
      <c r="CJ285" s="734"/>
      <c r="CK285" s="734"/>
      <c r="CL285" s="734"/>
      <c r="CM285" s="734"/>
      <c r="CN285" s="734"/>
      <c r="CO285" s="734"/>
    </row>
    <row r="286" spans="1:93" s="920" customFormat="1">
      <c r="A286" s="673"/>
      <c r="B286" s="673"/>
      <c r="C286" s="736"/>
      <c r="D286" s="736"/>
      <c r="E286" s="661" t="str">
        <f t="shared" si="102"/>
        <v/>
      </c>
      <c r="F286" s="736"/>
      <c r="G286" s="736"/>
      <c r="H286" s="736"/>
      <c r="I286" s="736"/>
      <c r="J286" s="736"/>
      <c r="K286" s="736"/>
      <c r="L286" s="736"/>
      <c r="M286" s="736"/>
      <c r="N286" s="736"/>
      <c r="O286" s="736"/>
      <c r="P286" s="736"/>
      <c r="Q286" s="736"/>
      <c r="R286" s="736"/>
      <c r="S286" s="736"/>
      <c r="T286" s="736"/>
      <c r="U286" s="736"/>
      <c r="V286" s="736"/>
      <c r="W286" s="736"/>
      <c r="X286" s="736"/>
      <c r="Y286" s="736"/>
      <c r="Z286" s="736"/>
      <c r="AA286" s="736"/>
      <c r="AB286" s="736"/>
      <c r="AC286" s="736"/>
      <c r="AD286" s="734"/>
      <c r="AE286" s="734"/>
      <c r="AF286" s="734"/>
      <c r="AG286" s="734"/>
      <c r="AH286" s="734"/>
      <c r="AI286" s="734"/>
      <c r="AJ286" s="734"/>
      <c r="AK286" s="734"/>
      <c r="AL286" s="736"/>
      <c r="AM286" s="736"/>
      <c r="AN286" s="736"/>
      <c r="AO286" s="736"/>
      <c r="AP286" s="736"/>
      <c r="AQ286" s="736"/>
      <c r="AR286" s="736"/>
      <c r="AS286" s="736"/>
      <c r="AT286" s="736"/>
      <c r="AU286" s="736"/>
      <c r="AV286" s="736"/>
      <c r="AW286" s="736"/>
      <c r="AX286" s="736"/>
      <c r="AY286" s="736"/>
      <c r="AZ286" s="806"/>
      <c r="BA286" s="734"/>
      <c r="BB286" s="734"/>
      <c r="BC286" s="734"/>
      <c r="BD286" s="734"/>
      <c r="BE286" s="734"/>
      <c r="BF286" s="734"/>
      <c r="BG286" s="734"/>
      <c r="BH286" s="734"/>
      <c r="BI286" s="734"/>
      <c r="BJ286" s="734"/>
      <c r="BK286" s="734"/>
      <c r="BL286" s="734"/>
      <c r="BM286" s="734"/>
      <c r="BN286" s="734"/>
      <c r="BO286" s="734"/>
      <c r="BP286" s="734"/>
      <c r="BQ286" s="734"/>
      <c r="BR286" s="734"/>
      <c r="BS286" s="734"/>
      <c r="BT286" s="734"/>
      <c r="BU286" s="734"/>
      <c r="BV286" s="734"/>
      <c r="BW286" s="734"/>
      <c r="BX286" s="734"/>
      <c r="BY286" s="734"/>
      <c r="BZ286" s="734"/>
      <c r="CA286" s="734"/>
      <c r="CB286" s="734"/>
      <c r="CC286" s="734"/>
      <c r="CD286" s="734"/>
      <c r="CE286" s="734"/>
      <c r="CF286" s="734"/>
      <c r="CG286" s="734"/>
      <c r="CH286" s="734"/>
      <c r="CI286" s="734"/>
      <c r="CJ286" s="734"/>
      <c r="CK286" s="734"/>
      <c r="CL286" s="734"/>
      <c r="CM286" s="734"/>
      <c r="CN286" s="734"/>
      <c r="CO286" s="734"/>
    </row>
    <row r="287" spans="1:93" s="920" customFormat="1">
      <c r="A287" s="673"/>
      <c r="B287" s="673"/>
      <c r="C287" s="736"/>
      <c r="D287" s="736"/>
      <c r="E287" s="661" t="str">
        <f t="shared" si="102"/>
        <v/>
      </c>
      <c r="F287" s="736"/>
      <c r="G287" s="736"/>
      <c r="H287" s="736"/>
      <c r="I287" s="736"/>
      <c r="J287" s="736"/>
      <c r="K287" s="736"/>
      <c r="L287" s="736"/>
      <c r="M287" s="736"/>
      <c r="N287" s="736"/>
      <c r="O287" s="736"/>
      <c r="P287" s="736"/>
      <c r="Q287" s="736"/>
      <c r="R287" s="736"/>
      <c r="S287" s="736"/>
      <c r="T287" s="736"/>
      <c r="U287" s="736"/>
      <c r="V287" s="736"/>
      <c r="W287" s="736"/>
      <c r="X287" s="736"/>
      <c r="Y287" s="736"/>
      <c r="Z287" s="736"/>
      <c r="AA287" s="736"/>
      <c r="AB287" s="736"/>
      <c r="AC287" s="736"/>
      <c r="AD287" s="734"/>
      <c r="AE287" s="734"/>
      <c r="AF287" s="734"/>
      <c r="AG287" s="734"/>
      <c r="AH287" s="734"/>
      <c r="AI287" s="734"/>
      <c r="AJ287" s="734"/>
      <c r="AK287" s="734"/>
      <c r="AL287" s="736"/>
      <c r="AM287" s="736"/>
      <c r="AN287" s="736"/>
      <c r="AO287" s="736"/>
      <c r="AP287" s="736"/>
      <c r="AQ287" s="736"/>
      <c r="AR287" s="736"/>
      <c r="AS287" s="736"/>
      <c r="AT287" s="736"/>
      <c r="AU287" s="736"/>
      <c r="AV287" s="736"/>
      <c r="AW287" s="736"/>
      <c r="AX287" s="736"/>
      <c r="AY287" s="736"/>
      <c r="AZ287" s="806"/>
      <c r="BA287" s="734"/>
      <c r="BB287" s="734"/>
      <c r="BC287" s="734"/>
      <c r="BD287" s="734"/>
      <c r="BE287" s="734"/>
      <c r="BF287" s="734"/>
      <c r="BG287" s="734"/>
      <c r="BH287" s="734"/>
      <c r="BI287" s="734"/>
      <c r="BJ287" s="734"/>
      <c r="BK287" s="734"/>
      <c r="BL287" s="734"/>
      <c r="BM287" s="734"/>
      <c r="BN287" s="734"/>
      <c r="BO287" s="734"/>
      <c r="BP287" s="734"/>
      <c r="BQ287" s="734"/>
      <c r="BR287" s="734"/>
      <c r="BS287" s="734"/>
      <c r="BT287" s="734"/>
      <c r="BU287" s="734"/>
      <c r="BV287" s="734"/>
      <c r="BW287" s="734"/>
      <c r="BX287" s="734"/>
      <c r="BY287" s="734"/>
      <c r="BZ287" s="734"/>
      <c r="CA287" s="734"/>
      <c r="CB287" s="734"/>
      <c r="CC287" s="734"/>
      <c r="CD287" s="734"/>
      <c r="CE287" s="734"/>
      <c r="CF287" s="734"/>
      <c r="CG287" s="734"/>
      <c r="CH287" s="734"/>
      <c r="CI287" s="734"/>
      <c r="CJ287" s="734"/>
      <c r="CK287" s="734"/>
      <c r="CL287" s="734"/>
      <c r="CM287" s="734"/>
      <c r="CN287" s="734"/>
      <c r="CO287" s="734"/>
    </row>
    <row r="288" spans="1:93" s="920" customFormat="1">
      <c r="A288" s="673"/>
      <c r="B288" s="673"/>
      <c r="C288" s="736"/>
      <c r="D288" s="736"/>
      <c r="E288" s="661" t="str">
        <f t="shared" si="102"/>
        <v/>
      </c>
      <c r="F288" s="736"/>
      <c r="G288" s="736"/>
      <c r="H288" s="736"/>
      <c r="I288" s="736"/>
      <c r="J288" s="736"/>
      <c r="K288" s="736"/>
      <c r="L288" s="736"/>
      <c r="M288" s="736"/>
      <c r="N288" s="736"/>
      <c r="O288" s="736"/>
      <c r="P288" s="736"/>
      <c r="Q288" s="736"/>
      <c r="R288" s="736"/>
      <c r="S288" s="736"/>
      <c r="T288" s="736"/>
      <c r="U288" s="736"/>
      <c r="V288" s="736"/>
      <c r="W288" s="736"/>
      <c r="X288" s="736"/>
      <c r="Y288" s="736"/>
      <c r="Z288" s="736"/>
      <c r="AA288" s="736"/>
      <c r="AB288" s="736"/>
      <c r="AC288" s="736"/>
      <c r="AD288" s="734"/>
      <c r="AE288" s="734"/>
      <c r="AF288" s="734"/>
      <c r="AG288" s="734"/>
      <c r="AH288" s="734"/>
      <c r="AI288" s="734"/>
      <c r="AJ288" s="734"/>
      <c r="AK288" s="734"/>
      <c r="AL288" s="736"/>
      <c r="AM288" s="736"/>
      <c r="AN288" s="736"/>
      <c r="AO288" s="736"/>
      <c r="AP288" s="736"/>
      <c r="AQ288" s="736"/>
      <c r="AR288" s="736"/>
      <c r="AS288" s="736"/>
      <c r="AT288" s="736"/>
      <c r="AU288" s="736"/>
      <c r="AV288" s="736"/>
      <c r="AW288" s="736"/>
      <c r="AX288" s="736"/>
      <c r="AY288" s="736"/>
      <c r="AZ288" s="806"/>
      <c r="BA288" s="734"/>
      <c r="BB288" s="734"/>
      <c r="BC288" s="734"/>
      <c r="BD288" s="734"/>
      <c r="BE288" s="734"/>
      <c r="BF288" s="734"/>
      <c r="BG288" s="734"/>
      <c r="BH288" s="734"/>
      <c r="BI288" s="734"/>
      <c r="BJ288" s="734"/>
      <c r="BK288" s="734"/>
      <c r="BL288" s="734"/>
      <c r="BM288" s="734"/>
      <c r="BN288" s="734"/>
      <c r="BO288" s="734"/>
      <c r="BP288" s="734"/>
      <c r="BQ288" s="734"/>
      <c r="BR288" s="734"/>
      <c r="BS288" s="734"/>
      <c r="BT288" s="734"/>
      <c r="BU288" s="734"/>
      <c r="BV288" s="734"/>
      <c r="BW288" s="734"/>
      <c r="BX288" s="734"/>
      <c r="BY288" s="734"/>
      <c r="BZ288" s="734"/>
      <c r="CA288" s="734"/>
      <c r="CB288" s="734"/>
      <c r="CC288" s="734"/>
      <c r="CD288" s="734"/>
      <c r="CE288" s="734"/>
      <c r="CF288" s="734"/>
      <c r="CG288" s="734"/>
      <c r="CH288" s="734"/>
      <c r="CI288" s="734"/>
      <c r="CJ288" s="734"/>
      <c r="CK288" s="734"/>
      <c r="CL288" s="734"/>
      <c r="CM288" s="734"/>
      <c r="CN288" s="734"/>
      <c r="CO288" s="734"/>
    </row>
    <row r="289" spans="1:93" s="920" customFormat="1">
      <c r="A289" s="673"/>
      <c r="B289" s="673"/>
      <c r="C289" s="736"/>
      <c r="D289" s="736"/>
      <c r="E289" s="661" t="str">
        <f t="shared" si="102"/>
        <v/>
      </c>
      <c r="F289" s="736"/>
      <c r="G289" s="736"/>
      <c r="H289" s="736"/>
      <c r="I289" s="736"/>
      <c r="J289" s="736"/>
      <c r="K289" s="736"/>
      <c r="L289" s="736"/>
      <c r="M289" s="736"/>
      <c r="N289" s="736"/>
      <c r="O289" s="736"/>
      <c r="P289" s="736"/>
      <c r="Q289" s="736"/>
      <c r="R289" s="736"/>
      <c r="S289" s="736"/>
      <c r="T289" s="736"/>
      <c r="U289" s="736"/>
      <c r="V289" s="736"/>
      <c r="W289" s="736"/>
      <c r="X289" s="736"/>
      <c r="Y289" s="736"/>
      <c r="Z289" s="736"/>
      <c r="AA289" s="736"/>
      <c r="AB289" s="736"/>
      <c r="AC289" s="736"/>
      <c r="AD289" s="734"/>
      <c r="AE289" s="734"/>
      <c r="AF289" s="734"/>
      <c r="AG289" s="734"/>
      <c r="AH289" s="734"/>
      <c r="AI289" s="734"/>
      <c r="AJ289" s="734"/>
      <c r="AK289" s="734"/>
      <c r="AL289" s="736"/>
      <c r="AM289" s="736"/>
      <c r="AN289" s="736"/>
      <c r="AO289" s="736"/>
      <c r="AP289" s="736"/>
      <c r="AQ289" s="736"/>
      <c r="AR289" s="736"/>
      <c r="AS289" s="736"/>
      <c r="AT289" s="736"/>
      <c r="AU289" s="736"/>
      <c r="AV289" s="736"/>
      <c r="AW289" s="736"/>
      <c r="AX289" s="736"/>
      <c r="AY289" s="736"/>
      <c r="AZ289" s="806"/>
      <c r="BA289" s="734"/>
      <c r="BB289" s="734"/>
      <c r="BC289" s="734"/>
      <c r="BD289" s="734"/>
      <c r="BE289" s="734"/>
      <c r="BF289" s="734"/>
      <c r="BG289" s="734"/>
      <c r="BH289" s="734"/>
      <c r="BI289" s="734"/>
      <c r="BJ289" s="734"/>
      <c r="BK289" s="734"/>
      <c r="BL289" s="734"/>
      <c r="BM289" s="734"/>
      <c r="BN289" s="734"/>
      <c r="BO289" s="734"/>
      <c r="BP289" s="734"/>
      <c r="BQ289" s="734"/>
      <c r="BR289" s="734"/>
      <c r="BS289" s="734"/>
      <c r="BT289" s="734"/>
      <c r="BU289" s="734"/>
      <c r="BV289" s="734"/>
      <c r="BW289" s="734"/>
      <c r="BX289" s="734"/>
      <c r="BY289" s="734"/>
      <c r="BZ289" s="734"/>
      <c r="CA289" s="734"/>
      <c r="CB289" s="734"/>
      <c r="CC289" s="734"/>
      <c r="CD289" s="734"/>
      <c r="CE289" s="734"/>
      <c r="CF289" s="734"/>
      <c r="CG289" s="734"/>
      <c r="CH289" s="734"/>
      <c r="CI289" s="734"/>
      <c r="CJ289" s="734"/>
      <c r="CK289" s="734"/>
      <c r="CL289" s="734"/>
      <c r="CM289" s="734"/>
      <c r="CN289" s="734"/>
      <c r="CO289" s="734"/>
    </row>
    <row r="290" spans="1:93" s="920" customFormat="1">
      <c r="A290" s="673"/>
      <c r="B290" s="673"/>
      <c r="C290" s="736"/>
      <c r="D290" s="736"/>
      <c r="E290" s="661" t="str">
        <f t="shared" si="102"/>
        <v/>
      </c>
      <c r="F290" s="736"/>
      <c r="G290" s="736"/>
      <c r="H290" s="736"/>
      <c r="I290" s="736"/>
      <c r="J290" s="736"/>
      <c r="K290" s="736"/>
      <c r="L290" s="736"/>
      <c r="M290" s="736"/>
      <c r="N290" s="736"/>
      <c r="O290" s="736"/>
      <c r="P290" s="736"/>
      <c r="Q290" s="736"/>
      <c r="R290" s="736"/>
      <c r="S290" s="736"/>
      <c r="T290" s="736"/>
      <c r="U290" s="736"/>
      <c r="V290" s="736"/>
      <c r="W290" s="736"/>
      <c r="X290" s="736"/>
      <c r="Y290" s="736"/>
      <c r="Z290" s="736"/>
      <c r="AA290" s="736"/>
      <c r="AB290" s="736"/>
      <c r="AC290" s="736"/>
      <c r="AD290" s="734"/>
      <c r="AE290" s="734"/>
      <c r="AF290" s="734"/>
      <c r="AG290" s="734"/>
      <c r="AH290" s="734"/>
      <c r="AI290" s="734"/>
      <c r="AJ290" s="734"/>
      <c r="AK290" s="734"/>
      <c r="AL290" s="736"/>
      <c r="AM290" s="736"/>
      <c r="AN290" s="736"/>
      <c r="AO290" s="736"/>
      <c r="AP290" s="736"/>
      <c r="AQ290" s="736"/>
      <c r="AR290" s="736"/>
      <c r="AS290" s="736"/>
      <c r="AT290" s="736"/>
      <c r="AU290" s="736"/>
      <c r="AV290" s="736"/>
      <c r="AW290" s="736"/>
      <c r="AX290" s="736"/>
      <c r="AY290" s="736"/>
      <c r="AZ290" s="806"/>
      <c r="BA290" s="734"/>
      <c r="BB290" s="734"/>
      <c r="BC290" s="734"/>
      <c r="BD290" s="734"/>
      <c r="BE290" s="734"/>
      <c r="BF290" s="734"/>
      <c r="BG290" s="734"/>
      <c r="BH290" s="734"/>
      <c r="BI290" s="734"/>
      <c r="BJ290" s="734"/>
      <c r="BK290" s="734"/>
      <c r="BL290" s="734"/>
      <c r="BM290" s="734"/>
      <c r="BN290" s="734"/>
      <c r="BO290" s="734"/>
      <c r="BP290" s="734"/>
      <c r="BQ290" s="734"/>
      <c r="BR290" s="734"/>
      <c r="BS290" s="734"/>
      <c r="BT290" s="734"/>
      <c r="BU290" s="734"/>
      <c r="BV290" s="734"/>
      <c r="BW290" s="734"/>
      <c r="BX290" s="734"/>
      <c r="BY290" s="734"/>
      <c r="BZ290" s="734"/>
      <c r="CA290" s="734"/>
      <c r="CB290" s="734"/>
      <c r="CC290" s="734"/>
      <c r="CD290" s="734"/>
      <c r="CE290" s="734"/>
      <c r="CF290" s="734"/>
      <c r="CG290" s="734"/>
      <c r="CH290" s="734"/>
      <c r="CI290" s="734"/>
      <c r="CJ290" s="734"/>
      <c r="CK290" s="734"/>
      <c r="CL290" s="734"/>
      <c r="CM290" s="734"/>
      <c r="CN290" s="734"/>
      <c r="CO290" s="734"/>
    </row>
    <row r="291" spans="1:93" s="920" customFormat="1">
      <c r="A291" s="673"/>
      <c r="B291" s="673"/>
      <c r="C291" s="736"/>
      <c r="D291" s="736"/>
      <c r="E291" s="661" t="str">
        <f t="shared" si="102"/>
        <v/>
      </c>
      <c r="F291" s="736"/>
      <c r="G291" s="736"/>
      <c r="H291" s="736"/>
      <c r="I291" s="736"/>
      <c r="J291" s="736"/>
      <c r="K291" s="736"/>
      <c r="L291" s="736"/>
      <c r="M291" s="736"/>
      <c r="N291" s="736"/>
      <c r="O291" s="736"/>
      <c r="P291" s="736"/>
      <c r="Q291" s="736"/>
      <c r="R291" s="736"/>
      <c r="S291" s="736"/>
      <c r="T291" s="736"/>
      <c r="U291" s="736"/>
      <c r="V291" s="736"/>
      <c r="W291" s="736"/>
      <c r="X291" s="736"/>
      <c r="Y291" s="736"/>
      <c r="Z291" s="736"/>
      <c r="AA291" s="736"/>
      <c r="AB291" s="736"/>
      <c r="AC291" s="736"/>
      <c r="AD291" s="734"/>
      <c r="AE291" s="734"/>
      <c r="AF291" s="734"/>
      <c r="AG291" s="734"/>
      <c r="AH291" s="734"/>
      <c r="AI291" s="734"/>
      <c r="AJ291" s="734"/>
      <c r="AK291" s="734"/>
      <c r="AL291" s="736"/>
      <c r="AM291" s="736"/>
      <c r="AN291" s="736"/>
      <c r="AO291" s="736"/>
      <c r="AP291" s="736"/>
      <c r="AQ291" s="736"/>
      <c r="AR291" s="736"/>
      <c r="AS291" s="736"/>
      <c r="AT291" s="736"/>
      <c r="AU291" s="736"/>
      <c r="AV291" s="736"/>
      <c r="AW291" s="736"/>
      <c r="AX291" s="736"/>
      <c r="AY291" s="736"/>
      <c r="AZ291" s="806"/>
      <c r="BA291" s="734"/>
      <c r="BB291" s="734"/>
      <c r="BC291" s="734"/>
      <c r="BD291" s="734"/>
      <c r="BE291" s="734"/>
      <c r="BF291" s="734"/>
      <c r="BG291" s="734"/>
      <c r="BH291" s="734"/>
      <c r="BI291" s="734"/>
      <c r="BJ291" s="734"/>
      <c r="BK291" s="734"/>
      <c r="BL291" s="734"/>
      <c r="BM291" s="734"/>
      <c r="BN291" s="734"/>
      <c r="BO291" s="734"/>
      <c r="BP291" s="734"/>
      <c r="BQ291" s="734"/>
      <c r="BR291" s="734"/>
      <c r="BS291" s="734"/>
      <c r="BT291" s="734"/>
      <c r="BU291" s="734"/>
      <c r="BV291" s="734"/>
      <c r="BW291" s="734"/>
      <c r="BX291" s="734"/>
      <c r="BY291" s="734"/>
      <c r="BZ291" s="734"/>
      <c r="CA291" s="734"/>
      <c r="CB291" s="734"/>
      <c r="CC291" s="734"/>
      <c r="CD291" s="734"/>
      <c r="CE291" s="734"/>
      <c r="CF291" s="734"/>
      <c r="CG291" s="734"/>
      <c r="CH291" s="734"/>
      <c r="CI291" s="734"/>
      <c r="CJ291" s="734"/>
      <c r="CK291" s="734"/>
      <c r="CL291" s="734"/>
      <c r="CM291" s="734"/>
      <c r="CN291" s="734"/>
      <c r="CO291" s="734"/>
    </row>
    <row r="292" spans="1:93" s="920" customFormat="1">
      <c r="A292" s="673"/>
      <c r="B292" s="673"/>
      <c r="C292" s="736"/>
      <c r="D292" s="736"/>
      <c r="E292" s="661" t="str">
        <f t="shared" si="102"/>
        <v/>
      </c>
      <c r="F292" s="736"/>
      <c r="G292" s="736"/>
      <c r="H292" s="736"/>
      <c r="I292" s="736"/>
      <c r="J292" s="736"/>
      <c r="K292" s="736"/>
      <c r="L292" s="736"/>
      <c r="M292" s="736"/>
      <c r="N292" s="736"/>
      <c r="O292" s="736"/>
      <c r="P292" s="736"/>
      <c r="Q292" s="736"/>
      <c r="R292" s="736"/>
      <c r="S292" s="736"/>
      <c r="T292" s="736"/>
      <c r="U292" s="736"/>
      <c r="V292" s="736"/>
      <c r="W292" s="736"/>
      <c r="X292" s="736"/>
      <c r="Y292" s="736"/>
      <c r="Z292" s="736"/>
      <c r="AA292" s="736"/>
      <c r="AB292" s="736"/>
      <c r="AC292" s="736"/>
      <c r="AD292" s="734"/>
      <c r="AE292" s="734"/>
      <c r="AF292" s="734"/>
      <c r="AG292" s="734"/>
      <c r="AH292" s="734"/>
      <c r="AI292" s="734"/>
      <c r="AJ292" s="734"/>
      <c r="AK292" s="734"/>
      <c r="AL292" s="736"/>
      <c r="AM292" s="736"/>
      <c r="AN292" s="736"/>
      <c r="AO292" s="736"/>
      <c r="AP292" s="736"/>
      <c r="AQ292" s="736"/>
      <c r="AR292" s="736"/>
      <c r="AS292" s="736"/>
      <c r="AT292" s="736"/>
      <c r="AU292" s="736"/>
      <c r="AV292" s="736"/>
      <c r="AW292" s="736"/>
      <c r="AX292" s="736"/>
      <c r="AY292" s="736"/>
      <c r="AZ292" s="806"/>
      <c r="BA292" s="734"/>
      <c r="BB292" s="734"/>
      <c r="BC292" s="734"/>
      <c r="BD292" s="734"/>
      <c r="BE292" s="734"/>
      <c r="BF292" s="734"/>
      <c r="BG292" s="734"/>
      <c r="BH292" s="734"/>
      <c r="BI292" s="734"/>
      <c r="BJ292" s="734"/>
      <c r="BK292" s="734"/>
      <c r="BL292" s="734"/>
      <c r="BM292" s="734"/>
      <c r="BN292" s="734"/>
      <c r="BO292" s="734"/>
      <c r="BP292" s="734"/>
      <c r="BQ292" s="734"/>
      <c r="BR292" s="734"/>
      <c r="BS292" s="734"/>
      <c r="BT292" s="734"/>
      <c r="BU292" s="734"/>
      <c r="BV292" s="734"/>
      <c r="BW292" s="734"/>
      <c r="BX292" s="734"/>
      <c r="BY292" s="734"/>
      <c r="BZ292" s="734"/>
      <c r="CA292" s="734"/>
      <c r="CB292" s="734"/>
      <c r="CC292" s="734"/>
      <c r="CD292" s="734"/>
      <c r="CE292" s="734"/>
      <c r="CF292" s="734"/>
      <c r="CG292" s="734"/>
      <c r="CH292" s="734"/>
      <c r="CI292" s="734"/>
      <c r="CJ292" s="734"/>
      <c r="CK292" s="734"/>
      <c r="CL292" s="734"/>
      <c r="CM292" s="734"/>
      <c r="CN292" s="734"/>
      <c r="CO292" s="734"/>
    </row>
    <row r="293" spans="1:93" s="920" customFormat="1">
      <c r="A293" s="673"/>
      <c r="B293" s="673"/>
      <c r="C293" s="736"/>
      <c r="D293" s="736"/>
      <c r="E293" s="661" t="str">
        <f t="shared" si="102"/>
        <v/>
      </c>
      <c r="F293" s="736"/>
      <c r="G293" s="736"/>
      <c r="H293" s="736"/>
      <c r="I293" s="736"/>
      <c r="J293" s="736"/>
      <c r="K293" s="736"/>
      <c r="L293" s="736"/>
      <c r="M293" s="736"/>
      <c r="N293" s="736"/>
      <c r="O293" s="736"/>
      <c r="P293" s="736"/>
      <c r="Q293" s="736"/>
      <c r="R293" s="736"/>
      <c r="S293" s="736"/>
      <c r="T293" s="736"/>
      <c r="U293" s="736"/>
      <c r="V293" s="736"/>
      <c r="W293" s="736"/>
      <c r="X293" s="736"/>
      <c r="Y293" s="736"/>
      <c r="Z293" s="736"/>
      <c r="AA293" s="736"/>
      <c r="AB293" s="736"/>
      <c r="AC293" s="736"/>
      <c r="AD293" s="734"/>
      <c r="AE293" s="734"/>
      <c r="AF293" s="734"/>
      <c r="AG293" s="734"/>
      <c r="AH293" s="734"/>
      <c r="AI293" s="734"/>
      <c r="AJ293" s="734"/>
      <c r="AK293" s="734"/>
      <c r="AL293" s="736"/>
      <c r="AM293" s="736"/>
      <c r="AN293" s="736"/>
      <c r="AO293" s="736"/>
      <c r="AP293" s="736"/>
      <c r="AQ293" s="736"/>
      <c r="AR293" s="736"/>
      <c r="AS293" s="736"/>
      <c r="AT293" s="736"/>
      <c r="AU293" s="736"/>
      <c r="AV293" s="736"/>
      <c r="AW293" s="736"/>
      <c r="AX293" s="736"/>
      <c r="AY293" s="736"/>
      <c r="AZ293" s="806"/>
      <c r="BA293" s="734"/>
      <c r="BB293" s="734"/>
      <c r="BC293" s="734"/>
      <c r="BD293" s="734"/>
      <c r="BE293" s="734"/>
      <c r="BF293" s="734"/>
      <c r="BG293" s="734"/>
      <c r="BH293" s="734"/>
      <c r="BI293" s="734"/>
      <c r="BJ293" s="734"/>
      <c r="BK293" s="734"/>
      <c r="BL293" s="734"/>
      <c r="BM293" s="734"/>
      <c r="BN293" s="734"/>
      <c r="BO293" s="734"/>
      <c r="BP293" s="734"/>
      <c r="BQ293" s="734"/>
      <c r="BR293" s="734"/>
      <c r="BS293" s="734"/>
      <c r="BT293" s="734"/>
      <c r="BU293" s="734"/>
      <c r="BV293" s="734"/>
      <c r="BW293" s="734"/>
      <c r="BX293" s="734"/>
      <c r="BY293" s="734"/>
      <c r="BZ293" s="734"/>
      <c r="CA293" s="734"/>
      <c r="CB293" s="734"/>
      <c r="CC293" s="734"/>
      <c r="CD293" s="734"/>
      <c r="CE293" s="734"/>
      <c r="CF293" s="734"/>
      <c r="CG293" s="734"/>
      <c r="CH293" s="734"/>
      <c r="CI293" s="734"/>
      <c r="CJ293" s="734"/>
      <c r="CK293" s="734"/>
      <c r="CL293" s="734"/>
      <c r="CM293" s="734"/>
      <c r="CN293" s="734"/>
      <c r="CO293" s="734"/>
    </row>
    <row r="294" spans="1:93" s="920" customFormat="1">
      <c r="A294" s="673"/>
      <c r="B294" s="673"/>
      <c r="C294" s="736"/>
      <c r="D294" s="736"/>
      <c r="E294" s="661" t="str">
        <f t="shared" si="102"/>
        <v/>
      </c>
      <c r="F294" s="736"/>
      <c r="G294" s="736"/>
      <c r="H294" s="736"/>
      <c r="I294" s="736"/>
      <c r="J294" s="736"/>
      <c r="K294" s="736"/>
      <c r="L294" s="736"/>
      <c r="M294" s="736"/>
      <c r="N294" s="736"/>
      <c r="O294" s="736"/>
      <c r="P294" s="736"/>
      <c r="Q294" s="736"/>
      <c r="R294" s="736"/>
      <c r="S294" s="736"/>
      <c r="T294" s="736"/>
      <c r="U294" s="736"/>
      <c r="V294" s="736"/>
      <c r="W294" s="736"/>
      <c r="X294" s="736"/>
      <c r="Y294" s="736"/>
      <c r="Z294" s="736"/>
      <c r="AA294" s="736"/>
      <c r="AB294" s="736"/>
      <c r="AC294" s="736"/>
      <c r="AD294" s="734"/>
      <c r="AE294" s="734"/>
      <c r="AF294" s="734"/>
      <c r="AG294" s="734"/>
      <c r="AH294" s="734"/>
      <c r="AI294" s="734"/>
      <c r="AJ294" s="734"/>
      <c r="AK294" s="734"/>
      <c r="AL294" s="736"/>
      <c r="AM294" s="736"/>
      <c r="AN294" s="736"/>
      <c r="AO294" s="736"/>
      <c r="AP294" s="736"/>
      <c r="AQ294" s="736"/>
      <c r="AR294" s="736"/>
      <c r="AS294" s="736"/>
      <c r="AT294" s="736"/>
      <c r="AU294" s="736"/>
      <c r="AV294" s="736"/>
      <c r="AW294" s="736"/>
      <c r="AX294" s="736"/>
      <c r="AY294" s="736"/>
      <c r="AZ294" s="806"/>
      <c r="BA294" s="734"/>
      <c r="BB294" s="734"/>
      <c r="BC294" s="734"/>
      <c r="BD294" s="734"/>
      <c r="BE294" s="734"/>
      <c r="BF294" s="734"/>
      <c r="BG294" s="734"/>
      <c r="BH294" s="734"/>
      <c r="BI294" s="734"/>
      <c r="BJ294" s="734"/>
      <c r="BK294" s="734"/>
      <c r="BL294" s="734"/>
      <c r="BM294" s="734"/>
      <c r="BN294" s="734"/>
      <c r="BO294" s="734"/>
      <c r="BP294" s="734"/>
      <c r="BQ294" s="734"/>
      <c r="BR294" s="734"/>
      <c r="BS294" s="734"/>
      <c r="BT294" s="734"/>
      <c r="BU294" s="734"/>
      <c r="BV294" s="734"/>
      <c r="BW294" s="734"/>
      <c r="BX294" s="734"/>
      <c r="BY294" s="734"/>
      <c r="BZ294" s="734"/>
      <c r="CA294" s="734"/>
      <c r="CB294" s="734"/>
      <c r="CC294" s="734"/>
      <c r="CD294" s="734"/>
      <c r="CE294" s="734"/>
      <c r="CF294" s="734"/>
      <c r="CG294" s="734"/>
      <c r="CH294" s="734"/>
      <c r="CI294" s="734"/>
      <c r="CJ294" s="734"/>
      <c r="CK294" s="734"/>
      <c r="CL294" s="734"/>
      <c r="CM294" s="734"/>
      <c r="CN294" s="734"/>
      <c r="CO294" s="734"/>
    </row>
    <row r="295" spans="1:93" s="920" customFormat="1">
      <c r="A295" s="673"/>
      <c r="B295" s="673"/>
      <c r="C295" s="736"/>
      <c r="D295" s="736"/>
      <c r="E295" s="661" t="str">
        <f t="shared" si="102"/>
        <v/>
      </c>
      <c r="F295" s="736"/>
      <c r="G295" s="736"/>
      <c r="H295" s="736"/>
      <c r="I295" s="736"/>
      <c r="J295" s="736"/>
      <c r="K295" s="736"/>
      <c r="L295" s="736"/>
      <c r="M295" s="736"/>
      <c r="N295" s="736"/>
      <c r="O295" s="736"/>
      <c r="P295" s="736"/>
      <c r="Q295" s="736"/>
      <c r="R295" s="736"/>
      <c r="S295" s="736"/>
      <c r="T295" s="736"/>
      <c r="U295" s="736"/>
      <c r="V295" s="736"/>
      <c r="W295" s="736"/>
      <c r="X295" s="736"/>
      <c r="Y295" s="736"/>
      <c r="Z295" s="736"/>
      <c r="AA295" s="736"/>
      <c r="AB295" s="736"/>
      <c r="AC295" s="736"/>
      <c r="AD295" s="734"/>
      <c r="AE295" s="734"/>
      <c r="AF295" s="734"/>
      <c r="AG295" s="734"/>
      <c r="AH295" s="734"/>
      <c r="AI295" s="734"/>
      <c r="AJ295" s="734"/>
      <c r="AK295" s="734"/>
      <c r="AL295" s="736"/>
      <c r="AM295" s="736"/>
      <c r="AN295" s="736"/>
      <c r="AO295" s="736"/>
      <c r="AP295" s="736"/>
      <c r="AQ295" s="736"/>
      <c r="AR295" s="736"/>
      <c r="AS295" s="736"/>
      <c r="AT295" s="736"/>
      <c r="AU295" s="736"/>
      <c r="AV295" s="736"/>
      <c r="AW295" s="736"/>
      <c r="AX295" s="736"/>
      <c r="AY295" s="736"/>
      <c r="AZ295" s="806"/>
      <c r="BA295" s="734"/>
      <c r="BB295" s="734"/>
      <c r="BC295" s="734"/>
      <c r="BD295" s="734"/>
      <c r="BE295" s="734"/>
      <c r="BF295" s="734"/>
      <c r="BG295" s="734"/>
      <c r="BH295" s="734"/>
      <c r="BI295" s="734"/>
      <c r="BJ295" s="734"/>
      <c r="BK295" s="734"/>
      <c r="BL295" s="734"/>
      <c r="BM295" s="734"/>
      <c r="BN295" s="734"/>
      <c r="BO295" s="734"/>
      <c r="BP295" s="734"/>
      <c r="BQ295" s="734"/>
      <c r="BR295" s="734"/>
      <c r="BS295" s="734"/>
      <c r="BT295" s="734"/>
      <c r="BU295" s="734"/>
      <c r="BV295" s="734"/>
      <c r="BW295" s="734"/>
      <c r="BX295" s="734"/>
      <c r="BY295" s="734"/>
      <c r="BZ295" s="734"/>
      <c r="CA295" s="734"/>
      <c r="CB295" s="734"/>
      <c r="CC295" s="734"/>
      <c r="CD295" s="734"/>
      <c r="CE295" s="734"/>
      <c r="CF295" s="734"/>
      <c r="CG295" s="734"/>
      <c r="CH295" s="734"/>
      <c r="CI295" s="734"/>
      <c r="CJ295" s="734"/>
      <c r="CK295" s="734"/>
      <c r="CL295" s="734"/>
      <c r="CM295" s="734"/>
      <c r="CN295" s="734"/>
      <c r="CO295" s="734"/>
    </row>
    <row r="296" spans="1:93" s="920" customFormat="1">
      <c r="A296" s="673"/>
      <c r="B296" s="673"/>
      <c r="C296" s="736"/>
      <c r="D296" s="736"/>
      <c r="E296" s="661" t="str">
        <f t="shared" si="102"/>
        <v/>
      </c>
      <c r="F296" s="736"/>
      <c r="G296" s="736"/>
      <c r="H296" s="736"/>
      <c r="I296" s="736"/>
      <c r="J296" s="736"/>
      <c r="K296" s="736"/>
      <c r="L296" s="736"/>
      <c r="M296" s="736"/>
      <c r="N296" s="736"/>
      <c r="O296" s="736"/>
      <c r="P296" s="736"/>
      <c r="Q296" s="736"/>
      <c r="R296" s="736"/>
      <c r="S296" s="736"/>
      <c r="T296" s="736"/>
      <c r="U296" s="736"/>
      <c r="V296" s="736"/>
      <c r="W296" s="736"/>
      <c r="X296" s="736"/>
      <c r="Y296" s="736"/>
      <c r="Z296" s="736"/>
      <c r="AA296" s="736"/>
      <c r="AB296" s="736"/>
      <c r="AC296" s="736"/>
      <c r="AD296" s="734"/>
      <c r="AE296" s="734"/>
      <c r="AF296" s="734"/>
      <c r="AG296" s="734"/>
      <c r="AH296" s="734"/>
      <c r="AI296" s="734"/>
      <c r="AJ296" s="734"/>
      <c r="AK296" s="734"/>
      <c r="AL296" s="736"/>
      <c r="AM296" s="736"/>
      <c r="AN296" s="736"/>
      <c r="AO296" s="736"/>
      <c r="AP296" s="736"/>
      <c r="AQ296" s="736"/>
      <c r="AR296" s="736"/>
      <c r="AS296" s="736"/>
      <c r="AT296" s="736"/>
      <c r="AU296" s="736"/>
      <c r="AV296" s="736"/>
      <c r="AW296" s="736"/>
      <c r="AX296" s="736"/>
      <c r="AY296" s="736"/>
      <c r="AZ296" s="806"/>
      <c r="BA296" s="734"/>
      <c r="BB296" s="734"/>
      <c r="BC296" s="734"/>
      <c r="BD296" s="734"/>
      <c r="BE296" s="734"/>
      <c r="BF296" s="734"/>
      <c r="BG296" s="734"/>
      <c r="BH296" s="734"/>
      <c r="BI296" s="734"/>
      <c r="BJ296" s="734"/>
      <c r="BK296" s="734"/>
      <c r="BL296" s="734"/>
      <c r="BM296" s="734"/>
      <c r="BN296" s="734"/>
      <c r="BO296" s="734"/>
      <c r="BP296" s="734"/>
      <c r="BQ296" s="734"/>
      <c r="BR296" s="734"/>
      <c r="BS296" s="734"/>
      <c r="BT296" s="734"/>
      <c r="BU296" s="734"/>
      <c r="BV296" s="734"/>
      <c r="BW296" s="734"/>
      <c r="BX296" s="734"/>
      <c r="BY296" s="734"/>
      <c r="BZ296" s="734"/>
      <c r="CA296" s="734"/>
      <c r="CB296" s="734"/>
      <c r="CC296" s="734"/>
      <c r="CD296" s="734"/>
      <c r="CE296" s="734"/>
      <c r="CF296" s="734"/>
      <c r="CG296" s="734"/>
      <c r="CH296" s="734"/>
      <c r="CI296" s="734"/>
      <c r="CJ296" s="734"/>
      <c r="CK296" s="734"/>
      <c r="CL296" s="734"/>
      <c r="CM296" s="734"/>
      <c r="CN296" s="734"/>
      <c r="CO296" s="734"/>
    </row>
    <row r="297" spans="1:93" s="920" customFormat="1">
      <c r="A297" s="673"/>
      <c r="B297" s="673"/>
      <c r="C297" s="736"/>
      <c r="D297" s="736"/>
      <c r="E297" s="661" t="str">
        <f t="shared" si="102"/>
        <v/>
      </c>
      <c r="F297" s="736"/>
      <c r="G297" s="736"/>
      <c r="H297" s="736"/>
      <c r="I297" s="736"/>
      <c r="J297" s="736"/>
      <c r="K297" s="736"/>
      <c r="L297" s="736"/>
      <c r="M297" s="736"/>
      <c r="N297" s="736"/>
      <c r="O297" s="736"/>
      <c r="P297" s="736"/>
      <c r="Q297" s="736"/>
      <c r="R297" s="736"/>
      <c r="S297" s="736"/>
      <c r="T297" s="736"/>
      <c r="U297" s="736"/>
      <c r="V297" s="736"/>
      <c r="W297" s="736"/>
      <c r="X297" s="736"/>
      <c r="Y297" s="736"/>
      <c r="Z297" s="736"/>
      <c r="AA297" s="736"/>
      <c r="AB297" s="736"/>
      <c r="AC297" s="736"/>
      <c r="AD297" s="734"/>
      <c r="AE297" s="734"/>
      <c r="AF297" s="734"/>
      <c r="AG297" s="734"/>
      <c r="AH297" s="734"/>
      <c r="AI297" s="734"/>
      <c r="AJ297" s="734"/>
      <c r="AK297" s="734"/>
      <c r="AL297" s="736"/>
      <c r="AM297" s="736"/>
      <c r="AN297" s="736"/>
      <c r="AO297" s="736"/>
      <c r="AP297" s="736"/>
      <c r="AQ297" s="736"/>
      <c r="AR297" s="736"/>
      <c r="AS297" s="736"/>
      <c r="AT297" s="736"/>
      <c r="AU297" s="736"/>
      <c r="AV297" s="736"/>
      <c r="AW297" s="736"/>
      <c r="AX297" s="736"/>
      <c r="AY297" s="736"/>
      <c r="AZ297" s="806"/>
      <c r="BA297" s="734"/>
      <c r="BB297" s="734"/>
      <c r="BC297" s="734"/>
      <c r="BD297" s="734"/>
      <c r="BE297" s="734"/>
      <c r="BF297" s="734"/>
      <c r="BG297" s="734"/>
      <c r="BH297" s="734"/>
      <c r="BI297" s="734"/>
      <c r="BJ297" s="734"/>
      <c r="BK297" s="734"/>
      <c r="BL297" s="734"/>
      <c r="BM297" s="734"/>
      <c r="BN297" s="734"/>
      <c r="BO297" s="734"/>
      <c r="BP297" s="734"/>
      <c r="BQ297" s="734"/>
      <c r="BR297" s="734"/>
      <c r="BS297" s="734"/>
      <c r="BT297" s="734"/>
      <c r="BU297" s="734"/>
      <c r="BV297" s="734"/>
      <c r="BW297" s="734"/>
      <c r="BX297" s="734"/>
      <c r="BY297" s="734"/>
      <c r="BZ297" s="734"/>
      <c r="CA297" s="734"/>
      <c r="CB297" s="734"/>
      <c r="CC297" s="734"/>
      <c r="CD297" s="734"/>
      <c r="CE297" s="734"/>
      <c r="CF297" s="734"/>
      <c r="CG297" s="734"/>
      <c r="CH297" s="734"/>
      <c r="CI297" s="734"/>
      <c r="CJ297" s="734"/>
      <c r="CK297" s="734"/>
      <c r="CL297" s="734"/>
      <c r="CM297" s="734"/>
      <c r="CN297" s="734"/>
      <c r="CO297" s="734"/>
    </row>
    <row r="298" spans="1:93" s="920" customFormat="1">
      <c r="A298" s="673"/>
      <c r="B298" s="673"/>
      <c r="C298" s="736"/>
      <c r="D298" s="736"/>
      <c r="E298" s="661" t="str">
        <f t="shared" si="102"/>
        <v/>
      </c>
      <c r="F298" s="736"/>
      <c r="G298" s="736"/>
      <c r="H298" s="736"/>
      <c r="I298" s="736"/>
      <c r="J298" s="736"/>
      <c r="K298" s="736"/>
      <c r="L298" s="736"/>
      <c r="M298" s="736"/>
      <c r="N298" s="736"/>
      <c r="O298" s="736"/>
      <c r="P298" s="736"/>
      <c r="Q298" s="736"/>
      <c r="R298" s="736"/>
      <c r="S298" s="736"/>
      <c r="T298" s="736"/>
      <c r="U298" s="736"/>
      <c r="V298" s="736"/>
      <c r="W298" s="736"/>
      <c r="X298" s="736"/>
      <c r="Y298" s="736"/>
      <c r="Z298" s="736"/>
      <c r="AA298" s="736"/>
      <c r="AB298" s="736"/>
      <c r="AC298" s="736"/>
      <c r="AD298" s="734"/>
      <c r="AE298" s="734"/>
      <c r="AF298" s="734"/>
      <c r="AG298" s="734"/>
      <c r="AH298" s="734"/>
      <c r="AI298" s="734"/>
      <c r="AJ298" s="734"/>
      <c r="AK298" s="734"/>
      <c r="AL298" s="736"/>
      <c r="AM298" s="736"/>
      <c r="AN298" s="736"/>
      <c r="AO298" s="736"/>
      <c r="AP298" s="736"/>
      <c r="AQ298" s="736"/>
      <c r="AR298" s="736"/>
      <c r="AS298" s="736"/>
      <c r="AT298" s="736"/>
      <c r="AU298" s="736"/>
      <c r="AV298" s="736"/>
      <c r="AW298" s="736"/>
      <c r="AX298" s="736"/>
      <c r="AY298" s="736"/>
      <c r="AZ298" s="806"/>
      <c r="BA298" s="734"/>
      <c r="BB298" s="734"/>
      <c r="BC298" s="734"/>
      <c r="BD298" s="734"/>
      <c r="BE298" s="734"/>
      <c r="BF298" s="734"/>
      <c r="BG298" s="734"/>
      <c r="BH298" s="734"/>
      <c r="BI298" s="734"/>
      <c r="BJ298" s="734"/>
      <c r="BK298" s="734"/>
      <c r="BL298" s="734"/>
      <c r="BM298" s="734"/>
      <c r="BN298" s="734"/>
      <c r="BO298" s="734"/>
      <c r="BP298" s="734"/>
      <c r="BQ298" s="734"/>
      <c r="BR298" s="734"/>
      <c r="BS298" s="734"/>
      <c r="BT298" s="734"/>
      <c r="BU298" s="734"/>
      <c r="BV298" s="734"/>
      <c r="BW298" s="734"/>
      <c r="BX298" s="734"/>
      <c r="BY298" s="734"/>
      <c r="BZ298" s="734"/>
      <c r="CA298" s="734"/>
      <c r="CB298" s="734"/>
      <c r="CC298" s="734"/>
      <c r="CD298" s="734"/>
      <c r="CE298" s="734"/>
      <c r="CF298" s="734"/>
      <c r="CG298" s="734"/>
      <c r="CH298" s="734"/>
      <c r="CI298" s="734"/>
      <c r="CJ298" s="734"/>
      <c r="CK298" s="734"/>
      <c r="CL298" s="734"/>
      <c r="CM298" s="734"/>
      <c r="CN298" s="734"/>
      <c r="CO298" s="734"/>
    </row>
    <row r="299" spans="1:93" s="920" customFormat="1">
      <c r="A299" s="673"/>
      <c r="B299" s="673"/>
      <c r="C299" s="736"/>
      <c r="D299" s="736"/>
      <c r="E299" s="661" t="str">
        <f t="shared" si="102"/>
        <v/>
      </c>
      <c r="F299" s="736"/>
      <c r="G299" s="736"/>
      <c r="H299" s="736"/>
      <c r="I299" s="736"/>
      <c r="J299" s="736"/>
      <c r="K299" s="736"/>
      <c r="L299" s="736"/>
      <c r="M299" s="736"/>
      <c r="N299" s="736"/>
      <c r="O299" s="736"/>
      <c r="P299" s="736"/>
      <c r="Q299" s="736"/>
      <c r="R299" s="736"/>
      <c r="S299" s="736"/>
      <c r="T299" s="736"/>
      <c r="U299" s="736"/>
      <c r="V299" s="736"/>
      <c r="W299" s="736"/>
      <c r="X299" s="736"/>
      <c r="Y299" s="736"/>
      <c r="Z299" s="736"/>
      <c r="AA299" s="736"/>
      <c r="AB299" s="736"/>
      <c r="AC299" s="736"/>
      <c r="AD299" s="734"/>
      <c r="AE299" s="734"/>
      <c r="AF299" s="734"/>
      <c r="AG299" s="734"/>
      <c r="AH299" s="734"/>
      <c r="AI299" s="734"/>
      <c r="AJ299" s="734"/>
      <c r="AK299" s="734"/>
      <c r="AL299" s="736"/>
      <c r="AM299" s="736"/>
      <c r="AN299" s="736"/>
      <c r="AO299" s="736"/>
      <c r="AP299" s="736"/>
      <c r="AQ299" s="736"/>
      <c r="AR299" s="736"/>
      <c r="AS299" s="736"/>
      <c r="AT299" s="736"/>
      <c r="AU299" s="736"/>
      <c r="AV299" s="736"/>
      <c r="AW299" s="736"/>
      <c r="AX299" s="736"/>
      <c r="AY299" s="736"/>
      <c r="AZ299" s="806"/>
      <c r="BA299" s="734"/>
      <c r="BB299" s="734"/>
      <c r="BC299" s="734"/>
      <c r="BD299" s="734"/>
      <c r="BE299" s="734"/>
      <c r="BF299" s="734"/>
      <c r="BG299" s="734"/>
      <c r="BH299" s="734"/>
      <c r="BI299" s="734"/>
      <c r="BJ299" s="734"/>
      <c r="BK299" s="734"/>
      <c r="BL299" s="734"/>
      <c r="BM299" s="734"/>
      <c r="BN299" s="734"/>
      <c r="BO299" s="734"/>
      <c r="BP299" s="734"/>
      <c r="BQ299" s="734"/>
      <c r="BR299" s="734"/>
      <c r="BS299" s="734"/>
      <c r="BT299" s="734"/>
      <c r="BU299" s="734"/>
      <c r="BV299" s="734"/>
      <c r="BW299" s="734"/>
      <c r="BX299" s="734"/>
      <c r="BY299" s="734"/>
      <c r="BZ299" s="734"/>
      <c r="CA299" s="734"/>
      <c r="CB299" s="734"/>
      <c r="CC299" s="734"/>
      <c r="CD299" s="734"/>
      <c r="CE299" s="734"/>
      <c r="CF299" s="734"/>
      <c r="CG299" s="734"/>
      <c r="CH299" s="734"/>
      <c r="CI299" s="734"/>
      <c r="CJ299" s="734"/>
      <c r="CK299" s="734"/>
      <c r="CL299" s="734"/>
      <c r="CM299" s="734"/>
      <c r="CN299" s="734"/>
      <c r="CO299" s="734"/>
    </row>
    <row r="300" spans="1:93" s="920" customFormat="1">
      <c r="A300" s="673"/>
      <c r="B300" s="673"/>
      <c r="C300" s="736"/>
      <c r="D300" s="736"/>
      <c r="E300" s="661" t="str">
        <f t="shared" si="102"/>
        <v/>
      </c>
      <c r="F300" s="736"/>
      <c r="G300" s="736"/>
      <c r="H300" s="736"/>
      <c r="I300" s="736"/>
      <c r="J300" s="736"/>
      <c r="K300" s="736"/>
      <c r="L300" s="736"/>
      <c r="M300" s="736"/>
      <c r="N300" s="736"/>
      <c r="O300" s="736"/>
      <c r="P300" s="736"/>
      <c r="Q300" s="736"/>
      <c r="R300" s="736"/>
      <c r="S300" s="736"/>
      <c r="T300" s="736"/>
      <c r="U300" s="736"/>
      <c r="V300" s="736"/>
      <c r="W300" s="736"/>
      <c r="X300" s="736"/>
      <c r="Y300" s="736"/>
      <c r="Z300" s="736"/>
      <c r="AA300" s="736"/>
      <c r="AB300" s="736"/>
      <c r="AC300" s="736"/>
      <c r="AD300" s="734"/>
      <c r="AE300" s="734"/>
      <c r="AF300" s="734"/>
      <c r="AG300" s="734"/>
      <c r="AH300" s="734"/>
      <c r="AI300" s="734"/>
      <c r="AJ300" s="734"/>
      <c r="AK300" s="734"/>
      <c r="AL300" s="736"/>
      <c r="AM300" s="736"/>
      <c r="AN300" s="736"/>
      <c r="AO300" s="736"/>
      <c r="AP300" s="736"/>
      <c r="AQ300" s="736"/>
      <c r="AR300" s="736"/>
      <c r="AS300" s="736"/>
      <c r="AT300" s="736"/>
      <c r="AU300" s="736"/>
      <c r="AV300" s="736"/>
      <c r="AW300" s="736"/>
      <c r="AX300" s="736"/>
      <c r="AY300" s="736"/>
      <c r="AZ300" s="806"/>
      <c r="BA300" s="734"/>
      <c r="BB300" s="734"/>
      <c r="BC300" s="734"/>
      <c r="BD300" s="734"/>
      <c r="BE300" s="734"/>
      <c r="BF300" s="734"/>
      <c r="BG300" s="734"/>
      <c r="BH300" s="734"/>
      <c r="BI300" s="734"/>
      <c r="BJ300" s="734"/>
      <c r="BK300" s="734"/>
      <c r="BL300" s="734"/>
      <c r="BM300" s="734"/>
      <c r="BN300" s="734"/>
      <c r="BO300" s="734"/>
      <c r="BP300" s="734"/>
      <c r="BQ300" s="734"/>
      <c r="BR300" s="734"/>
      <c r="BS300" s="734"/>
      <c r="BT300" s="734"/>
      <c r="BU300" s="734"/>
      <c r="BV300" s="734"/>
      <c r="BW300" s="734"/>
      <c r="BX300" s="734"/>
      <c r="BY300" s="734"/>
      <c r="BZ300" s="734"/>
      <c r="CA300" s="734"/>
      <c r="CB300" s="734"/>
      <c r="CC300" s="734"/>
      <c r="CD300" s="734"/>
      <c r="CE300" s="734"/>
      <c r="CF300" s="734"/>
      <c r="CG300" s="734"/>
      <c r="CH300" s="734"/>
      <c r="CI300" s="734"/>
      <c r="CJ300" s="734"/>
      <c r="CK300" s="734"/>
      <c r="CL300" s="734"/>
      <c r="CM300" s="734"/>
      <c r="CN300" s="734"/>
      <c r="CO300" s="734"/>
    </row>
    <row r="301" spans="1:93" s="920" customFormat="1">
      <c r="A301" s="673"/>
      <c r="B301" s="673"/>
      <c r="C301" s="736"/>
      <c r="D301" s="736"/>
      <c r="E301" s="661" t="str">
        <f t="shared" si="102"/>
        <v/>
      </c>
      <c r="F301" s="736"/>
      <c r="G301" s="736"/>
      <c r="H301" s="736"/>
      <c r="I301" s="736"/>
      <c r="J301" s="736"/>
      <c r="K301" s="736"/>
      <c r="L301" s="736"/>
      <c r="M301" s="736"/>
      <c r="N301" s="736"/>
      <c r="O301" s="736"/>
      <c r="P301" s="736"/>
      <c r="Q301" s="736"/>
      <c r="R301" s="736"/>
      <c r="S301" s="736"/>
      <c r="T301" s="736"/>
      <c r="U301" s="736"/>
      <c r="V301" s="736"/>
      <c r="W301" s="736"/>
      <c r="X301" s="736"/>
      <c r="Y301" s="736"/>
      <c r="Z301" s="736"/>
      <c r="AA301" s="736"/>
      <c r="AB301" s="736"/>
      <c r="AC301" s="736"/>
      <c r="AD301" s="734"/>
      <c r="AE301" s="734"/>
      <c r="AF301" s="734"/>
      <c r="AG301" s="734"/>
      <c r="AH301" s="734"/>
      <c r="AI301" s="734"/>
      <c r="AJ301" s="734"/>
      <c r="AK301" s="734"/>
      <c r="AL301" s="736"/>
      <c r="AM301" s="736"/>
      <c r="AN301" s="736"/>
      <c r="AO301" s="736"/>
      <c r="AP301" s="736"/>
      <c r="AQ301" s="736"/>
      <c r="AR301" s="736"/>
      <c r="AS301" s="736"/>
      <c r="AT301" s="736"/>
      <c r="AU301" s="736"/>
      <c r="AV301" s="736"/>
      <c r="AW301" s="736"/>
      <c r="AX301" s="736"/>
      <c r="AY301" s="736"/>
      <c r="AZ301" s="806"/>
      <c r="BA301" s="734"/>
      <c r="BB301" s="734"/>
      <c r="BC301" s="734"/>
      <c r="BD301" s="734"/>
      <c r="BE301" s="734"/>
      <c r="BF301" s="734"/>
      <c r="BG301" s="734"/>
      <c r="BH301" s="734"/>
      <c r="BI301" s="734"/>
      <c r="BJ301" s="734"/>
      <c r="BK301" s="734"/>
      <c r="BL301" s="734"/>
      <c r="BM301" s="734"/>
      <c r="BN301" s="734"/>
      <c r="BO301" s="734"/>
      <c r="BP301" s="734"/>
      <c r="BQ301" s="734"/>
      <c r="BR301" s="734"/>
      <c r="BS301" s="734"/>
      <c r="BT301" s="734"/>
      <c r="BU301" s="734"/>
      <c r="BV301" s="734"/>
      <c r="BW301" s="734"/>
      <c r="BX301" s="734"/>
      <c r="BY301" s="734"/>
      <c r="BZ301" s="734"/>
      <c r="CA301" s="734"/>
      <c r="CB301" s="734"/>
      <c r="CC301" s="734"/>
      <c r="CD301" s="734"/>
      <c r="CE301" s="734"/>
      <c r="CF301" s="734"/>
      <c r="CG301" s="734"/>
      <c r="CH301" s="734"/>
      <c r="CI301" s="734"/>
      <c r="CJ301" s="734"/>
      <c r="CK301" s="734"/>
      <c r="CL301" s="734"/>
      <c r="CM301" s="734"/>
      <c r="CN301" s="734"/>
      <c r="CO301" s="734"/>
    </row>
    <row r="302" spans="1:93" s="920" customFormat="1">
      <c r="A302" s="673"/>
      <c r="B302" s="673"/>
      <c r="C302" s="736"/>
      <c r="D302" s="736"/>
      <c r="E302" s="661" t="str">
        <f t="shared" si="102"/>
        <v/>
      </c>
      <c r="F302" s="736"/>
      <c r="G302" s="736"/>
      <c r="H302" s="736"/>
      <c r="I302" s="736"/>
      <c r="J302" s="736"/>
      <c r="K302" s="736"/>
      <c r="L302" s="736"/>
      <c r="M302" s="736"/>
      <c r="N302" s="736"/>
      <c r="O302" s="736"/>
      <c r="P302" s="736"/>
      <c r="Q302" s="736"/>
      <c r="R302" s="736"/>
      <c r="S302" s="736"/>
      <c r="T302" s="736"/>
      <c r="U302" s="736"/>
      <c r="V302" s="736"/>
      <c r="W302" s="736"/>
      <c r="X302" s="736"/>
      <c r="Y302" s="736"/>
      <c r="Z302" s="736"/>
      <c r="AA302" s="736"/>
      <c r="AB302" s="736"/>
      <c r="AC302" s="736"/>
      <c r="AD302" s="734"/>
      <c r="AE302" s="734"/>
      <c r="AF302" s="734"/>
      <c r="AG302" s="734"/>
      <c r="AH302" s="734"/>
      <c r="AI302" s="734"/>
      <c r="AJ302" s="734"/>
      <c r="AK302" s="734"/>
      <c r="AL302" s="736"/>
      <c r="AM302" s="736"/>
      <c r="AN302" s="736"/>
      <c r="AO302" s="736"/>
      <c r="AP302" s="736"/>
      <c r="AQ302" s="736"/>
      <c r="AR302" s="736"/>
      <c r="AS302" s="736"/>
      <c r="AT302" s="736"/>
      <c r="AU302" s="736"/>
      <c r="AV302" s="736"/>
      <c r="AW302" s="736"/>
      <c r="AX302" s="736"/>
      <c r="AY302" s="736"/>
      <c r="AZ302" s="806"/>
      <c r="BA302" s="734"/>
      <c r="BB302" s="734"/>
      <c r="BC302" s="734"/>
      <c r="BD302" s="734"/>
      <c r="BE302" s="734"/>
      <c r="BF302" s="734"/>
      <c r="BG302" s="734"/>
      <c r="BH302" s="734"/>
      <c r="BI302" s="734"/>
      <c r="BJ302" s="734"/>
      <c r="BK302" s="734"/>
      <c r="BL302" s="734"/>
      <c r="BM302" s="734"/>
      <c r="BN302" s="734"/>
      <c r="BO302" s="734"/>
      <c r="BP302" s="734"/>
      <c r="BQ302" s="734"/>
      <c r="BR302" s="734"/>
      <c r="BS302" s="734"/>
      <c r="BT302" s="734"/>
      <c r="BU302" s="734"/>
      <c r="BV302" s="734"/>
      <c r="BW302" s="734"/>
      <c r="BX302" s="734"/>
      <c r="BY302" s="734"/>
      <c r="BZ302" s="734"/>
      <c r="CA302" s="734"/>
      <c r="CB302" s="734"/>
      <c r="CC302" s="734"/>
      <c r="CD302" s="734"/>
      <c r="CE302" s="734"/>
      <c r="CF302" s="734"/>
      <c r="CG302" s="734"/>
      <c r="CH302" s="734"/>
      <c r="CI302" s="734"/>
      <c r="CJ302" s="734"/>
      <c r="CK302" s="734"/>
      <c r="CL302" s="734"/>
      <c r="CM302" s="734"/>
      <c r="CN302" s="734"/>
      <c r="CO302" s="734"/>
    </row>
    <row r="303" spans="1:93" s="920" customFormat="1">
      <c r="A303" s="673"/>
      <c r="B303" s="673"/>
      <c r="C303" s="736"/>
      <c r="D303" s="736"/>
      <c r="E303" s="661" t="str">
        <f t="shared" si="102"/>
        <v/>
      </c>
      <c r="F303" s="736"/>
      <c r="G303" s="736"/>
      <c r="H303" s="736"/>
      <c r="I303" s="736"/>
      <c r="J303" s="736"/>
      <c r="K303" s="736"/>
      <c r="L303" s="736"/>
      <c r="M303" s="736"/>
      <c r="N303" s="736"/>
      <c r="O303" s="736"/>
      <c r="P303" s="736"/>
      <c r="Q303" s="736"/>
      <c r="R303" s="736"/>
      <c r="S303" s="736"/>
      <c r="T303" s="736"/>
      <c r="U303" s="736"/>
      <c r="V303" s="736"/>
      <c r="W303" s="736"/>
      <c r="X303" s="736"/>
      <c r="Y303" s="736"/>
      <c r="Z303" s="736"/>
      <c r="AA303" s="736"/>
      <c r="AB303" s="736"/>
      <c r="AC303" s="736"/>
      <c r="AD303" s="734"/>
      <c r="AE303" s="734"/>
      <c r="AF303" s="734"/>
      <c r="AG303" s="734"/>
      <c r="AH303" s="734"/>
      <c r="AI303" s="734"/>
      <c r="AJ303" s="734"/>
      <c r="AK303" s="734"/>
      <c r="AL303" s="736"/>
      <c r="AM303" s="736"/>
      <c r="AN303" s="736"/>
      <c r="AO303" s="736"/>
      <c r="AP303" s="736"/>
      <c r="AQ303" s="736"/>
      <c r="AR303" s="736"/>
      <c r="AS303" s="736"/>
      <c r="AT303" s="736"/>
      <c r="AU303" s="736"/>
      <c r="AV303" s="736"/>
      <c r="AW303" s="736"/>
      <c r="AX303" s="736"/>
      <c r="AY303" s="736"/>
      <c r="AZ303" s="806"/>
      <c r="BA303" s="734"/>
      <c r="BB303" s="734"/>
      <c r="BC303" s="734"/>
      <c r="BD303" s="734"/>
      <c r="BE303" s="734"/>
      <c r="BF303" s="734"/>
      <c r="BG303" s="734"/>
      <c r="BH303" s="734"/>
      <c r="BI303" s="734"/>
      <c r="BJ303" s="734"/>
      <c r="BK303" s="734"/>
      <c r="BL303" s="734"/>
      <c r="BM303" s="734"/>
      <c r="BN303" s="734"/>
      <c r="BO303" s="734"/>
      <c r="BP303" s="734"/>
      <c r="BQ303" s="734"/>
      <c r="BR303" s="734"/>
      <c r="BS303" s="734"/>
      <c r="BT303" s="734"/>
      <c r="BU303" s="734"/>
      <c r="BV303" s="734"/>
      <c r="BW303" s="734"/>
      <c r="BX303" s="734"/>
      <c r="BY303" s="734"/>
      <c r="BZ303" s="734"/>
      <c r="CA303" s="734"/>
      <c r="CB303" s="734"/>
      <c r="CC303" s="734"/>
      <c r="CD303" s="734"/>
      <c r="CE303" s="734"/>
      <c r="CF303" s="734"/>
      <c r="CG303" s="734"/>
      <c r="CH303" s="734"/>
      <c r="CI303" s="734"/>
      <c r="CJ303" s="734"/>
      <c r="CK303" s="734"/>
      <c r="CL303" s="734"/>
      <c r="CM303" s="734"/>
      <c r="CN303" s="734"/>
      <c r="CO303" s="734"/>
    </row>
    <row r="304" spans="1:93" s="920" customFormat="1">
      <c r="A304" s="673"/>
      <c r="B304" s="673"/>
      <c r="C304" s="736"/>
      <c r="D304" s="736"/>
      <c r="E304" s="661" t="str">
        <f t="shared" si="102"/>
        <v/>
      </c>
      <c r="F304" s="736"/>
      <c r="G304" s="736"/>
      <c r="H304" s="736"/>
      <c r="I304" s="736"/>
      <c r="J304" s="736"/>
      <c r="K304" s="736"/>
      <c r="L304" s="736"/>
      <c r="M304" s="736"/>
      <c r="N304" s="736"/>
      <c r="O304" s="736"/>
      <c r="P304" s="736"/>
      <c r="Q304" s="736"/>
      <c r="R304" s="736"/>
      <c r="S304" s="736"/>
      <c r="T304" s="736"/>
      <c r="U304" s="736"/>
      <c r="V304" s="736"/>
      <c r="W304" s="736"/>
      <c r="X304" s="736"/>
      <c r="Y304" s="736"/>
      <c r="Z304" s="736"/>
      <c r="AA304" s="736"/>
      <c r="AB304" s="736"/>
      <c r="AC304" s="736"/>
      <c r="AD304" s="734"/>
      <c r="AE304" s="734"/>
      <c r="AF304" s="734"/>
      <c r="AG304" s="734"/>
      <c r="AH304" s="734"/>
      <c r="AI304" s="734"/>
      <c r="AJ304" s="734"/>
      <c r="AK304" s="734"/>
      <c r="AL304" s="736"/>
      <c r="AM304" s="736"/>
      <c r="AN304" s="736"/>
      <c r="AO304" s="736"/>
      <c r="AP304" s="736"/>
      <c r="AQ304" s="736"/>
      <c r="AR304" s="736"/>
      <c r="AS304" s="736"/>
      <c r="AT304" s="736"/>
      <c r="AU304" s="736"/>
      <c r="AV304" s="736"/>
      <c r="AW304" s="736"/>
      <c r="AX304" s="736"/>
      <c r="AY304" s="736"/>
      <c r="AZ304" s="806"/>
      <c r="BA304" s="734"/>
      <c r="BB304" s="734"/>
      <c r="BC304" s="734"/>
      <c r="BD304" s="734"/>
      <c r="BE304" s="734"/>
      <c r="BF304" s="734"/>
      <c r="BG304" s="734"/>
      <c r="BH304" s="734"/>
      <c r="BI304" s="734"/>
      <c r="BJ304" s="734"/>
      <c r="BK304" s="734"/>
      <c r="BL304" s="734"/>
      <c r="BM304" s="734"/>
      <c r="BN304" s="734"/>
      <c r="BO304" s="734"/>
      <c r="BP304" s="734"/>
      <c r="BQ304" s="734"/>
      <c r="BR304" s="734"/>
      <c r="BS304" s="734"/>
      <c r="BT304" s="734"/>
      <c r="BU304" s="734"/>
      <c r="BV304" s="734"/>
      <c r="BW304" s="734"/>
      <c r="BX304" s="734"/>
      <c r="BY304" s="734"/>
      <c r="BZ304" s="734"/>
      <c r="CA304" s="734"/>
      <c r="CB304" s="734"/>
      <c r="CC304" s="734"/>
      <c r="CD304" s="734"/>
      <c r="CE304" s="734"/>
      <c r="CF304" s="734"/>
      <c r="CG304" s="734"/>
      <c r="CH304" s="734"/>
      <c r="CI304" s="734"/>
      <c r="CJ304" s="734"/>
      <c r="CK304" s="734"/>
      <c r="CL304" s="734"/>
      <c r="CM304" s="734"/>
      <c r="CN304" s="734"/>
      <c r="CO304" s="734"/>
    </row>
    <row r="305" spans="1:93" s="920" customFormat="1">
      <c r="A305" s="673"/>
      <c r="B305" s="673"/>
      <c r="C305" s="736"/>
      <c r="D305" s="736"/>
      <c r="E305" s="661" t="str">
        <f t="shared" ref="E305:E319" si="103">IF(B305&gt;7%,"Alert()","")</f>
        <v/>
      </c>
      <c r="F305" s="736"/>
      <c r="G305" s="736"/>
      <c r="H305" s="736"/>
      <c r="I305" s="736"/>
      <c r="J305" s="736"/>
      <c r="K305" s="736"/>
      <c r="L305" s="736"/>
      <c r="M305" s="736"/>
      <c r="N305" s="736"/>
      <c r="O305" s="736"/>
      <c r="P305" s="736"/>
      <c r="Q305" s="736"/>
      <c r="R305" s="736"/>
      <c r="S305" s="736"/>
      <c r="T305" s="736"/>
      <c r="U305" s="736"/>
      <c r="V305" s="736"/>
      <c r="W305" s="736"/>
      <c r="X305" s="736"/>
      <c r="Y305" s="736"/>
      <c r="Z305" s="736"/>
      <c r="AA305" s="736"/>
      <c r="AB305" s="736"/>
      <c r="AC305" s="736"/>
      <c r="AD305" s="734"/>
      <c r="AE305" s="734"/>
      <c r="AF305" s="734"/>
      <c r="AG305" s="734"/>
      <c r="AH305" s="734"/>
      <c r="AI305" s="734"/>
      <c r="AJ305" s="734"/>
      <c r="AK305" s="734"/>
      <c r="AL305" s="736"/>
      <c r="AM305" s="736"/>
      <c r="AN305" s="736"/>
      <c r="AO305" s="736"/>
      <c r="AP305" s="736"/>
      <c r="AQ305" s="736"/>
      <c r="AR305" s="736"/>
      <c r="AS305" s="736"/>
      <c r="AT305" s="736"/>
      <c r="AU305" s="736"/>
      <c r="AV305" s="736"/>
      <c r="AW305" s="736"/>
      <c r="AX305" s="736"/>
      <c r="AY305" s="736"/>
      <c r="AZ305" s="806"/>
      <c r="BA305" s="734"/>
      <c r="BB305" s="734"/>
      <c r="BC305" s="734"/>
      <c r="BD305" s="734"/>
      <c r="BE305" s="734"/>
      <c r="BF305" s="734"/>
      <c r="BG305" s="734"/>
      <c r="BH305" s="734"/>
      <c r="BI305" s="734"/>
      <c r="BJ305" s="734"/>
      <c r="BK305" s="734"/>
      <c r="BL305" s="734"/>
      <c r="BM305" s="734"/>
      <c r="BN305" s="734"/>
      <c r="BO305" s="734"/>
      <c r="BP305" s="734"/>
      <c r="BQ305" s="734"/>
      <c r="BR305" s="734"/>
      <c r="BS305" s="734"/>
      <c r="BT305" s="734"/>
      <c r="BU305" s="734"/>
      <c r="BV305" s="734"/>
      <c r="BW305" s="734"/>
      <c r="BX305" s="734"/>
      <c r="BY305" s="734"/>
      <c r="BZ305" s="734"/>
      <c r="CA305" s="734"/>
      <c r="CB305" s="734"/>
      <c r="CC305" s="734"/>
      <c r="CD305" s="734"/>
      <c r="CE305" s="734"/>
      <c r="CF305" s="734"/>
      <c r="CG305" s="734"/>
      <c r="CH305" s="734"/>
      <c r="CI305" s="734"/>
      <c r="CJ305" s="734"/>
      <c r="CK305" s="734"/>
      <c r="CL305" s="734"/>
      <c r="CM305" s="734"/>
      <c r="CN305" s="734"/>
      <c r="CO305" s="734"/>
    </row>
    <row r="306" spans="1:93" s="920" customFormat="1">
      <c r="A306" s="673"/>
      <c r="B306" s="673"/>
      <c r="C306" s="736"/>
      <c r="D306" s="736"/>
      <c r="E306" s="661" t="str">
        <f t="shared" si="103"/>
        <v/>
      </c>
      <c r="F306" s="736"/>
      <c r="G306" s="736"/>
      <c r="H306" s="736"/>
      <c r="I306" s="736"/>
      <c r="J306" s="736"/>
      <c r="K306" s="736"/>
      <c r="L306" s="736"/>
      <c r="M306" s="736"/>
      <c r="N306" s="736"/>
      <c r="O306" s="736"/>
      <c r="P306" s="736"/>
      <c r="Q306" s="736"/>
      <c r="R306" s="736"/>
      <c r="S306" s="736"/>
      <c r="T306" s="736"/>
      <c r="U306" s="736"/>
      <c r="V306" s="736"/>
      <c r="W306" s="736"/>
      <c r="X306" s="736"/>
      <c r="Y306" s="736"/>
      <c r="Z306" s="736"/>
      <c r="AA306" s="736"/>
      <c r="AB306" s="736"/>
      <c r="AC306" s="736"/>
      <c r="AD306" s="734"/>
      <c r="AE306" s="734"/>
      <c r="AF306" s="734"/>
      <c r="AG306" s="734"/>
      <c r="AH306" s="734"/>
      <c r="AI306" s="734"/>
      <c r="AJ306" s="734"/>
      <c r="AK306" s="734"/>
      <c r="AL306" s="736"/>
      <c r="AM306" s="736"/>
      <c r="AN306" s="736"/>
      <c r="AO306" s="736"/>
      <c r="AP306" s="736"/>
      <c r="AQ306" s="736"/>
      <c r="AR306" s="736"/>
      <c r="AS306" s="736"/>
      <c r="AT306" s="736"/>
      <c r="AU306" s="736"/>
      <c r="AV306" s="736"/>
      <c r="AW306" s="736"/>
      <c r="AX306" s="736"/>
      <c r="AY306" s="736"/>
      <c r="AZ306" s="806"/>
      <c r="BA306" s="734"/>
      <c r="BB306" s="734"/>
      <c r="BC306" s="734"/>
      <c r="BD306" s="734"/>
      <c r="BE306" s="734"/>
      <c r="BF306" s="734"/>
      <c r="BG306" s="734"/>
      <c r="BH306" s="734"/>
      <c r="BI306" s="734"/>
      <c r="BJ306" s="734"/>
      <c r="BK306" s="734"/>
      <c r="BL306" s="734"/>
      <c r="BM306" s="734"/>
      <c r="BN306" s="734"/>
      <c r="BO306" s="734"/>
      <c r="BP306" s="734"/>
      <c r="BQ306" s="734"/>
      <c r="BR306" s="734"/>
      <c r="BS306" s="734"/>
      <c r="BT306" s="734"/>
      <c r="BU306" s="734"/>
      <c r="BV306" s="734"/>
      <c r="BW306" s="734"/>
      <c r="BX306" s="734"/>
      <c r="BY306" s="734"/>
      <c r="BZ306" s="734"/>
      <c r="CA306" s="734"/>
      <c r="CB306" s="734"/>
      <c r="CC306" s="734"/>
      <c r="CD306" s="734"/>
      <c r="CE306" s="734"/>
      <c r="CF306" s="734"/>
      <c r="CG306" s="734"/>
      <c r="CH306" s="734"/>
      <c r="CI306" s="734"/>
      <c r="CJ306" s="734"/>
      <c r="CK306" s="734"/>
      <c r="CL306" s="734"/>
      <c r="CM306" s="734"/>
      <c r="CN306" s="734"/>
      <c r="CO306" s="734"/>
    </row>
    <row r="307" spans="1:93" s="920" customFormat="1">
      <c r="A307" s="673"/>
      <c r="B307" s="673"/>
      <c r="C307" s="736"/>
      <c r="D307" s="736"/>
      <c r="E307" s="661" t="str">
        <f t="shared" si="103"/>
        <v/>
      </c>
      <c r="F307" s="736"/>
      <c r="G307" s="736"/>
      <c r="H307" s="736"/>
      <c r="I307" s="736"/>
      <c r="J307" s="736"/>
      <c r="K307" s="736"/>
      <c r="L307" s="736"/>
      <c r="M307" s="736"/>
      <c r="N307" s="736"/>
      <c r="O307" s="736"/>
      <c r="P307" s="736"/>
      <c r="Q307" s="736"/>
      <c r="R307" s="736"/>
      <c r="S307" s="736"/>
      <c r="T307" s="736"/>
      <c r="U307" s="736"/>
      <c r="V307" s="736"/>
      <c r="W307" s="736"/>
      <c r="X307" s="736"/>
      <c r="Y307" s="736"/>
      <c r="Z307" s="736"/>
      <c r="AA307" s="736"/>
      <c r="AB307" s="736"/>
      <c r="AC307" s="736"/>
      <c r="AD307" s="734"/>
      <c r="AE307" s="734"/>
      <c r="AF307" s="734"/>
      <c r="AG307" s="734"/>
      <c r="AH307" s="734"/>
      <c r="AI307" s="734"/>
      <c r="AJ307" s="734"/>
      <c r="AK307" s="734"/>
      <c r="AL307" s="736"/>
      <c r="AM307" s="736"/>
      <c r="AN307" s="736"/>
      <c r="AO307" s="736"/>
      <c r="AP307" s="736"/>
      <c r="AQ307" s="736"/>
      <c r="AR307" s="736"/>
      <c r="AS307" s="736"/>
      <c r="AT307" s="736"/>
      <c r="AU307" s="736"/>
      <c r="AV307" s="736"/>
      <c r="AW307" s="736"/>
      <c r="AX307" s="736"/>
      <c r="AY307" s="736"/>
      <c r="AZ307" s="806"/>
      <c r="BA307" s="734"/>
      <c r="BB307" s="734"/>
      <c r="BC307" s="734"/>
      <c r="BD307" s="734"/>
      <c r="BE307" s="734"/>
      <c r="BF307" s="734"/>
      <c r="BG307" s="734"/>
      <c r="BH307" s="734"/>
      <c r="BI307" s="734"/>
      <c r="BJ307" s="734"/>
      <c r="BK307" s="734"/>
      <c r="BL307" s="734"/>
      <c r="BM307" s="734"/>
      <c r="BN307" s="734"/>
      <c r="BO307" s="734"/>
      <c r="BP307" s="734"/>
      <c r="BQ307" s="734"/>
      <c r="BR307" s="734"/>
      <c r="BS307" s="734"/>
      <c r="BT307" s="734"/>
      <c r="BU307" s="734"/>
      <c r="BV307" s="734"/>
      <c r="BW307" s="734"/>
      <c r="BX307" s="734"/>
      <c r="BY307" s="734"/>
      <c r="BZ307" s="734"/>
      <c r="CA307" s="734"/>
      <c r="CB307" s="734"/>
      <c r="CC307" s="734"/>
      <c r="CD307" s="734"/>
      <c r="CE307" s="734"/>
      <c r="CF307" s="734"/>
      <c r="CG307" s="734"/>
      <c r="CH307" s="734"/>
      <c r="CI307" s="734"/>
      <c r="CJ307" s="734"/>
      <c r="CK307" s="734"/>
      <c r="CL307" s="734"/>
      <c r="CM307" s="734"/>
      <c r="CN307" s="734"/>
      <c r="CO307" s="734"/>
    </row>
    <row r="308" spans="1:93" s="920" customFormat="1">
      <c r="A308" s="673"/>
      <c r="B308" s="673"/>
      <c r="C308" s="736"/>
      <c r="D308" s="736"/>
      <c r="E308" s="661" t="str">
        <f t="shared" si="103"/>
        <v/>
      </c>
      <c r="F308" s="736"/>
      <c r="G308" s="736"/>
      <c r="H308" s="736"/>
      <c r="I308" s="736"/>
      <c r="J308" s="736"/>
      <c r="K308" s="736"/>
      <c r="L308" s="736"/>
      <c r="M308" s="736"/>
      <c r="N308" s="736"/>
      <c r="O308" s="736"/>
      <c r="P308" s="736"/>
      <c r="Q308" s="736"/>
      <c r="R308" s="736"/>
      <c r="S308" s="736"/>
      <c r="T308" s="736"/>
      <c r="U308" s="736"/>
      <c r="V308" s="736"/>
      <c r="W308" s="736"/>
      <c r="X308" s="736"/>
      <c r="Y308" s="736"/>
      <c r="Z308" s="736"/>
      <c r="AA308" s="736"/>
      <c r="AB308" s="736"/>
      <c r="AC308" s="736"/>
      <c r="AD308" s="734"/>
      <c r="AE308" s="734"/>
      <c r="AF308" s="734"/>
      <c r="AG308" s="734"/>
      <c r="AH308" s="734"/>
      <c r="AI308" s="734"/>
      <c r="AJ308" s="734"/>
      <c r="AK308" s="734"/>
      <c r="AL308" s="736"/>
      <c r="AM308" s="736"/>
      <c r="AN308" s="736"/>
      <c r="AO308" s="736"/>
      <c r="AP308" s="736"/>
      <c r="AQ308" s="736"/>
      <c r="AR308" s="736"/>
      <c r="AS308" s="736"/>
      <c r="AT308" s="736"/>
      <c r="AU308" s="736"/>
      <c r="AV308" s="736"/>
      <c r="AW308" s="736"/>
      <c r="AX308" s="736"/>
      <c r="AY308" s="736"/>
      <c r="AZ308" s="806"/>
      <c r="BA308" s="734"/>
      <c r="BB308" s="734"/>
      <c r="BC308" s="734"/>
      <c r="BD308" s="734"/>
      <c r="BE308" s="734"/>
      <c r="BF308" s="734"/>
      <c r="BG308" s="734"/>
      <c r="BH308" s="734"/>
      <c r="BI308" s="734"/>
      <c r="BJ308" s="734"/>
      <c r="BK308" s="734"/>
      <c r="BL308" s="734"/>
      <c r="BM308" s="734"/>
      <c r="BN308" s="734"/>
      <c r="BO308" s="734"/>
      <c r="BP308" s="734"/>
      <c r="BQ308" s="734"/>
      <c r="BR308" s="734"/>
      <c r="BS308" s="734"/>
      <c r="BT308" s="734"/>
      <c r="BU308" s="734"/>
      <c r="BV308" s="734"/>
      <c r="BW308" s="734"/>
      <c r="BX308" s="734"/>
      <c r="BY308" s="734"/>
      <c r="BZ308" s="734"/>
      <c r="CA308" s="734"/>
      <c r="CB308" s="734"/>
      <c r="CC308" s="734"/>
      <c r="CD308" s="734"/>
      <c r="CE308" s="734"/>
      <c r="CF308" s="734"/>
      <c r="CG308" s="734"/>
      <c r="CH308" s="734"/>
      <c r="CI308" s="734"/>
      <c r="CJ308" s="734"/>
      <c r="CK308" s="734"/>
      <c r="CL308" s="734"/>
      <c r="CM308" s="734"/>
      <c r="CN308" s="734"/>
      <c r="CO308" s="734"/>
    </row>
    <row r="309" spans="1:93" s="920" customFormat="1">
      <c r="A309" s="673"/>
      <c r="B309" s="673"/>
      <c r="C309" s="736"/>
      <c r="D309" s="736"/>
      <c r="E309" s="661" t="str">
        <f t="shared" si="103"/>
        <v/>
      </c>
      <c r="F309" s="736"/>
      <c r="G309" s="736"/>
      <c r="H309" s="736"/>
      <c r="I309" s="736"/>
      <c r="J309" s="736"/>
      <c r="K309" s="736"/>
      <c r="L309" s="736"/>
      <c r="M309" s="736"/>
      <c r="N309" s="736"/>
      <c r="O309" s="736"/>
      <c r="P309" s="736"/>
      <c r="Q309" s="736"/>
      <c r="R309" s="736"/>
      <c r="S309" s="736"/>
      <c r="T309" s="736"/>
      <c r="U309" s="736"/>
      <c r="V309" s="736"/>
      <c r="W309" s="736"/>
      <c r="X309" s="736"/>
      <c r="Y309" s="736"/>
      <c r="Z309" s="736"/>
      <c r="AA309" s="736"/>
      <c r="AB309" s="736"/>
      <c r="AC309" s="736"/>
      <c r="AD309" s="734"/>
      <c r="AE309" s="734"/>
      <c r="AF309" s="734"/>
      <c r="AG309" s="734"/>
      <c r="AH309" s="734"/>
      <c r="AI309" s="734"/>
      <c r="AJ309" s="734"/>
      <c r="AK309" s="734"/>
      <c r="AL309" s="736"/>
      <c r="AM309" s="736"/>
      <c r="AN309" s="736"/>
      <c r="AO309" s="736"/>
      <c r="AP309" s="736"/>
      <c r="AQ309" s="736"/>
      <c r="AR309" s="736"/>
      <c r="AS309" s="736"/>
      <c r="AT309" s="736"/>
      <c r="AU309" s="736"/>
      <c r="AV309" s="736"/>
      <c r="AW309" s="736"/>
      <c r="AX309" s="736"/>
      <c r="AY309" s="736"/>
      <c r="AZ309" s="806"/>
      <c r="BA309" s="734"/>
      <c r="BB309" s="734"/>
      <c r="BC309" s="734"/>
      <c r="BD309" s="734"/>
      <c r="BE309" s="734"/>
      <c r="BF309" s="734"/>
      <c r="BG309" s="734"/>
      <c r="BH309" s="734"/>
      <c r="BI309" s="734"/>
      <c r="BJ309" s="734"/>
      <c r="BK309" s="734"/>
      <c r="BL309" s="734"/>
      <c r="BM309" s="734"/>
      <c r="BN309" s="734"/>
      <c r="BO309" s="734"/>
      <c r="BP309" s="734"/>
      <c r="BQ309" s="734"/>
      <c r="BR309" s="734"/>
      <c r="BS309" s="734"/>
      <c r="BT309" s="734"/>
      <c r="BU309" s="734"/>
      <c r="BV309" s="734"/>
      <c r="BW309" s="734"/>
      <c r="BX309" s="734"/>
      <c r="BY309" s="734"/>
      <c r="BZ309" s="734"/>
      <c r="CA309" s="734"/>
      <c r="CB309" s="734"/>
      <c r="CC309" s="734"/>
      <c r="CD309" s="734"/>
      <c r="CE309" s="734"/>
      <c r="CF309" s="734"/>
      <c r="CG309" s="734"/>
      <c r="CH309" s="734"/>
      <c r="CI309" s="734"/>
      <c r="CJ309" s="734"/>
      <c r="CK309" s="734"/>
      <c r="CL309" s="734"/>
      <c r="CM309" s="734"/>
      <c r="CN309" s="734"/>
      <c r="CO309" s="734"/>
    </row>
    <row r="310" spans="1:93" s="920" customFormat="1">
      <c r="A310" s="673"/>
      <c r="B310" s="673"/>
      <c r="C310" s="736"/>
      <c r="D310" s="736"/>
      <c r="E310" s="661" t="str">
        <f t="shared" si="103"/>
        <v/>
      </c>
      <c r="F310" s="736"/>
      <c r="G310" s="736"/>
      <c r="H310" s="736"/>
      <c r="I310" s="736"/>
      <c r="J310" s="736"/>
      <c r="K310" s="736"/>
      <c r="L310" s="736"/>
      <c r="M310" s="736"/>
      <c r="N310" s="736"/>
      <c r="O310" s="736"/>
      <c r="P310" s="736"/>
      <c r="Q310" s="736"/>
      <c r="R310" s="736"/>
      <c r="S310" s="736"/>
      <c r="T310" s="736"/>
      <c r="U310" s="736"/>
      <c r="V310" s="736"/>
      <c r="W310" s="736"/>
      <c r="X310" s="736"/>
      <c r="Y310" s="736"/>
      <c r="Z310" s="736"/>
      <c r="AA310" s="736"/>
      <c r="AB310" s="736"/>
      <c r="AC310" s="736"/>
      <c r="AD310" s="734"/>
      <c r="AE310" s="734"/>
      <c r="AF310" s="734"/>
      <c r="AG310" s="734"/>
      <c r="AH310" s="734"/>
      <c r="AI310" s="734"/>
      <c r="AJ310" s="734"/>
      <c r="AK310" s="734"/>
      <c r="AL310" s="736"/>
      <c r="AM310" s="736"/>
      <c r="AN310" s="736"/>
      <c r="AO310" s="736"/>
      <c r="AP310" s="736"/>
      <c r="AQ310" s="736"/>
      <c r="AR310" s="736"/>
      <c r="AS310" s="736"/>
      <c r="AT310" s="736"/>
      <c r="AU310" s="736"/>
      <c r="AV310" s="736"/>
      <c r="AW310" s="736"/>
      <c r="AX310" s="736"/>
      <c r="AY310" s="736"/>
      <c r="AZ310" s="806"/>
      <c r="BA310" s="734"/>
      <c r="BB310" s="734"/>
      <c r="BC310" s="734"/>
      <c r="BD310" s="734"/>
      <c r="BE310" s="734"/>
      <c r="BF310" s="734"/>
      <c r="BG310" s="734"/>
      <c r="BH310" s="734"/>
      <c r="BI310" s="734"/>
      <c r="BJ310" s="734"/>
      <c r="BK310" s="734"/>
      <c r="BL310" s="734"/>
      <c r="BM310" s="734"/>
      <c r="BN310" s="734"/>
      <c r="BO310" s="734"/>
      <c r="BP310" s="734"/>
      <c r="BQ310" s="734"/>
      <c r="BR310" s="734"/>
      <c r="BS310" s="734"/>
      <c r="BT310" s="734"/>
      <c r="BU310" s="734"/>
      <c r="BV310" s="734"/>
      <c r="BW310" s="734"/>
      <c r="BX310" s="734"/>
      <c r="BY310" s="734"/>
      <c r="BZ310" s="734"/>
      <c r="CA310" s="734"/>
      <c r="CB310" s="734"/>
      <c r="CC310" s="734"/>
      <c r="CD310" s="734"/>
      <c r="CE310" s="734"/>
      <c r="CF310" s="734"/>
      <c r="CG310" s="734"/>
      <c r="CH310" s="734"/>
      <c r="CI310" s="734"/>
      <c r="CJ310" s="734"/>
      <c r="CK310" s="734"/>
      <c r="CL310" s="734"/>
      <c r="CM310" s="734"/>
      <c r="CN310" s="734"/>
      <c r="CO310" s="734"/>
    </row>
    <row r="311" spans="1:93" s="920" customFormat="1">
      <c r="A311" s="673"/>
      <c r="B311" s="673"/>
      <c r="C311" s="736"/>
      <c r="D311" s="736"/>
      <c r="E311" s="661" t="str">
        <f t="shared" si="103"/>
        <v/>
      </c>
      <c r="F311" s="736"/>
      <c r="G311" s="736"/>
      <c r="H311" s="736"/>
      <c r="I311" s="736"/>
      <c r="J311" s="736"/>
      <c r="K311" s="736"/>
      <c r="L311" s="736"/>
      <c r="M311" s="736"/>
      <c r="N311" s="736"/>
      <c r="O311" s="736"/>
      <c r="P311" s="736"/>
      <c r="Q311" s="736"/>
      <c r="R311" s="736"/>
      <c r="S311" s="736"/>
      <c r="T311" s="736"/>
      <c r="U311" s="736"/>
      <c r="V311" s="736"/>
      <c r="W311" s="736"/>
      <c r="X311" s="736"/>
      <c r="Y311" s="736"/>
      <c r="Z311" s="736"/>
      <c r="AA311" s="736"/>
      <c r="AB311" s="736"/>
      <c r="AC311" s="736"/>
      <c r="AD311" s="734"/>
      <c r="AE311" s="734"/>
      <c r="AF311" s="734"/>
      <c r="AG311" s="734"/>
      <c r="AH311" s="734"/>
      <c r="AI311" s="734"/>
      <c r="AJ311" s="734"/>
      <c r="AK311" s="734"/>
      <c r="AL311" s="736"/>
      <c r="AM311" s="736"/>
      <c r="AN311" s="736"/>
      <c r="AO311" s="736"/>
      <c r="AP311" s="736"/>
      <c r="AQ311" s="736"/>
      <c r="AR311" s="736"/>
      <c r="AS311" s="736"/>
      <c r="AT311" s="736"/>
      <c r="AU311" s="736"/>
      <c r="AV311" s="736"/>
      <c r="AW311" s="736"/>
      <c r="AX311" s="736"/>
      <c r="AY311" s="736"/>
      <c r="AZ311" s="806"/>
      <c r="BA311" s="734"/>
      <c r="BB311" s="734"/>
      <c r="BC311" s="734"/>
      <c r="BD311" s="734"/>
      <c r="BE311" s="734"/>
      <c r="BF311" s="734"/>
      <c r="BG311" s="734"/>
      <c r="BH311" s="734"/>
      <c r="BI311" s="734"/>
      <c r="BJ311" s="734"/>
      <c r="BK311" s="734"/>
      <c r="BL311" s="734"/>
      <c r="BM311" s="734"/>
      <c r="BN311" s="734"/>
      <c r="BO311" s="734"/>
      <c r="BP311" s="734"/>
      <c r="BQ311" s="734"/>
      <c r="BR311" s="734"/>
      <c r="BS311" s="734"/>
      <c r="BT311" s="734"/>
      <c r="BU311" s="734"/>
      <c r="BV311" s="734"/>
      <c r="BW311" s="734"/>
      <c r="BX311" s="734"/>
      <c r="BY311" s="734"/>
      <c r="BZ311" s="734"/>
      <c r="CA311" s="734"/>
      <c r="CB311" s="734"/>
      <c r="CC311" s="734"/>
      <c r="CD311" s="734"/>
      <c r="CE311" s="734"/>
      <c r="CF311" s="734"/>
      <c r="CG311" s="734"/>
      <c r="CH311" s="734"/>
      <c r="CI311" s="734"/>
      <c r="CJ311" s="734"/>
      <c r="CK311" s="734"/>
      <c r="CL311" s="734"/>
      <c r="CM311" s="734"/>
      <c r="CN311" s="734"/>
      <c r="CO311" s="734"/>
    </row>
    <row r="312" spans="1:93" s="920" customFormat="1">
      <c r="A312" s="673"/>
      <c r="B312" s="673"/>
      <c r="C312" s="736"/>
      <c r="D312" s="736"/>
      <c r="E312" s="661" t="str">
        <f t="shared" si="103"/>
        <v/>
      </c>
      <c r="F312" s="736"/>
      <c r="G312" s="736"/>
      <c r="H312" s="736"/>
      <c r="I312" s="736"/>
      <c r="J312" s="736"/>
      <c r="K312" s="736"/>
      <c r="L312" s="736"/>
      <c r="M312" s="736"/>
      <c r="N312" s="736"/>
      <c r="O312" s="736"/>
      <c r="P312" s="736"/>
      <c r="Q312" s="736"/>
      <c r="R312" s="736"/>
      <c r="S312" s="736"/>
      <c r="T312" s="736"/>
      <c r="U312" s="736"/>
      <c r="V312" s="736"/>
      <c r="W312" s="736"/>
      <c r="X312" s="736"/>
      <c r="Y312" s="736"/>
      <c r="Z312" s="736"/>
      <c r="AA312" s="736"/>
      <c r="AB312" s="736"/>
      <c r="AC312" s="736"/>
      <c r="AD312" s="734"/>
      <c r="AE312" s="734"/>
      <c r="AF312" s="734"/>
      <c r="AG312" s="734"/>
      <c r="AH312" s="734"/>
      <c r="AI312" s="734"/>
      <c r="AJ312" s="734"/>
      <c r="AK312" s="734"/>
      <c r="AL312" s="736"/>
      <c r="AM312" s="736"/>
      <c r="AN312" s="736"/>
      <c r="AO312" s="736"/>
      <c r="AP312" s="736"/>
      <c r="AQ312" s="736"/>
      <c r="AR312" s="736"/>
      <c r="AS312" s="736"/>
      <c r="AT312" s="736"/>
      <c r="AU312" s="736"/>
      <c r="AV312" s="736"/>
      <c r="AW312" s="736"/>
      <c r="AX312" s="736"/>
      <c r="AY312" s="736"/>
      <c r="AZ312" s="806"/>
      <c r="BA312" s="734"/>
      <c r="BB312" s="734"/>
      <c r="BC312" s="734"/>
      <c r="BD312" s="734"/>
      <c r="BE312" s="734"/>
      <c r="BF312" s="734"/>
      <c r="BG312" s="734"/>
      <c r="BH312" s="734"/>
      <c r="BI312" s="734"/>
      <c r="BJ312" s="734"/>
      <c r="BK312" s="734"/>
      <c r="BL312" s="734"/>
      <c r="BM312" s="734"/>
      <c r="BN312" s="734"/>
      <c r="BO312" s="734"/>
      <c r="BP312" s="734"/>
      <c r="BQ312" s="734"/>
      <c r="BR312" s="734"/>
      <c r="BS312" s="734"/>
      <c r="BT312" s="734"/>
      <c r="BU312" s="734"/>
      <c r="BV312" s="734"/>
      <c r="BW312" s="734"/>
      <c r="BX312" s="734"/>
      <c r="BY312" s="734"/>
      <c r="BZ312" s="734"/>
      <c r="CA312" s="734"/>
      <c r="CB312" s="734"/>
      <c r="CC312" s="734"/>
      <c r="CD312" s="734"/>
      <c r="CE312" s="734"/>
      <c r="CF312" s="734"/>
      <c r="CG312" s="734"/>
      <c r="CH312" s="734"/>
      <c r="CI312" s="734"/>
      <c r="CJ312" s="734"/>
      <c r="CK312" s="734"/>
      <c r="CL312" s="734"/>
      <c r="CM312" s="734"/>
      <c r="CN312" s="734"/>
      <c r="CO312" s="734"/>
    </row>
    <row r="313" spans="1:93" s="920" customFormat="1">
      <c r="A313" s="673"/>
      <c r="B313" s="673"/>
      <c r="C313" s="736"/>
      <c r="D313" s="736"/>
      <c r="E313" s="661" t="str">
        <f t="shared" si="103"/>
        <v/>
      </c>
      <c r="F313" s="736"/>
      <c r="G313" s="736"/>
      <c r="H313" s="736"/>
      <c r="I313" s="736"/>
      <c r="J313" s="736"/>
      <c r="K313" s="736"/>
      <c r="L313" s="736"/>
      <c r="M313" s="736"/>
      <c r="N313" s="736"/>
      <c r="O313" s="736"/>
      <c r="P313" s="736"/>
      <c r="Q313" s="736"/>
      <c r="R313" s="736"/>
      <c r="S313" s="736"/>
      <c r="T313" s="736"/>
      <c r="U313" s="736"/>
      <c r="V313" s="736"/>
      <c r="W313" s="736"/>
      <c r="X313" s="736"/>
      <c r="Y313" s="736"/>
      <c r="Z313" s="736"/>
      <c r="AA313" s="736"/>
      <c r="AB313" s="736"/>
      <c r="AC313" s="736"/>
      <c r="AD313" s="734"/>
      <c r="AE313" s="734"/>
      <c r="AF313" s="734"/>
      <c r="AG313" s="734"/>
      <c r="AH313" s="734"/>
      <c r="AI313" s="734"/>
      <c r="AJ313" s="734"/>
      <c r="AK313" s="734"/>
      <c r="AL313" s="736"/>
      <c r="AM313" s="736"/>
      <c r="AN313" s="736"/>
      <c r="AO313" s="736"/>
      <c r="AP313" s="736"/>
      <c r="AQ313" s="736"/>
      <c r="AR313" s="736"/>
      <c r="AS313" s="736"/>
      <c r="AT313" s="736"/>
      <c r="AU313" s="736"/>
      <c r="AV313" s="736"/>
      <c r="AW313" s="736"/>
      <c r="AX313" s="736"/>
      <c r="AY313" s="736"/>
      <c r="AZ313" s="806"/>
      <c r="BA313" s="734"/>
      <c r="BB313" s="734"/>
      <c r="BC313" s="734"/>
      <c r="BD313" s="734"/>
      <c r="BE313" s="734"/>
      <c r="BF313" s="734"/>
      <c r="BG313" s="734"/>
      <c r="BH313" s="734"/>
      <c r="BI313" s="734"/>
      <c r="BJ313" s="734"/>
      <c r="BK313" s="734"/>
      <c r="BL313" s="734"/>
      <c r="BM313" s="734"/>
      <c r="BN313" s="734"/>
      <c r="BO313" s="734"/>
      <c r="BP313" s="734"/>
      <c r="BQ313" s="734"/>
      <c r="BR313" s="734"/>
      <c r="BS313" s="734"/>
      <c r="BT313" s="734"/>
      <c r="BU313" s="734"/>
      <c r="BV313" s="734"/>
      <c r="BW313" s="734"/>
      <c r="BX313" s="734"/>
      <c r="BY313" s="734"/>
      <c r="BZ313" s="734"/>
      <c r="CA313" s="734"/>
      <c r="CB313" s="734"/>
      <c r="CC313" s="734"/>
      <c r="CD313" s="734"/>
      <c r="CE313" s="734"/>
      <c r="CF313" s="734"/>
      <c r="CG313" s="734"/>
      <c r="CH313" s="734"/>
      <c r="CI313" s="734"/>
      <c r="CJ313" s="734"/>
      <c r="CK313" s="734"/>
      <c r="CL313" s="734"/>
      <c r="CM313" s="734"/>
      <c r="CN313" s="734"/>
      <c r="CO313" s="734"/>
    </row>
    <row r="314" spans="1:93" s="920" customFormat="1">
      <c r="A314" s="673"/>
      <c r="B314" s="673"/>
      <c r="C314" s="736"/>
      <c r="D314" s="736"/>
      <c r="E314" s="661" t="str">
        <f t="shared" si="103"/>
        <v/>
      </c>
      <c r="F314" s="736"/>
      <c r="G314" s="736"/>
      <c r="H314" s="736"/>
      <c r="I314" s="736"/>
      <c r="J314" s="736"/>
      <c r="K314" s="736"/>
      <c r="L314" s="736"/>
      <c r="M314" s="736"/>
      <c r="N314" s="736"/>
      <c r="O314" s="736"/>
      <c r="P314" s="736"/>
      <c r="Q314" s="736"/>
      <c r="R314" s="736"/>
      <c r="S314" s="736"/>
      <c r="T314" s="736"/>
      <c r="U314" s="736"/>
      <c r="V314" s="736"/>
      <c r="W314" s="736"/>
      <c r="X314" s="736"/>
      <c r="Y314" s="736"/>
      <c r="Z314" s="736"/>
      <c r="AA314" s="736"/>
      <c r="AB314" s="736"/>
      <c r="AC314" s="736"/>
      <c r="AD314" s="734"/>
      <c r="AE314" s="734"/>
      <c r="AF314" s="734"/>
      <c r="AG314" s="734"/>
      <c r="AH314" s="734"/>
      <c r="AI314" s="734"/>
      <c r="AJ314" s="734"/>
      <c r="AK314" s="734"/>
      <c r="AL314" s="736"/>
      <c r="AM314" s="736"/>
      <c r="AN314" s="736"/>
      <c r="AO314" s="736"/>
      <c r="AP314" s="736"/>
      <c r="AQ314" s="736"/>
      <c r="AR314" s="736"/>
      <c r="AS314" s="736"/>
      <c r="AT314" s="736"/>
      <c r="AU314" s="736"/>
      <c r="AV314" s="736"/>
      <c r="AW314" s="736"/>
      <c r="AX314" s="736"/>
      <c r="AY314" s="736"/>
      <c r="AZ314" s="806"/>
      <c r="BA314" s="734"/>
      <c r="BB314" s="734"/>
      <c r="BC314" s="734"/>
      <c r="BD314" s="734"/>
      <c r="BE314" s="734"/>
      <c r="BF314" s="734"/>
      <c r="BG314" s="734"/>
      <c r="BH314" s="734"/>
      <c r="BI314" s="734"/>
      <c r="BJ314" s="734"/>
      <c r="BK314" s="734"/>
      <c r="BL314" s="734"/>
      <c r="BM314" s="734"/>
      <c r="BN314" s="734"/>
      <c r="BO314" s="734"/>
      <c r="BP314" s="734"/>
      <c r="BQ314" s="734"/>
      <c r="BR314" s="734"/>
      <c r="BS314" s="734"/>
      <c r="BT314" s="734"/>
      <c r="BU314" s="734"/>
      <c r="BV314" s="734"/>
      <c r="BW314" s="734"/>
      <c r="BX314" s="734"/>
      <c r="BY314" s="734"/>
      <c r="BZ314" s="734"/>
      <c r="CA314" s="734"/>
      <c r="CB314" s="734"/>
      <c r="CC314" s="734"/>
      <c r="CD314" s="734"/>
      <c r="CE314" s="734"/>
      <c r="CF314" s="734"/>
      <c r="CG314" s="734"/>
      <c r="CH314" s="734"/>
      <c r="CI314" s="734"/>
      <c r="CJ314" s="734"/>
      <c r="CK314" s="734"/>
      <c r="CL314" s="734"/>
      <c r="CM314" s="734"/>
      <c r="CN314" s="734"/>
      <c r="CO314" s="734"/>
    </row>
    <row r="315" spans="1:93" s="920" customFormat="1">
      <c r="A315" s="673"/>
      <c r="B315" s="673"/>
      <c r="C315" s="736"/>
      <c r="D315" s="736"/>
      <c r="E315" s="661" t="str">
        <f t="shared" si="103"/>
        <v/>
      </c>
      <c r="F315" s="736"/>
      <c r="G315" s="736"/>
      <c r="H315" s="736"/>
      <c r="I315" s="736"/>
      <c r="J315" s="736"/>
      <c r="K315" s="736"/>
      <c r="L315" s="736"/>
      <c r="M315" s="736"/>
      <c r="N315" s="736"/>
      <c r="O315" s="736"/>
      <c r="P315" s="736"/>
      <c r="Q315" s="736"/>
      <c r="R315" s="736"/>
      <c r="S315" s="736"/>
      <c r="T315" s="736"/>
      <c r="U315" s="736"/>
      <c r="V315" s="736"/>
      <c r="W315" s="736"/>
      <c r="X315" s="736"/>
      <c r="Y315" s="736"/>
      <c r="Z315" s="736"/>
      <c r="AA315" s="736"/>
      <c r="AB315" s="736"/>
      <c r="AC315" s="736"/>
      <c r="AD315" s="734"/>
      <c r="AE315" s="734"/>
      <c r="AF315" s="734"/>
      <c r="AG315" s="734"/>
      <c r="AH315" s="734"/>
      <c r="AI315" s="734"/>
      <c r="AJ315" s="734"/>
      <c r="AK315" s="734"/>
      <c r="AL315" s="736"/>
      <c r="AM315" s="736"/>
      <c r="AN315" s="736"/>
      <c r="AO315" s="736"/>
      <c r="AP315" s="736"/>
      <c r="AQ315" s="736"/>
      <c r="AR315" s="736"/>
      <c r="AS315" s="736"/>
      <c r="AT315" s="736"/>
      <c r="AU315" s="736"/>
      <c r="AV315" s="736"/>
      <c r="AW315" s="736"/>
      <c r="AX315" s="736"/>
      <c r="AY315" s="736"/>
      <c r="AZ315" s="806"/>
      <c r="BA315" s="734"/>
      <c r="BB315" s="734"/>
      <c r="BC315" s="734"/>
      <c r="BD315" s="734"/>
      <c r="BE315" s="734"/>
      <c r="BF315" s="734"/>
      <c r="BG315" s="734"/>
      <c r="BH315" s="734"/>
      <c r="BI315" s="734"/>
      <c r="BJ315" s="734"/>
      <c r="BK315" s="734"/>
      <c r="BL315" s="734"/>
      <c r="BM315" s="734"/>
      <c r="BN315" s="734"/>
      <c r="BO315" s="734"/>
      <c r="BP315" s="734"/>
      <c r="BQ315" s="734"/>
      <c r="BR315" s="734"/>
      <c r="BS315" s="734"/>
      <c r="BT315" s="734"/>
      <c r="BU315" s="734"/>
      <c r="BV315" s="734"/>
      <c r="BW315" s="734"/>
      <c r="BX315" s="734"/>
      <c r="BY315" s="734"/>
      <c r="BZ315" s="734"/>
      <c r="CA315" s="734"/>
      <c r="CB315" s="734"/>
      <c r="CC315" s="734"/>
      <c r="CD315" s="734"/>
      <c r="CE315" s="734"/>
      <c r="CF315" s="734"/>
      <c r="CG315" s="734"/>
      <c r="CH315" s="734"/>
      <c r="CI315" s="734"/>
      <c r="CJ315" s="734"/>
      <c r="CK315" s="734"/>
      <c r="CL315" s="734"/>
      <c r="CM315" s="734"/>
      <c r="CN315" s="734"/>
      <c r="CO315" s="734"/>
    </row>
    <row r="316" spans="1:93" s="920" customFormat="1">
      <c r="A316" s="673"/>
      <c r="B316" s="673"/>
      <c r="C316" s="736"/>
      <c r="D316" s="736"/>
      <c r="E316" s="661" t="str">
        <f t="shared" si="103"/>
        <v/>
      </c>
      <c r="F316" s="736"/>
      <c r="G316" s="736"/>
      <c r="H316" s="736"/>
      <c r="I316" s="736"/>
      <c r="J316" s="736"/>
      <c r="K316" s="736"/>
      <c r="L316" s="736"/>
      <c r="M316" s="736"/>
      <c r="N316" s="736"/>
      <c r="O316" s="736"/>
      <c r="P316" s="736"/>
      <c r="Q316" s="736"/>
      <c r="R316" s="736"/>
      <c r="S316" s="736"/>
      <c r="T316" s="736"/>
      <c r="U316" s="736"/>
      <c r="V316" s="736"/>
      <c r="W316" s="736"/>
      <c r="X316" s="736"/>
      <c r="Y316" s="736"/>
      <c r="Z316" s="736"/>
      <c r="AA316" s="736"/>
      <c r="AB316" s="736"/>
      <c r="AC316" s="736"/>
      <c r="AD316" s="734"/>
      <c r="AE316" s="734"/>
      <c r="AF316" s="734"/>
      <c r="AG316" s="734"/>
      <c r="AH316" s="734"/>
      <c r="AI316" s="734"/>
      <c r="AJ316" s="734"/>
      <c r="AK316" s="734"/>
      <c r="AL316" s="736"/>
      <c r="AM316" s="736"/>
      <c r="AN316" s="736"/>
      <c r="AO316" s="736"/>
      <c r="AP316" s="736"/>
      <c r="AQ316" s="736"/>
      <c r="AR316" s="736"/>
      <c r="AS316" s="736"/>
      <c r="AT316" s="736"/>
      <c r="AU316" s="736"/>
      <c r="AV316" s="736"/>
      <c r="AW316" s="736"/>
      <c r="AX316" s="736"/>
      <c r="AY316" s="736"/>
      <c r="AZ316" s="806"/>
      <c r="BA316" s="734"/>
      <c r="BB316" s="734"/>
      <c r="BC316" s="734"/>
      <c r="BD316" s="734"/>
      <c r="BE316" s="734"/>
      <c r="BF316" s="734"/>
      <c r="BG316" s="734"/>
      <c r="BH316" s="734"/>
      <c r="BI316" s="734"/>
      <c r="BJ316" s="734"/>
      <c r="BK316" s="734"/>
      <c r="BL316" s="734"/>
      <c r="BM316" s="734"/>
      <c r="BN316" s="734"/>
      <c r="BO316" s="734"/>
      <c r="BP316" s="734"/>
      <c r="BQ316" s="734"/>
      <c r="BR316" s="734"/>
      <c r="BS316" s="734"/>
      <c r="BT316" s="734"/>
      <c r="BU316" s="734"/>
      <c r="BV316" s="734"/>
      <c r="BW316" s="734"/>
      <c r="BX316" s="734"/>
      <c r="BY316" s="734"/>
      <c r="BZ316" s="734"/>
      <c r="CA316" s="734"/>
      <c r="CB316" s="734"/>
      <c r="CC316" s="734"/>
      <c r="CD316" s="734"/>
      <c r="CE316" s="734"/>
      <c r="CF316" s="734"/>
      <c r="CG316" s="734"/>
      <c r="CH316" s="734"/>
      <c r="CI316" s="734"/>
      <c r="CJ316" s="734"/>
      <c r="CK316" s="734"/>
      <c r="CL316" s="734"/>
      <c r="CM316" s="734"/>
      <c r="CN316" s="734"/>
      <c r="CO316" s="734"/>
    </row>
    <row r="317" spans="1:93" s="920" customFormat="1">
      <c r="A317" s="673"/>
      <c r="B317" s="673"/>
      <c r="C317" s="736"/>
      <c r="D317" s="736"/>
      <c r="E317" s="661" t="str">
        <f t="shared" si="103"/>
        <v/>
      </c>
      <c r="F317" s="736"/>
      <c r="G317" s="736"/>
      <c r="H317" s="736"/>
      <c r="I317" s="736"/>
      <c r="J317" s="736"/>
      <c r="K317" s="736"/>
      <c r="L317" s="736"/>
      <c r="M317" s="736"/>
      <c r="N317" s="736"/>
      <c r="O317" s="736"/>
      <c r="P317" s="736"/>
      <c r="Q317" s="736"/>
      <c r="R317" s="736"/>
      <c r="S317" s="736"/>
      <c r="T317" s="736"/>
      <c r="U317" s="736"/>
      <c r="V317" s="736"/>
      <c r="W317" s="736"/>
      <c r="X317" s="736"/>
      <c r="Y317" s="736"/>
      <c r="Z317" s="736"/>
      <c r="AA317" s="736"/>
      <c r="AB317" s="736"/>
      <c r="AC317" s="736"/>
      <c r="AD317" s="734"/>
      <c r="AE317" s="734"/>
      <c r="AF317" s="734"/>
      <c r="AG317" s="734"/>
      <c r="AH317" s="734"/>
      <c r="AI317" s="734"/>
      <c r="AJ317" s="734"/>
      <c r="AK317" s="734"/>
      <c r="AL317" s="736"/>
      <c r="AM317" s="736"/>
      <c r="AN317" s="736"/>
      <c r="AO317" s="736"/>
      <c r="AP317" s="736"/>
      <c r="AQ317" s="736"/>
      <c r="AR317" s="736"/>
      <c r="AS317" s="736"/>
      <c r="AT317" s="736"/>
      <c r="AU317" s="736"/>
      <c r="AV317" s="736"/>
      <c r="AW317" s="736"/>
      <c r="AX317" s="736"/>
      <c r="AY317" s="736"/>
      <c r="AZ317" s="806"/>
      <c r="BA317" s="734"/>
      <c r="BB317" s="734"/>
      <c r="BC317" s="734"/>
      <c r="BD317" s="734"/>
      <c r="BE317" s="734"/>
      <c r="BF317" s="734"/>
      <c r="BG317" s="734"/>
      <c r="BH317" s="734"/>
      <c r="BI317" s="734"/>
      <c r="BJ317" s="734"/>
      <c r="BK317" s="734"/>
      <c r="BL317" s="734"/>
      <c r="BM317" s="734"/>
      <c r="BN317" s="734"/>
      <c r="BO317" s="734"/>
      <c r="BP317" s="734"/>
      <c r="BQ317" s="734"/>
      <c r="BR317" s="734"/>
      <c r="BS317" s="734"/>
      <c r="BT317" s="734"/>
      <c r="BU317" s="734"/>
      <c r="BV317" s="734"/>
      <c r="BW317" s="734"/>
      <c r="BX317" s="734"/>
      <c r="BY317" s="734"/>
      <c r="BZ317" s="734"/>
      <c r="CA317" s="734"/>
      <c r="CB317" s="734"/>
      <c r="CC317" s="734"/>
      <c r="CD317" s="734"/>
      <c r="CE317" s="734"/>
      <c r="CF317" s="734"/>
      <c r="CG317" s="734"/>
      <c r="CH317" s="734"/>
      <c r="CI317" s="734"/>
      <c r="CJ317" s="734"/>
      <c r="CK317" s="734"/>
      <c r="CL317" s="734"/>
      <c r="CM317" s="734"/>
      <c r="CN317" s="734"/>
      <c r="CO317" s="734"/>
    </row>
    <row r="318" spans="1:93" s="920" customFormat="1">
      <c r="A318" s="673"/>
      <c r="B318" s="673"/>
      <c r="C318" s="736"/>
      <c r="D318" s="736"/>
      <c r="E318" s="661" t="str">
        <f t="shared" si="103"/>
        <v/>
      </c>
      <c r="F318" s="736"/>
      <c r="G318" s="736"/>
      <c r="H318" s="736"/>
      <c r="I318" s="736"/>
      <c r="J318" s="736"/>
      <c r="K318" s="736"/>
      <c r="L318" s="736"/>
      <c r="M318" s="736"/>
      <c r="N318" s="736"/>
      <c r="O318" s="736"/>
      <c r="P318" s="736"/>
      <c r="Q318" s="736"/>
      <c r="R318" s="736"/>
      <c r="S318" s="736"/>
      <c r="T318" s="736"/>
      <c r="U318" s="736"/>
      <c r="V318" s="736"/>
      <c r="W318" s="736"/>
      <c r="X318" s="736"/>
      <c r="Y318" s="736"/>
      <c r="Z318" s="736"/>
      <c r="AA318" s="736"/>
      <c r="AB318" s="736"/>
      <c r="AC318" s="736"/>
      <c r="AD318" s="734"/>
      <c r="AE318" s="734"/>
      <c r="AF318" s="734"/>
      <c r="AG318" s="734"/>
      <c r="AH318" s="734"/>
      <c r="AI318" s="734"/>
      <c r="AJ318" s="734"/>
      <c r="AK318" s="734"/>
      <c r="AL318" s="736"/>
      <c r="AM318" s="736"/>
      <c r="AN318" s="736"/>
      <c r="AO318" s="736"/>
      <c r="AP318" s="736"/>
      <c r="AQ318" s="736"/>
      <c r="AR318" s="736"/>
      <c r="AS318" s="736"/>
      <c r="AT318" s="736"/>
      <c r="AU318" s="736"/>
      <c r="AV318" s="736"/>
      <c r="AW318" s="736"/>
      <c r="AX318" s="736"/>
      <c r="AY318" s="736"/>
      <c r="AZ318" s="806"/>
      <c r="BA318" s="734"/>
      <c r="BB318" s="734"/>
      <c r="BC318" s="734"/>
      <c r="BD318" s="734"/>
      <c r="BE318" s="734"/>
      <c r="BF318" s="734"/>
      <c r="BG318" s="734"/>
      <c r="BH318" s="734"/>
      <c r="BI318" s="734"/>
      <c r="BJ318" s="734"/>
      <c r="BK318" s="734"/>
      <c r="BL318" s="734"/>
      <c r="BM318" s="734"/>
      <c r="BN318" s="734"/>
      <c r="BO318" s="734"/>
      <c r="BP318" s="734"/>
      <c r="BQ318" s="734"/>
      <c r="BR318" s="734"/>
      <c r="BS318" s="734"/>
      <c r="BT318" s="734"/>
      <c r="BU318" s="734"/>
      <c r="BV318" s="734"/>
      <c r="BW318" s="734"/>
      <c r="BX318" s="734"/>
      <c r="BY318" s="734"/>
      <c r="BZ318" s="734"/>
      <c r="CA318" s="734"/>
      <c r="CB318" s="734"/>
      <c r="CC318" s="734"/>
      <c r="CD318" s="734"/>
      <c r="CE318" s="734"/>
      <c r="CF318" s="734"/>
      <c r="CG318" s="734"/>
      <c r="CH318" s="734"/>
      <c r="CI318" s="734"/>
      <c r="CJ318" s="734"/>
      <c r="CK318" s="734"/>
      <c r="CL318" s="734"/>
      <c r="CM318" s="734"/>
      <c r="CN318" s="734"/>
      <c r="CO318" s="734"/>
    </row>
    <row r="319" spans="1:93" s="920" customFormat="1">
      <c r="A319" s="673"/>
      <c r="B319" s="673"/>
      <c r="C319" s="736"/>
      <c r="D319" s="736"/>
      <c r="E319" s="661" t="str">
        <f t="shared" si="103"/>
        <v/>
      </c>
      <c r="F319" s="736"/>
      <c r="G319" s="736"/>
      <c r="H319" s="736"/>
      <c r="I319" s="736"/>
      <c r="J319" s="736"/>
      <c r="K319" s="736"/>
      <c r="L319" s="736"/>
      <c r="M319" s="736"/>
      <c r="N319" s="736"/>
      <c r="O319" s="736"/>
      <c r="P319" s="736"/>
      <c r="Q319" s="736"/>
      <c r="R319" s="736"/>
      <c r="S319" s="736"/>
      <c r="T319" s="736"/>
      <c r="U319" s="736"/>
      <c r="V319" s="736"/>
      <c r="W319" s="736"/>
      <c r="X319" s="736"/>
      <c r="Y319" s="736"/>
      <c r="Z319" s="736"/>
      <c r="AA319" s="736"/>
      <c r="AB319" s="736"/>
      <c r="AC319" s="736"/>
      <c r="AD319" s="734"/>
      <c r="AE319" s="734"/>
      <c r="AF319" s="734"/>
      <c r="AG319" s="734"/>
      <c r="AH319" s="734"/>
      <c r="AI319" s="734"/>
      <c r="AJ319" s="734"/>
      <c r="AK319" s="734"/>
      <c r="AL319" s="736"/>
      <c r="AM319" s="736"/>
      <c r="AN319" s="736"/>
      <c r="AO319" s="736"/>
      <c r="AP319" s="736"/>
      <c r="AQ319" s="736"/>
      <c r="AR319" s="736"/>
      <c r="AS319" s="736"/>
      <c r="AT319" s="736"/>
      <c r="AU319" s="736"/>
      <c r="AV319" s="736"/>
      <c r="AW319" s="736"/>
      <c r="AX319" s="736"/>
      <c r="AY319" s="736"/>
      <c r="AZ319" s="806"/>
      <c r="BA319" s="734"/>
      <c r="BB319" s="734"/>
      <c r="BC319" s="734"/>
      <c r="BD319" s="734"/>
      <c r="BE319" s="734"/>
      <c r="BF319" s="734"/>
      <c r="BG319" s="734"/>
      <c r="BH319" s="734"/>
      <c r="BI319" s="734"/>
      <c r="BJ319" s="734"/>
      <c r="BK319" s="734"/>
      <c r="BL319" s="734"/>
      <c r="BM319" s="734"/>
      <c r="BN319" s="734"/>
      <c r="BO319" s="734"/>
      <c r="BP319" s="734"/>
      <c r="BQ319" s="734"/>
      <c r="BR319" s="734"/>
      <c r="BS319" s="734"/>
      <c r="BT319" s="734"/>
      <c r="BU319" s="734"/>
      <c r="BV319" s="734"/>
      <c r="BW319" s="734"/>
      <c r="BX319" s="734"/>
      <c r="BY319" s="734"/>
      <c r="BZ319" s="734"/>
      <c r="CA319" s="734"/>
      <c r="CB319" s="734"/>
      <c r="CC319" s="734"/>
      <c r="CD319" s="734"/>
      <c r="CE319" s="734"/>
      <c r="CF319" s="734"/>
      <c r="CG319" s="734"/>
      <c r="CH319" s="734"/>
      <c r="CI319" s="734"/>
      <c r="CJ319" s="734"/>
      <c r="CK319" s="734"/>
      <c r="CL319" s="734"/>
      <c r="CM319" s="734"/>
      <c r="CN319" s="734"/>
      <c r="CO319" s="734"/>
    </row>
    <row r="320" spans="1:93" s="920" customFormat="1">
      <c r="A320" s="673"/>
      <c r="B320" s="673"/>
      <c r="C320" s="736"/>
      <c r="D320" s="736"/>
      <c r="E320" s="736"/>
      <c r="F320" s="736"/>
      <c r="G320" s="736"/>
      <c r="H320" s="736"/>
      <c r="I320" s="736"/>
      <c r="J320" s="736"/>
      <c r="K320" s="736"/>
      <c r="L320" s="736"/>
      <c r="M320" s="736"/>
      <c r="N320" s="736"/>
      <c r="O320" s="736"/>
      <c r="P320" s="736"/>
      <c r="Q320" s="736"/>
      <c r="R320" s="736"/>
      <c r="S320" s="736"/>
      <c r="T320" s="736"/>
      <c r="U320" s="736"/>
      <c r="V320" s="736"/>
      <c r="W320" s="736"/>
      <c r="X320" s="736"/>
      <c r="Y320" s="736"/>
      <c r="Z320" s="736"/>
      <c r="AA320" s="736"/>
      <c r="AB320" s="736"/>
      <c r="AC320" s="736"/>
      <c r="AD320" s="734"/>
      <c r="AE320" s="734"/>
      <c r="AF320" s="734"/>
      <c r="AG320" s="734"/>
      <c r="AH320" s="734"/>
      <c r="AI320" s="734"/>
      <c r="AJ320" s="734"/>
      <c r="AK320" s="734"/>
      <c r="AL320" s="736"/>
      <c r="AM320" s="736"/>
      <c r="AN320" s="736"/>
      <c r="AO320" s="736"/>
      <c r="AP320" s="736"/>
      <c r="AQ320" s="736"/>
      <c r="AR320" s="736"/>
      <c r="AS320" s="736"/>
      <c r="AT320" s="736"/>
      <c r="AU320" s="736"/>
      <c r="AV320" s="736"/>
      <c r="AW320" s="736"/>
      <c r="AX320" s="736"/>
      <c r="AY320" s="736"/>
      <c r="AZ320" s="806"/>
      <c r="BA320" s="734"/>
      <c r="BB320" s="734"/>
      <c r="BC320" s="734"/>
      <c r="BD320" s="734"/>
      <c r="BE320" s="734"/>
      <c r="BF320" s="734"/>
      <c r="BG320" s="734"/>
      <c r="BH320" s="734"/>
      <c r="BI320" s="734"/>
      <c r="BJ320" s="734"/>
      <c r="BK320" s="734"/>
      <c r="BL320" s="734"/>
      <c r="BM320" s="734"/>
      <c r="BN320" s="734"/>
      <c r="BO320" s="734"/>
      <c r="BP320" s="734"/>
      <c r="BQ320" s="734"/>
      <c r="BR320" s="734"/>
      <c r="BS320" s="734"/>
      <c r="BT320" s="734"/>
      <c r="BU320" s="734"/>
      <c r="BV320" s="734"/>
      <c r="BW320" s="734"/>
      <c r="BX320" s="734"/>
      <c r="BY320" s="734"/>
      <c r="BZ320" s="734"/>
      <c r="CA320" s="734"/>
      <c r="CB320" s="734"/>
      <c r="CC320" s="734"/>
      <c r="CD320" s="734"/>
      <c r="CE320" s="734"/>
      <c r="CF320" s="734"/>
      <c r="CG320" s="734"/>
      <c r="CH320" s="734"/>
      <c r="CI320" s="734"/>
      <c r="CJ320" s="734"/>
      <c r="CK320" s="734"/>
      <c r="CL320" s="734"/>
      <c r="CM320" s="734"/>
      <c r="CN320" s="734"/>
      <c r="CO320" s="734"/>
    </row>
    <row r="321" spans="1:93" s="920" customFormat="1">
      <c r="A321" s="673"/>
      <c r="B321" s="673"/>
      <c r="C321" s="736"/>
      <c r="D321" s="736"/>
      <c r="E321" s="736"/>
      <c r="F321" s="736"/>
      <c r="G321" s="736"/>
      <c r="H321" s="736"/>
      <c r="I321" s="736"/>
      <c r="J321" s="736"/>
      <c r="K321" s="736"/>
      <c r="L321" s="736"/>
      <c r="M321" s="736"/>
      <c r="N321" s="736"/>
      <c r="O321" s="736"/>
      <c r="P321" s="736"/>
      <c r="Q321" s="736"/>
      <c r="R321" s="736"/>
      <c r="S321" s="736"/>
      <c r="T321" s="736"/>
      <c r="U321" s="736"/>
      <c r="V321" s="736"/>
      <c r="W321" s="736"/>
      <c r="X321" s="736"/>
      <c r="Y321" s="736"/>
      <c r="Z321" s="736"/>
      <c r="AA321" s="736"/>
      <c r="AB321" s="736"/>
      <c r="AC321" s="736"/>
      <c r="AD321" s="734"/>
      <c r="AE321" s="734"/>
      <c r="AF321" s="734"/>
      <c r="AG321" s="734"/>
      <c r="AH321" s="734"/>
      <c r="AI321" s="734"/>
      <c r="AJ321" s="734"/>
      <c r="AK321" s="734"/>
      <c r="AL321" s="736"/>
      <c r="AM321" s="736"/>
      <c r="AN321" s="736"/>
      <c r="AO321" s="736"/>
      <c r="AP321" s="736"/>
      <c r="AQ321" s="736"/>
      <c r="AR321" s="736"/>
      <c r="AS321" s="736"/>
      <c r="AT321" s="736"/>
      <c r="AU321" s="736"/>
      <c r="AV321" s="736"/>
      <c r="AW321" s="736"/>
      <c r="AX321" s="736"/>
      <c r="AY321" s="736"/>
      <c r="AZ321" s="806"/>
      <c r="BA321" s="734"/>
      <c r="BB321" s="734"/>
      <c r="BC321" s="734"/>
      <c r="BD321" s="734"/>
      <c r="BE321" s="734"/>
      <c r="BF321" s="734"/>
      <c r="BG321" s="734"/>
      <c r="BH321" s="734"/>
      <c r="BI321" s="734"/>
      <c r="BJ321" s="734"/>
      <c r="BK321" s="734"/>
      <c r="BL321" s="734"/>
      <c r="BM321" s="734"/>
      <c r="BN321" s="734"/>
      <c r="BO321" s="734"/>
      <c r="BP321" s="734"/>
      <c r="BQ321" s="734"/>
      <c r="BR321" s="734"/>
      <c r="BS321" s="734"/>
      <c r="BT321" s="734"/>
      <c r="BU321" s="734"/>
      <c r="BV321" s="734"/>
      <c r="BW321" s="734"/>
      <c r="BX321" s="734"/>
      <c r="BY321" s="734"/>
      <c r="BZ321" s="734"/>
      <c r="CA321" s="734"/>
      <c r="CB321" s="734"/>
      <c r="CC321" s="734"/>
      <c r="CD321" s="734"/>
      <c r="CE321" s="734"/>
      <c r="CF321" s="734"/>
      <c r="CG321" s="734"/>
      <c r="CH321" s="734"/>
      <c r="CI321" s="734"/>
      <c r="CJ321" s="734"/>
      <c r="CK321" s="734"/>
      <c r="CL321" s="734"/>
      <c r="CM321" s="734"/>
      <c r="CN321" s="734"/>
      <c r="CO321" s="734"/>
    </row>
    <row r="322" spans="1:93" s="920" customFormat="1">
      <c r="A322" s="673"/>
      <c r="B322" s="673"/>
      <c r="C322" s="736"/>
      <c r="D322" s="736"/>
      <c r="E322" s="736"/>
      <c r="F322" s="736"/>
      <c r="G322" s="736"/>
      <c r="H322" s="736"/>
      <c r="I322" s="736"/>
      <c r="J322" s="736"/>
      <c r="K322" s="736"/>
      <c r="L322" s="736"/>
      <c r="M322" s="736"/>
      <c r="N322" s="736"/>
      <c r="O322" s="736"/>
      <c r="P322" s="736"/>
      <c r="Q322" s="736"/>
      <c r="R322" s="736"/>
      <c r="S322" s="736"/>
      <c r="T322" s="736"/>
      <c r="U322" s="736"/>
      <c r="V322" s="736"/>
      <c r="W322" s="736"/>
      <c r="X322" s="736"/>
      <c r="Y322" s="736"/>
      <c r="Z322" s="736"/>
      <c r="AA322" s="736"/>
      <c r="AB322" s="736"/>
      <c r="AC322" s="736"/>
      <c r="AD322" s="734"/>
      <c r="AE322" s="734"/>
      <c r="AF322" s="734"/>
      <c r="AG322" s="734"/>
      <c r="AH322" s="734"/>
      <c r="AI322" s="734"/>
      <c r="AJ322" s="734"/>
      <c r="AK322" s="734"/>
      <c r="AL322" s="736"/>
      <c r="AM322" s="736"/>
      <c r="AN322" s="736"/>
      <c r="AO322" s="736"/>
      <c r="AP322" s="736"/>
      <c r="AQ322" s="736"/>
      <c r="AR322" s="736"/>
      <c r="AS322" s="736"/>
      <c r="AT322" s="736"/>
      <c r="AU322" s="736"/>
      <c r="AV322" s="736"/>
      <c r="AW322" s="736"/>
      <c r="AX322" s="736"/>
      <c r="AY322" s="736"/>
      <c r="AZ322" s="806"/>
      <c r="BA322" s="734"/>
      <c r="BB322" s="734"/>
      <c r="BC322" s="734"/>
      <c r="BD322" s="734"/>
      <c r="BE322" s="734"/>
      <c r="BF322" s="734"/>
      <c r="BG322" s="734"/>
      <c r="BH322" s="734"/>
      <c r="BI322" s="734"/>
      <c r="BJ322" s="734"/>
      <c r="BK322" s="734"/>
      <c r="BL322" s="734"/>
      <c r="BM322" s="734"/>
      <c r="BN322" s="734"/>
      <c r="BO322" s="734"/>
      <c r="BP322" s="734"/>
      <c r="BQ322" s="734"/>
      <c r="BR322" s="734"/>
      <c r="BS322" s="734"/>
      <c r="BT322" s="734"/>
      <c r="BU322" s="734"/>
      <c r="BV322" s="734"/>
      <c r="BW322" s="734"/>
      <c r="BX322" s="734"/>
      <c r="BY322" s="734"/>
      <c r="BZ322" s="734"/>
      <c r="CA322" s="734"/>
      <c r="CB322" s="734"/>
      <c r="CC322" s="734"/>
      <c r="CD322" s="734"/>
      <c r="CE322" s="734"/>
      <c r="CF322" s="734"/>
      <c r="CG322" s="734"/>
      <c r="CH322" s="734"/>
      <c r="CI322" s="734"/>
      <c r="CJ322" s="734"/>
      <c r="CK322" s="734"/>
      <c r="CL322" s="734"/>
      <c r="CM322" s="734"/>
      <c r="CN322" s="734"/>
      <c r="CO322" s="734"/>
    </row>
    <row r="323" spans="1:93" s="920" customFormat="1">
      <c r="A323" s="673"/>
      <c r="B323" s="673"/>
      <c r="C323" s="736"/>
      <c r="D323" s="736"/>
      <c r="E323" s="736"/>
      <c r="F323" s="736"/>
      <c r="G323" s="736"/>
      <c r="H323" s="736"/>
      <c r="I323" s="736"/>
      <c r="J323" s="736"/>
      <c r="K323" s="736"/>
      <c r="L323" s="736"/>
      <c r="M323" s="736"/>
      <c r="N323" s="736"/>
      <c r="O323" s="736"/>
      <c r="P323" s="736"/>
      <c r="Q323" s="736"/>
      <c r="R323" s="736"/>
      <c r="S323" s="736"/>
      <c r="T323" s="736"/>
      <c r="U323" s="736"/>
      <c r="V323" s="736"/>
      <c r="W323" s="736"/>
      <c r="X323" s="736"/>
      <c r="Y323" s="736"/>
      <c r="Z323" s="736"/>
      <c r="AA323" s="736"/>
      <c r="AB323" s="736"/>
      <c r="AC323" s="736"/>
      <c r="AD323" s="734"/>
      <c r="AE323" s="734"/>
      <c r="AF323" s="734"/>
      <c r="AG323" s="734"/>
      <c r="AH323" s="734"/>
      <c r="AI323" s="734"/>
      <c r="AJ323" s="734"/>
      <c r="AK323" s="734"/>
      <c r="AL323" s="736"/>
      <c r="AM323" s="736"/>
      <c r="AN323" s="736"/>
      <c r="AO323" s="736"/>
      <c r="AP323" s="736"/>
      <c r="AQ323" s="736"/>
      <c r="AR323" s="736"/>
      <c r="AS323" s="736"/>
      <c r="AT323" s="736"/>
      <c r="AU323" s="736"/>
      <c r="AV323" s="736"/>
      <c r="AW323" s="736"/>
      <c r="AX323" s="736"/>
      <c r="AY323" s="736"/>
      <c r="AZ323" s="806"/>
      <c r="BA323" s="734"/>
      <c r="BB323" s="734"/>
      <c r="BC323" s="734"/>
      <c r="BD323" s="734"/>
      <c r="BE323" s="734"/>
      <c r="BF323" s="734"/>
      <c r="BG323" s="734"/>
      <c r="BH323" s="734"/>
      <c r="BI323" s="734"/>
      <c r="BJ323" s="734"/>
      <c r="BK323" s="734"/>
      <c r="BL323" s="734"/>
      <c r="BM323" s="734"/>
      <c r="BN323" s="734"/>
      <c r="BO323" s="734"/>
      <c r="BP323" s="734"/>
      <c r="BQ323" s="734"/>
      <c r="BR323" s="734"/>
      <c r="BS323" s="734"/>
      <c r="BT323" s="734"/>
      <c r="BU323" s="734"/>
      <c r="BV323" s="734"/>
      <c r="BW323" s="734"/>
      <c r="BX323" s="734"/>
      <c r="BY323" s="734"/>
      <c r="BZ323" s="734"/>
      <c r="CA323" s="734"/>
      <c r="CB323" s="734"/>
      <c r="CC323" s="734"/>
      <c r="CD323" s="734"/>
      <c r="CE323" s="734"/>
      <c r="CF323" s="734"/>
      <c r="CG323" s="734"/>
      <c r="CH323" s="734"/>
      <c r="CI323" s="734"/>
      <c r="CJ323" s="734"/>
      <c r="CK323" s="734"/>
      <c r="CL323" s="734"/>
      <c r="CM323" s="734"/>
      <c r="CN323" s="734"/>
      <c r="CO323" s="734"/>
    </row>
    <row r="324" spans="1:93" s="920" customFormat="1">
      <c r="A324" s="673"/>
      <c r="B324" s="673"/>
      <c r="C324" s="736"/>
      <c r="D324" s="736"/>
      <c r="E324" s="736"/>
      <c r="F324" s="736"/>
      <c r="G324" s="736"/>
      <c r="H324" s="736"/>
      <c r="I324" s="736"/>
      <c r="J324" s="736"/>
      <c r="K324" s="736"/>
      <c r="L324" s="736"/>
      <c r="M324" s="736"/>
      <c r="N324" s="736"/>
      <c r="O324" s="736"/>
      <c r="P324" s="736"/>
      <c r="Q324" s="736"/>
      <c r="R324" s="736"/>
      <c r="S324" s="736"/>
      <c r="T324" s="736"/>
      <c r="U324" s="736"/>
      <c r="V324" s="736"/>
      <c r="W324" s="736"/>
      <c r="X324" s="736"/>
      <c r="Y324" s="736"/>
      <c r="Z324" s="736"/>
      <c r="AA324" s="736"/>
      <c r="AB324" s="736"/>
      <c r="AC324" s="736"/>
      <c r="AD324" s="734"/>
      <c r="AE324" s="734"/>
      <c r="AF324" s="734"/>
      <c r="AG324" s="734"/>
      <c r="AH324" s="734"/>
      <c r="AI324" s="734"/>
      <c r="AJ324" s="734"/>
      <c r="AK324" s="734"/>
      <c r="AL324" s="736"/>
      <c r="AM324" s="736"/>
      <c r="AN324" s="736"/>
      <c r="AO324" s="736"/>
      <c r="AP324" s="736"/>
      <c r="AQ324" s="736"/>
      <c r="AR324" s="736"/>
      <c r="AS324" s="736"/>
      <c r="AT324" s="736"/>
      <c r="AU324" s="736"/>
      <c r="AV324" s="736"/>
      <c r="AW324" s="736"/>
      <c r="AX324" s="736"/>
      <c r="AY324" s="736"/>
      <c r="AZ324" s="806"/>
      <c r="BA324" s="734"/>
      <c r="BB324" s="734"/>
      <c r="BC324" s="734"/>
      <c r="BD324" s="734"/>
      <c r="BE324" s="734"/>
      <c r="BF324" s="734"/>
      <c r="BG324" s="734"/>
      <c r="BH324" s="734"/>
      <c r="BI324" s="734"/>
      <c r="BJ324" s="734"/>
      <c r="BK324" s="734"/>
      <c r="BL324" s="734"/>
      <c r="BM324" s="734"/>
      <c r="BN324" s="734"/>
      <c r="BO324" s="734"/>
      <c r="BP324" s="734"/>
      <c r="BQ324" s="734"/>
      <c r="BR324" s="734"/>
      <c r="BS324" s="734"/>
      <c r="BT324" s="734"/>
      <c r="BU324" s="734"/>
      <c r="BV324" s="734"/>
      <c r="BW324" s="734"/>
      <c r="BX324" s="734"/>
      <c r="BY324" s="734"/>
      <c r="BZ324" s="734"/>
      <c r="CA324" s="734"/>
      <c r="CB324" s="734"/>
      <c r="CC324" s="734"/>
      <c r="CD324" s="734"/>
      <c r="CE324" s="734"/>
      <c r="CF324" s="734"/>
      <c r="CG324" s="734"/>
      <c r="CH324" s="734"/>
      <c r="CI324" s="734"/>
      <c r="CJ324" s="734"/>
      <c r="CK324" s="734"/>
      <c r="CL324" s="734"/>
      <c r="CM324" s="734"/>
      <c r="CN324" s="734"/>
      <c r="CO324" s="734"/>
    </row>
    <row r="325" spans="1:93" s="920" customFormat="1">
      <c r="A325" s="673"/>
      <c r="B325" s="673"/>
      <c r="C325" s="736"/>
      <c r="D325" s="736"/>
      <c r="E325" s="736"/>
      <c r="F325" s="736"/>
      <c r="G325" s="736"/>
      <c r="H325" s="736"/>
      <c r="I325" s="736"/>
      <c r="J325" s="736"/>
      <c r="K325" s="736"/>
      <c r="L325" s="736"/>
      <c r="M325" s="736"/>
      <c r="N325" s="736"/>
      <c r="O325" s="736"/>
      <c r="P325" s="736"/>
      <c r="Q325" s="736"/>
      <c r="R325" s="736"/>
      <c r="S325" s="736"/>
      <c r="T325" s="736"/>
      <c r="U325" s="736"/>
      <c r="V325" s="736"/>
      <c r="W325" s="736"/>
      <c r="X325" s="736"/>
      <c r="Y325" s="736"/>
      <c r="Z325" s="736"/>
      <c r="AA325" s="736"/>
      <c r="AB325" s="736"/>
      <c r="AC325" s="736"/>
      <c r="AD325" s="734"/>
      <c r="AE325" s="734"/>
      <c r="AF325" s="734"/>
      <c r="AG325" s="734"/>
      <c r="AH325" s="734"/>
      <c r="AI325" s="734"/>
      <c r="AJ325" s="734"/>
      <c r="AK325" s="734"/>
      <c r="AL325" s="736"/>
      <c r="AM325" s="736"/>
      <c r="AN325" s="736"/>
      <c r="AO325" s="736"/>
      <c r="AP325" s="736"/>
      <c r="AQ325" s="736"/>
      <c r="AR325" s="736"/>
      <c r="AS325" s="736"/>
      <c r="AT325" s="736"/>
      <c r="AU325" s="736"/>
      <c r="AV325" s="736"/>
      <c r="AW325" s="736"/>
      <c r="AX325" s="736"/>
      <c r="AY325" s="736"/>
      <c r="AZ325" s="806"/>
      <c r="BA325" s="734"/>
      <c r="BB325" s="734"/>
      <c r="BC325" s="734"/>
      <c r="BD325" s="734"/>
      <c r="BE325" s="734"/>
      <c r="BF325" s="734"/>
      <c r="BG325" s="734"/>
      <c r="BH325" s="734"/>
      <c r="BI325" s="734"/>
      <c r="BJ325" s="734"/>
      <c r="BK325" s="734"/>
      <c r="BL325" s="734"/>
      <c r="BM325" s="734"/>
      <c r="BN325" s="734"/>
      <c r="BO325" s="734"/>
      <c r="BP325" s="734"/>
      <c r="BQ325" s="734"/>
      <c r="BR325" s="734"/>
      <c r="BS325" s="734"/>
      <c r="BT325" s="734"/>
      <c r="BU325" s="734"/>
      <c r="BV325" s="734"/>
      <c r="BW325" s="734"/>
      <c r="BX325" s="734"/>
      <c r="BY325" s="734"/>
      <c r="BZ325" s="734"/>
      <c r="CA325" s="734"/>
      <c r="CB325" s="734"/>
      <c r="CC325" s="734"/>
      <c r="CD325" s="734"/>
      <c r="CE325" s="734"/>
      <c r="CF325" s="734"/>
      <c r="CG325" s="734"/>
      <c r="CH325" s="734"/>
      <c r="CI325" s="734"/>
      <c r="CJ325" s="734"/>
      <c r="CK325" s="734"/>
      <c r="CL325" s="734"/>
      <c r="CM325" s="734"/>
      <c r="CN325" s="734"/>
      <c r="CO325" s="734"/>
    </row>
    <row r="326" spans="1:93" s="920" customFormat="1">
      <c r="A326" s="673"/>
      <c r="B326" s="673"/>
      <c r="C326" s="736"/>
      <c r="D326" s="736"/>
      <c r="E326" s="736"/>
      <c r="F326" s="736"/>
      <c r="G326" s="736"/>
      <c r="H326" s="736"/>
      <c r="I326" s="736"/>
      <c r="J326" s="736"/>
      <c r="K326" s="736"/>
      <c r="L326" s="736"/>
      <c r="M326" s="736"/>
      <c r="N326" s="736"/>
      <c r="O326" s="736"/>
      <c r="P326" s="736"/>
      <c r="Q326" s="736"/>
      <c r="R326" s="736"/>
      <c r="S326" s="736"/>
      <c r="T326" s="736"/>
      <c r="U326" s="736"/>
      <c r="V326" s="736"/>
      <c r="W326" s="736"/>
      <c r="X326" s="736"/>
      <c r="Y326" s="736"/>
      <c r="Z326" s="736"/>
      <c r="AA326" s="736"/>
      <c r="AB326" s="736"/>
      <c r="AC326" s="736"/>
      <c r="AD326" s="734"/>
      <c r="AE326" s="734"/>
      <c r="AF326" s="734"/>
      <c r="AG326" s="734"/>
      <c r="AH326" s="734"/>
      <c r="AI326" s="734"/>
      <c r="AJ326" s="734"/>
      <c r="AK326" s="734"/>
      <c r="AL326" s="736"/>
      <c r="AM326" s="736"/>
      <c r="AN326" s="736"/>
      <c r="AO326" s="736"/>
      <c r="AP326" s="736"/>
      <c r="AQ326" s="736"/>
      <c r="AR326" s="736"/>
      <c r="AS326" s="736"/>
      <c r="AT326" s="736"/>
      <c r="AU326" s="736"/>
      <c r="AV326" s="736"/>
      <c r="AW326" s="736"/>
      <c r="AX326" s="736"/>
      <c r="AY326" s="736"/>
      <c r="AZ326" s="806"/>
      <c r="BA326" s="734"/>
      <c r="BB326" s="734"/>
      <c r="BC326" s="734"/>
      <c r="BD326" s="734"/>
      <c r="BE326" s="734"/>
      <c r="BF326" s="734"/>
      <c r="BG326" s="734"/>
      <c r="BH326" s="734"/>
      <c r="BI326" s="734"/>
      <c r="BJ326" s="734"/>
      <c r="BK326" s="734"/>
      <c r="BL326" s="734"/>
      <c r="BM326" s="734"/>
      <c r="BN326" s="734"/>
      <c r="BO326" s="734"/>
      <c r="BP326" s="734"/>
      <c r="BQ326" s="734"/>
      <c r="BR326" s="734"/>
      <c r="BS326" s="734"/>
      <c r="BT326" s="734"/>
      <c r="BU326" s="734"/>
      <c r="BV326" s="734"/>
      <c r="BW326" s="734"/>
      <c r="BX326" s="734"/>
      <c r="BY326" s="734"/>
      <c r="BZ326" s="734"/>
      <c r="CA326" s="734"/>
      <c r="CB326" s="734"/>
      <c r="CC326" s="734"/>
      <c r="CD326" s="734"/>
      <c r="CE326" s="734"/>
      <c r="CF326" s="734"/>
      <c r="CG326" s="734"/>
      <c r="CH326" s="734"/>
      <c r="CI326" s="734"/>
      <c r="CJ326" s="734"/>
      <c r="CK326" s="734"/>
      <c r="CL326" s="734"/>
      <c r="CM326" s="734"/>
      <c r="CN326" s="734"/>
      <c r="CO326" s="734"/>
    </row>
    <row r="327" spans="1:93" s="920" customFormat="1">
      <c r="A327" s="673"/>
      <c r="B327" s="673"/>
      <c r="C327" s="736"/>
      <c r="D327" s="736"/>
      <c r="E327" s="736"/>
      <c r="F327" s="736"/>
      <c r="G327" s="736"/>
      <c r="H327" s="736"/>
      <c r="I327" s="736"/>
      <c r="J327" s="736"/>
      <c r="K327" s="736"/>
      <c r="L327" s="736"/>
      <c r="M327" s="736"/>
      <c r="N327" s="736"/>
      <c r="O327" s="736"/>
      <c r="P327" s="736"/>
      <c r="Q327" s="736"/>
      <c r="R327" s="736"/>
      <c r="S327" s="736"/>
      <c r="T327" s="736"/>
      <c r="U327" s="736"/>
      <c r="V327" s="736"/>
      <c r="W327" s="736"/>
      <c r="X327" s="736"/>
      <c r="Y327" s="736"/>
      <c r="Z327" s="736"/>
      <c r="AA327" s="736"/>
      <c r="AB327" s="736"/>
      <c r="AC327" s="736"/>
      <c r="AD327" s="734"/>
      <c r="AE327" s="734"/>
      <c r="AF327" s="734"/>
      <c r="AG327" s="734"/>
      <c r="AH327" s="734"/>
      <c r="AI327" s="734"/>
      <c r="AJ327" s="734"/>
      <c r="AK327" s="734"/>
      <c r="AL327" s="736"/>
      <c r="AM327" s="736"/>
      <c r="AN327" s="736"/>
      <c r="AO327" s="736"/>
      <c r="AP327" s="736"/>
      <c r="AQ327" s="736"/>
      <c r="AR327" s="736"/>
      <c r="AS327" s="736"/>
      <c r="AT327" s="736"/>
      <c r="AU327" s="736"/>
      <c r="AV327" s="736"/>
      <c r="AW327" s="736"/>
      <c r="AX327" s="736"/>
      <c r="AY327" s="736"/>
      <c r="AZ327" s="806"/>
      <c r="BA327" s="734"/>
      <c r="BB327" s="734"/>
      <c r="BC327" s="734"/>
      <c r="BD327" s="734"/>
      <c r="BE327" s="734"/>
      <c r="BF327" s="734"/>
      <c r="BG327" s="734"/>
      <c r="BH327" s="734"/>
      <c r="BI327" s="734"/>
      <c r="BJ327" s="734"/>
      <c r="BK327" s="734"/>
      <c r="BL327" s="734"/>
      <c r="BM327" s="734"/>
      <c r="BN327" s="734"/>
      <c r="BO327" s="734"/>
      <c r="BP327" s="734"/>
      <c r="BQ327" s="734"/>
      <c r="BR327" s="734"/>
      <c r="BS327" s="734"/>
      <c r="BT327" s="734"/>
      <c r="BU327" s="734"/>
      <c r="BV327" s="734"/>
      <c r="BW327" s="734"/>
      <c r="BX327" s="734"/>
      <c r="BY327" s="734"/>
      <c r="BZ327" s="734"/>
      <c r="CA327" s="734"/>
      <c r="CB327" s="734"/>
      <c r="CC327" s="734"/>
      <c r="CD327" s="734"/>
      <c r="CE327" s="734"/>
      <c r="CF327" s="734"/>
      <c r="CG327" s="734"/>
      <c r="CH327" s="734"/>
      <c r="CI327" s="734"/>
      <c r="CJ327" s="734"/>
      <c r="CK327" s="734"/>
      <c r="CL327" s="734"/>
      <c r="CM327" s="734"/>
      <c r="CN327" s="734"/>
      <c r="CO327" s="734"/>
    </row>
    <row r="328" spans="1:93" s="920" customFormat="1">
      <c r="A328" s="673"/>
      <c r="B328" s="673"/>
      <c r="C328" s="736"/>
      <c r="D328" s="736"/>
      <c r="E328" s="736"/>
      <c r="F328" s="736"/>
      <c r="G328" s="736"/>
      <c r="H328" s="736"/>
      <c r="I328" s="736"/>
      <c r="J328" s="736"/>
      <c r="K328" s="736"/>
      <c r="L328" s="736"/>
      <c r="M328" s="736"/>
      <c r="N328" s="736"/>
      <c r="O328" s="736"/>
      <c r="P328" s="736"/>
      <c r="Q328" s="736"/>
      <c r="R328" s="736"/>
      <c r="S328" s="736"/>
      <c r="T328" s="736"/>
      <c r="U328" s="736"/>
      <c r="V328" s="736"/>
      <c r="W328" s="736"/>
      <c r="X328" s="736"/>
      <c r="Y328" s="736"/>
      <c r="Z328" s="736"/>
      <c r="AA328" s="736"/>
      <c r="AB328" s="736"/>
      <c r="AC328" s="736"/>
      <c r="AD328" s="734"/>
      <c r="AE328" s="734"/>
      <c r="AF328" s="734"/>
      <c r="AG328" s="734"/>
      <c r="AH328" s="734"/>
      <c r="AI328" s="734"/>
      <c r="AJ328" s="734"/>
      <c r="AK328" s="734"/>
      <c r="AL328" s="736"/>
      <c r="AM328" s="736"/>
      <c r="AN328" s="736"/>
      <c r="AO328" s="736"/>
      <c r="AP328" s="736"/>
      <c r="AQ328" s="736"/>
      <c r="AR328" s="736"/>
      <c r="AS328" s="736"/>
      <c r="AT328" s="736"/>
      <c r="AU328" s="736"/>
      <c r="AV328" s="736"/>
      <c r="AW328" s="736"/>
      <c r="AX328" s="736"/>
      <c r="AY328" s="736"/>
      <c r="AZ328" s="806"/>
      <c r="BA328" s="734"/>
      <c r="BB328" s="734"/>
      <c r="BC328" s="734"/>
      <c r="BD328" s="734"/>
      <c r="BE328" s="734"/>
      <c r="BF328" s="734"/>
      <c r="BG328" s="734"/>
      <c r="BH328" s="734"/>
      <c r="BI328" s="734"/>
      <c r="BJ328" s="734"/>
      <c r="BK328" s="734"/>
      <c r="BL328" s="734"/>
      <c r="BM328" s="734"/>
      <c r="BN328" s="734"/>
      <c r="BO328" s="734"/>
      <c r="BP328" s="734"/>
      <c r="BQ328" s="734"/>
      <c r="BR328" s="734"/>
      <c r="BS328" s="734"/>
      <c r="BT328" s="734"/>
      <c r="BU328" s="734"/>
      <c r="BV328" s="734"/>
      <c r="BW328" s="734"/>
      <c r="BX328" s="734"/>
      <c r="BY328" s="734"/>
      <c r="BZ328" s="734"/>
      <c r="CA328" s="734"/>
      <c r="CB328" s="734"/>
      <c r="CC328" s="734"/>
      <c r="CD328" s="734"/>
      <c r="CE328" s="734"/>
      <c r="CF328" s="734"/>
      <c r="CG328" s="734"/>
      <c r="CH328" s="734"/>
      <c r="CI328" s="734"/>
      <c r="CJ328" s="734"/>
      <c r="CK328" s="734"/>
      <c r="CL328" s="734"/>
      <c r="CM328" s="734"/>
      <c r="CN328" s="734"/>
      <c r="CO328" s="734"/>
    </row>
    <row r="329" spans="1:93" s="920" customFormat="1">
      <c r="A329" s="673"/>
      <c r="B329" s="673"/>
      <c r="C329" s="736"/>
      <c r="D329" s="736"/>
      <c r="E329" s="736"/>
      <c r="F329" s="736"/>
      <c r="G329" s="736"/>
      <c r="H329" s="736"/>
      <c r="I329" s="736"/>
      <c r="J329" s="736"/>
      <c r="K329" s="736"/>
      <c r="L329" s="736"/>
      <c r="M329" s="736"/>
      <c r="N329" s="736"/>
      <c r="O329" s="736"/>
      <c r="P329" s="736"/>
      <c r="Q329" s="736"/>
      <c r="R329" s="736"/>
      <c r="S329" s="736"/>
      <c r="T329" s="736"/>
      <c r="U329" s="736"/>
      <c r="V329" s="736"/>
      <c r="W329" s="736"/>
      <c r="X329" s="736"/>
      <c r="Y329" s="736"/>
      <c r="Z329" s="736"/>
      <c r="AA329" s="736"/>
      <c r="AB329" s="736"/>
      <c r="AC329" s="736"/>
      <c r="AD329" s="734"/>
      <c r="AE329" s="734"/>
      <c r="AF329" s="734"/>
      <c r="AG329" s="734"/>
      <c r="AH329" s="734"/>
      <c r="AI329" s="734"/>
      <c r="AJ329" s="734"/>
      <c r="AK329" s="734"/>
      <c r="AL329" s="736"/>
      <c r="AM329" s="736"/>
      <c r="AN329" s="736"/>
      <c r="AO329" s="736"/>
      <c r="AP329" s="736"/>
      <c r="AQ329" s="736"/>
      <c r="AR329" s="736"/>
      <c r="AS329" s="736"/>
      <c r="AT329" s="736"/>
      <c r="AU329" s="736"/>
      <c r="AV329" s="736"/>
      <c r="AW329" s="736"/>
      <c r="AX329" s="736"/>
      <c r="AY329" s="736"/>
      <c r="AZ329" s="806"/>
      <c r="BA329" s="734"/>
      <c r="BB329" s="734"/>
      <c r="BC329" s="734"/>
      <c r="BD329" s="734"/>
      <c r="BE329" s="734"/>
      <c r="BF329" s="734"/>
      <c r="BG329" s="734"/>
      <c r="BH329" s="734"/>
      <c r="BI329" s="734"/>
      <c r="BJ329" s="734"/>
      <c r="BK329" s="734"/>
      <c r="BL329" s="734"/>
      <c r="BM329" s="734"/>
      <c r="BN329" s="734"/>
      <c r="BO329" s="734"/>
      <c r="BP329" s="734"/>
      <c r="BQ329" s="734"/>
      <c r="BR329" s="734"/>
      <c r="BS329" s="734"/>
      <c r="BT329" s="734"/>
      <c r="BU329" s="734"/>
      <c r="BV329" s="734"/>
      <c r="BW329" s="734"/>
      <c r="BX329" s="734"/>
      <c r="BY329" s="734"/>
      <c r="BZ329" s="734"/>
      <c r="CA329" s="734"/>
      <c r="CB329" s="734"/>
      <c r="CC329" s="734"/>
      <c r="CD329" s="734"/>
      <c r="CE329" s="734"/>
      <c r="CF329" s="734"/>
      <c r="CG329" s="734"/>
      <c r="CH329" s="734"/>
      <c r="CI329" s="734"/>
      <c r="CJ329" s="734"/>
      <c r="CK329" s="734"/>
      <c r="CL329" s="734"/>
      <c r="CM329" s="734"/>
      <c r="CN329" s="734"/>
      <c r="CO329" s="734"/>
    </row>
    <row r="330" spans="1:93" s="920" customFormat="1">
      <c r="A330" s="673"/>
      <c r="B330" s="673"/>
      <c r="C330" s="736"/>
      <c r="D330" s="736"/>
      <c r="E330" s="736"/>
      <c r="F330" s="736"/>
      <c r="G330" s="736"/>
      <c r="H330" s="736"/>
      <c r="I330" s="736"/>
      <c r="J330" s="736"/>
      <c r="K330" s="736"/>
      <c r="L330" s="736"/>
      <c r="M330" s="736"/>
      <c r="N330" s="736"/>
      <c r="O330" s="736"/>
      <c r="P330" s="736"/>
      <c r="Q330" s="736"/>
      <c r="R330" s="736"/>
      <c r="S330" s="736"/>
      <c r="T330" s="736"/>
      <c r="U330" s="736"/>
      <c r="V330" s="736"/>
      <c r="W330" s="736"/>
      <c r="X330" s="736"/>
      <c r="Y330" s="736"/>
      <c r="Z330" s="736"/>
      <c r="AA330" s="736"/>
      <c r="AB330" s="736"/>
      <c r="AC330" s="736"/>
      <c r="AD330" s="734"/>
      <c r="AE330" s="734"/>
      <c r="AF330" s="734"/>
      <c r="AG330" s="734"/>
      <c r="AH330" s="734"/>
      <c r="AI330" s="734"/>
      <c r="AJ330" s="734"/>
      <c r="AK330" s="734"/>
      <c r="AL330" s="736"/>
      <c r="AM330" s="736"/>
      <c r="AN330" s="736"/>
      <c r="AO330" s="736"/>
      <c r="AP330" s="736"/>
      <c r="AQ330" s="736"/>
      <c r="AR330" s="736"/>
      <c r="AS330" s="736"/>
      <c r="AT330" s="736"/>
      <c r="AU330" s="736"/>
      <c r="AV330" s="736"/>
      <c r="AW330" s="736"/>
      <c r="AX330" s="736"/>
      <c r="AY330" s="736"/>
      <c r="AZ330" s="806"/>
      <c r="BA330" s="734"/>
      <c r="BB330" s="734"/>
      <c r="BC330" s="734"/>
      <c r="BD330" s="734"/>
      <c r="BE330" s="734"/>
      <c r="BF330" s="734"/>
      <c r="BG330" s="734"/>
      <c r="BH330" s="734"/>
      <c r="BI330" s="734"/>
      <c r="BJ330" s="734"/>
      <c r="BK330" s="734"/>
      <c r="BL330" s="734"/>
      <c r="BM330" s="734"/>
      <c r="BN330" s="734"/>
      <c r="BO330" s="734"/>
      <c r="BP330" s="734"/>
      <c r="BQ330" s="734"/>
      <c r="BR330" s="734"/>
      <c r="BS330" s="734"/>
      <c r="BT330" s="734"/>
      <c r="BU330" s="734"/>
      <c r="BV330" s="734"/>
      <c r="BW330" s="734"/>
      <c r="BX330" s="734"/>
      <c r="BY330" s="734"/>
      <c r="BZ330" s="734"/>
      <c r="CA330" s="734"/>
      <c r="CB330" s="734"/>
      <c r="CC330" s="734"/>
      <c r="CD330" s="734"/>
      <c r="CE330" s="734"/>
      <c r="CF330" s="734"/>
      <c r="CG330" s="734"/>
      <c r="CH330" s="734"/>
      <c r="CI330" s="734"/>
      <c r="CJ330" s="734"/>
      <c r="CK330" s="734"/>
      <c r="CL330" s="734"/>
      <c r="CM330" s="734"/>
      <c r="CN330" s="734"/>
      <c r="CO330" s="734"/>
    </row>
    <row r="331" spans="1:93" s="920" customFormat="1">
      <c r="A331" s="673"/>
      <c r="B331" s="673"/>
      <c r="C331" s="736"/>
      <c r="D331" s="736"/>
      <c r="E331" s="736"/>
      <c r="F331" s="736"/>
      <c r="G331" s="736"/>
      <c r="H331" s="736"/>
      <c r="I331" s="736"/>
      <c r="J331" s="736"/>
      <c r="K331" s="736"/>
      <c r="L331" s="736"/>
      <c r="M331" s="736"/>
      <c r="N331" s="736"/>
      <c r="O331" s="736"/>
      <c r="P331" s="736"/>
      <c r="Q331" s="736"/>
      <c r="R331" s="736"/>
      <c r="S331" s="736"/>
      <c r="T331" s="736"/>
      <c r="U331" s="736"/>
      <c r="V331" s="736"/>
      <c r="W331" s="736"/>
      <c r="X331" s="736"/>
      <c r="Y331" s="736"/>
      <c r="Z331" s="736"/>
      <c r="AA331" s="736"/>
      <c r="AB331" s="736"/>
      <c r="AC331" s="736"/>
      <c r="AD331" s="734"/>
      <c r="AE331" s="734"/>
      <c r="AF331" s="734"/>
      <c r="AG331" s="734"/>
      <c r="AH331" s="734"/>
      <c r="AI331" s="734"/>
      <c r="AJ331" s="734"/>
      <c r="AK331" s="734"/>
      <c r="AL331" s="736"/>
      <c r="AM331" s="736"/>
      <c r="AN331" s="736"/>
      <c r="AO331" s="736"/>
      <c r="AP331" s="736"/>
      <c r="AQ331" s="736"/>
      <c r="AR331" s="736"/>
      <c r="AS331" s="736"/>
      <c r="AT331" s="736"/>
      <c r="AU331" s="736"/>
      <c r="AV331" s="736"/>
      <c r="AW331" s="736"/>
      <c r="AX331" s="736"/>
      <c r="AY331" s="736"/>
      <c r="AZ331" s="806"/>
      <c r="BA331" s="734"/>
      <c r="BB331" s="734"/>
      <c r="BC331" s="734"/>
      <c r="BD331" s="734"/>
      <c r="BE331" s="734"/>
      <c r="BF331" s="734"/>
      <c r="BG331" s="734"/>
      <c r="BH331" s="734"/>
      <c r="BI331" s="734"/>
      <c r="BJ331" s="734"/>
      <c r="BK331" s="734"/>
      <c r="BL331" s="734"/>
      <c r="BM331" s="734"/>
      <c r="BN331" s="734"/>
      <c r="BO331" s="734"/>
      <c r="BP331" s="734"/>
      <c r="BQ331" s="734"/>
      <c r="BR331" s="734"/>
      <c r="BS331" s="734"/>
      <c r="BT331" s="734"/>
      <c r="BU331" s="734"/>
      <c r="BV331" s="734"/>
      <c r="BW331" s="734"/>
      <c r="BX331" s="734"/>
      <c r="BY331" s="734"/>
      <c r="BZ331" s="734"/>
      <c r="CA331" s="734"/>
      <c r="CB331" s="734"/>
      <c r="CC331" s="734"/>
      <c r="CD331" s="734"/>
      <c r="CE331" s="734"/>
      <c r="CF331" s="734"/>
      <c r="CG331" s="734"/>
      <c r="CH331" s="734"/>
      <c r="CI331" s="734"/>
      <c r="CJ331" s="734"/>
      <c r="CK331" s="734"/>
      <c r="CL331" s="734"/>
      <c r="CM331" s="734"/>
      <c r="CN331" s="734"/>
      <c r="CO331" s="734"/>
    </row>
    <row r="332" spans="1:93" s="920" customFormat="1">
      <c r="A332" s="673"/>
      <c r="B332" s="673"/>
      <c r="C332" s="736"/>
      <c r="D332" s="736"/>
      <c r="E332" s="736"/>
      <c r="F332" s="736"/>
      <c r="G332" s="736"/>
      <c r="H332" s="736"/>
      <c r="I332" s="736"/>
      <c r="J332" s="736"/>
      <c r="K332" s="736"/>
      <c r="L332" s="736"/>
      <c r="M332" s="736"/>
      <c r="N332" s="736"/>
      <c r="O332" s="736"/>
      <c r="P332" s="736"/>
      <c r="Q332" s="736"/>
      <c r="R332" s="736"/>
      <c r="S332" s="736"/>
      <c r="T332" s="736"/>
      <c r="U332" s="736"/>
      <c r="V332" s="736"/>
      <c r="W332" s="736"/>
      <c r="X332" s="736"/>
      <c r="Y332" s="736"/>
      <c r="Z332" s="736"/>
      <c r="AA332" s="736"/>
      <c r="AB332" s="736"/>
      <c r="AC332" s="736"/>
      <c r="AD332" s="734"/>
      <c r="AE332" s="734"/>
      <c r="AF332" s="734"/>
      <c r="AG332" s="734"/>
      <c r="AH332" s="734"/>
      <c r="AI332" s="734"/>
      <c r="AJ332" s="734"/>
      <c r="AK332" s="734"/>
      <c r="AL332" s="736"/>
      <c r="AM332" s="736"/>
      <c r="AN332" s="736"/>
      <c r="AO332" s="736"/>
      <c r="AP332" s="736"/>
      <c r="AQ332" s="736"/>
      <c r="AR332" s="736"/>
      <c r="AS332" s="736"/>
      <c r="AT332" s="736"/>
      <c r="AU332" s="736"/>
      <c r="AV332" s="736"/>
      <c r="AW332" s="736"/>
      <c r="AX332" s="736"/>
      <c r="AY332" s="736"/>
      <c r="AZ332" s="806"/>
      <c r="BA332" s="734"/>
      <c r="BB332" s="734"/>
      <c r="BC332" s="734"/>
      <c r="BD332" s="734"/>
      <c r="BE332" s="734"/>
      <c r="BF332" s="734"/>
      <c r="BG332" s="734"/>
      <c r="BH332" s="734"/>
      <c r="BI332" s="734"/>
      <c r="BJ332" s="734"/>
      <c r="BK332" s="734"/>
      <c r="BL332" s="734"/>
      <c r="BM332" s="734"/>
      <c r="BN332" s="734"/>
      <c r="BO332" s="734"/>
      <c r="BP332" s="734"/>
      <c r="BQ332" s="734"/>
      <c r="BR332" s="734"/>
      <c r="BS332" s="734"/>
      <c r="BT332" s="734"/>
      <c r="BU332" s="734"/>
      <c r="BV332" s="734"/>
      <c r="BW332" s="734"/>
      <c r="BX332" s="734"/>
      <c r="BY332" s="734"/>
      <c r="BZ332" s="734"/>
      <c r="CA332" s="734"/>
      <c r="CB332" s="734"/>
      <c r="CC332" s="734"/>
      <c r="CD332" s="734"/>
      <c r="CE332" s="734"/>
      <c r="CF332" s="734"/>
      <c r="CG332" s="734"/>
      <c r="CH332" s="734"/>
      <c r="CI332" s="734"/>
      <c r="CJ332" s="734"/>
      <c r="CK332" s="734"/>
      <c r="CL332" s="734"/>
      <c r="CM332" s="734"/>
      <c r="CN332" s="734"/>
      <c r="CO332" s="734"/>
    </row>
    <row r="333" spans="1:93" s="920" customFormat="1">
      <c r="A333" s="673"/>
      <c r="B333" s="673"/>
      <c r="C333" s="736"/>
      <c r="D333" s="736"/>
      <c r="E333" s="736"/>
      <c r="F333" s="736"/>
      <c r="G333" s="736"/>
      <c r="H333" s="736"/>
      <c r="I333" s="736"/>
      <c r="J333" s="736"/>
      <c r="K333" s="736"/>
      <c r="L333" s="736"/>
      <c r="M333" s="736"/>
      <c r="N333" s="736"/>
      <c r="O333" s="736"/>
      <c r="P333" s="736"/>
      <c r="Q333" s="736"/>
      <c r="R333" s="736"/>
      <c r="S333" s="736"/>
      <c r="T333" s="736"/>
      <c r="U333" s="736"/>
      <c r="V333" s="736"/>
      <c r="W333" s="736"/>
      <c r="X333" s="736"/>
      <c r="Y333" s="736"/>
      <c r="Z333" s="736"/>
      <c r="AA333" s="736"/>
      <c r="AB333" s="736"/>
      <c r="AC333" s="736"/>
      <c r="AD333" s="734"/>
      <c r="AE333" s="734"/>
      <c r="AF333" s="734"/>
      <c r="AG333" s="734"/>
      <c r="AH333" s="734"/>
      <c r="AI333" s="734"/>
      <c r="AJ333" s="734"/>
      <c r="AK333" s="734"/>
      <c r="AL333" s="736"/>
      <c r="AM333" s="736"/>
      <c r="AN333" s="736"/>
      <c r="AO333" s="736"/>
      <c r="AP333" s="736"/>
      <c r="AQ333" s="736"/>
      <c r="AR333" s="736"/>
      <c r="AS333" s="736"/>
      <c r="AT333" s="736"/>
      <c r="AU333" s="736"/>
      <c r="AV333" s="736"/>
      <c r="AW333" s="736"/>
      <c r="AX333" s="736"/>
      <c r="AY333" s="736"/>
      <c r="AZ333" s="806"/>
      <c r="BA333" s="734"/>
      <c r="BB333" s="734"/>
      <c r="BC333" s="734"/>
      <c r="BD333" s="734"/>
      <c r="BE333" s="734"/>
      <c r="BF333" s="734"/>
      <c r="BG333" s="734"/>
      <c r="BH333" s="734"/>
      <c r="BI333" s="734"/>
      <c r="BJ333" s="734"/>
      <c r="BK333" s="734"/>
      <c r="BL333" s="734"/>
      <c r="BM333" s="734"/>
      <c r="BN333" s="734"/>
      <c r="BO333" s="734"/>
      <c r="BP333" s="734"/>
      <c r="BQ333" s="734"/>
      <c r="BR333" s="734"/>
      <c r="BS333" s="734"/>
      <c r="BT333" s="734"/>
      <c r="BU333" s="734"/>
      <c r="BV333" s="734"/>
      <c r="BW333" s="734"/>
      <c r="BX333" s="734"/>
      <c r="BY333" s="734"/>
      <c r="BZ333" s="734"/>
      <c r="CA333" s="734"/>
      <c r="CB333" s="734"/>
      <c r="CC333" s="734"/>
      <c r="CD333" s="734"/>
      <c r="CE333" s="734"/>
      <c r="CF333" s="734"/>
      <c r="CG333" s="734"/>
      <c r="CH333" s="734"/>
      <c r="CI333" s="734"/>
      <c r="CJ333" s="734"/>
      <c r="CK333" s="734"/>
      <c r="CL333" s="734"/>
      <c r="CM333" s="734"/>
      <c r="CN333" s="734"/>
      <c r="CO333" s="734"/>
    </row>
    <row r="334" spans="1:93" s="920" customFormat="1">
      <c r="A334" s="673"/>
      <c r="B334" s="673"/>
      <c r="C334" s="736"/>
      <c r="D334" s="736"/>
      <c r="E334" s="736"/>
      <c r="F334" s="736"/>
      <c r="G334" s="736"/>
      <c r="H334" s="736"/>
      <c r="I334" s="736"/>
      <c r="J334" s="736"/>
      <c r="K334" s="736"/>
      <c r="L334" s="736"/>
      <c r="M334" s="736"/>
      <c r="N334" s="736"/>
      <c r="O334" s="736"/>
      <c r="P334" s="736"/>
      <c r="Q334" s="736"/>
      <c r="R334" s="736"/>
      <c r="S334" s="736"/>
      <c r="T334" s="736"/>
      <c r="U334" s="736"/>
      <c r="V334" s="736"/>
      <c r="W334" s="736"/>
      <c r="X334" s="736"/>
      <c r="Y334" s="736"/>
      <c r="Z334" s="736"/>
      <c r="AA334" s="736"/>
      <c r="AB334" s="736"/>
      <c r="AC334" s="736"/>
      <c r="AD334" s="734"/>
      <c r="AE334" s="734"/>
      <c r="AF334" s="734"/>
      <c r="AG334" s="734"/>
      <c r="AH334" s="734"/>
      <c r="AI334" s="734"/>
      <c r="AJ334" s="734"/>
      <c r="AK334" s="734"/>
      <c r="AL334" s="736"/>
      <c r="AM334" s="736"/>
      <c r="AN334" s="736"/>
      <c r="AO334" s="736"/>
      <c r="AP334" s="736"/>
      <c r="AQ334" s="736"/>
      <c r="AR334" s="736"/>
      <c r="AS334" s="736"/>
      <c r="AT334" s="736"/>
      <c r="AU334" s="736"/>
      <c r="AV334" s="736"/>
      <c r="AW334" s="736"/>
      <c r="AX334" s="736"/>
      <c r="AY334" s="736"/>
      <c r="AZ334" s="806"/>
      <c r="BA334" s="734"/>
      <c r="BB334" s="734"/>
      <c r="BC334" s="734"/>
      <c r="BD334" s="734"/>
      <c r="BE334" s="734"/>
      <c r="BF334" s="734"/>
      <c r="BG334" s="734"/>
      <c r="BH334" s="734"/>
      <c r="BI334" s="734"/>
      <c r="BJ334" s="734"/>
      <c r="BK334" s="734"/>
      <c r="BL334" s="734"/>
      <c r="BM334" s="734"/>
      <c r="BN334" s="734"/>
      <c r="BO334" s="734"/>
      <c r="BP334" s="734"/>
      <c r="BQ334" s="734"/>
      <c r="BR334" s="734"/>
      <c r="BS334" s="734"/>
      <c r="BT334" s="734"/>
      <c r="BU334" s="734"/>
      <c r="BV334" s="734"/>
      <c r="BW334" s="734"/>
      <c r="BX334" s="734"/>
      <c r="BY334" s="734"/>
      <c r="BZ334" s="734"/>
      <c r="CA334" s="734"/>
      <c r="CB334" s="734"/>
      <c r="CC334" s="734"/>
      <c r="CD334" s="734"/>
      <c r="CE334" s="734"/>
      <c r="CF334" s="734"/>
      <c r="CG334" s="734"/>
      <c r="CH334" s="734"/>
      <c r="CI334" s="734"/>
      <c r="CJ334" s="734"/>
      <c r="CK334" s="734"/>
      <c r="CL334" s="734"/>
      <c r="CM334" s="734"/>
      <c r="CN334" s="734"/>
      <c r="CO334" s="734"/>
    </row>
    <row r="335" spans="1:93" s="920" customFormat="1">
      <c r="A335" s="673"/>
      <c r="B335" s="673"/>
      <c r="C335" s="736"/>
      <c r="D335" s="736"/>
      <c r="E335" s="736"/>
      <c r="F335" s="736"/>
      <c r="G335" s="736"/>
      <c r="H335" s="736"/>
      <c r="I335" s="736"/>
      <c r="J335" s="736"/>
      <c r="K335" s="736"/>
      <c r="L335" s="736"/>
      <c r="M335" s="736"/>
      <c r="N335" s="736"/>
      <c r="O335" s="736"/>
      <c r="P335" s="736"/>
      <c r="Q335" s="736"/>
      <c r="R335" s="736"/>
      <c r="S335" s="736"/>
      <c r="T335" s="736"/>
      <c r="U335" s="736"/>
      <c r="V335" s="736"/>
      <c r="W335" s="736"/>
      <c r="X335" s="736"/>
      <c r="Y335" s="736"/>
      <c r="Z335" s="736"/>
      <c r="AA335" s="736"/>
      <c r="AB335" s="736"/>
      <c r="AC335" s="736"/>
      <c r="AD335" s="734"/>
      <c r="AE335" s="734"/>
      <c r="AF335" s="734"/>
      <c r="AG335" s="734"/>
      <c r="AH335" s="734"/>
      <c r="AI335" s="734"/>
      <c r="AJ335" s="734"/>
      <c r="AK335" s="734"/>
      <c r="AL335" s="736"/>
      <c r="AM335" s="736"/>
      <c r="AN335" s="736"/>
      <c r="AO335" s="736"/>
      <c r="AP335" s="736"/>
      <c r="AQ335" s="736"/>
      <c r="AR335" s="736"/>
      <c r="AS335" s="736"/>
      <c r="AT335" s="736"/>
      <c r="AU335" s="736"/>
      <c r="AV335" s="736"/>
      <c r="AW335" s="736"/>
      <c r="AX335" s="736"/>
      <c r="AY335" s="736"/>
      <c r="AZ335" s="806"/>
      <c r="BA335" s="734"/>
      <c r="BB335" s="734"/>
      <c r="BC335" s="734"/>
      <c r="BD335" s="734"/>
      <c r="BE335" s="734"/>
      <c r="BF335" s="734"/>
      <c r="BG335" s="734"/>
      <c r="BH335" s="734"/>
      <c r="BI335" s="734"/>
      <c r="BJ335" s="734"/>
      <c r="BK335" s="734"/>
      <c r="BL335" s="734"/>
      <c r="BM335" s="734"/>
      <c r="BN335" s="734"/>
      <c r="BO335" s="734"/>
      <c r="BP335" s="734"/>
      <c r="BQ335" s="734"/>
      <c r="BR335" s="734"/>
      <c r="BS335" s="734"/>
      <c r="BT335" s="734"/>
      <c r="BU335" s="734"/>
      <c r="BV335" s="734"/>
      <c r="BW335" s="734"/>
      <c r="BX335" s="734"/>
      <c r="BY335" s="734"/>
      <c r="BZ335" s="734"/>
      <c r="CA335" s="734"/>
      <c r="CB335" s="734"/>
      <c r="CC335" s="734"/>
      <c r="CD335" s="734"/>
      <c r="CE335" s="734"/>
      <c r="CF335" s="734"/>
      <c r="CG335" s="734"/>
      <c r="CH335" s="734"/>
      <c r="CI335" s="734"/>
      <c r="CJ335" s="734"/>
      <c r="CK335" s="734"/>
      <c r="CL335" s="734"/>
      <c r="CM335" s="734"/>
      <c r="CN335" s="734"/>
      <c r="CO335" s="734"/>
    </row>
    <row r="336" spans="1:93" s="920" customFormat="1">
      <c r="A336" s="673"/>
      <c r="B336" s="673"/>
      <c r="C336" s="736"/>
      <c r="D336" s="736"/>
      <c r="E336" s="736"/>
      <c r="F336" s="736"/>
      <c r="G336" s="736"/>
      <c r="H336" s="736"/>
      <c r="I336" s="736"/>
      <c r="J336" s="736"/>
      <c r="K336" s="736"/>
      <c r="L336" s="736"/>
      <c r="M336" s="736"/>
      <c r="N336" s="736"/>
      <c r="O336" s="736"/>
      <c r="P336" s="736"/>
      <c r="Q336" s="736"/>
      <c r="R336" s="736"/>
      <c r="S336" s="736"/>
      <c r="T336" s="736"/>
      <c r="U336" s="736"/>
      <c r="V336" s="736"/>
      <c r="W336" s="736"/>
      <c r="X336" s="736"/>
      <c r="Y336" s="736"/>
      <c r="Z336" s="736"/>
      <c r="AA336" s="736"/>
      <c r="AB336" s="736"/>
      <c r="AC336" s="736"/>
      <c r="AD336" s="734"/>
      <c r="AE336" s="734"/>
      <c r="AF336" s="734"/>
      <c r="AG336" s="734"/>
      <c r="AH336" s="734"/>
      <c r="AI336" s="734"/>
      <c r="AJ336" s="734"/>
      <c r="AK336" s="734"/>
      <c r="AL336" s="736"/>
      <c r="AM336" s="736"/>
      <c r="AN336" s="736"/>
      <c r="AO336" s="736"/>
      <c r="AP336" s="736"/>
      <c r="AQ336" s="736"/>
      <c r="AR336" s="736"/>
      <c r="AS336" s="736"/>
      <c r="AT336" s="736"/>
      <c r="AU336" s="736"/>
      <c r="AV336" s="736"/>
      <c r="AW336" s="736"/>
      <c r="AX336" s="736"/>
      <c r="AY336" s="736"/>
      <c r="AZ336" s="806"/>
      <c r="BA336" s="734"/>
      <c r="BB336" s="734"/>
      <c r="BC336" s="734"/>
      <c r="BD336" s="734"/>
      <c r="BE336" s="734"/>
      <c r="BF336" s="734"/>
      <c r="BG336" s="734"/>
      <c r="BH336" s="734"/>
      <c r="BI336" s="734"/>
      <c r="BJ336" s="734"/>
      <c r="BK336" s="734"/>
      <c r="BL336" s="734"/>
      <c r="BM336" s="734"/>
      <c r="BN336" s="734"/>
      <c r="BO336" s="734"/>
      <c r="BP336" s="734"/>
      <c r="BQ336" s="734"/>
      <c r="BR336" s="734"/>
      <c r="BS336" s="734"/>
      <c r="BT336" s="734"/>
      <c r="BU336" s="734"/>
      <c r="BV336" s="734"/>
      <c r="BW336" s="734"/>
      <c r="BX336" s="734"/>
      <c r="BY336" s="734"/>
      <c r="BZ336" s="734"/>
      <c r="CA336" s="734"/>
      <c r="CB336" s="734"/>
      <c r="CC336" s="734"/>
      <c r="CD336" s="734"/>
      <c r="CE336" s="734"/>
      <c r="CF336" s="734"/>
      <c r="CG336" s="734"/>
      <c r="CH336" s="734"/>
      <c r="CI336" s="734"/>
      <c r="CJ336" s="734"/>
      <c r="CK336" s="734"/>
      <c r="CL336" s="734"/>
      <c r="CM336" s="734"/>
      <c r="CN336" s="734"/>
      <c r="CO336" s="734"/>
    </row>
    <row r="337" spans="1:93" s="920" customFormat="1">
      <c r="A337" s="673"/>
      <c r="B337" s="673"/>
      <c r="C337" s="736"/>
      <c r="D337" s="736"/>
      <c r="E337" s="736"/>
      <c r="F337" s="736"/>
      <c r="G337" s="736"/>
      <c r="H337" s="736"/>
      <c r="I337" s="736"/>
      <c r="J337" s="736"/>
      <c r="K337" s="736"/>
      <c r="L337" s="736"/>
      <c r="M337" s="736"/>
      <c r="N337" s="736"/>
      <c r="O337" s="736"/>
      <c r="P337" s="736"/>
      <c r="Q337" s="736"/>
      <c r="R337" s="736"/>
      <c r="S337" s="736"/>
      <c r="T337" s="736"/>
      <c r="U337" s="736"/>
      <c r="V337" s="736"/>
      <c r="W337" s="736"/>
      <c r="X337" s="736"/>
      <c r="Y337" s="736"/>
      <c r="Z337" s="736"/>
      <c r="AA337" s="736"/>
      <c r="AB337" s="736"/>
      <c r="AC337" s="736"/>
      <c r="AD337" s="734"/>
      <c r="AE337" s="734"/>
      <c r="AF337" s="734"/>
      <c r="AG337" s="734"/>
      <c r="AH337" s="734"/>
      <c r="AI337" s="734"/>
      <c r="AJ337" s="734"/>
      <c r="AK337" s="734"/>
      <c r="AL337" s="736"/>
      <c r="AM337" s="736"/>
      <c r="AN337" s="736"/>
      <c r="AO337" s="736"/>
      <c r="AP337" s="736"/>
      <c r="AQ337" s="736"/>
      <c r="AR337" s="736"/>
      <c r="AS337" s="736"/>
      <c r="AT337" s="736"/>
      <c r="AU337" s="736"/>
      <c r="AV337" s="736"/>
      <c r="AW337" s="736"/>
      <c r="AX337" s="736"/>
      <c r="AY337" s="736"/>
      <c r="AZ337" s="806"/>
      <c r="BA337" s="734"/>
      <c r="BB337" s="734"/>
      <c r="BC337" s="734"/>
      <c r="BD337" s="734"/>
      <c r="BE337" s="734"/>
      <c r="BF337" s="734"/>
      <c r="BG337" s="734"/>
      <c r="BH337" s="734"/>
      <c r="BI337" s="734"/>
      <c r="BJ337" s="734"/>
      <c r="BK337" s="734"/>
      <c r="BL337" s="734"/>
      <c r="BM337" s="734"/>
      <c r="BN337" s="734"/>
      <c r="BO337" s="734"/>
      <c r="BP337" s="734"/>
      <c r="BQ337" s="734"/>
      <c r="BR337" s="734"/>
      <c r="BS337" s="734"/>
      <c r="BT337" s="734"/>
      <c r="BU337" s="734"/>
      <c r="BV337" s="734"/>
      <c r="BW337" s="734"/>
      <c r="BX337" s="734"/>
      <c r="BY337" s="734"/>
      <c r="BZ337" s="734"/>
      <c r="CA337" s="734"/>
      <c r="CB337" s="734"/>
      <c r="CC337" s="734"/>
      <c r="CD337" s="734"/>
      <c r="CE337" s="734"/>
      <c r="CF337" s="734"/>
      <c r="CG337" s="734"/>
      <c r="CH337" s="734"/>
      <c r="CI337" s="734"/>
      <c r="CJ337" s="734"/>
      <c r="CK337" s="734"/>
      <c r="CL337" s="734"/>
      <c r="CM337" s="734"/>
      <c r="CN337" s="734"/>
      <c r="CO337" s="734"/>
    </row>
    <row r="338" spans="1:93" s="920" customFormat="1">
      <c r="A338" s="673"/>
      <c r="B338" s="673"/>
      <c r="C338" s="736"/>
      <c r="D338" s="736"/>
      <c r="E338" s="736"/>
      <c r="F338" s="736"/>
      <c r="G338" s="736"/>
      <c r="H338" s="736"/>
      <c r="I338" s="736"/>
      <c r="J338" s="736"/>
      <c r="K338" s="736"/>
      <c r="L338" s="736"/>
      <c r="M338" s="736"/>
      <c r="N338" s="736"/>
      <c r="O338" s="736"/>
      <c r="P338" s="736"/>
      <c r="Q338" s="736"/>
      <c r="R338" s="736"/>
      <c r="S338" s="736"/>
      <c r="T338" s="736"/>
      <c r="U338" s="736"/>
      <c r="V338" s="736"/>
      <c r="W338" s="736"/>
      <c r="X338" s="736"/>
      <c r="Y338" s="736"/>
      <c r="Z338" s="736"/>
      <c r="AA338" s="736"/>
      <c r="AB338" s="736"/>
      <c r="AC338" s="736"/>
      <c r="AD338" s="734"/>
      <c r="AE338" s="734"/>
      <c r="AF338" s="734"/>
      <c r="AG338" s="734"/>
      <c r="AH338" s="734"/>
      <c r="AI338" s="734"/>
      <c r="AJ338" s="734"/>
      <c r="AK338" s="734"/>
      <c r="AL338" s="736"/>
      <c r="AM338" s="736"/>
      <c r="AN338" s="736"/>
      <c r="AO338" s="736"/>
      <c r="AP338" s="736"/>
      <c r="AQ338" s="736"/>
      <c r="AR338" s="736"/>
      <c r="AS338" s="736"/>
      <c r="AT338" s="736"/>
      <c r="AU338" s="736"/>
      <c r="AV338" s="736"/>
      <c r="AW338" s="736"/>
      <c r="AX338" s="736"/>
      <c r="AY338" s="736"/>
      <c r="AZ338" s="806"/>
      <c r="BA338" s="734"/>
      <c r="BB338" s="734"/>
      <c r="BC338" s="734"/>
      <c r="BD338" s="734"/>
      <c r="BE338" s="734"/>
      <c r="BF338" s="734"/>
      <c r="BG338" s="734"/>
      <c r="BH338" s="734"/>
      <c r="BI338" s="734"/>
      <c r="BJ338" s="734"/>
      <c r="BK338" s="734"/>
      <c r="BL338" s="734"/>
      <c r="BM338" s="734"/>
      <c r="BN338" s="734"/>
      <c r="BO338" s="734"/>
      <c r="BP338" s="734"/>
      <c r="BQ338" s="734"/>
      <c r="BR338" s="734"/>
      <c r="BS338" s="734"/>
      <c r="BT338" s="734"/>
      <c r="BU338" s="734"/>
      <c r="BV338" s="734"/>
      <c r="BW338" s="734"/>
      <c r="BX338" s="734"/>
      <c r="BY338" s="734"/>
      <c r="BZ338" s="734"/>
      <c r="CA338" s="734"/>
      <c r="CB338" s="734"/>
      <c r="CC338" s="734"/>
      <c r="CD338" s="734"/>
      <c r="CE338" s="734"/>
      <c r="CF338" s="734"/>
      <c r="CG338" s="734"/>
      <c r="CH338" s="734"/>
      <c r="CI338" s="734"/>
      <c r="CJ338" s="734"/>
      <c r="CK338" s="734"/>
      <c r="CL338" s="734"/>
      <c r="CM338" s="734"/>
      <c r="CN338" s="734"/>
      <c r="CO338" s="734"/>
    </row>
    <row r="339" spans="1:93" s="920" customFormat="1">
      <c r="A339" s="673"/>
      <c r="B339" s="673"/>
      <c r="C339" s="736"/>
      <c r="D339" s="736"/>
      <c r="E339" s="736"/>
      <c r="F339" s="736"/>
      <c r="G339" s="736"/>
      <c r="H339" s="736"/>
      <c r="I339" s="736"/>
      <c r="J339" s="736"/>
      <c r="K339" s="736"/>
      <c r="L339" s="736"/>
      <c r="M339" s="736"/>
      <c r="N339" s="736"/>
      <c r="O339" s="736"/>
      <c r="P339" s="736"/>
      <c r="Q339" s="736"/>
      <c r="R339" s="736"/>
      <c r="S339" s="736"/>
      <c r="T339" s="736"/>
      <c r="U339" s="736"/>
      <c r="V339" s="736"/>
      <c r="W339" s="736"/>
      <c r="X339" s="736"/>
      <c r="Y339" s="736"/>
      <c r="Z339" s="736"/>
      <c r="AA339" s="736"/>
      <c r="AB339" s="736"/>
      <c r="AC339" s="736"/>
      <c r="AD339" s="734"/>
      <c r="AE339" s="734"/>
      <c r="AF339" s="734"/>
      <c r="AG339" s="734"/>
      <c r="AH339" s="734"/>
      <c r="AI339" s="734"/>
      <c r="AJ339" s="734"/>
      <c r="AK339" s="734"/>
      <c r="AL339" s="736"/>
      <c r="AM339" s="736"/>
      <c r="AN339" s="736"/>
      <c r="AO339" s="736"/>
      <c r="AP339" s="736"/>
      <c r="AQ339" s="736"/>
      <c r="AR339" s="736"/>
      <c r="AS339" s="736"/>
      <c r="AT339" s="736"/>
      <c r="AU339" s="736"/>
      <c r="AV339" s="736"/>
      <c r="AW339" s="736"/>
      <c r="AX339" s="736"/>
      <c r="AY339" s="736"/>
      <c r="AZ339" s="806"/>
      <c r="BA339" s="734"/>
      <c r="BB339" s="734"/>
      <c r="BC339" s="734"/>
      <c r="BD339" s="734"/>
      <c r="BE339" s="734"/>
      <c r="BF339" s="734"/>
      <c r="BG339" s="734"/>
      <c r="BH339" s="734"/>
      <c r="BI339" s="734"/>
      <c r="BJ339" s="734"/>
      <c r="BK339" s="734"/>
      <c r="BL339" s="734"/>
      <c r="BM339" s="734"/>
      <c r="BN339" s="734"/>
      <c r="BO339" s="734"/>
      <c r="BP339" s="734"/>
      <c r="BQ339" s="734"/>
      <c r="BR339" s="734"/>
      <c r="BS339" s="734"/>
      <c r="BT339" s="734"/>
      <c r="BU339" s="734"/>
      <c r="BV339" s="734"/>
      <c r="BW339" s="734"/>
      <c r="BX339" s="734"/>
      <c r="BY339" s="734"/>
      <c r="BZ339" s="734"/>
      <c r="CA339" s="734"/>
      <c r="CB339" s="734"/>
      <c r="CC339" s="734"/>
      <c r="CD339" s="734"/>
      <c r="CE339" s="734"/>
      <c r="CF339" s="734"/>
      <c r="CG339" s="734"/>
      <c r="CH339" s="734"/>
      <c r="CI339" s="734"/>
      <c r="CJ339" s="734"/>
      <c r="CK339" s="734"/>
      <c r="CL339" s="734"/>
      <c r="CM339" s="734"/>
      <c r="CN339" s="734"/>
      <c r="CO339" s="734"/>
    </row>
    <row r="340" spans="1:93" s="920" customFormat="1">
      <c r="A340" s="673"/>
      <c r="B340" s="673"/>
      <c r="C340" s="736"/>
      <c r="D340" s="736"/>
      <c r="E340" s="736"/>
      <c r="F340" s="736"/>
      <c r="G340" s="736"/>
      <c r="H340" s="736"/>
      <c r="I340" s="736"/>
      <c r="J340" s="736"/>
      <c r="K340" s="736"/>
      <c r="L340" s="736"/>
      <c r="M340" s="736"/>
      <c r="N340" s="736"/>
      <c r="O340" s="736"/>
      <c r="P340" s="736"/>
      <c r="Q340" s="736"/>
      <c r="R340" s="736"/>
      <c r="S340" s="736"/>
      <c r="T340" s="736"/>
      <c r="U340" s="736"/>
      <c r="V340" s="736"/>
      <c r="W340" s="736"/>
      <c r="X340" s="736"/>
      <c r="Y340" s="736"/>
      <c r="Z340" s="736"/>
      <c r="AA340" s="736"/>
      <c r="AB340" s="736"/>
      <c r="AC340" s="736"/>
      <c r="AD340" s="734"/>
      <c r="AE340" s="734"/>
      <c r="AF340" s="734"/>
      <c r="AG340" s="734"/>
      <c r="AH340" s="734"/>
      <c r="AI340" s="734"/>
      <c r="AJ340" s="734"/>
      <c r="AK340" s="734"/>
      <c r="AL340" s="664"/>
      <c r="AM340" s="664"/>
      <c r="AN340" s="664"/>
      <c r="AO340" s="736"/>
      <c r="AP340" s="736"/>
      <c r="AQ340" s="736"/>
      <c r="AR340" s="736"/>
      <c r="AS340" s="736"/>
      <c r="AT340" s="736"/>
      <c r="AU340" s="736"/>
      <c r="AV340" s="736"/>
      <c r="AW340" s="736"/>
      <c r="AX340" s="736"/>
      <c r="AY340" s="736"/>
      <c r="AZ340" s="806"/>
      <c r="BA340" s="734"/>
      <c r="BB340" s="734"/>
      <c r="BC340" s="734"/>
      <c r="BD340" s="734"/>
      <c r="BE340" s="734"/>
      <c r="BF340" s="734"/>
      <c r="BG340" s="734"/>
      <c r="BH340" s="734"/>
      <c r="BI340" s="734"/>
      <c r="BJ340" s="734"/>
      <c r="BK340" s="734"/>
      <c r="BL340" s="734"/>
      <c r="BM340" s="734"/>
      <c r="BN340" s="734"/>
      <c r="BO340" s="734"/>
      <c r="BP340" s="734"/>
      <c r="BQ340" s="734"/>
      <c r="BR340" s="734"/>
      <c r="BS340" s="734"/>
      <c r="BT340" s="734"/>
      <c r="BU340" s="734"/>
      <c r="BV340" s="734"/>
      <c r="BW340" s="734"/>
      <c r="BX340" s="734"/>
      <c r="BY340" s="734"/>
      <c r="BZ340" s="734"/>
      <c r="CA340" s="734"/>
      <c r="CB340" s="734"/>
      <c r="CC340" s="734"/>
      <c r="CD340" s="734"/>
      <c r="CE340" s="734"/>
      <c r="CF340" s="734"/>
      <c r="CG340" s="734"/>
      <c r="CH340" s="734"/>
      <c r="CI340" s="734"/>
      <c r="CJ340" s="734"/>
      <c r="CK340" s="734"/>
      <c r="CL340" s="734"/>
      <c r="CM340" s="734"/>
      <c r="CN340" s="734"/>
      <c r="CO340" s="734"/>
    </row>
    <row r="341" spans="1:93" s="920" customFormat="1">
      <c r="A341" s="673"/>
      <c r="B341" s="673"/>
      <c r="C341" s="736"/>
      <c r="D341" s="736"/>
      <c r="E341" s="736"/>
      <c r="F341" s="736"/>
      <c r="G341" s="736"/>
      <c r="H341" s="736"/>
      <c r="I341" s="736"/>
      <c r="J341" s="736"/>
      <c r="K341" s="736"/>
      <c r="L341" s="736"/>
      <c r="M341" s="736"/>
      <c r="N341" s="736"/>
      <c r="O341" s="736"/>
      <c r="P341" s="736"/>
      <c r="Q341" s="736"/>
      <c r="R341" s="736"/>
      <c r="S341" s="736"/>
      <c r="T341" s="736"/>
      <c r="U341" s="736"/>
      <c r="V341" s="736"/>
      <c r="W341" s="736"/>
      <c r="X341" s="736"/>
      <c r="Y341" s="736"/>
      <c r="Z341" s="736"/>
      <c r="AA341" s="736"/>
      <c r="AB341" s="736"/>
      <c r="AC341" s="736"/>
      <c r="AD341" s="734"/>
      <c r="AE341" s="734"/>
      <c r="AF341" s="734"/>
      <c r="AG341" s="734"/>
      <c r="AH341" s="734"/>
      <c r="AI341" s="734"/>
      <c r="AJ341" s="734"/>
      <c r="AK341" s="734"/>
      <c r="AL341" s="664"/>
      <c r="AM341" s="664"/>
      <c r="AN341" s="664"/>
      <c r="AO341" s="736"/>
      <c r="AP341" s="736"/>
      <c r="AQ341" s="736"/>
      <c r="AR341" s="736"/>
      <c r="AS341" s="736"/>
      <c r="AT341" s="736"/>
      <c r="AU341" s="736"/>
      <c r="AV341" s="736"/>
      <c r="AW341" s="736"/>
      <c r="AX341" s="736"/>
      <c r="AY341" s="736"/>
      <c r="AZ341" s="806"/>
      <c r="BA341" s="734"/>
      <c r="BB341" s="734"/>
      <c r="BC341" s="734"/>
      <c r="BD341" s="734"/>
      <c r="BE341" s="734"/>
      <c r="BF341" s="734"/>
      <c r="BG341" s="734"/>
      <c r="BH341" s="734"/>
      <c r="BI341" s="734"/>
      <c r="BJ341" s="734"/>
      <c r="BK341" s="734"/>
      <c r="BL341" s="734"/>
      <c r="BM341" s="734"/>
      <c r="BN341" s="734"/>
      <c r="BO341" s="734"/>
      <c r="BP341" s="734"/>
      <c r="BQ341" s="734"/>
      <c r="BR341" s="734"/>
      <c r="BS341" s="734"/>
      <c r="BT341" s="734"/>
      <c r="BU341" s="734"/>
      <c r="BV341" s="734"/>
      <c r="BW341" s="734"/>
      <c r="BX341" s="734"/>
      <c r="BY341" s="734"/>
      <c r="BZ341" s="734"/>
      <c r="CA341" s="734"/>
      <c r="CB341" s="734"/>
      <c r="CC341" s="734"/>
      <c r="CD341" s="734"/>
      <c r="CE341" s="734"/>
      <c r="CF341" s="734"/>
      <c r="CG341" s="734"/>
      <c r="CH341" s="734"/>
      <c r="CI341" s="734"/>
      <c r="CJ341" s="734"/>
      <c r="CK341" s="734"/>
      <c r="CL341" s="734"/>
      <c r="CM341" s="734"/>
      <c r="CN341" s="734"/>
      <c r="CO341" s="734"/>
    </row>
    <row r="342" spans="1:93" s="920" customFormat="1">
      <c r="A342" s="673"/>
      <c r="B342" s="673"/>
      <c r="C342" s="736"/>
      <c r="D342" s="736"/>
      <c r="E342" s="736"/>
      <c r="F342" s="736"/>
      <c r="G342" s="736"/>
      <c r="H342" s="736"/>
      <c r="I342" s="736"/>
      <c r="J342" s="736"/>
      <c r="K342" s="736"/>
      <c r="L342" s="736"/>
      <c r="M342" s="736"/>
      <c r="N342" s="736"/>
      <c r="O342" s="736"/>
      <c r="P342" s="736"/>
      <c r="Q342" s="736"/>
      <c r="R342" s="736"/>
      <c r="S342" s="736"/>
      <c r="T342" s="736"/>
      <c r="U342" s="736"/>
      <c r="V342" s="736"/>
      <c r="W342" s="736"/>
      <c r="X342" s="736"/>
      <c r="Y342" s="736"/>
      <c r="Z342" s="736"/>
      <c r="AA342" s="736"/>
      <c r="AB342" s="736"/>
      <c r="AC342" s="736"/>
      <c r="AD342" s="734"/>
      <c r="AE342" s="734"/>
      <c r="AF342" s="734"/>
      <c r="AG342" s="734"/>
      <c r="AH342" s="734"/>
      <c r="AI342" s="734"/>
      <c r="AJ342" s="734"/>
      <c r="AK342" s="734"/>
      <c r="AL342" s="664"/>
      <c r="AM342" s="664"/>
      <c r="AN342" s="664"/>
      <c r="AO342" s="736"/>
      <c r="AP342" s="736"/>
      <c r="AQ342" s="736"/>
      <c r="AR342" s="736"/>
      <c r="AS342" s="736"/>
      <c r="AT342" s="736"/>
      <c r="AU342" s="736"/>
      <c r="AV342" s="736"/>
      <c r="AW342" s="736"/>
      <c r="AX342" s="736"/>
      <c r="AY342" s="736"/>
      <c r="AZ342" s="806"/>
      <c r="BA342" s="734"/>
      <c r="BB342" s="734"/>
      <c r="BC342" s="734"/>
      <c r="BD342" s="734"/>
      <c r="BE342" s="734"/>
      <c r="BF342" s="734"/>
      <c r="BG342" s="734"/>
      <c r="BH342" s="734"/>
      <c r="BI342" s="734"/>
      <c r="BJ342" s="734"/>
      <c r="BK342" s="734"/>
      <c r="BL342" s="734"/>
      <c r="BM342" s="734"/>
      <c r="BN342" s="734"/>
      <c r="BO342" s="734"/>
      <c r="BP342" s="734"/>
      <c r="BQ342" s="734"/>
      <c r="BR342" s="734"/>
      <c r="BS342" s="734"/>
      <c r="BT342" s="734"/>
      <c r="BU342" s="734"/>
      <c r="BV342" s="734"/>
      <c r="BW342" s="734"/>
      <c r="BX342" s="734"/>
      <c r="BY342" s="734"/>
      <c r="BZ342" s="734"/>
      <c r="CA342" s="734"/>
      <c r="CB342" s="734"/>
      <c r="CC342" s="734"/>
      <c r="CD342" s="734"/>
      <c r="CE342" s="734"/>
      <c r="CF342" s="734"/>
      <c r="CG342" s="734"/>
      <c r="CH342" s="734"/>
      <c r="CI342" s="734"/>
      <c r="CJ342" s="734"/>
      <c r="CK342" s="734"/>
      <c r="CL342" s="734"/>
      <c r="CM342" s="734"/>
      <c r="CN342" s="734"/>
      <c r="CO342" s="734"/>
    </row>
    <row r="343" spans="1:93" s="920" customFormat="1">
      <c r="A343" s="673"/>
      <c r="B343" s="673"/>
      <c r="C343" s="736"/>
      <c r="D343" s="736"/>
      <c r="E343" s="736"/>
      <c r="F343" s="736"/>
      <c r="G343" s="736"/>
      <c r="H343" s="736"/>
      <c r="I343" s="736"/>
      <c r="J343" s="736"/>
      <c r="K343" s="736"/>
      <c r="L343" s="736"/>
      <c r="M343" s="736"/>
      <c r="N343" s="736"/>
      <c r="O343" s="736"/>
      <c r="P343" s="736"/>
      <c r="Q343" s="736"/>
      <c r="R343" s="736"/>
      <c r="S343" s="736"/>
      <c r="T343" s="736"/>
      <c r="U343" s="736"/>
      <c r="V343" s="736"/>
      <c r="W343" s="736"/>
      <c r="X343" s="736"/>
      <c r="Y343" s="736"/>
      <c r="Z343" s="736"/>
      <c r="AA343" s="736"/>
      <c r="AB343" s="736"/>
      <c r="AC343" s="736"/>
      <c r="AD343" s="734"/>
      <c r="AE343" s="734"/>
      <c r="AF343" s="734"/>
      <c r="AG343" s="734"/>
      <c r="AH343" s="734"/>
      <c r="AI343" s="734"/>
      <c r="AJ343" s="734"/>
      <c r="AK343" s="734"/>
      <c r="AL343" s="664"/>
      <c r="AM343" s="664"/>
      <c r="AN343" s="664"/>
      <c r="AO343" s="664"/>
      <c r="AP343" s="736"/>
      <c r="AQ343" s="736"/>
      <c r="AR343" s="736"/>
      <c r="AS343" s="736"/>
      <c r="AT343" s="736"/>
      <c r="AU343" s="736"/>
      <c r="AV343" s="736"/>
      <c r="AW343" s="736"/>
      <c r="AX343" s="736"/>
      <c r="AY343" s="736"/>
      <c r="AZ343" s="806"/>
      <c r="BA343" s="734"/>
      <c r="BB343" s="734"/>
      <c r="BC343" s="734"/>
      <c r="BD343" s="734"/>
      <c r="BE343" s="734"/>
      <c r="BF343" s="734"/>
      <c r="BG343" s="734"/>
      <c r="BH343" s="734"/>
      <c r="BI343" s="734"/>
      <c r="BJ343" s="734"/>
      <c r="BK343" s="734"/>
      <c r="BL343" s="734"/>
      <c r="BM343" s="734"/>
      <c r="BN343" s="734"/>
      <c r="BO343" s="734"/>
      <c r="BP343" s="734"/>
      <c r="BQ343" s="734"/>
      <c r="BR343" s="734"/>
      <c r="BS343" s="734"/>
      <c r="BT343" s="734"/>
      <c r="BU343" s="734"/>
      <c r="BV343" s="734"/>
      <c r="BW343" s="734"/>
      <c r="BX343" s="734"/>
      <c r="BY343" s="734"/>
      <c r="BZ343" s="734"/>
      <c r="CA343" s="734"/>
      <c r="CB343" s="734"/>
      <c r="CC343" s="734"/>
      <c r="CD343" s="734"/>
      <c r="CE343" s="734"/>
      <c r="CF343" s="734"/>
      <c r="CG343" s="734"/>
      <c r="CH343" s="734"/>
      <c r="CI343" s="734"/>
      <c r="CJ343" s="734"/>
      <c r="CK343" s="734"/>
      <c r="CL343" s="734"/>
      <c r="CM343" s="734"/>
      <c r="CN343" s="734"/>
      <c r="CO343" s="734"/>
    </row>
    <row r="344" spans="1:93" s="920" customFormat="1">
      <c r="A344" s="673"/>
      <c r="B344" s="673"/>
      <c r="C344" s="736"/>
      <c r="D344" s="736"/>
      <c r="E344" s="736"/>
      <c r="F344" s="736"/>
      <c r="G344" s="736"/>
      <c r="H344" s="736"/>
      <c r="I344" s="736"/>
      <c r="J344" s="736"/>
      <c r="K344" s="736"/>
      <c r="L344" s="736"/>
      <c r="M344" s="736"/>
      <c r="N344" s="736"/>
      <c r="O344" s="736"/>
      <c r="P344" s="736"/>
      <c r="Q344" s="736"/>
      <c r="R344" s="736"/>
      <c r="S344" s="736"/>
      <c r="T344" s="736"/>
      <c r="U344" s="736"/>
      <c r="V344" s="736"/>
      <c r="W344" s="736"/>
      <c r="X344" s="736"/>
      <c r="Y344" s="736"/>
      <c r="Z344" s="736"/>
      <c r="AA344" s="736"/>
      <c r="AB344" s="736"/>
      <c r="AC344" s="736"/>
      <c r="AD344" s="734"/>
      <c r="AE344" s="734"/>
      <c r="AF344" s="734"/>
      <c r="AG344" s="734"/>
      <c r="AH344" s="734"/>
      <c r="AI344" s="734"/>
      <c r="AJ344" s="734"/>
      <c r="AK344" s="734"/>
      <c r="AL344" s="664"/>
      <c r="AM344" s="664"/>
      <c r="AN344" s="664"/>
      <c r="AO344" s="664"/>
      <c r="AP344" s="664"/>
      <c r="AQ344" s="664"/>
      <c r="AR344" s="664"/>
      <c r="AS344" s="664"/>
      <c r="AT344" s="664"/>
      <c r="AU344" s="664"/>
      <c r="AV344" s="664"/>
      <c r="AW344" s="664"/>
      <c r="AX344" s="664"/>
      <c r="AY344" s="664"/>
      <c r="AZ344" s="806"/>
      <c r="BA344" s="670"/>
      <c r="BB344" s="734"/>
      <c r="BC344" s="670"/>
      <c r="BD344" s="734"/>
      <c r="BE344" s="734"/>
      <c r="BF344" s="734"/>
      <c r="BG344" s="734"/>
      <c r="BH344" s="734"/>
      <c r="BI344" s="734"/>
      <c r="BJ344" s="734"/>
      <c r="BK344" s="734"/>
      <c r="BL344" s="734"/>
      <c r="BM344" s="734"/>
      <c r="BN344" s="734"/>
      <c r="BO344" s="734"/>
      <c r="BP344" s="734"/>
      <c r="BQ344" s="734"/>
      <c r="BR344" s="734"/>
      <c r="BS344" s="734"/>
      <c r="BT344" s="734"/>
      <c r="BU344" s="734"/>
      <c r="BV344" s="734"/>
      <c r="BW344" s="734"/>
      <c r="BX344" s="734"/>
      <c r="BY344" s="734"/>
      <c r="BZ344" s="734"/>
      <c r="CA344" s="734"/>
      <c r="CB344" s="734"/>
      <c r="CC344" s="734"/>
      <c r="CD344" s="734"/>
      <c r="CE344" s="734"/>
      <c r="CF344" s="734"/>
      <c r="CG344" s="734"/>
      <c r="CH344" s="734"/>
      <c r="CI344" s="734"/>
      <c r="CJ344" s="734"/>
      <c r="CK344" s="734"/>
      <c r="CL344" s="734"/>
      <c r="CM344" s="734"/>
      <c r="CN344" s="734"/>
      <c r="CO344" s="734"/>
    </row>
    <row r="345" spans="1:93" s="920" customFormat="1">
      <c r="A345" s="673"/>
      <c r="B345" s="673"/>
      <c r="C345" s="736"/>
      <c r="D345" s="736"/>
      <c r="E345" s="736"/>
      <c r="F345" s="736"/>
      <c r="G345" s="736"/>
      <c r="H345" s="736"/>
      <c r="I345" s="736"/>
      <c r="J345" s="736"/>
      <c r="K345" s="736"/>
      <c r="L345" s="736"/>
      <c r="M345" s="736"/>
      <c r="N345" s="736"/>
      <c r="O345" s="736"/>
      <c r="P345" s="736"/>
      <c r="Q345" s="736"/>
      <c r="R345" s="736"/>
      <c r="S345" s="736"/>
      <c r="T345" s="736"/>
      <c r="U345" s="736"/>
      <c r="V345" s="736"/>
      <c r="W345" s="736"/>
      <c r="X345" s="736"/>
      <c r="Y345" s="736"/>
      <c r="Z345" s="736"/>
      <c r="AA345" s="736"/>
      <c r="AB345" s="736"/>
      <c r="AC345" s="736"/>
      <c r="AD345" s="734"/>
      <c r="AE345" s="734"/>
      <c r="AF345" s="734"/>
      <c r="AG345" s="734"/>
      <c r="AH345" s="734"/>
      <c r="AI345" s="734"/>
      <c r="AJ345" s="734"/>
      <c r="AK345" s="734"/>
      <c r="AL345" s="664"/>
      <c r="AM345" s="664"/>
      <c r="AN345" s="664"/>
      <c r="AO345" s="664"/>
      <c r="AP345" s="664"/>
      <c r="AQ345" s="664"/>
      <c r="AR345" s="664"/>
      <c r="AS345" s="664"/>
      <c r="AT345" s="664"/>
      <c r="AU345" s="664"/>
      <c r="AV345" s="664"/>
      <c r="AW345" s="664"/>
      <c r="AX345" s="664"/>
      <c r="AY345" s="664"/>
      <c r="AZ345" s="806"/>
      <c r="BA345" s="670"/>
      <c r="BB345" s="734"/>
      <c r="BC345" s="670"/>
      <c r="BD345" s="734"/>
      <c r="BE345" s="734"/>
      <c r="BF345" s="734"/>
      <c r="BG345" s="734"/>
      <c r="BH345" s="734"/>
      <c r="BI345" s="734"/>
      <c r="BJ345" s="734"/>
      <c r="BK345" s="734"/>
      <c r="BL345" s="734"/>
      <c r="BM345" s="734"/>
      <c r="BN345" s="734"/>
      <c r="BO345" s="734"/>
      <c r="BP345" s="734"/>
      <c r="BQ345" s="734"/>
      <c r="BR345" s="734"/>
      <c r="BS345" s="734"/>
      <c r="BT345" s="734"/>
      <c r="BU345" s="734"/>
      <c r="BV345" s="734"/>
      <c r="BW345" s="734"/>
      <c r="BX345" s="734"/>
      <c r="BY345" s="734"/>
      <c r="BZ345" s="734"/>
      <c r="CA345" s="734"/>
      <c r="CB345" s="734"/>
      <c r="CC345" s="734"/>
      <c r="CD345" s="734"/>
      <c r="CE345" s="734"/>
      <c r="CF345" s="734"/>
      <c r="CG345" s="734"/>
      <c r="CH345" s="734"/>
      <c r="CI345" s="734"/>
      <c r="CJ345" s="734"/>
      <c r="CK345" s="734"/>
      <c r="CL345" s="734"/>
      <c r="CM345" s="734"/>
      <c r="CN345" s="734"/>
      <c r="CO345" s="734"/>
    </row>
    <row r="346" spans="1:93" s="920" customFormat="1">
      <c r="A346" s="673"/>
      <c r="B346" s="673"/>
      <c r="C346" s="736"/>
      <c r="D346" s="736"/>
      <c r="E346" s="736"/>
      <c r="F346" s="736"/>
      <c r="G346" s="736"/>
      <c r="H346" s="736"/>
      <c r="I346" s="736"/>
      <c r="J346" s="736"/>
      <c r="K346" s="736"/>
      <c r="L346" s="736"/>
      <c r="M346" s="736"/>
      <c r="N346" s="736"/>
      <c r="O346" s="736"/>
      <c r="P346" s="736"/>
      <c r="Q346" s="736"/>
      <c r="R346" s="736"/>
      <c r="S346" s="736"/>
      <c r="T346" s="736"/>
      <c r="U346" s="736"/>
      <c r="V346" s="736"/>
      <c r="W346" s="736"/>
      <c r="X346" s="736"/>
      <c r="Y346" s="736"/>
      <c r="Z346" s="736"/>
      <c r="AA346" s="736"/>
      <c r="AB346" s="736"/>
      <c r="AC346" s="736"/>
      <c r="AD346" s="734"/>
      <c r="AE346" s="734"/>
      <c r="AF346" s="734"/>
      <c r="AG346" s="734"/>
      <c r="AH346" s="734"/>
      <c r="AI346" s="734"/>
      <c r="AJ346" s="670"/>
      <c r="AK346" s="670"/>
      <c r="AL346" s="664"/>
      <c r="AM346" s="664"/>
      <c r="AN346" s="664"/>
      <c r="AO346" s="664"/>
      <c r="AP346" s="664"/>
      <c r="AQ346" s="664"/>
      <c r="AR346" s="664"/>
      <c r="AS346" s="664"/>
      <c r="AT346" s="664"/>
      <c r="AU346" s="664"/>
      <c r="AV346" s="664"/>
      <c r="AW346" s="664"/>
      <c r="AX346" s="664"/>
      <c r="AY346" s="664"/>
      <c r="AZ346" s="806"/>
      <c r="BA346" s="670"/>
      <c r="BB346" s="734"/>
      <c r="BC346" s="670"/>
      <c r="BD346" s="734"/>
      <c r="BE346" s="734"/>
      <c r="BF346" s="734"/>
      <c r="BG346" s="734"/>
      <c r="BH346" s="734"/>
      <c r="BI346" s="734"/>
      <c r="BJ346" s="734"/>
      <c r="BK346" s="734"/>
      <c r="BL346" s="734"/>
      <c r="BM346" s="734"/>
      <c r="BN346" s="734"/>
      <c r="BO346" s="734"/>
      <c r="BP346" s="734"/>
      <c r="BQ346" s="734"/>
      <c r="BR346" s="734"/>
      <c r="BS346" s="734"/>
      <c r="BT346" s="734"/>
      <c r="BU346" s="734"/>
      <c r="BV346" s="734"/>
      <c r="BW346" s="734"/>
      <c r="BX346" s="734"/>
      <c r="BY346" s="734"/>
      <c r="BZ346" s="734"/>
      <c r="CA346" s="734"/>
      <c r="CB346" s="734"/>
      <c r="CC346" s="734"/>
      <c r="CD346" s="734"/>
      <c r="CE346" s="734"/>
      <c r="CF346" s="734"/>
      <c r="CG346" s="734"/>
      <c r="CH346" s="734"/>
      <c r="CI346" s="734"/>
      <c r="CJ346" s="734"/>
      <c r="CK346" s="734"/>
      <c r="CL346" s="734"/>
      <c r="CM346" s="734"/>
      <c r="CN346" s="734"/>
      <c r="CO346" s="734"/>
    </row>
    <row r="347" spans="1:93" s="920" customFormat="1">
      <c r="A347" s="673"/>
      <c r="B347" s="673"/>
      <c r="C347" s="736"/>
      <c r="D347" s="736"/>
      <c r="E347" s="736"/>
      <c r="F347" s="736"/>
      <c r="G347" s="736"/>
      <c r="H347" s="736"/>
      <c r="I347" s="736"/>
      <c r="J347" s="736"/>
      <c r="K347" s="736"/>
      <c r="L347" s="736"/>
      <c r="M347" s="736"/>
      <c r="N347" s="736"/>
      <c r="O347" s="736"/>
      <c r="P347" s="736"/>
      <c r="Q347" s="736"/>
      <c r="R347" s="736"/>
      <c r="S347" s="736"/>
      <c r="T347" s="736"/>
      <c r="U347" s="736"/>
      <c r="V347" s="736"/>
      <c r="W347" s="736"/>
      <c r="X347" s="736"/>
      <c r="Y347" s="736"/>
      <c r="Z347" s="736"/>
      <c r="AA347" s="736"/>
      <c r="AB347" s="736"/>
      <c r="AC347" s="736"/>
      <c r="AD347" s="734"/>
      <c r="AE347" s="734"/>
      <c r="AF347" s="734"/>
      <c r="AG347" s="734"/>
      <c r="AH347" s="734"/>
      <c r="AI347" s="734"/>
      <c r="AJ347" s="670"/>
      <c r="AK347" s="670"/>
      <c r="AL347" s="664"/>
      <c r="AM347" s="664"/>
      <c r="AN347" s="664"/>
      <c r="AO347" s="664"/>
      <c r="AP347" s="664"/>
      <c r="AQ347" s="664"/>
      <c r="AR347" s="664"/>
      <c r="AS347" s="664"/>
      <c r="AT347" s="664"/>
      <c r="AU347" s="664"/>
      <c r="AV347" s="664"/>
      <c r="AW347" s="664"/>
      <c r="AX347" s="664"/>
      <c r="AY347" s="664"/>
      <c r="AZ347" s="806"/>
      <c r="BA347" s="670"/>
      <c r="BB347" s="734"/>
      <c r="BC347" s="670"/>
      <c r="BD347" s="734"/>
      <c r="BE347" s="734"/>
      <c r="BF347" s="734"/>
      <c r="BG347" s="734"/>
      <c r="BH347" s="734"/>
      <c r="BI347" s="734"/>
      <c r="BJ347" s="734"/>
      <c r="BK347" s="734"/>
      <c r="BL347" s="734"/>
      <c r="BM347" s="734"/>
      <c r="BN347" s="734"/>
      <c r="BO347" s="734"/>
      <c r="BP347" s="734"/>
      <c r="BQ347" s="734"/>
      <c r="BR347" s="734"/>
      <c r="BS347" s="734"/>
      <c r="BT347" s="734"/>
      <c r="BU347" s="734"/>
      <c r="BV347" s="734"/>
      <c r="BW347" s="734"/>
      <c r="BX347" s="734"/>
      <c r="BY347" s="734"/>
      <c r="BZ347" s="734"/>
      <c r="CA347" s="734"/>
      <c r="CB347" s="734"/>
      <c r="CC347" s="734"/>
      <c r="CD347" s="734"/>
      <c r="CE347" s="734"/>
      <c r="CF347" s="734"/>
      <c r="CG347" s="734"/>
      <c r="CH347" s="734"/>
      <c r="CI347" s="734"/>
      <c r="CJ347" s="734"/>
      <c r="CK347" s="734"/>
      <c r="CL347" s="734"/>
      <c r="CM347" s="734"/>
      <c r="CN347" s="734"/>
      <c r="CO347" s="734"/>
    </row>
    <row r="348" spans="1:93" s="920" customFormat="1">
      <c r="A348" s="673"/>
      <c r="B348" s="673"/>
      <c r="C348" s="736"/>
      <c r="D348" s="736"/>
      <c r="E348" s="736"/>
      <c r="F348" s="736"/>
      <c r="G348" s="736"/>
      <c r="H348" s="736"/>
      <c r="I348" s="736"/>
      <c r="J348" s="736"/>
      <c r="K348" s="736"/>
      <c r="L348" s="736"/>
      <c r="M348" s="736"/>
      <c r="N348" s="736"/>
      <c r="O348" s="736"/>
      <c r="P348" s="736"/>
      <c r="Q348" s="736"/>
      <c r="R348" s="736"/>
      <c r="S348" s="736"/>
      <c r="T348" s="736"/>
      <c r="U348" s="736"/>
      <c r="V348" s="736"/>
      <c r="W348" s="736"/>
      <c r="X348" s="736"/>
      <c r="Y348" s="736"/>
      <c r="Z348" s="736"/>
      <c r="AA348" s="736"/>
      <c r="AB348" s="736"/>
      <c r="AC348" s="736"/>
      <c r="AD348" s="734"/>
      <c r="AE348" s="734"/>
      <c r="AF348" s="734"/>
      <c r="AG348" s="734"/>
      <c r="AH348" s="734"/>
      <c r="AI348" s="734"/>
      <c r="AJ348" s="670"/>
      <c r="AK348" s="670"/>
      <c r="AL348" s="664"/>
      <c r="AM348" s="664"/>
      <c r="AN348" s="664"/>
      <c r="AO348" s="664"/>
      <c r="AP348" s="664"/>
      <c r="AQ348" s="664"/>
      <c r="AR348" s="664"/>
      <c r="AS348" s="664"/>
      <c r="AT348" s="664"/>
      <c r="AU348" s="664"/>
      <c r="AV348" s="664"/>
      <c r="AW348" s="664"/>
      <c r="AX348" s="664"/>
      <c r="AY348" s="664"/>
      <c r="AZ348" s="806"/>
      <c r="BA348" s="670"/>
      <c r="BB348" s="734"/>
      <c r="BC348" s="670"/>
      <c r="BD348" s="734"/>
      <c r="BE348" s="734"/>
      <c r="BF348" s="734"/>
      <c r="BG348" s="734"/>
      <c r="BH348" s="734"/>
      <c r="BI348" s="734"/>
      <c r="BJ348" s="734"/>
      <c r="BK348" s="734"/>
      <c r="BL348" s="734"/>
      <c r="BM348" s="734"/>
      <c r="BN348" s="734"/>
      <c r="BO348" s="734"/>
      <c r="BP348" s="734"/>
      <c r="BQ348" s="734"/>
      <c r="BR348" s="734"/>
      <c r="BS348" s="734"/>
      <c r="BT348" s="734"/>
      <c r="BU348" s="734"/>
      <c r="BV348" s="734"/>
      <c r="BW348" s="734"/>
      <c r="BX348" s="734"/>
      <c r="BY348" s="734"/>
      <c r="BZ348" s="734"/>
      <c r="CA348" s="734"/>
      <c r="CB348" s="734"/>
      <c r="CC348" s="734"/>
      <c r="CD348" s="734"/>
      <c r="CE348" s="734"/>
      <c r="CF348" s="734"/>
      <c r="CG348" s="734"/>
      <c r="CH348" s="734"/>
      <c r="CI348" s="734"/>
      <c r="CJ348" s="734"/>
      <c r="CK348" s="734"/>
      <c r="CL348" s="734"/>
      <c r="CM348" s="734"/>
      <c r="CN348" s="734"/>
      <c r="CO348" s="734"/>
    </row>
    <row r="349" spans="1:93" s="920" customFormat="1" ht="13">
      <c r="A349" s="734"/>
      <c r="B349" s="736"/>
      <c r="C349" s="736"/>
      <c r="D349" s="736"/>
      <c r="E349" s="736"/>
      <c r="F349" s="736"/>
      <c r="G349" s="736"/>
      <c r="H349" s="736"/>
      <c r="I349" s="736"/>
      <c r="J349" s="736"/>
      <c r="K349" s="736"/>
      <c r="L349" s="664"/>
      <c r="M349" s="664"/>
      <c r="N349" s="664"/>
      <c r="O349" s="664"/>
      <c r="P349" s="664"/>
      <c r="Q349" s="664"/>
      <c r="R349" s="664"/>
      <c r="S349" s="664"/>
      <c r="T349" s="736"/>
      <c r="U349" s="736"/>
      <c r="V349" s="664"/>
      <c r="W349" s="664"/>
      <c r="X349" s="664"/>
      <c r="Y349" s="664"/>
      <c r="Z349" s="664"/>
      <c r="AA349" s="664"/>
      <c r="AB349" s="664"/>
      <c r="AC349" s="736"/>
      <c r="AD349" s="734"/>
      <c r="AE349" s="734"/>
      <c r="AF349" s="734"/>
      <c r="AG349" s="670"/>
      <c r="AH349" s="734"/>
      <c r="AI349" s="734"/>
      <c r="AJ349" s="670"/>
      <c r="AK349" s="670"/>
      <c r="AL349" s="664"/>
      <c r="AM349" s="664"/>
      <c r="AN349" s="664"/>
      <c r="AO349" s="664"/>
      <c r="AP349" s="664"/>
      <c r="AQ349" s="664"/>
      <c r="AR349" s="664"/>
      <c r="AS349" s="664"/>
      <c r="AT349" s="664"/>
      <c r="AU349" s="664"/>
      <c r="AV349" s="664"/>
      <c r="AW349" s="664"/>
      <c r="AX349" s="664"/>
      <c r="AY349" s="664"/>
      <c r="AZ349" s="806"/>
      <c r="BA349" s="670"/>
      <c r="BB349" s="734"/>
      <c r="BC349" s="670"/>
      <c r="BD349" s="734"/>
      <c r="BE349" s="734"/>
      <c r="BF349" s="734"/>
      <c r="BG349" s="734"/>
      <c r="BH349" s="734"/>
      <c r="BI349" s="734"/>
      <c r="BJ349" s="734"/>
      <c r="BK349" s="734"/>
      <c r="BL349" s="734"/>
      <c r="BM349" s="734"/>
      <c r="BN349" s="734"/>
      <c r="BO349" s="734"/>
      <c r="BP349" s="734"/>
      <c r="BQ349" s="734"/>
      <c r="BR349" s="734"/>
      <c r="BS349" s="734"/>
      <c r="BT349" s="734"/>
      <c r="BU349" s="734"/>
      <c r="BV349" s="734"/>
      <c r="BW349" s="734"/>
      <c r="BX349" s="734"/>
      <c r="BY349" s="734"/>
      <c r="BZ349" s="734"/>
      <c r="CA349" s="734"/>
      <c r="CB349" s="734"/>
      <c r="CC349" s="734"/>
      <c r="CD349" s="734"/>
      <c r="CE349" s="734"/>
      <c r="CF349" s="734"/>
      <c r="CG349" s="734"/>
      <c r="CH349" s="734"/>
      <c r="CI349" s="734"/>
      <c r="CJ349" s="734"/>
      <c r="CK349" s="734"/>
      <c r="CL349" s="734"/>
      <c r="CM349" s="734"/>
      <c r="CN349" s="734"/>
      <c r="CO349" s="734"/>
    </row>
    <row r="350" spans="1:93">
      <c r="A350" s="670"/>
      <c r="B350" s="664"/>
      <c r="C350" s="664"/>
      <c r="D350" s="664"/>
      <c r="E350" s="664"/>
      <c r="F350" s="664"/>
      <c r="G350" s="664"/>
      <c r="H350" s="664"/>
      <c r="I350" s="664"/>
      <c r="J350" s="664"/>
      <c r="K350" s="664"/>
      <c r="L350" s="664"/>
      <c r="M350" s="664"/>
      <c r="N350" s="664"/>
      <c r="O350" s="664"/>
      <c r="P350" s="664"/>
      <c r="Q350" s="664"/>
      <c r="R350" s="664"/>
      <c r="S350" s="664"/>
      <c r="T350" s="736"/>
      <c r="U350" s="736"/>
      <c r="V350" s="664"/>
      <c r="W350" s="664"/>
      <c r="X350" s="664"/>
      <c r="Y350" s="664"/>
      <c r="Z350" s="664"/>
      <c r="AA350" s="664"/>
      <c r="AB350" s="664"/>
      <c r="AC350" s="664"/>
      <c r="AD350" s="670"/>
    </row>
    <row r="351" spans="1:93">
      <c r="A351" s="670"/>
      <c r="B351" s="664"/>
      <c r="C351" s="664"/>
      <c r="D351" s="664"/>
      <c r="E351" s="664"/>
      <c r="F351" s="664"/>
      <c r="G351" s="664"/>
      <c r="H351" s="664"/>
      <c r="I351" s="664"/>
      <c r="J351" s="664"/>
      <c r="K351" s="664"/>
      <c r="L351" s="664"/>
      <c r="M351" s="664"/>
      <c r="N351" s="664"/>
      <c r="O351" s="664"/>
      <c r="P351" s="664"/>
      <c r="Q351" s="664"/>
      <c r="R351" s="664"/>
      <c r="S351" s="664"/>
      <c r="T351" s="736"/>
      <c r="U351" s="736"/>
      <c r="V351" s="664"/>
      <c r="W351" s="664"/>
      <c r="X351" s="664"/>
      <c r="Y351" s="664"/>
      <c r="Z351" s="664"/>
      <c r="AA351" s="664"/>
      <c r="AB351" s="664"/>
      <c r="AC351" s="664"/>
      <c r="AD351" s="670"/>
    </row>
    <row r="352" spans="1:93">
      <c r="A352" s="670"/>
      <c r="B352" s="664"/>
      <c r="C352" s="664"/>
      <c r="D352" s="664"/>
      <c r="E352" s="664"/>
      <c r="F352" s="664"/>
      <c r="G352" s="664"/>
      <c r="H352" s="664"/>
      <c r="I352" s="664"/>
      <c r="J352" s="664"/>
      <c r="K352" s="664"/>
      <c r="L352" s="664"/>
      <c r="M352" s="664"/>
      <c r="N352" s="664"/>
      <c r="O352" s="664"/>
      <c r="P352" s="664"/>
      <c r="Q352" s="664"/>
      <c r="R352" s="664"/>
      <c r="S352" s="664"/>
      <c r="T352" s="736"/>
      <c r="U352" s="736"/>
      <c r="V352" s="664"/>
      <c r="W352" s="664"/>
      <c r="X352" s="664"/>
      <c r="Y352" s="664"/>
      <c r="Z352" s="664"/>
      <c r="AA352" s="664"/>
      <c r="AB352" s="664"/>
      <c r="AC352" s="664"/>
      <c r="AD352" s="670"/>
    </row>
    <row r="353" spans="1:30">
      <c r="A353" s="670"/>
      <c r="B353" s="664"/>
      <c r="C353" s="664"/>
      <c r="D353" s="664"/>
      <c r="E353" s="664"/>
      <c r="F353" s="664"/>
      <c r="G353" s="664"/>
      <c r="H353" s="664"/>
      <c r="I353" s="664"/>
      <c r="J353" s="664"/>
      <c r="K353" s="664"/>
      <c r="L353" s="664"/>
      <c r="M353" s="664"/>
      <c r="N353" s="664"/>
      <c r="O353" s="664"/>
      <c r="P353" s="664"/>
      <c r="Q353" s="664"/>
      <c r="R353" s="664"/>
      <c r="S353" s="664"/>
      <c r="T353" s="736"/>
      <c r="U353" s="736"/>
      <c r="V353" s="664"/>
      <c r="W353" s="664"/>
      <c r="X353" s="664"/>
      <c r="Y353" s="664"/>
      <c r="Z353" s="664"/>
      <c r="AA353" s="664"/>
      <c r="AB353" s="664"/>
      <c r="AC353" s="664"/>
      <c r="AD353" s="670"/>
    </row>
    <row r="354" spans="1:30">
      <c r="A354" s="670"/>
      <c r="B354" s="664"/>
      <c r="C354" s="664"/>
      <c r="D354" s="664"/>
      <c r="E354" s="664"/>
      <c r="F354" s="664"/>
      <c r="G354" s="664"/>
      <c r="H354" s="664"/>
      <c r="I354" s="664"/>
      <c r="J354" s="664"/>
      <c r="K354" s="664"/>
      <c r="L354" s="664"/>
      <c r="M354" s="664"/>
      <c r="N354" s="664"/>
      <c r="O354" s="664"/>
      <c r="P354" s="664"/>
      <c r="Q354" s="664"/>
      <c r="R354" s="664"/>
      <c r="S354" s="664"/>
      <c r="T354" s="736"/>
      <c r="U354" s="736"/>
      <c r="V354" s="664"/>
      <c r="W354" s="664"/>
      <c r="X354" s="664"/>
      <c r="Y354" s="664"/>
      <c r="Z354" s="664"/>
      <c r="AA354" s="664"/>
      <c r="AB354" s="664"/>
      <c r="AC354" s="664"/>
      <c r="AD354" s="670"/>
    </row>
    <row r="355" spans="1:30">
      <c r="A355" s="670"/>
      <c r="B355" s="664"/>
      <c r="C355" s="664"/>
      <c r="D355" s="664"/>
      <c r="E355" s="664"/>
      <c r="F355" s="664"/>
      <c r="G355" s="664"/>
      <c r="H355" s="664"/>
      <c r="I355" s="664"/>
      <c r="J355" s="664"/>
      <c r="K355" s="664"/>
      <c r="L355" s="664"/>
      <c r="M355" s="664"/>
      <c r="N355" s="664"/>
      <c r="O355" s="664"/>
      <c r="P355" s="664"/>
      <c r="Q355" s="664"/>
      <c r="R355" s="664"/>
      <c r="S355" s="664"/>
      <c r="T355" s="736"/>
      <c r="U355" s="736"/>
      <c r="V355" s="664"/>
      <c r="W355" s="664"/>
      <c r="X355" s="664"/>
      <c r="Y355" s="664"/>
      <c r="Z355" s="664"/>
      <c r="AA355" s="664"/>
      <c r="AB355" s="664"/>
      <c r="AC355" s="664"/>
      <c r="AD355" s="670"/>
    </row>
    <row r="356" spans="1:30">
      <c r="A356" s="670"/>
      <c r="B356" s="664"/>
      <c r="C356" s="664"/>
      <c r="D356" s="664"/>
      <c r="E356" s="664"/>
      <c r="F356" s="664"/>
      <c r="G356" s="664"/>
      <c r="H356" s="664"/>
      <c r="I356" s="664"/>
      <c r="J356" s="664"/>
      <c r="K356" s="664"/>
      <c r="L356" s="664"/>
      <c r="M356" s="664"/>
      <c r="N356" s="664"/>
      <c r="O356" s="664"/>
      <c r="P356" s="664"/>
      <c r="Q356" s="664"/>
      <c r="R356" s="664"/>
      <c r="S356" s="664"/>
      <c r="T356" s="736"/>
      <c r="U356" s="736"/>
      <c r="V356" s="664"/>
      <c r="W356" s="664"/>
      <c r="X356" s="664"/>
      <c r="Y356" s="664"/>
      <c r="Z356" s="664"/>
      <c r="AA356" s="664"/>
      <c r="AB356" s="664"/>
      <c r="AC356" s="664"/>
      <c r="AD356" s="670"/>
    </row>
    <row r="357" spans="1:30">
      <c r="A357" s="670"/>
      <c r="B357" s="664"/>
      <c r="C357" s="664"/>
      <c r="D357" s="664"/>
      <c r="E357" s="664"/>
      <c r="F357" s="664"/>
      <c r="G357" s="664"/>
      <c r="H357" s="664"/>
      <c r="I357" s="664"/>
      <c r="J357" s="664"/>
      <c r="K357" s="664"/>
      <c r="L357" s="664"/>
      <c r="M357" s="664"/>
      <c r="N357" s="664"/>
      <c r="O357" s="664"/>
      <c r="P357" s="664"/>
      <c r="Q357" s="664"/>
      <c r="R357" s="664"/>
      <c r="S357" s="664"/>
      <c r="T357" s="736"/>
      <c r="U357" s="736"/>
      <c r="V357" s="664"/>
      <c r="W357" s="664"/>
      <c r="X357" s="664"/>
      <c r="Y357" s="664"/>
      <c r="Z357" s="664"/>
      <c r="AA357" s="664"/>
      <c r="AB357" s="664"/>
      <c r="AC357" s="664"/>
      <c r="AD357" s="670"/>
    </row>
    <row r="358" spans="1:30">
      <c r="A358" s="670"/>
      <c r="B358" s="664"/>
      <c r="C358" s="664"/>
      <c r="D358" s="664"/>
      <c r="E358" s="664"/>
      <c r="F358" s="664"/>
      <c r="G358" s="664"/>
      <c r="H358" s="664"/>
      <c r="I358" s="664"/>
      <c r="J358" s="664"/>
      <c r="K358" s="664"/>
      <c r="L358" s="664"/>
      <c r="M358" s="664"/>
      <c r="N358" s="664"/>
      <c r="O358" s="664"/>
      <c r="P358" s="664"/>
      <c r="Q358" s="664"/>
      <c r="R358" s="664"/>
      <c r="S358" s="664"/>
      <c r="T358" s="736"/>
      <c r="U358" s="736"/>
      <c r="V358" s="664"/>
      <c r="W358" s="664"/>
      <c r="X358" s="664"/>
      <c r="Y358" s="664"/>
      <c r="Z358" s="664"/>
      <c r="AA358" s="664"/>
      <c r="AB358" s="664"/>
      <c r="AC358" s="664"/>
      <c r="AD358" s="670"/>
    </row>
    <row r="359" spans="1:30">
      <c r="A359" s="670"/>
      <c r="B359" s="664"/>
      <c r="C359" s="664"/>
      <c r="D359" s="664"/>
      <c r="E359" s="664"/>
      <c r="F359" s="664"/>
      <c r="G359" s="664"/>
      <c r="H359" s="664"/>
      <c r="I359" s="664"/>
      <c r="J359" s="664"/>
      <c r="K359" s="664"/>
      <c r="L359" s="664"/>
      <c r="M359" s="664"/>
      <c r="N359" s="664"/>
      <c r="O359" s="664"/>
      <c r="P359" s="664"/>
      <c r="Q359" s="664"/>
      <c r="R359" s="664"/>
      <c r="S359" s="664"/>
      <c r="T359" s="736"/>
      <c r="U359" s="736"/>
      <c r="V359" s="664"/>
      <c r="W359" s="664"/>
      <c r="X359" s="664"/>
      <c r="Y359" s="664"/>
      <c r="Z359" s="664"/>
      <c r="AA359" s="664"/>
      <c r="AB359" s="664"/>
      <c r="AC359" s="664"/>
      <c r="AD359" s="670"/>
    </row>
    <row r="360" spans="1:30">
      <c r="A360" s="670"/>
      <c r="B360" s="664"/>
      <c r="C360" s="664"/>
      <c r="D360" s="664"/>
      <c r="E360" s="664"/>
      <c r="F360" s="664"/>
      <c r="G360" s="664"/>
      <c r="H360" s="664"/>
      <c r="I360" s="664"/>
      <c r="J360" s="664"/>
      <c r="K360" s="664"/>
      <c r="L360" s="664"/>
      <c r="M360" s="664"/>
      <c r="N360" s="664"/>
      <c r="O360" s="664"/>
      <c r="P360" s="664"/>
      <c r="Q360" s="664"/>
      <c r="R360" s="664"/>
      <c r="S360" s="664"/>
      <c r="T360" s="736"/>
      <c r="U360" s="736"/>
      <c r="V360" s="664"/>
      <c r="W360" s="664"/>
      <c r="X360" s="664"/>
      <c r="Y360" s="664"/>
      <c r="Z360" s="664"/>
      <c r="AA360" s="664"/>
      <c r="AB360" s="664"/>
      <c r="AC360" s="664"/>
      <c r="AD360" s="670"/>
    </row>
    <row r="361" spans="1:30">
      <c r="A361" s="670"/>
      <c r="B361" s="664"/>
      <c r="C361" s="664"/>
      <c r="D361" s="664"/>
      <c r="E361" s="664"/>
      <c r="F361" s="664"/>
      <c r="G361" s="664"/>
      <c r="H361" s="664"/>
      <c r="I361" s="664"/>
      <c r="J361" s="664"/>
      <c r="K361" s="664"/>
      <c r="L361" s="664"/>
      <c r="M361" s="664"/>
      <c r="N361" s="664"/>
      <c r="O361" s="664"/>
      <c r="P361" s="664"/>
      <c r="Q361" s="664"/>
      <c r="R361" s="664"/>
      <c r="S361" s="664"/>
      <c r="T361" s="736"/>
      <c r="U361" s="736"/>
      <c r="V361" s="664"/>
      <c r="W361" s="664"/>
      <c r="X361" s="664"/>
      <c r="Y361" s="664"/>
      <c r="Z361" s="664"/>
      <c r="AA361" s="664"/>
      <c r="AB361" s="664"/>
      <c r="AC361" s="664"/>
      <c r="AD361" s="670"/>
    </row>
    <row r="362" spans="1:30">
      <c r="A362" s="670"/>
      <c r="B362" s="664"/>
      <c r="C362" s="664"/>
      <c r="D362" s="664"/>
      <c r="E362" s="664"/>
      <c r="F362" s="664"/>
      <c r="G362" s="664"/>
      <c r="H362" s="664"/>
      <c r="I362" s="664"/>
      <c r="J362" s="664"/>
      <c r="K362" s="664"/>
      <c r="L362" s="664"/>
      <c r="M362" s="664"/>
      <c r="N362" s="664"/>
      <c r="O362" s="664"/>
      <c r="P362" s="664"/>
      <c r="Q362" s="664"/>
      <c r="R362" s="664"/>
      <c r="S362" s="664"/>
      <c r="T362" s="736"/>
      <c r="U362" s="736"/>
      <c r="V362" s="664"/>
      <c r="W362" s="664"/>
      <c r="X362" s="664"/>
      <c r="Y362" s="664"/>
      <c r="Z362" s="664"/>
      <c r="AA362" s="664"/>
      <c r="AB362" s="664"/>
      <c r="AC362" s="664"/>
      <c r="AD362" s="670"/>
    </row>
    <row r="363" spans="1:30">
      <c r="A363" s="670"/>
      <c r="B363" s="664"/>
      <c r="C363" s="664"/>
      <c r="D363" s="664"/>
      <c r="E363" s="664"/>
      <c r="F363" s="664"/>
      <c r="G363" s="664"/>
      <c r="H363" s="664"/>
      <c r="I363" s="664"/>
      <c r="J363" s="664"/>
      <c r="K363" s="664"/>
      <c r="L363" s="664"/>
      <c r="M363" s="664"/>
      <c r="N363" s="664"/>
      <c r="O363" s="664"/>
      <c r="P363" s="664"/>
      <c r="Q363" s="664"/>
      <c r="R363" s="664"/>
      <c r="S363" s="664"/>
      <c r="T363" s="736"/>
      <c r="U363" s="736"/>
      <c r="V363" s="664"/>
      <c r="W363" s="664"/>
      <c r="X363" s="664"/>
      <c r="Y363" s="664"/>
      <c r="Z363" s="664"/>
      <c r="AA363" s="664"/>
      <c r="AB363" s="664"/>
      <c r="AC363" s="664"/>
      <c r="AD363" s="670"/>
    </row>
    <row r="364" spans="1:30">
      <c r="A364" s="670"/>
      <c r="B364" s="664"/>
      <c r="C364" s="664"/>
      <c r="D364" s="664"/>
      <c r="E364" s="664"/>
      <c r="F364" s="664"/>
      <c r="G364" s="664"/>
      <c r="H364" s="664"/>
      <c r="I364" s="664"/>
      <c r="J364" s="664"/>
      <c r="K364" s="664"/>
      <c r="L364" s="664"/>
      <c r="M364" s="664"/>
      <c r="N364" s="664"/>
      <c r="O364" s="664"/>
      <c r="P364" s="664"/>
      <c r="Q364" s="664"/>
      <c r="R364" s="664"/>
      <c r="S364" s="664"/>
      <c r="T364" s="736"/>
      <c r="U364" s="736"/>
      <c r="V364" s="664"/>
      <c r="W364" s="664"/>
      <c r="X364" s="664"/>
      <c r="Y364" s="664"/>
      <c r="Z364" s="664"/>
      <c r="AA364" s="664"/>
      <c r="AB364" s="664"/>
      <c r="AC364" s="664"/>
      <c r="AD364" s="670"/>
    </row>
    <row r="365" spans="1:30">
      <c r="A365" s="670"/>
      <c r="B365" s="664"/>
      <c r="C365" s="664"/>
      <c r="D365" s="664"/>
      <c r="E365" s="664"/>
      <c r="F365" s="664"/>
      <c r="G365" s="664"/>
      <c r="H365" s="664"/>
      <c r="I365" s="664"/>
      <c r="J365" s="664"/>
      <c r="K365" s="664"/>
      <c r="L365" s="664"/>
      <c r="M365" s="664"/>
      <c r="N365" s="664"/>
      <c r="O365" s="664"/>
      <c r="P365" s="664"/>
      <c r="Q365" s="664"/>
      <c r="R365" s="664"/>
      <c r="S365" s="664"/>
      <c r="T365" s="736"/>
      <c r="U365" s="736"/>
      <c r="V365" s="664"/>
      <c r="W365" s="664"/>
      <c r="X365" s="664"/>
      <c r="Y365" s="664"/>
      <c r="Z365" s="664"/>
      <c r="AA365" s="664"/>
      <c r="AB365" s="664"/>
      <c r="AC365" s="664"/>
      <c r="AD365" s="670"/>
    </row>
    <row r="366" spans="1:30">
      <c r="A366" s="670"/>
      <c r="B366" s="664"/>
      <c r="C366" s="664"/>
      <c r="D366" s="664"/>
      <c r="E366" s="664"/>
      <c r="F366" s="664"/>
      <c r="G366" s="664"/>
      <c r="H366" s="664"/>
      <c r="I366" s="664"/>
      <c r="J366" s="664"/>
      <c r="K366" s="664"/>
      <c r="L366" s="664"/>
      <c r="M366" s="664"/>
      <c r="N366" s="664"/>
      <c r="O366" s="664"/>
      <c r="P366" s="664"/>
      <c r="Q366" s="664"/>
      <c r="R366" s="664"/>
      <c r="S366" s="664"/>
      <c r="T366" s="736"/>
      <c r="U366" s="736"/>
      <c r="V366" s="664"/>
      <c r="W366" s="664"/>
      <c r="X366" s="664"/>
      <c r="Y366" s="664"/>
      <c r="Z366" s="664"/>
      <c r="AA366" s="664"/>
      <c r="AB366" s="664"/>
      <c r="AC366" s="664"/>
      <c r="AD366" s="670"/>
    </row>
    <row r="367" spans="1:30">
      <c r="A367" s="670"/>
      <c r="B367" s="664"/>
      <c r="C367" s="664"/>
      <c r="D367" s="664"/>
      <c r="E367" s="664"/>
      <c r="F367" s="664"/>
      <c r="G367" s="664"/>
      <c r="H367" s="664"/>
      <c r="I367" s="664"/>
      <c r="J367" s="664"/>
      <c r="K367" s="664"/>
      <c r="L367" s="664"/>
      <c r="M367" s="664"/>
      <c r="N367" s="664"/>
      <c r="O367" s="664"/>
      <c r="P367" s="664"/>
      <c r="Q367" s="664"/>
      <c r="R367" s="664"/>
      <c r="S367" s="664"/>
      <c r="T367" s="736"/>
      <c r="U367" s="736"/>
      <c r="V367" s="664"/>
      <c r="W367" s="664"/>
      <c r="X367" s="664"/>
      <c r="Y367" s="664"/>
      <c r="Z367" s="664"/>
      <c r="AA367" s="664"/>
      <c r="AB367" s="664"/>
      <c r="AC367" s="664"/>
      <c r="AD367" s="670"/>
    </row>
    <row r="368" spans="1:30">
      <c r="A368" s="670"/>
      <c r="B368" s="664"/>
      <c r="C368" s="664"/>
      <c r="D368" s="664"/>
      <c r="E368" s="664"/>
      <c r="F368" s="664"/>
      <c r="G368" s="664"/>
      <c r="H368" s="664"/>
      <c r="I368" s="664"/>
      <c r="J368" s="664"/>
      <c r="K368" s="664"/>
      <c r="L368" s="664"/>
      <c r="M368" s="664"/>
      <c r="N368" s="664"/>
      <c r="O368" s="664"/>
      <c r="P368" s="664"/>
      <c r="Q368" s="664"/>
      <c r="R368" s="664"/>
      <c r="S368" s="664"/>
      <c r="T368" s="736"/>
      <c r="U368" s="736"/>
      <c r="V368" s="664"/>
      <c r="W368" s="664"/>
      <c r="X368" s="664"/>
      <c r="Y368" s="664"/>
      <c r="Z368" s="664"/>
      <c r="AA368" s="664"/>
      <c r="AB368" s="664"/>
      <c r="AC368" s="664"/>
      <c r="AD368" s="670"/>
    </row>
    <row r="369" spans="1:30">
      <c r="A369" s="670"/>
      <c r="B369" s="664"/>
      <c r="C369" s="664"/>
      <c r="D369" s="664"/>
      <c r="E369" s="664"/>
      <c r="F369" s="664"/>
      <c r="G369" s="664"/>
      <c r="H369" s="664"/>
      <c r="I369" s="664"/>
      <c r="J369" s="664"/>
      <c r="K369" s="664"/>
      <c r="L369" s="664"/>
      <c r="M369" s="664"/>
      <c r="N369" s="664"/>
      <c r="O369" s="664"/>
      <c r="P369" s="664"/>
      <c r="Q369" s="664"/>
      <c r="R369" s="664"/>
      <c r="S369" s="664"/>
      <c r="T369" s="736"/>
      <c r="U369" s="736"/>
      <c r="V369" s="664"/>
      <c r="W369" s="664"/>
      <c r="X369" s="664"/>
      <c r="Y369" s="664"/>
      <c r="Z369" s="664"/>
      <c r="AA369" s="664"/>
      <c r="AB369" s="664"/>
      <c r="AC369" s="664"/>
      <c r="AD369" s="670"/>
    </row>
    <row r="370" spans="1:30">
      <c r="A370" s="670"/>
      <c r="B370" s="664"/>
      <c r="C370" s="664"/>
      <c r="D370" s="664"/>
      <c r="E370" s="664"/>
      <c r="F370" s="664"/>
      <c r="G370" s="664"/>
      <c r="H370" s="664"/>
      <c r="I370" s="664"/>
      <c r="J370" s="664"/>
      <c r="K370" s="664"/>
      <c r="L370" s="664"/>
      <c r="M370" s="664"/>
      <c r="N370" s="664"/>
      <c r="O370" s="664"/>
      <c r="P370" s="664"/>
      <c r="Q370" s="664"/>
      <c r="R370" s="664"/>
      <c r="S370" s="664"/>
      <c r="T370" s="736"/>
      <c r="U370" s="736"/>
      <c r="V370" s="664"/>
      <c r="W370" s="664"/>
      <c r="X370" s="664"/>
      <c r="Y370" s="664"/>
      <c r="Z370" s="664"/>
      <c r="AA370" s="664"/>
      <c r="AB370" s="664"/>
      <c r="AC370" s="664"/>
      <c r="AD370" s="670"/>
    </row>
    <row r="371" spans="1:30">
      <c r="A371" s="670"/>
      <c r="B371" s="664"/>
      <c r="C371" s="664"/>
      <c r="D371" s="664"/>
      <c r="E371" s="664"/>
      <c r="F371" s="664"/>
      <c r="G371" s="664"/>
      <c r="H371" s="664"/>
      <c r="I371" s="664"/>
      <c r="J371" s="664"/>
      <c r="K371" s="664"/>
      <c r="L371" s="664"/>
      <c r="M371" s="664"/>
      <c r="N371" s="664"/>
      <c r="O371" s="664"/>
      <c r="P371" s="664"/>
      <c r="Q371" s="664"/>
      <c r="R371" s="664"/>
      <c r="S371" s="664"/>
      <c r="T371" s="736"/>
      <c r="U371" s="736"/>
      <c r="V371" s="664"/>
      <c r="W371" s="664"/>
      <c r="X371" s="664"/>
      <c r="Y371" s="664"/>
      <c r="Z371" s="664"/>
      <c r="AA371" s="664"/>
      <c r="AB371" s="664"/>
      <c r="AC371" s="664"/>
      <c r="AD371" s="670"/>
    </row>
    <row r="372" spans="1:30">
      <c r="A372" s="670"/>
      <c r="B372" s="664"/>
      <c r="C372" s="664"/>
      <c r="D372" s="664"/>
      <c r="E372" s="664"/>
      <c r="F372" s="664"/>
      <c r="G372" s="664"/>
      <c r="H372" s="664"/>
      <c r="I372" s="664"/>
      <c r="J372" s="664"/>
      <c r="K372" s="664"/>
      <c r="L372" s="664"/>
      <c r="M372" s="664"/>
      <c r="N372" s="664"/>
      <c r="O372" s="664"/>
      <c r="P372" s="664"/>
      <c r="Q372" s="664"/>
      <c r="R372" s="664"/>
      <c r="S372" s="664"/>
      <c r="T372" s="736"/>
      <c r="U372" s="736"/>
      <c r="V372" s="664"/>
      <c r="W372" s="664"/>
      <c r="X372" s="664"/>
      <c r="Y372" s="664"/>
      <c r="Z372" s="664"/>
      <c r="AA372" s="664"/>
      <c r="AB372" s="664"/>
      <c r="AC372" s="664"/>
      <c r="AD372" s="670"/>
    </row>
    <row r="373" spans="1:30">
      <c r="A373" s="670"/>
      <c r="B373" s="664"/>
      <c r="C373" s="664"/>
      <c r="D373" s="664"/>
      <c r="E373" s="664"/>
      <c r="F373" s="664"/>
      <c r="G373" s="664"/>
      <c r="H373" s="664"/>
      <c r="I373" s="664"/>
      <c r="J373" s="664"/>
      <c r="K373" s="664"/>
      <c r="L373" s="664"/>
      <c r="M373" s="664"/>
      <c r="N373" s="664"/>
      <c r="O373" s="664"/>
      <c r="P373" s="664"/>
      <c r="Q373" s="664"/>
      <c r="R373" s="664"/>
      <c r="S373" s="664"/>
      <c r="T373" s="736"/>
      <c r="U373" s="736"/>
      <c r="V373" s="664"/>
      <c r="W373" s="664"/>
      <c r="X373" s="664"/>
      <c r="Y373" s="664"/>
      <c r="Z373" s="664"/>
      <c r="AA373" s="664"/>
      <c r="AB373" s="664"/>
      <c r="AC373" s="664"/>
      <c r="AD373" s="670"/>
    </row>
    <row r="374" spans="1:30">
      <c r="A374" s="670"/>
      <c r="B374" s="664"/>
      <c r="C374" s="664"/>
      <c r="D374" s="664"/>
      <c r="E374" s="664"/>
      <c r="F374" s="664"/>
      <c r="G374" s="664"/>
      <c r="H374" s="664"/>
      <c r="I374" s="664"/>
      <c r="J374" s="664"/>
      <c r="K374" s="664"/>
      <c r="L374" s="664"/>
      <c r="M374" s="664"/>
      <c r="N374" s="664"/>
      <c r="O374" s="664"/>
      <c r="P374" s="664"/>
      <c r="Q374" s="664"/>
      <c r="R374" s="664"/>
      <c r="S374" s="664"/>
      <c r="T374" s="736"/>
      <c r="U374" s="736"/>
      <c r="V374" s="664"/>
      <c r="W374" s="664"/>
      <c r="X374" s="664"/>
      <c r="Y374" s="664"/>
      <c r="Z374" s="664"/>
      <c r="AA374" s="664"/>
      <c r="AB374" s="664"/>
      <c r="AC374" s="664"/>
      <c r="AD374" s="670"/>
    </row>
    <row r="375" spans="1:30">
      <c r="A375" s="670"/>
      <c r="B375" s="664"/>
      <c r="C375" s="664"/>
      <c r="D375" s="664"/>
      <c r="E375" s="664"/>
      <c r="F375" s="664"/>
      <c r="G375" s="664"/>
      <c r="H375" s="664"/>
      <c r="I375" s="664"/>
      <c r="J375" s="664"/>
      <c r="K375" s="664"/>
      <c r="L375" s="664"/>
      <c r="M375" s="664"/>
      <c r="N375" s="664"/>
      <c r="O375" s="664"/>
      <c r="P375" s="664"/>
      <c r="Q375" s="664"/>
      <c r="R375" s="664"/>
      <c r="S375" s="664"/>
      <c r="T375" s="736"/>
      <c r="U375" s="736"/>
      <c r="V375" s="664"/>
      <c r="W375" s="664"/>
      <c r="X375" s="664"/>
      <c r="Y375" s="664"/>
      <c r="Z375" s="664"/>
      <c r="AA375" s="664"/>
      <c r="AB375" s="664"/>
      <c r="AC375" s="664"/>
      <c r="AD375" s="670"/>
    </row>
    <row r="376" spans="1:30">
      <c r="A376" s="670"/>
      <c r="B376" s="664"/>
      <c r="C376" s="664"/>
      <c r="D376" s="664"/>
      <c r="E376" s="664"/>
      <c r="F376" s="664"/>
      <c r="G376" s="664"/>
      <c r="H376" s="664"/>
      <c r="I376" s="664"/>
      <c r="J376" s="664"/>
      <c r="K376" s="664"/>
      <c r="L376" s="664"/>
      <c r="M376" s="664"/>
      <c r="N376" s="664"/>
      <c r="O376" s="664"/>
      <c r="P376" s="664"/>
      <c r="Q376" s="664"/>
      <c r="R376" s="664"/>
      <c r="S376" s="664"/>
      <c r="T376" s="736"/>
      <c r="U376" s="736"/>
      <c r="V376" s="664"/>
      <c r="W376" s="664"/>
      <c r="X376" s="664"/>
      <c r="Y376" s="664"/>
      <c r="Z376" s="664"/>
      <c r="AA376" s="664"/>
      <c r="AB376" s="664"/>
      <c r="AC376" s="664"/>
      <c r="AD376" s="670"/>
    </row>
    <row r="377" spans="1:30">
      <c r="A377" s="670"/>
      <c r="B377" s="664"/>
      <c r="C377" s="664"/>
      <c r="D377" s="664"/>
      <c r="E377" s="664"/>
      <c r="F377" s="664"/>
      <c r="G377" s="664"/>
      <c r="H377" s="664"/>
      <c r="I377" s="664"/>
      <c r="J377" s="664"/>
      <c r="K377" s="664"/>
      <c r="L377" s="664"/>
      <c r="M377" s="664"/>
      <c r="N377" s="664"/>
      <c r="O377" s="664"/>
      <c r="P377" s="664"/>
      <c r="Q377" s="664"/>
      <c r="R377" s="664"/>
      <c r="S377" s="664"/>
      <c r="T377" s="736"/>
      <c r="U377" s="736"/>
      <c r="V377" s="664"/>
      <c r="W377" s="664"/>
      <c r="X377" s="664"/>
      <c r="Y377" s="664"/>
      <c r="Z377" s="664"/>
      <c r="AA377" s="664"/>
      <c r="AB377" s="664"/>
      <c r="AC377" s="664"/>
      <c r="AD377" s="670"/>
    </row>
    <row r="378" spans="1:30">
      <c r="A378" s="670"/>
      <c r="B378" s="664"/>
      <c r="C378" s="664"/>
      <c r="D378" s="664"/>
      <c r="E378" s="664"/>
      <c r="F378" s="664"/>
      <c r="G378" s="664"/>
      <c r="H378" s="664"/>
      <c r="I378" s="664"/>
      <c r="J378" s="664"/>
      <c r="K378" s="664"/>
      <c r="L378" s="664"/>
      <c r="M378" s="664"/>
      <c r="N378" s="664"/>
      <c r="O378" s="664"/>
      <c r="P378" s="664"/>
      <c r="Q378" s="664"/>
      <c r="R378" s="664"/>
      <c r="S378" s="664"/>
      <c r="T378" s="736"/>
      <c r="U378" s="736"/>
      <c r="V378" s="664"/>
      <c r="W378" s="664"/>
      <c r="X378" s="664"/>
      <c r="Y378" s="664"/>
      <c r="Z378" s="664"/>
      <c r="AA378" s="664"/>
      <c r="AB378" s="664"/>
      <c r="AC378" s="664"/>
      <c r="AD378" s="670"/>
    </row>
    <row r="379" spans="1:30">
      <c r="A379" s="670"/>
      <c r="B379" s="664"/>
      <c r="C379" s="664"/>
      <c r="D379" s="664"/>
      <c r="E379" s="664"/>
      <c r="F379" s="664"/>
      <c r="G379" s="664"/>
      <c r="H379" s="664"/>
      <c r="I379" s="664"/>
      <c r="J379" s="664"/>
      <c r="K379" s="664"/>
      <c r="L379" s="664"/>
      <c r="M379" s="664"/>
      <c r="N379" s="664"/>
      <c r="O379" s="664"/>
      <c r="P379" s="664"/>
      <c r="Q379" s="664"/>
      <c r="R379" s="664"/>
      <c r="S379" s="664"/>
      <c r="T379" s="736"/>
      <c r="U379" s="736"/>
      <c r="V379" s="664"/>
      <c r="W379" s="664"/>
      <c r="X379" s="664"/>
      <c r="Y379" s="664"/>
      <c r="Z379" s="664"/>
      <c r="AA379" s="664"/>
      <c r="AB379" s="664"/>
      <c r="AC379" s="664"/>
      <c r="AD379" s="670"/>
    </row>
    <row r="380" spans="1:30">
      <c r="A380" s="670"/>
      <c r="B380" s="664"/>
      <c r="C380" s="664"/>
      <c r="D380" s="664"/>
      <c r="E380" s="664"/>
      <c r="F380" s="664"/>
      <c r="G380" s="664"/>
      <c r="H380" s="664"/>
      <c r="I380" s="664"/>
      <c r="J380" s="664"/>
      <c r="K380" s="664"/>
      <c r="L380" s="664"/>
      <c r="M380" s="664"/>
      <c r="N380" s="664"/>
      <c r="O380" s="664"/>
      <c r="P380" s="664"/>
      <c r="Q380" s="664"/>
      <c r="R380" s="664"/>
      <c r="S380" s="664"/>
      <c r="T380" s="736"/>
      <c r="U380" s="736"/>
      <c r="V380" s="664"/>
      <c r="W380" s="664"/>
      <c r="X380" s="664"/>
      <c r="Y380" s="664"/>
      <c r="Z380" s="664"/>
      <c r="AA380" s="664"/>
      <c r="AB380" s="664"/>
      <c r="AC380" s="664"/>
      <c r="AD380" s="670"/>
    </row>
    <row r="381" spans="1:30">
      <c r="A381" s="670"/>
      <c r="B381" s="664"/>
      <c r="C381" s="664"/>
      <c r="D381" s="664"/>
      <c r="E381" s="664"/>
      <c r="F381" s="664"/>
      <c r="G381" s="664"/>
      <c r="H381" s="664"/>
      <c r="I381" s="664"/>
      <c r="J381" s="664"/>
      <c r="K381" s="664"/>
      <c r="L381" s="664"/>
      <c r="M381" s="664"/>
      <c r="N381" s="664"/>
      <c r="O381" s="664"/>
      <c r="P381" s="664"/>
      <c r="Q381" s="664"/>
      <c r="R381" s="664"/>
      <c r="S381" s="664"/>
      <c r="T381" s="736"/>
      <c r="U381" s="736"/>
      <c r="V381" s="664"/>
      <c r="W381" s="664"/>
      <c r="X381" s="664"/>
      <c r="Y381" s="664"/>
      <c r="Z381" s="664"/>
      <c r="AA381" s="664"/>
      <c r="AB381" s="664"/>
      <c r="AC381" s="664"/>
      <c r="AD381" s="670"/>
    </row>
    <row r="382" spans="1:30">
      <c r="A382" s="670"/>
      <c r="B382" s="664"/>
      <c r="C382" s="664"/>
      <c r="D382" s="664"/>
      <c r="E382" s="664"/>
      <c r="F382" s="664"/>
      <c r="G382" s="664"/>
      <c r="H382" s="664"/>
      <c r="I382" s="664"/>
      <c r="J382" s="664"/>
      <c r="K382" s="664"/>
      <c r="L382" s="664"/>
      <c r="M382" s="664"/>
      <c r="N382" s="664"/>
      <c r="O382" s="664"/>
      <c r="P382" s="664"/>
      <c r="Q382" s="664"/>
      <c r="R382" s="664"/>
      <c r="S382" s="664"/>
      <c r="T382" s="736"/>
      <c r="U382" s="736"/>
      <c r="V382" s="664"/>
      <c r="W382" s="664"/>
      <c r="X382" s="664"/>
      <c r="Y382" s="664"/>
      <c r="Z382" s="664"/>
      <c r="AA382" s="664"/>
      <c r="AB382" s="664"/>
      <c r="AC382" s="664"/>
      <c r="AD382" s="670"/>
    </row>
    <row r="383" spans="1:30">
      <c r="A383" s="670"/>
      <c r="B383" s="664"/>
      <c r="C383" s="664"/>
      <c r="D383" s="664"/>
      <c r="E383" s="664"/>
      <c r="F383" s="664"/>
      <c r="G383" s="664"/>
      <c r="H383" s="664"/>
      <c r="I383" s="664"/>
      <c r="J383" s="664"/>
      <c r="K383" s="664"/>
      <c r="L383" s="664"/>
      <c r="M383" s="664"/>
      <c r="N383" s="664"/>
      <c r="O383" s="664"/>
      <c r="P383" s="664"/>
      <c r="Q383" s="664"/>
      <c r="R383" s="664"/>
      <c r="S383" s="664"/>
      <c r="T383" s="736"/>
      <c r="U383" s="736"/>
      <c r="V383" s="664"/>
      <c r="W383" s="664"/>
      <c r="X383" s="664"/>
      <c r="Y383" s="664"/>
      <c r="Z383" s="664"/>
      <c r="AA383" s="664"/>
      <c r="AB383" s="664"/>
      <c r="AC383" s="664"/>
      <c r="AD383" s="670"/>
    </row>
    <row r="384" spans="1:30">
      <c r="A384" s="670"/>
      <c r="B384" s="664"/>
      <c r="C384" s="664"/>
      <c r="D384" s="664"/>
      <c r="E384" s="664"/>
      <c r="F384" s="664"/>
      <c r="G384" s="664"/>
      <c r="H384" s="664"/>
      <c r="I384" s="664"/>
      <c r="J384" s="664"/>
      <c r="K384" s="664"/>
      <c r="L384" s="664"/>
      <c r="M384" s="664"/>
      <c r="N384" s="664"/>
      <c r="O384" s="664"/>
      <c r="P384" s="664"/>
      <c r="Q384" s="664"/>
      <c r="R384" s="664"/>
      <c r="S384" s="664"/>
      <c r="T384" s="736"/>
      <c r="U384" s="736"/>
      <c r="V384" s="664"/>
      <c r="W384" s="664"/>
      <c r="X384" s="664"/>
      <c r="Y384" s="664"/>
      <c r="Z384" s="664"/>
      <c r="AA384" s="664"/>
      <c r="AB384" s="664"/>
      <c r="AC384" s="664"/>
      <c r="AD384" s="670"/>
    </row>
    <row r="385" spans="1:30">
      <c r="A385" s="670"/>
      <c r="B385" s="664"/>
      <c r="C385" s="664"/>
      <c r="D385" s="664"/>
      <c r="E385" s="664"/>
      <c r="F385" s="664"/>
      <c r="G385" s="664"/>
      <c r="H385" s="664"/>
      <c r="I385" s="664"/>
      <c r="J385" s="664"/>
      <c r="K385" s="664"/>
      <c r="L385" s="664"/>
      <c r="M385" s="664"/>
      <c r="N385" s="664"/>
      <c r="O385" s="664"/>
      <c r="P385" s="664"/>
      <c r="Q385" s="664"/>
      <c r="R385" s="664"/>
      <c r="S385" s="664"/>
      <c r="T385" s="736"/>
      <c r="U385" s="736"/>
      <c r="V385" s="664"/>
      <c r="W385" s="664"/>
      <c r="X385" s="664"/>
      <c r="Y385" s="664"/>
      <c r="Z385" s="664"/>
      <c r="AA385" s="664"/>
      <c r="AB385" s="664"/>
      <c r="AC385" s="664"/>
      <c r="AD385" s="670"/>
    </row>
    <row r="386" spans="1:30">
      <c r="A386" s="670"/>
      <c r="B386" s="664"/>
      <c r="C386" s="664"/>
      <c r="D386" s="664"/>
      <c r="E386" s="664"/>
      <c r="F386" s="664"/>
      <c r="G386" s="664"/>
      <c r="H386" s="664"/>
      <c r="I386" s="664"/>
      <c r="J386" s="664"/>
      <c r="K386" s="664"/>
      <c r="L386" s="664"/>
      <c r="M386" s="664"/>
      <c r="N386" s="664"/>
      <c r="O386" s="664"/>
      <c r="P386" s="664"/>
      <c r="Q386" s="664"/>
      <c r="R386" s="664"/>
      <c r="S386" s="664"/>
      <c r="T386" s="736"/>
      <c r="U386" s="736"/>
      <c r="V386" s="664"/>
      <c r="W386" s="664"/>
      <c r="X386" s="664"/>
      <c r="Y386" s="664"/>
      <c r="Z386" s="664"/>
      <c r="AA386" s="664"/>
      <c r="AB386" s="664"/>
      <c r="AC386" s="664"/>
      <c r="AD386" s="670"/>
    </row>
    <row r="387" spans="1:30">
      <c r="A387" s="670"/>
      <c r="B387" s="664"/>
      <c r="C387" s="664"/>
      <c r="D387" s="664"/>
      <c r="E387" s="664"/>
      <c r="F387" s="664"/>
      <c r="G387" s="664"/>
      <c r="H387" s="664"/>
      <c r="I387" s="664"/>
      <c r="J387" s="664"/>
      <c r="K387" s="664"/>
      <c r="L387" s="664"/>
      <c r="M387" s="664"/>
      <c r="N387" s="664"/>
      <c r="O387" s="664"/>
      <c r="P387" s="664"/>
      <c r="Q387" s="664"/>
      <c r="R387" s="664"/>
      <c r="S387" s="664"/>
      <c r="T387" s="736"/>
      <c r="U387" s="736"/>
      <c r="V387" s="664"/>
      <c r="W387" s="664"/>
      <c r="X387" s="664"/>
      <c r="Y387" s="664"/>
      <c r="Z387" s="664"/>
      <c r="AA387" s="664"/>
      <c r="AB387" s="664"/>
      <c r="AC387" s="664"/>
      <c r="AD387" s="670"/>
    </row>
    <row r="388" spans="1:30">
      <c r="A388" s="670"/>
      <c r="B388" s="664"/>
      <c r="C388" s="664"/>
      <c r="D388" s="664"/>
      <c r="E388" s="664"/>
      <c r="F388" s="664"/>
      <c r="G388" s="664"/>
      <c r="H388" s="664"/>
      <c r="I388" s="664"/>
      <c r="J388" s="664"/>
      <c r="K388" s="664"/>
      <c r="L388" s="664"/>
      <c r="M388" s="664"/>
      <c r="N388" s="664"/>
      <c r="O388" s="664"/>
      <c r="P388" s="664"/>
      <c r="Q388" s="664"/>
      <c r="R388" s="664"/>
      <c r="S388" s="664"/>
      <c r="T388" s="736"/>
      <c r="U388" s="736"/>
      <c r="V388" s="664"/>
      <c r="W388" s="664"/>
      <c r="X388" s="664"/>
      <c r="Y388" s="664"/>
      <c r="Z388" s="664"/>
      <c r="AA388" s="664"/>
      <c r="AB388" s="664"/>
      <c r="AC388" s="664"/>
      <c r="AD388" s="670"/>
    </row>
    <row r="389" spans="1:30">
      <c r="A389" s="670"/>
      <c r="B389" s="664"/>
      <c r="C389" s="664"/>
      <c r="D389" s="664"/>
      <c r="E389" s="664"/>
      <c r="F389" s="664"/>
      <c r="G389" s="664"/>
      <c r="H389" s="664"/>
      <c r="I389" s="664"/>
      <c r="J389" s="664"/>
      <c r="K389" s="664"/>
      <c r="L389" s="664"/>
      <c r="M389" s="664"/>
      <c r="N389" s="664"/>
      <c r="O389" s="664"/>
      <c r="P389" s="664"/>
      <c r="Q389" s="664"/>
      <c r="R389" s="664"/>
      <c r="S389" s="664"/>
      <c r="T389" s="736"/>
      <c r="U389" s="736"/>
      <c r="V389" s="664"/>
      <c r="W389" s="664"/>
      <c r="X389" s="664"/>
      <c r="Y389" s="664"/>
      <c r="Z389" s="664"/>
      <c r="AA389" s="664"/>
      <c r="AB389" s="664"/>
      <c r="AC389" s="664"/>
      <c r="AD389" s="670"/>
    </row>
    <row r="390" spans="1:30">
      <c r="A390" s="670"/>
      <c r="B390" s="664"/>
      <c r="C390" s="664"/>
      <c r="D390" s="664"/>
      <c r="E390" s="664"/>
      <c r="F390" s="664"/>
      <c r="G390" s="664"/>
      <c r="H390" s="664"/>
      <c r="I390" s="664"/>
      <c r="J390" s="664"/>
      <c r="K390" s="664"/>
      <c r="L390" s="664"/>
      <c r="M390" s="664"/>
      <c r="N390" s="664"/>
      <c r="O390" s="664"/>
      <c r="P390" s="664"/>
      <c r="Q390" s="664"/>
      <c r="R390" s="664"/>
      <c r="S390" s="664"/>
      <c r="T390" s="736"/>
      <c r="U390" s="736"/>
      <c r="V390" s="664"/>
      <c r="W390" s="664"/>
      <c r="X390" s="664"/>
      <c r="Y390" s="664"/>
      <c r="Z390" s="664"/>
      <c r="AA390" s="664"/>
      <c r="AB390" s="664"/>
      <c r="AC390" s="664"/>
      <c r="AD390" s="670"/>
    </row>
    <row r="391" spans="1:30">
      <c r="A391" s="670"/>
      <c r="B391" s="664"/>
      <c r="C391" s="664"/>
      <c r="D391" s="664"/>
      <c r="E391" s="664"/>
      <c r="F391" s="664"/>
      <c r="G391" s="664"/>
      <c r="H391" s="664"/>
      <c r="I391" s="664"/>
      <c r="J391" s="664"/>
      <c r="K391" s="664"/>
      <c r="L391" s="664"/>
      <c r="M391" s="664"/>
      <c r="N391" s="664"/>
      <c r="O391" s="664"/>
      <c r="P391" s="664"/>
      <c r="Q391" s="664"/>
      <c r="R391" s="664"/>
      <c r="S391" s="664"/>
      <c r="T391" s="736"/>
      <c r="U391" s="736"/>
      <c r="V391" s="664"/>
      <c r="W391" s="664"/>
      <c r="X391" s="664"/>
      <c r="Y391" s="664"/>
      <c r="Z391" s="664"/>
      <c r="AA391" s="664"/>
      <c r="AB391" s="664"/>
      <c r="AC391" s="664"/>
      <c r="AD391" s="670"/>
    </row>
    <row r="392" spans="1:30">
      <c r="A392" s="670"/>
      <c r="B392" s="664"/>
      <c r="C392" s="664"/>
      <c r="D392" s="664"/>
      <c r="E392" s="664"/>
      <c r="F392" s="664"/>
      <c r="G392" s="664"/>
      <c r="H392" s="664"/>
      <c r="I392" s="664"/>
      <c r="J392" s="664"/>
      <c r="K392" s="664"/>
      <c r="L392" s="664"/>
      <c r="M392" s="664"/>
      <c r="N392" s="664"/>
      <c r="O392" s="664"/>
      <c r="P392" s="664"/>
      <c r="Q392" s="664"/>
      <c r="R392" s="664"/>
      <c r="S392" s="664"/>
      <c r="T392" s="736"/>
      <c r="U392" s="736"/>
      <c r="V392" s="664"/>
      <c r="W392" s="664"/>
      <c r="X392" s="664"/>
      <c r="Y392" s="664"/>
      <c r="Z392" s="664"/>
      <c r="AA392" s="664"/>
      <c r="AB392" s="664"/>
      <c r="AC392" s="664"/>
      <c r="AD392" s="670"/>
    </row>
    <row r="393" spans="1:30">
      <c r="A393" s="670"/>
      <c r="B393" s="664"/>
      <c r="C393" s="664"/>
      <c r="D393" s="664"/>
      <c r="E393" s="664"/>
      <c r="F393" s="664"/>
      <c r="G393" s="664"/>
      <c r="H393" s="664"/>
      <c r="I393" s="664"/>
      <c r="J393" s="664"/>
      <c r="K393" s="664"/>
      <c r="L393" s="664"/>
      <c r="M393" s="664"/>
      <c r="N393" s="664"/>
      <c r="O393" s="664"/>
      <c r="P393" s="664"/>
      <c r="Q393" s="664"/>
      <c r="R393" s="664"/>
      <c r="S393" s="664"/>
      <c r="T393" s="736"/>
      <c r="U393" s="736"/>
      <c r="V393" s="664"/>
      <c r="W393" s="664"/>
      <c r="X393" s="664"/>
      <c r="Y393" s="664"/>
      <c r="Z393" s="664"/>
      <c r="AA393" s="664"/>
      <c r="AB393" s="664"/>
      <c r="AC393" s="664"/>
      <c r="AD393" s="670"/>
    </row>
    <row r="394" spans="1:30">
      <c r="A394" s="670"/>
      <c r="B394" s="664"/>
      <c r="C394" s="664"/>
      <c r="D394" s="664"/>
      <c r="E394" s="664"/>
      <c r="F394" s="664"/>
      <c r="G394" s="664"/>
      <c r="H394" s="664"/>
      <c r="I394" s="664"/>
      <c r="J394" s="664"/>
      <c r="K394" s="664"/>
      <c r="L394" s="664"/>
      <c r="M394" s="664"/>
      <c r="N394" s="664"/>
      <c r="O394" s="664"/>
      <c r="P394" s="664"/>
      <c r="Q394" s="664"/>
      <c r="R394" s="664"/>
      <c r="S394" s="664"/>
      <c r="T394" s="736"/>
      <c r="U394" s="736"/>
      <c r="V394" s="664"/>
      <c r="W394" s="664"/>
      <c r="X394" s="664"/>
      <c r="Y394" s="664"/>
      <c r="Z394" s="664"/>
      <c r="AA394" s="664"/>
      <c r="AB394" s="664"/>
      <c r="AC394" s="664"/>
      <c r="AD394" s="670"/>
    </row>
    <row r="395" spans="1:30">
      <c r="A395" s="670"/>
      <c r="B395" s="664"/>
      <c r="C395" s="664"/>
      <c r="D395" s="664"/>
      <c r="E395" s="664"/>
      <c r="F395" s="664"/>
      <c r="G395" s="664"/>
      <c r="H395" s="664"/>
      <c r="I395" s="664"/>
      <c r="J395" s="664"/>
      <c r="K395" s="664"/>
      <c r="L395" s="664"/>
      <c r="M395" s="664"/>
      <c r="N395" s="664"/>
      <c r="O395" s="664"/>
      <c r="P395" s="664"/>
      <c r="Q395" s="664"/>
      <c r="R395" s="664"/>
      <c r="S395" s="664"/>
      <c r="T395" s="736"/>
      <c r="U395" s="736"/>
      <c r="V395" s="664"/>
      <c r="W395" s="664"/>
      <c r="X395" s="664"/>
      <c r="Y395" s="664"/>
      <c r="Z395" s="664"/>
      <c r="AA395" s="664"/>
      <c r="AB395" s="664"/>
      <c r="AC395" s="664"/>
      <c r="AD395" s="670"/>
    </row>
    <row r="396" spans="1:30">
      <c r="A396" s="670"/>
      <c r="B396" s="664"/>
      <c r="C396" s="664"/>
      <c r="D396" s="664"/>
      <c r="E396" s="664"/>
      <c r="F396" s="664"/>
      <c r="G396" s="664"/>
      <c r="H396" s="664"/>
      <c r="I396" s="664"/>
      <c r="J396" s="664"/>
      <c r="K396" s="664"/>
      <c r="L396" s="664"/>
      <c r="M396" s="664"/>
      <c r="N396" s="664"/>
      <c r="O396" s="664"/>
      <c r="P396" s="664"/>
      <c r="Q396" s="664"/>
      <c r="R396" s="664"/>
      <c r="S396" s="664"/>
      <c r="T396" s="736"/>
      <c r="U396" s="736"/>
      <c r="V396" s="664"/>
      <c r="W396" s="664"/>
      <c r="X396" s="664"/>
      <c r="Y396" s="664"/>
      <c r="Z396" s="664"/>
      <c r="AA396" s="664"/>
      <c r="AB396" s="664"/>
      <c r="AC396" s="664"/>
      <c r="AD396" s="670"/>
    </row>
    <row r="397" spans="1:30">
      <c r="A397" s="670"/>
      <c r="B397" s="664"/>
      <c r="C397" s="664"/>
      <c r="D397" s="664"/>
      <c r="E397" s="664"/>
      <c r="F397" s="664"/>
      <c r="G397" s="664"/>
      <c r="H397" s="664"/>
      <c r="I397" s="664"/>
      <c r="J397" s="664"/>
      <c r="K397" s="664"/>
      <c r="L397" s="664"/>
      <c r="M397" s="664"/>
      <c r="N397" s="664"/>
      <c r="O397" s="664"/>
      <c r="P397" s="664"/>
      <c r="Q397" s="664"/>
      <c r="R397" s="664"/>
      <c r="S397" s="664"/>
      <c r="T397" s="736"/>
      <c r="U397" s="736"/>
      <c r="V397" s="664"/>
      <c r="W397" s="664"/>
      <c r="X397" s="664"/>
      <c r="Y397" s="664"/>
      <c r="Z397" s="664"/>
      <c r="AA397" s="664"/>
      <c r="AB397" s="664"/>
      <c r="AC397" s="664"/>
      <c r="AD397" s="670"/>
    </row>
    <row r="398" spans="1:30">
      <c r="A398" s="670"/>
      <c r="B398" s="664"/>
      <c r="C398" s="664"/>
      <c r="D398" s="664"/>
      <c r="E398" s="664"/>
      <c r="F398" s="664"/>
      <c r="G398" s="664"/>
      <c r="H398" s="664"/>
      <c r="I398" s="664"/>
      <c r="J398" s="664"/>
      <c r="K398" s="664"/>
      <c r="L398" s="664"/>
      <c r="M398" s="664"/>
      <c r="N398" s="664"/>
      <c r="O398" s="664"/>
      <c r="P398" s="664"/>
      <c r="Q398" s="664"/>
      <c r="R398" s="664"/>
      <c r="S398" s="664"/>
      <c r="T398" s="736"/>
      <c r="U398" s="736"/>
      <c r="V398" s="664"/>
      <c r="W398" s="664"/>
      <c r="X398" s="664"/>
      <c r="Y398" s="664"/>
      <c r="Z398" s="664"/>
      <c r="AA398" s="664"/>
      <c r="AB398" s="664"/>
      <c r="AC398" s="664"/>
      <c r="AD398" s="670"/>
    </row>
    <row r="399" spans="1:30">
      <c r="A399" s="670"/>
      <c r="B399" s="664"/>
      <c r="C399" s="664"/>
      <c r="D399" s="664"/>
      <c r="E399" s="664"/>
      <c r="F399" s="664"/>
      <c r="G399" s="664"/>
      <c r="H399" s="664"/>
      <c r="I399" s="664"/>
      <c r="J399" s="664"/>
      <c r="K399" s="664"/>
      <c r="L399" s="664"/>
      <c r="M399" s="664"/>
      <c r="N399" s="664"/>
      <c r="O399" s="664"/>
      <c r="P399" s="664"/>
      <c r="Q399" s="664"/>
      <c r="R399" s="664"/>
      <c r="S399" s="664"/>
      <c r="T399" s="736"/>
      <c r="U399" s="736"/>
      <c r="V399" s="664"/>
      <c r="W399" s="664"/>
      <c r="X399" s="664"/>
      <c r="Y399" s="664"/>
      <c r="Z399" s="664"/>
      <c r="AA399" s="664"/>
      <c r="AB399" s="664"/>
      <c r="AC399" s="664"/>
      <c r="AD399" s="670"/>
    </row>
    <row r="400" spans="1:30">
      <c r="A400" s="670"/>
      <c r="B400" s="664"/>
      <c r="C400" s="664"/>
      <c r="D400" s="664"/>
      <c r="E400" s="664"/>
      <c r="F400" s="664"/>
      <c r="G400" s="664"/>
      <c r="H400" s="664"/>
      <c r="I400" s="664"/>
      <c r="J400" s="664"/>
      <c r="K400" s="664"/>
      <c r="L400" s="664"/>
      <c r="M400" s="664"/>
      <c r="N400" s="664"/>
      <c r="O400" s="664"/>
      <c r="P400" s="664"/>
      <c r="Q400" s="664"/>
      <c r="R400" s="664"/>
      <c r="S400" s="664"/>
      <c r="T400" s="736"/>
      <c r="U400" s="736"/>
      <c r="V400" s="664"/>
      <c r="W400" s="664"/>
      <c r="X400" s="664"/>
      <c r="Y400" s="664"/>
      <c r="Z400" s="664"/>
      <c r="AA400" s="664"/>
      <c r="AB400" s="664"/>
      <c r="AC400" s="664"/>
      <c r="AD400" s="670"/>
    </row>
    <row r="401" spans="1:30">
      <c r="A401" s="670"/>
      <c r="B401" s="664"/>
      <c r="C401" s="664"/>
      <c r="D401" s="664"/>
      <c r="E401" s="664"/>
      <c r="F401" s="664"/>
      <c r="G401" s="664"/>
      <c r="H401" s="664"/>
      <c r="I401" s="664"/>
      <c r="J401" s="664"/>
      <c r="K401" s="664"/>
      <c r="L401" s="664"/>
      <c r="M401" s="664"/>
      <c r="N401" s="664"/>
      <c r="O401" s="664"/>
      <c r="P401" s="664"/>
      <c r="Q401" s="664"/>
      <c r="R401" s="664"/>
      <c r="S401" s="664"/>
      <c r="T401" s="736"/>
      <c r="U401" s="736"/>
      <c r="V401" s="664"/>
      <c r="W401" s="664"/>
      <c r="X401" s="664"/>
      <c r="Y401" s="664"/>
      <c r="Z401" s="664"/>
      <c r="AA401" s="664"/>
      <c r="AB401" s="664"/>
      <c r="AC401" s="664"/>
      <c r="AD401" s="670"/>
    </row>
    <row r="402" spans="1:30">
      <c r="A402" s="670"/>
      <c r="B402" s="664"/>
      <c r="C402" s="664"/>
      <c r="D402" s="664"/>
      <c r="E402" s="664"/>
      <c r="F402" s="664"/>
      <c r="G402" s="664"/>
      <c r="H402" s="664"/>
      <c r="I402" s="664"/>
      <c r="J402" s="664"/>
      <c r="K402" s="664"/>
      <c r="L402" s="664"/>
      <c r="M402" s="664"/>
      <c r="N402" s="664"/>
      <c r="O402" s="664"/>
      <c r="P402" s="664"/>
      <c r="Q402" s="664"/>
      <c r="R402" s="664"/>
      <c r="S402" s="664"/>
      <c r="T402" s="736"/>
      <c r="U402" s="736"/>
      <c r="V402" s="664"/>
      <c r="W402" s="664"/>
      <c r="X402" s="664"/>
      <c r="Y402" s="664"/>
      <c r="Z402" s="664"/>
      <c r="AA402" s="664"/>
      <c r="AB402" s="664"/>
      <c r="AC402" s="664"/>
      <c r="AD402" s="670"/>
    </row>
    <row r="403" spans="1:30">
      <c r="A403" s="670"/>
      <c r="B403" s="664"/>
      <c r="C403" s="664"/>
      <c r="D403" s="664"/>
      <c r="E403" s="664"/>
      <c r="F403" s="664"/>
      <c r="G403" s="664"/>
      <c r="H403" s="664"/>
      <c r="I403" s="664"/>
      <c r="J403" s="664"/>
      <c r="K403" s="664"/>
      <c r="L403" s="664"/>
      <c r="M403" s="664"/>
      <c r="N403" s="664"/>
      <c r="O403" s="664"/>
      <c r="P403" s="664"/>
      <c r="Q403" s="664"/>
      <c r="R403" s="664"/>
      <c r="S403" s="664"/>
      <c r="T403" s="736"/>
      <c r="U403" s="736"/>
      <c r="V403" s="664"/>
      <c r="W403" s="664"/>
      <c r="X403" s="664"/>
      <c r="Y403" s="664"/>
      <c r="Z403" s="664"/>
      <c r="AA403" s="664"/>
      <c r="AB403" s="664"/>
      <c r="AC403" s="664"/>
      <c r="AD403" s="670"/>
    </row>
    <row r="404" spans="1:30">
      <c r="A404" s="670"/>
      <c r="B404" s="664"/>
      <c r="C404" s="664"/>
      <c r="D404" s="664"/>
      <c r="E404" s="664"/>
      <c r="F404" s="664"/>
      <c r="G404" s="664"/>
      <c r="H404" s="664"/>
      <c r="I404" s="664"/>
      <c r="J404" s="664"/>
      <c r="K404" s="664"/>
      <c r="L404" s="664"/>
      <c r="M404" s="664"/>
      <c r="N404" s="664"/>
      <c r="O404" s="664"/>
      <c r="P404" s="664"/>
      <c r="Q404" s="664"/>
      <c r="R404" s="664"/>
      <c r="S404" s="664"/>
      <c r="T404" s="736"/>
      <c r="U404" s="736"/>
      <c r="V404" s="664"/>
      <c r="W404" s="664"/>
      <c r="X404" s="664"/>
      <c r="Y404" s="664"/>
      <c r="Z404" s="664"/>
      <c r="AA404" s="664"/>
      <c r="AB404" s="664"/>
      <c r="AC404" s="664"/>
      <c r="AD404" s="670"/>
    </row>
    <row r="405" spans="1:30">
      <c r="A405" s="670"/>
      <c r="B405" s="664"/>
      <c r="C405" s="664"/>
      <c r="D405" s="664"/>
      <c r="E405" s="664"/>
      <c r="F405" s="664"/>
      <c r="G405" s="664"/>
      <c r="H405" s="664"/>
      <c r="I405" s="664"/>
      <c r="J405" s="664"/>
      <c r="K405" s="664"/>
      <c r="L405" s="664"/>
      <c r="M405" s="664"/>
      <c r="N405" s="664"/>
      <c r="O405" s="664"/>
      <c r="P405" s="664"/>
      <c r="Q405" s="664"/>
      <c r="R405" s="664"/>
      <c r="S405" s="664"/>
      <c r="T405" s="736"/>
      <c r="U405" s="736"/>
      <c r="V405" s="664"/>
      <c r="W405" s="664"/>
      <c r="X405" s="664"/>
      <c r="Y405" s="664"/>
      <c r="Z405" s="664"/>
      <c r="AA405" s="664"/>
      <c r="AB405" s="664"/>
      <c r="AC405" s="664"/>
      <c r="AD405" s="670"/>
    </row>
    <row r="406" spans="1:30">
      <c r="A406" s="670"/>
      <c r="B406" s="664"/>
      <c r="C406" s="664"/>
      <c r="D406" s="664"/>
      <c r="E406" s="664"/>
      <c r="F406" s="664"/>
      <c r="G406" s="664"/>
      <c r="H406" s="664"/>
      <c r="I406" s="664"/>
      <c r="J406" s="664"/>
      <c r="K406" s="664"/>
      <c r="L406" s="664"/>
      <c r="M406" s="664"/>
      <c r="N406" s="664"/>
      <c r="O406" s="664"/>
      <c r="P406" s="664"/>
      <c r="Q406" s="664"/>
      <c r="R406" s="664"/>
      <c r="S406" s="664"/>
      <c r="T406" s="736"/>
      <c r="U406" s="736"/>
      <c r="V406" s="664"/>
      <c r="W406" s="664"/>
      <c r="X406" s="664"/>
      <c r="Y406" s="664"/>
      <c r="Z406" s="664"/>
      <c r="AA406" s="664"/>
      <c r="AB406" s="664"/>
      <c r="AC406" s="664"/>
      <c r="AD406" s="670"/>
    </row>
    <row r="407" spans="1:30">
      <c r="A407" s="670"/>
      <c r="B407" s="664"/>
      <c r="C407" s="664"/>
      <c r="D407" s="664"/>
      <c r="E407" s="664"/>
      <c r="F407" s="664"/>
      <c r="G407" s="664"/>
      <c r="H407" s="664"/>
      <c r="I407" s="664"/>
      <c r="J407" s="664"/>
      <c r="K407" s="664"/>
      <c r="L407" s="664"/>
      <c r="M407" s="664"/>
      <c r="N407" s="664"/>
      <c r="O407" s="664"/>
      <c r="P407" s="664"/>
      <c r="Q407" s="664"/>
      <c r="R407" s="664"/>
      <c r="S407" s="664"/>
      <c r="T407" s="736"/>
      <c r="U407" s="736"/>
      <c r="V407" s="664"/>
      <c r="W407" s="664"/>
      <c r="X407" s="664"/>
      <c r="Y407" s="664"/>
      <c r="Z407" s="664"/>
      <c r="AA407" s="664"/>
      <c r="AB407" s="664"/>
      <c r="AC407" s="664"/>
      <c r="AD407" s="670"/>
    </row>
    <row r="408" spans="1:30">
      <c r="A408" s="670"/>
      <c r="B408" s="664"/>
      <c r="C408" s="664"/>
      <c r="D408" s="664"/>
      <c r="E408" s="664"/>
      <c r="F408" s="664"/>
      <c r="G408" s="664"/>
      <c r="H408" s="664"/>
      <c r="I408" s="664"/>
      <c r="J408" s="664"/>
      <c r="K408" s="664"/>
      <c r="L408" s="664"/>
      <c r="M408" s="664"/>
      <c r="N408" s="664"/>
      <c r="O408" s="664"/>
      <c r="P408" s="664"/>
      <c r="Q408" s="664"/>
      <c r="R408" s="664"/>
      <c r="S408" s="664"/>
      <c r="T408" s="736"/>
      <c r="U408" s="736"/>
      <c r="V408" s="664"/>
      <c r="W408" s="664"/>
      <c r="X408" s="664"/>
      <c r="Y408" s="664"/>
      <c r="Z408" s="664"/>
      <c r="AA408" s="664"/>
      <c r="AB408" s="664"/>
      <c r="AC408" s="664"/>
      <c r="AD408" s="670"/>
    </row>
    <row r="409" spans="1:30">
      <c r="A409" s="670"/>
      <c r="B409" s="664"/>
      <c r="C409" s="664"/>
      <c r="D409" s="664"/>
      <c r="E409" s="664"/>
      <c r="F409" s="664"/>
      <c r="G409" s="664"/>
      <c r="H409" s="664"/>
      <c r="I409" s="664"/>
      <c r="J409" s="664"/>
      <c r="K409" s="664"/>
      <c r="L409" s="664"/>
      <c r="M409" s="664"/>
      <c r="N409" s="664"/>
      <c r="O409" s="664"/>
      <c r="P409" s="664"/>
      <c r="Q409" s="664"/>
      <c r="R409" s="664"/>
      <c r="S409" s="664"/>
      <c r="T409" s="736"/>
      <c r="U409" s="736"/>
      <c r="V409" s="664"/>
      <c r="W409" s="664"/>
      <c r="X409" s="664"/>
      <c r="Y409" s="664"/>
      <c r="Z409" s="664"/>
      <c r="AA409" s="664"/>
      <c r="AB409" s="664"/>
      <c r="AC409" s="664"/>
      <c r="AD409" s="670"/>
    </row>
    <row r="410" spans="1:30">
      <c r="A410" s="670"/>
      <c r="B410" s="664"/>
      <c r="C410" s="664"/>
      <c r="D410" s="664"/>
      <c r="E410" s="664"/>
      <c r="F410" s="664"/>
      <c r="G410" s="664"/>
      <c r="H410" s="664"/>
      <c r="I410" s="664"/>
      <c r="J410" s="664"/>
      <c r="K410" s="664"/>
      <c r="L410" s="664"/>
      <c r="M410" s="664"/>
      <c r="N410" s="664"/>
      <c r="O410" s="664"/>
      <c r="P410" s="664"/>
      <c r="Q410" s="664"/>
      <c r="R410" s="664"/>
      <c r="S410" s="664"/>
      <c r="T410" s="736"/>
      <c r="U410" s="736"/>
      <c r="V410" s="664"/>
      <c r="W410" s="664"/>
      <c r="X410" s="664"/>
      <c r="Y410" s="664"/>
      <c r="Z410" s="664"/>
      <c r="AA410" s="664"/>
      <c r="AB410" s="664"/>
      <c r="AC410" s="664"/>
      <c r="AD410" s="670"/>
    </row>
    <row r="411" spans="1:30">
      <c r="A411" s="670"/>
      <c r="B411" s="664"/>
      <c r="C411" s="664"/>
      <c r="D411" s="664"/>
      <c r="E411" s="664"/>
      <c r="F411" s="664"/>
      <c r="G411" s="664"/>
      <c r="H411" s="664"/>
      <c r="I411" s="664"/>
      <c r="J411" s="664"/>
      <c r="K411" s="664"/>
      <c r="L411" s="664"/>
      <c r="M411" s="664"/>
      <c r="N411" s="664"/>
      <c r="O411" s="664"/>
      <c r="P411" s="664"/>
      <c r="Q411" s="664"/>
      <c r="R411" s="664"/>
      <c r="S411" s="664"/>
      <c r="T411" s="736"/>
      <c r="U411" s="736"/>
      <c r="V411" s="664"/>
      <c r="W411" s="664"/>
      <c r="X411" s="664"/>
      <c r="Y411" s="664"/>
      <c r="Z411" s="664"/>
      <c r="AA411" s="664"/>
      <c r="AB411" s="664"/>
      <c r="AC411" s="664"/>
      <c r="AD411" s="670"/>
    </row>
    <row r="412" spans="1:30">
      <c r="A412" s="670"/>
      <c r="B412" s="664"/>
      <c r="C412" s="664"/>
      <c r="D412" s="664"/>
      <c r="E412" s="664"/>
      <c r="F412" s="664"/>
      <c r="G412" s="664"/>
      <c r="H412" s="664"/>
      <c r="I412" s="664"/>
      <c r="J412" s="664"/>
      <c r="K412" s="664"/>
      <c r="L412" s="664"/>
      <c r="M412" s="664"/>
      <c r="N412" s="664"/>
      <c r="O412" s="664"/>
      <c r="P412" s="664"/>
      <c r="Q412" s="664"/>
      <c r="R412" s="664"/>
      <c r="S412" s="664"/>
      <c r="T412" s="736"/>
      <c r="U412" s="736"/>
      <c r="V412" s="664"/>
      <c r="W412" s="664"/>
      <c r="X412" s="664"/>
      <c r="Y412" s="664"/>
      <c r="Z412" s="664"/>
      <c r="AA412" s="664"/>
      <c r="AB412" s="664"/>
      <c r="AC412" s="664"/>
      <c r="AD412" s="670"/>
    </row>
    <row r="413" spans="1:30">
      <c r="A413" s="670"/>
      <c r="B413" s="664"/>
      <c r="C413" s="664"/>
      <c r="D413" s="664"/>
      <c r="E413" s="664"/>
      <c r="F413" s="664"/>
      <c r="G413" s="664"/>
      <c r="H413" s="664"/>
      <c r="I413" s="664"/>
      <c r="J413" s="664"/>
      <c r="K413" s="664"/>
      <c r="L413" s="664"/>
      <c r="M413" s="664"/>
      <c r="N413" s="664"/>
      <c r="O413" s="664"/>
      <c r="P413" s="664"/>
      <c r="Q413" s="664"/>
      <c r="R413" s="664"/>
      <c r="S413" s="664"/>
      <c r="T413" s="736"/>
      <c r="U413" s="736"/>
      <c r="V413" s="664"/>
      <c r="W413" s="664"/>
      <c r="X413" s="664"/>
      <c r="Y413" s="664"/>
      <c r="Z413" s="664"/>
      <c r="AA413" s="664"/>
      <c r="AB413" s="664"/>
      <c r="AC413" s="664"/>
      <c r="AD413" s="670"/>
    </row>
    <row r="414" spans="1:30">
      <c r="A414" s="670"/>
      <c r="B414" s="664"/>
      <c r="C414" s="664"/>
      <c r="D414" s="664"/>
      <c r="E414" s="664"/>
      <c r="F414" s="664"/>
      <c r="G414" s="664"/>
      <c r="H414" s="664"/>
      <c r="I414" s="664"/>
      <c r="J414" s="664"/>
      <c r="K414" s="664"/>
      <c r="L414" s="664"/>
      <c r="M414" s="664"/>
      <c r="N414" s="664"/>
      <c r="O414" s="664"/>
      <c r="P414" s="664"/>
      <c r="Q414" s="664"/>
      <c r="R414" s="664"/>
      <c r="S414" s="664"/>
      <c r="T414" s="736"/>
      <c r="U414" s="736"/>
      <c r="V414" s="664"/>
      <c r="W414" s="664"/>
      <c r="X414" s="664"/>
      <c r="Y414" s="664"/>
      <c r="Z414" s="664"/>
      <c r="AA414" s="664"/>
      <c r="AB414" s="664"/>
      <c r="AC414" s="664"/>
      <c r="AD414" s="670"/>
    </row>
    <row r="415" spans="1:30">
      <c r="A415" s="670"/>
      <c r="B415" s="664"/>
      <c r="C415" s="664"/>
      <c r="D415" s="664"/>
      <c r="E415" s="664"/>
      <c r="F415" s="664"/>
      <c r="G415" s="664"/>
      <c r="H415" s="664"/>
      <c r="I415" s="664"/>
      <c r="J415" s="664"/>
      <c r="K415" s="664"/>
      <c r="L415" s="664"/>
      <c r="M415" s="664"/>
      <c r="N415" s="664"/>
      <c r="O415" s="664"/>
      <c r="P415" s="664"/>
      <c r="Q415" s="664"/>
      <c r="R415" s="664"/>
      <c r="S415" s="664"/>
      <c r="T415" s="736"/>
      <c r="U415" s="736"/>
      <c r="V415" s="664"/>
      <c r="W415" s="664"/>
      <c r="X415" s="664"/>
      <c r="Y415" s="664"/>
      <c r="Z415" s="664"/>
      <c r="AA415" s="664"/>
      <c r="AB415" s="664"/>
      <c r="AC415" s="664"/>
      <c r="AD415" s="670"/>
    </row>
    <row r="416" spans="1:30">
      <c r="A416" s="670"/>
      <c r="B416" s="664"/>
      <c r="C416" s="664"/>
      <c r="D416" s="664"/>
      <c r="E416" s="664"/>
      <c r="F416" s="664"/>
      <c r="G416" s="664"/>
      <c r="H416" s="664"/>
      <c r="I416" s="664"/>
      <c r="J416" s="664"/>
      <c r="K416" s="664"/>
      <c r="L416" s="664"/>
      <c r="M416" s="664"/>
      <c r="N416" s="664"/>
      <c r="O416" s="664"/>
      <c r="P416" s="664"/>
      <c r="Q416" s="664"/>
      <c r="R416" s="664"/>
      <c r="S416" s="664"/>
      <c r="T416" s="736"/>
      <c r="U416" s="736"/>
      <c r="V416" s="664"/>
      <c r="W416" s="664"/>
      <c r="X416" s="664"/>
      <c r="Y416" s="664"/>
      <c r="Z416" s="664"/>
      <c r="AA416" s="664"/>
      <c r="AB416" s="664"/>
      <c r="AC416" s="664"/>
      <c r="AD416" s="670"/>
    </row>
    <row r="417" spans="1:30">
      <c r="A417" s="670"/>
      <c r="B417" s="664"/>
      <c r="C417" s="664"/>
      <c r="D417" s="664"/>
      <c r="E417" s="664"/>
      <c r="F417" s="664"/>
      <c r="G417" s="664"/>
      <c r="H417" s="664"/>
      <c r="I417" s="664"/>
      <c r="J417" s="664"/>
      <c r="K417" s="664"/>
      <c r="L417" s="664"/>
      <c r="M417" s="664"/>
      <c r="N417" s="664"/>
      <c r="O417" s="664"/>
      <c r="P417" s="664"/>
      <c r="Q417" s="664"/>
      <c r="R417" s="664"/>
      <c r="S417" s="664"/>
      <c r="T417" s="736"/>
      <c r="U417" s="736"/>
      <c r="V417" s="664"/>
      <c r="W417" s="664"/>
      <c r="X417" s="664"/>
      <c r="Y417" s="664"/>
      <c r="Z417" s="664"/>
      <c r="AA417" s="664"/>
      <c r="AB417" s="664"/>
      <c r="AC417" s="664"/>
      <c r="AD417" s="670"/>
    </row>
    <row r="418" spans="1:30">
      <c r="A418" s="670"/>
      <c r="B418" s="664"/>
      <c r="C418" s="664"/>
      <c r="D418" s="664"/>
      <c r="E418" s="664"/>
      <c r="F418" s="664"/>
      <c r="G418" s="664"/>
      <c r="H418" s="664"/>
      <c r="I418" s="664"/>
      <c r="J418" s="664"/>
      <c r="K418" s="664"/>
      <c r="L418" s="664"/>
      <c r="M418" s="664"/>
      <c r="N418" s="664"/>
      <c r="O418" s="664"/>
      <c r="P418" s="664"/>
      <c r="Q418" s="664"/>
      <c r="R418" s="664"/>
      <c r="S418" s="664"/>
      <c r="T418" s="736"/>
      <c r="U418" s="736"/>
      <c r="V418" s="664"/>
      <c r="W418" s="664"/>
      <c r="X418" s="664"/>
      <c r="Y418" s="664"/>
      <c r="Z418" s="664"/>
      <c r="AA418" s="664"/>
      <c r="AB418" s="664"/>
      <c r="AC418" s="664"/>
      <c r="AD418" s="670"/>
    </row>
    <row r="419" spans="1:30">
      <c r="A419" s="670"/>
      <c r="B419" s="664"/>
      <c r="C419" s="664"/>
      <c r="D419" s="664"/>
      <c r="E419" s="664"/>
      <c r="F419" s="664"/>
      <c r="G419" s="664"/>
      <c r="H419" s="664"/>
      <c r="I419" s="664"/>
      <c r="J419" s="664"/>
      <c r="K419" s="664"/>
      <c r="L419" s="664"/>
      <c r="M419" s="664"/>
      <c r="N419" s="664"/>
      <c r="O419" s="664"/>
      <c r="P419" s="664"/>
      <c r="Q419" s="664"/>
      <c r="R419" s="664"/>
      <c r="S419" s="664"/>
      <c r="T419" s="736"/>
      <c r="U419" s="736"/>
      <c r="V419" s="664"/>
      <c r="W419" s="664"/>
      <c r="X419" s="664"/>
      <c r="Y419" s="664"/>
      <c r="Z419" s="664"/>
      <c r="AA419" s="664"/>
      <c r="AB419" s="664"/>
      <c r="AC419" s="664"/>
      <c r="AD419" s="670"/>
    </row>
    <row r="420" spans="1:30">
      <c r="A420" s="670"/>
      <c r="B420" s="664"/>
      <c r="C420" s="664"/>
      <c r="D420" s="664"/>
      <c r="E420" s="664"/>
      <c r="F420" s="664"/>
      <c r="G420" s="664"/>
      <c r="H420" s="664"/>
      <c r="I420" s="664"/>
      <c r="J420" s="664"/>
      <c r="K420" s="664"/>
      <c r="L420" s="664"/>
      <c r="M420" s="664"/>
      <c r="N420" s="664"/>
      <c r="O420" s="664"/>
      <c r="P420" s="664"/>
      <c r="Q420" s="664"/>
      <c r="R420" s="664"/>
      <c r="S420" s="664"/>
      <c r="T420" s="736"/>
      <c r="U420" s="736"/>
      <c r="V420" s="664"/>
      <c r="W420" s="664"/>
      <c r="X420" s="664"/>
      <c r="Y420" s="664"/>
      <c r="Z420" s="664"/>
      <c r="AA420" s="664"/>
      <c r="AB420" s="664"/>
      <c r="AC420" s="664"/>
      <c r="AD420" s="670"/>
    </row>
    <row r="421" spans="1:30">
      <c r="A421" s="670"/>
      <c r="B421" s="664"/>
      <c r="C421" s="664"/>
      <c r="D421" s="664"/>
      <c r="E421" s="664"/>
      <c r="F421" s="664"/>
      <c r="G421" s="664"/>
      <c r="H421" s="664"/>
      <c r="I421" s="664"/>
      <c r="J421" s="664"/>
      <c r="K421" s="664"/>
      <c r="L421" s="664"/>
      <c r="M421" s="664"/>
      <c r="N421" s="664"/>
      <c r="O421" s="664"/>
      <c r="P421" s="664"/>
      <c r="Q421" s="664"/>
      <c r="R421" s="664"/>
      <c r="S421" s="664"/>
      <c r="T421" s="736"/>
      <c r="U421" s="736"/>
      <c r="V421" s="664"/>
      <c r="W421" s="664"/>
      <c r="X421" s="664"/>
      <c r="Y421" s="664"/>
      <c r="Z421" s="664"/>
      <c r="AA421" s="664"/>
      <c r="AB421" s="664"/>
      <c r="AC421" s="664"/>
      <c r="AD421" s="670"/>
    </row>
    <row r="422" spans="1:30">
      <c r="A422" s="670"/>
      <c r="B422" s="664"/>
      <c r="C422" s="664"/>
      <c r="D422" s="664"/>
      <c r="E422" s="664"/>
      <c r="F422" s="664"/>
      <c r="G422" s="664"/>
      <c r="H422" s="664"/>
      <c r="I422" s="664"/>
      <c r="J422" s="664"/>
      <c r="K422" s="664"/>
      <c r="L422" s="664"/>
      <c r="M422" s="664"/>
      <c r="N422" s="664"/>
      <c r="O422" s="664"/>
      <c r="P422" s="664"/>
      <c r="Q422" s="664"/>
      <c r="R422" s="664"/>
      <c r="S422" s="664"/>
      <c r="T422" s="736"/>
      <c r="U422" s="736"/>
      <c r="V422" s="664"/>
      <c r="W422" s="664"/>
      <c r="X422" s="664"/>
      <c r="Y422" s="664"/>
      <c r="Z422" s="664"/>
      <c r="AA422" s="664"/>
      <c r="AB422" s="664"/>
      <c r="AC422" s="664"/>
      <c r="AD422" s="670"/>
    </row>
    <row r="423" spans="1:30">
      <c r="A423" s="670"/>
      <c r="B423" s="664"/>
      <c r="C423" s="664"/>
      <c r="D423" s="664"/>
      <c r="E423" s="664"/>
      <c r="F423" s="664"/>
      <c r="G423" s="664"/>
      <c r="H423" s="664"/>
      <c r="I423" s="664"/>
      <c r="J423" s="664"/>
      <c r="K423" s="664"/>
      <c r="L423" s="664"/>
      <c r="M423" s="664"/>
      <c r="N423" s="664"/>
      <c r="O423" s="664"/>
      <c r="P423" s="664"/>
      <c r="Q423" s="664"/>
      <c r="R423" s="664"/>
      <c r="S423" s="664"/>
      <c r="T423" s="736"/>
      <c r="U423" s="736"/>
      <c r="V423" s="664"/>
      <c r="W423" s="664"/>
      <c r="X423" s="664"/>
      <c r="Y423" s="664"/>
      <c r="Z423" s="664"/>
      <c r="AA423" s="664"/>
      <c r="AB423" s="664"/>
      <c r="AC423" s="664"/>
      <c r="AD423" s="670"/>
    </row>
    <row r="424" spans="1:30">
      <c r="A424" s="670"/>
      <c r="B424" s="664"/>
      <c r="C424" s="664"/>
      <c r="D424" s="664"/>
      <c r="E424" s="664"/>
      <c r="F424" s="664"/>
      <c r="G424" s="664"/>
      <c r="H424" s="664"/>
      <c r="I424" s="664"/>
      <c r="J424" s="664"/>
      <c r="K424" s="664"/>
      <c r="L424" s="664"/>
      <c r="M424" s="664"/>
      <c r="N424" s="664"/>
      <c r="O424" s="664"/>
      <c r="P424" s="664"/>
      <c r="Q424" s="664"/>
      <c r="R424" s="664"/>
      <c r="S424" s="664"/>
      <c r="T424" s="736"/>
      <c r="U424" s="736"/>
      <c r="V424" s="664"/>
      <c r="W424" s="664"/>
      <c r="X424" s="664"/>
      <c r="Y424" s="664"/>
      <c r="Z424" s="664"/>
      <c r="AA424" s="664"/>
      <c r="AB424" s="664"/>
      <c r="AC424" s="664"/>
      <c r="AD424" s="670"/>
    </row>
    <row r="425" spans="1:30">
      <c r="A425" s="670"/>
      <c r="B425" s="664"/>
      <c r="C425" s="664"/>
      <c r="D425" s="664"/>
      <c r="E425" s="664"/>
      <c r="F425" s="664"/>
      <c r="G425" s="664"/>
      <c r="H425" s="664"/>
      <c r="I425" s="664"/>
      <c r="J425" s="664"/>
      <c r="K425" s="664"/>
      <c r="L425" s="664"/>
      <c r="M425" s="664"/>
      <c r="N425" s="664"/>
      <c r="O425" s="664"/>
      <c r="P425" s="664"/>
      <c r="Q425" s="664"/>
      <c r="R425" s="664"/>
      <c r="S425" s="664"/>
      <c r="T425" s="736"/>
      <c r="U425" s="736"/>
      <c r="V425" s="664"/>
      <c r="W425" s="664"/>
      <c r="X425" s="664"/>
      <c r="Y425" s="664"/>
      <c r="Z425" s="664"/>
      <c r="AA425" s="664"/>
      <c r="AB425" s="664"/>
      <c r="AC425" s="664"/>
      <c r="AD425" s="670"/>
    </row>
    <row r="426" spans="1:30">
      <c r="A426" s="670"/>
      <c r="B426" s="664"/>
      <c r="C426" s="664"/>
      <c r="D426" s="664"/>
      <c r="E426" s="664"/>
      <c r="F426" s="664"/>
      <c r="G426" s="664"/>
      <c r="H426" s="664"/>
      <c r="I426" s="664"/>
      <c r="J426" s="664"/>
      <c r="K426" s="664"/>
      <c r="L426" s="664"/>
      <c r="M426" s="664"/>
      <c r="N426" s="664"/>
      <c r="O426" s="664"/>
      <c r="P426" s="664"/>
      <c r="Q426" s="664"/>
      <c r="R426" s="664"/>
      <c r="S426" s="664"/>
      <c r="T426" s="736"/>
      <c r="U426" s="736"/>
      <c r="V426" s="664"/>
      <c r="W426" s="664"/>
      <c r="X426" s="664"/>
      <c r="Y426" s="664"/>
      <c r="Z426" s="664"/>
      <c r="AA426" s="664"/>
      <c r="AB426" s="664"/>
      <c r="AC426" s="664"/>
      <c r="AD426" s="670"/>
    </row>
    <row r="427" spans="1:30">
      <c r="A427" s="670"/>
      <c r="B427" s="664"/>
      <c r="C427" s="664"/>
      <c r="D427" s="664"/>
      <c r="E427" s="664"/>
      <c r="F427" s="664"/>
      <c r="G427" s="664"/>
      <c r="H427" s="664"/>
      <c r="I427" s="664"/>
      <c r="J427" s="664"/>
      <c r="K427" s="664"/>
      <c r="L427" s="664"/>
      <c r="M427" s="664"/>
      <c r="N427" s="664"/>
      <c r="O427" s="664"/>
      <c r="P427" s="664"/>
      <c r="Q427" s="664"/>
      <c r="R427" s="664"/>
      <c r="S427" s="664"/>
      <c r="T427" s="736"/>
      <c r="U427" s="736"/>
      <c r="V427" s="664"/>
      <c r="W427" s="664"/>
      <c r="X427" s="664"/>
      <c r="Y427" s="664"/>
      <c r="Z427" s="664"/>
      <c r="AA427" s="664"/>
      <c r="AB427" s="664"/>
      <c r="AC427" s="664"/>
      <c r="AD427" s="670"/>
    </row>
    <row r="428" spans="1:30">
      <c r="A428" s="670"/>
      <c r="B428" s="664"/>
      <c r="C428" s="664"/>
      <c r="D428" s="664"/>
      <c r="E428" s="664"/>
      <c r="F428" s="664"/>
      <c r="G428" s="664"/>
      <c r="H428" s="664"/>
      <c r="I428" s="664"/>
      <c r="J428" s="664"/>
      <c r="K428" s="664"/>
      <c r="L428" s="664"/>
      <c r="M428" s="664"/>
      <c r="N428" s="664"/>
      <c r="O428" s="664"/>
      <c r="P428" s="664"/>
      <c r="Q428" s="664"/>
      <c r="R428" s="664"/>
      <c r="S428" s="664"/>
      <c r="T428" s="736"/>
      <c r="U428" s="736"/>
      <c r="V428" s="664"/>
      <c r="W428" s="664"/>
      <c r="X428" s="664"/>
      <c r="Y428" s="664"/>
      <c r="Z428" s="664"/>
      <c r="AA428" s="664"/>
      <c r="AB428" s="664"/>
      <c r="AC428" s="664"/>
      <c r="AD428" s="670"/>
    </row>
    <row r="429" spans="1:30">
      <c r="A429" s="670"/>
      <c r="B429" s="664"/>
      <c r="C429" s="664"/>
      <c r="D429" s="664"/>
      <c r="E429" s="664"/>
      <c r="F429" s="664"/>
      <c r="G429" s="664"/>
      <c r="H429" s="664"/>
      <c r="I429" s="664"/>
      <c r="J429" s="664"/>
      <c r="K429" s="664"/>
      <c r="L429" s="664"/>
      <c r="M429" s="664"/>
      <c r="N429" s="664"/>
      <c r="O429" s="664"/>
      <c r="P429" s="664"/>
      <c r="Q429" s="664"/>
      <c r="R429" s="664"/>
      <c r="S429" s="664"/>
      <c r="T429" s="736"/>
      <c r="U429" s="736"/>
      <c r="V429" s="664"/>
      <c r="W429" s="664"/>
      <c r="X429" s="664"/>
      <c r="Y429" s="664"/>
      <c r="Z429" s="664"/>
      <c r="AA429" s="664"/>
      <c r="AB429" s="664"/>
      <c r="AC429" s="664"/>
      <c r="AD429" s="670"/>
    </row>
    <row r="430" spans="1:30">
      <c r="A430" s="670"/>
      <c r="B430" s="664"/>
      <c r="C430" s="664"/>
      <c r="D430" s="664"/>
      <c r="E430" s="664"/>
      <c r="F430" s="664"/>
      <c r="G430" s="664"/>
      <c r="H430" s="664"/>
      <c r="I430" s="664"/>
      <c r="J430" s="664"/>
      <c r="K430" s="664"/>
      <c r="L430" s="664"/>
      <c r="M430" s="664"/>
      <c r="N430" s="664"/>
      <c r="O430" s="664"/>
      <c r="P430" s="664"/>
      <c r="Q430" s="664"/>
      <c r="R430" s="664"/>
      <c r="S430" s="664"/>
      <c r="T430" s="736"/>
      <c r="U430" s="736"/>
      <c r="V430" s="664"/>
      <c r="W430" s="664"/>
      <c r="X430" s="664"/>
      <c r="Y430" s="664"/>
      <c r="Z430" s="664"/>
      <c r="AA430" s="664"/>
      <c r="AB430" s="664"/>
      <c r="AC430" s="664"/>
      <c r="AD430" s="670"/>
    </row>
    <row r="431" spans="1:30">
      <c r="A431" s="670"/>
      <c r="B431" s="664"/>
      <c r="C431" s="664"/>
      <c r="D431" s="664"/>
      <c r="E431" s="664"/>
      <c r="F431" s="664"/>
      <c r="G431" s="664"/>
      <c r="H431" s="664"/>
      <c r="I431" s="664"/>
      <c r="J431" s="664"/>
      <c r="K431" s="664"/>
      <c r="L431" s="664"/>
      <c r="M431" s="664"/>
      <c r="N431" s="664"/>
      <c r="O431" s="664"/>
      <c r="P431" s="664"/>
      <c r="Q431" s="664"/>
      <c r="R431" s="664"/>
      <c r="S431" s="664"/>
      <c r="T431" s="736"/>
      <c r="U431" s="736"/>
      <c r="V431" s="664"/>
      <c r="W431" s="664"/>
      <c r="X431" s="664"/>
      <c r="Y431" s="664"/>
      <c r="Z431" s="664"/>
      <c r="AA431" s="664"/>
      <c r="AB431" s="664"/>
      <c r="AC431" s="664"/>
      <c r="AD431" s="670"/>
    </row>
    <row r="432" spans="1:30">
      <c r="A432" s="670"/>
      <c r="B432" s="664"/>
      <c r="C432" s="664"/>
      <c r="D432" s="664"/>
      <c r="E432" s="664"/>
      <c r="F432" s="664"/>
      <c r="G432" s="664"/>
      <c r="H432" s="664"/>
      <c r="I432" s="664"/>
      <c r="J432" s="664"/>
      <c r="K432" s="664"/>
      <c r="L432" s="664"/>
      <c r="M432" s="664"/>
      <c r="N432" s="664"/>
      <c r="O432" s="664"/>
      <c r="P432" s="664"/>
      <c r="Q432" s="664"/>
      <c r="R432" s="664"/>
      <c r="S432" s="664"/>
      <c r="T432" s="736"/>
      <c r="U432" s="736"/>
      <c r="V432" s="664"/>
      <c r="W432" s="664"/>
      <c r="X432" s="664"/>
      <c r="Y432" s="664"/>
      <c r="Z432" s="664"/>
      <c r="AA432" s="664"/>
      <c r="AB432" s="664"/>
      <c r="AC432" s="664"/>
      <c r="AD432" s="670"/>
    </row>
    <row r="433" spans="1:30">
      <c r="A433" s="670"/>
      <c r="B433" s="664"/>
      <c r="C433" s="664"/>
      <c r="D433" s="664"/>
      <c r="E433" s="664"/>
      <c r="F433" s="664"/>
      <c r="G433" s="664"/>
      <c r="H433" s="664"/>
      <c r="I433" s="664"/>
      <c r="J433" s="664"/>
      <c r="K433" s="664"/>
      <c r="L433" s="664"/>
      <c r="M433" s="664"/>
      <c r="N433" s="664"/>
      <c r="O433" s="664"/>
      <c r="P433" s="664"/>
      <c r="Q433" s="664"/>
      <c r="R433" s="664"/>
      <c r="S433" s="664"/>
      <c r="T433" s="736"/>
      <c r="U433" s="736"/>
      <c r="V433" s="664"/>
      <c r="W433" s="664"/>
      <c r="X433" s="664"/>
      <c r="Y433" s="664"/>
      <c r="Z433" s="664"/>
      <c r="AA433" s="664"/>
      <c r="AB433" s="664"/>
      <c r="AC433" s="664"/>
      <c r="AD433" s="670"/>
    </row>
    <row r="434" spans="1:30">
      <c r="A434" s="670"/>
      <c r="B434" s="664"/>
      <c r="C434" s="664"/>
      <c r="D434" s="664"/>
      <c r="E434" s="664"/>
      <c r="F434" s="664"/>
      <c r="G434" s="664"/>
      <c r="H434" s="664"/>
      <c r="I434" s="664"/>
      <c r="J434" s="664"/>
      <c r="K434" s="664"/>
      <c r="L434" s="664"/>
      <c r="M434" s="664"/>
      <c r="N434" s="664"/>
      <c r="O434" s="664"/>
      <c r="P434" s="664"/>
      <c r="Q434" s="664"/>
      <c r="R434" s="664"/>
      <c r="S434" s="664"/>
      <c r="T434" s="736"/>
      <c r="U434" s="736"/>
      <c r="V434" s="664"/>
      <c r="W434" s="664"/>
      <c r="X434" s="664"/>
      <c r="Y434" s="664"/>
      <c r="Z434" s="664"/>
      <c r="AA434" s="664"/>
      <c r="AB434" s="664"/>
      <c r="AC434" s="664"/>
      <c r="AD434" s="670"/>
    </row>
    <row r="435" spans="1:30">
      <c r="A435" s="670"/>
      <c r="B435" s="664"/>
      <c r="C435" s="664"/>
      <c r="D435" s="664"/>
      <c r="E435" s="664"/>
      <c r="F435" s="664"/>
      <c r="G435" s="664"/>
      <c r="H435" s="664"/>
      <c r="I435" s="664"/>
      <c r="J435" s="664"/>
      <c r="K435" s="664"/>
      <c r="L435" s="664"/>
      <c r="M435" s="664"/>
      <c r="N435" s="664"/>
      <c r="O435" s="664"/>
      <c r="P435" s="664"/>
      <c r="Q435" s="664"/>
      <c r="R435" s="664"/>
      <c r="S435" s="664"/>
      <c r="T435" s="736"/>
      <c r="U435" s="736"/>
      <c r="V435" s="664"/>
      <c r="W435" s="664"/>
      <c r="X435" s="664"/>
      <c r="Y435" s="664"/>
      <c r="Z435" s="664"/>
      <c r="AA435" s="664"/>
      <c r="AB435" s="664"/>
      <c r="AC435" s="664"/>
      <c r="AD435" s="670"/>
    </row>
    <row r="436" spans="1:30">
      <c r="A436" s="670"/>
      <c r="B436" s="664"/>
      <c r="C436" s="664"/>
      <c r="D436" s="664"/>
      <c r="E436" s="664"/>
      <c r="F436" s="664"/>
      <c r="G436" s="664"/>
      <c r="H436" s="664"/>
      <c r="I436" s="664"/>
      <c r="J436" s="664"/>
      <c r="K436" s="664"/>
      <c r="L436" s="664"/>
      <c r="M436" s="664"/>
      <c r="N436" s="664"/>
      <c r="O436" s="664"/>
      <c r="P436" s="664"/>
      <c r="Q436" s="664"/>
      <c r="R436" s="664"/>
      <c r="S436" s="664"/>
      <c r="T436" s="736"/>
      <c r="U436" s="736"/>
      <c r="V436" s="664"/>
      <c r="W436" s="664"/>
      <c r="X436" s="664"/>
      <c r="Y436" s="664"/>
      <c r="Z436" s="664"/>
      <c r="AA436" s="664"/>
      <c r="AB436" s="664"/>
      <c r="AC436" s="664"/>
      <c r="AD436" s="670"/>
    </row>
    <row r="437" spans="1:30">
      <c r="A437" s="670"/>
      <c r="B437" s="664"/>
      <c r="C437" s="664"/>
      <c r="D437" s="664"/>
      <c r="E437" s="664"/>
      <c r="F437" s="664"/>
      <c r="G437" s="664"/>
      <c r="H437" s="664"/>
      <c r="I437" s="664"/>
      <c r="J437" s="664"/>
      <c r="K437" s="664"/>
      <c r="L437" s="664"/>
      <c r="M437" s="664"/>
      <c r="N437" s="664"/>
      <c r="O437" s="664"/>
      <c r="P437" s="664"/>
      <c r="Q437" s="664"/>
      <c r="R437" s="664"/>
      <c r="S437" s="664"/>
      <c r="T437" s="736"/>
      <c r="U437" s="736"/>
      <c r="V437" s="664"/>
      <c r="W437" s="664"/>
      <c r="X437" s="664"/>
      <c r="Y437" s="664"/>
      <c r="Z437" s="664"/>
      <c r="AA437" s="664"/>
      <c r="AB437" s="664"/>
      <c r="AC437" s="664"/>
      <c r="AD437" s="670"/>
    </row>
    <row r="438" spans="1:30">
      <c r="A438" s="670"/>
      <c r="B438" s="664"/>
      <c r="C438" s="664"/>
      <c r="D438" s="664"/>
      <c r="E438" s="664"/>
      <c r="F438" s="664"/>
      <c r="G438" s="664"/>
      <c r="H438" s="664"/>
      <c r="I438" s="664"/>
      <c r="J438" s="664"/>
      <c r="K438" s="664"/>
      <c r="L438" s="664"/>
      <c r="M438" s="664"/>
      <c r="N438" s="664"/>
      <c r="O438" s="664"/>
      <c r="P438" s="664"/>
      <c r="Q438" s="664"/>
      <c r="R438" s="664"/>
      <c r="S438" s="664"/>
      <c r="T438" s="736"/>
      <c r="U438" s="736"/>
      <c r="V438" s="664"/>
      <c r="W438" s="664"/>
      <c r="X438" s="664"/>
      <c r="Y438" s="664"/>
      <c r="Z438" s="664"/>
      <c r="AA438" s="664"/>
      <c r="AB438" s="664"/>
      <c r="AC438" s="664"/>
      <c r="AD438" s="670"/>
    </row>
    <row r="439" spans="1:30">
      <c r="A439" s="670"/>
      <c r="B439" s="664"/>
      <c r="C439" s="664"/>
      <c r="D439" s="664"/>
      <c r="E439" s="664"/>
      <c r="F439" s="664"/>
      <c r="G439" s="664"/>
      <c r="H439" s="664"/>
      <c r="I439" s="664"/>
      <c r="J439" s="664"/>
      <c r="K439" s="664"/>
      <c r="L439" s="664"/>
      <c r="M439" s="664"/>
      <c r="N439" s="664"/>
      <c r="O439" s="664"/>
      <c r="P439" s="664"/>
      <c r="Q439" s="664"/>
      <c r="R439" s="664"/>
      <c r="S439" s="664"/>
      <c r="T439" s="736"/>
      <c r="U439" s="736"/>
      <c r="V439" s="664"/>
      <c r="W439" s="664"/>
      <c r="X439" s="664"/>
      <c r="Y439" s="664"/>
      <c r="Z439" s="664"/>
      <c r="AA439" s="664"/>
      <c r="AB439" s="664"/>
      <c r="AC439" s="664"/>
      <c r="AD439" s="670"/>
    </row>
    <row r="440" spans="1:30">
      <c r="A440" s="670"/>
      <c r="B440" s="664"/>
      <c r="C440" s="664"/>
      <c r="D440" s="664"/>
      <c r="E440" s="664"/>
      <c r="F440" s="664"/>
      <c r="G440" s="664"/>
      <c r="H440" s="664"/>
      <c r="I440" s="664"/>
      <c r="J440" s="664"/>
      <c r="K440" s="664"/>
      <c r="L440" s="664"/>
      <c r="M440" s="664"/>
      <c r="N440" s="664"/>
      <c r="O440" s="664"/>
      <c r="P440" s="664"/>
      <c r="Q440" s="664"/>
      <c r="R440" s="664"/>
      <c r="S440" s="664"/>
      <c r="T440" s="736"/>
      <c r="U440" s="736"/>
      <c r="V440" s="664"/>
      <c r="W440" s="664"/>
      <c r="X440" s="664"/>
      <c r="Y440" s="664"/>
      <c r="Z440" s="664"/>
      <c r="AA440" s="664"/>
      <c r="AB440" s="664"/>
      <c r="AC440" s="664"/>
      <c r="AD440" s="670"/>
    </row>
    <row r="441" spans="1:30">
      <c r="A441" s="670"/>
      <c r="B441" s="664"/>
      <c r="C441" s="664"/>
      <c r="D441" s="664"/>
      <c r="E441" s="664"/>
      <c r="F441" s="664"/>
      <c r="G441" s="664"/>
      <c r="H441" s="664"/>
      <c r="I441" s="664"/>
      <c r="J441" s="664"/>
      <c r="K441" s="664"/>
      <c r="L441" s="664"/>
      <c r="M441" s="664"/>
      <c r="N441" s="664"/>
      <c r="O441" s="664"/>
      <c r="P441" s="664"/>
      <c r="Q441" s="664"/>
      <c r="R441" s="664"/>
      <c r="S441" s="664"/>
      <c r="T441" s="736"/>
      <c r="U441" s="736"/>
      <c r="V441" s="664"/>
      <c r="W441" s="664"/>
      <c r="X441" s="664"/>
      <c r="Y441" s="664"/>
      <c r="Z441" s="664"/>
      <c r="AA441" s="664"/>
      <c r="AB441" s="664"/>
      <c r="AC441" s="664"/>
      <c r="AD441" s="670"/>
    </row>
    <row r="442" spans="1:30">
      <c r="A442" s="670"/>
      <c r="B442" s="664"/>
      <c r="C442" s="664"/>
      <c r="D442" s="664"/>
      <c r="E442" s="664"/>
      <c r="F442" s="664"/>
      <c r="G442" s="664"/>
      <c r="H442" s="664"/>
      <c r="I442" s="664"/>
      <c r="J442" s="664"/>
      <c r="K442" s="664"/>
      <c r="L442" s="664"/>
      <c r="M442" s="664"/>
      <c r="N442" s="664"/>
      <c r="O442" s="664"/>
      <c r="P442" s="664"/>
      <c r="Q442" s="664"/>
      <c r="R442" s="664"/>
      <c r="S442" s="664"/>
      <c r="T442" s="736"/>
      <c r="U442" s="736"/>
      <c r="V442" s="664"/>
      <c r="W442" s="664"/>
      <c r="X442" s="664"/>
      <c r="Y442" s="664"/>
      <c r="Z442" s="664"/>
      <c r="AA442" s="664"/>
      <c r="AB442" s="664"/>
      <c r="AC442" s="664"/>
      <c r="AD442" s="670"/>
    </row>
    <row r="443" spans="1:30">
      <c r="A443" s="670"/>
      <c r="B443" s="664"/>
      <c r="C443" s="664"/>
      <c r="D443" s="664"/>
      <c r="E443" s="664"/>
      <c r="F443" s="664"/>
      <c r="G443" s="664"/>
      <c r="H443" s="664"/>
      <c r="I443" s="664"/>
      <c r="J443" s="664"/>
      <c r="K443" s="664"/>
      <c r="L443" s="664"/>
      <c r="M443" s="664"/>
      <c r="N443" s="664"/>
      <c r="O443" s="664"/>
      <c r="P443" s="664"/>
      <c r="Q443" s="664"/>
      <c r="R443" s="664"/>
      <c r="S443" s="664"/>
      <c r="T443" s="736"/>
      <c r="U443" s="736"/>
      <c r="V443" s="664"/>
      <c r="W443" s="664"/>
      <c r="X443" s="664"/>
      <c r="Y443" s="664"/>
      <c r="Z443" s="664"/>
      <c r="AA443" s="664"/>
      <c r="AB443" s="664"/>
      <c r="AC443" s="664"/>
      <c r="AD443" s="670"/>
    </row>
    <row r="444" spans="1:30">
      <c r="A444" s="670"/>
      <c r="B444" s="664"/>
      <c r="C444" s="664"/>
      <c r="D444" s="664"/>
      <c r="E444" s="664"/>
      <c r="F444" s="664"/>
      <c r="G444" s="664"/>
      <c r="H444" s="664"/>
      <c r="I444" s="664"/>
      <c r="J444" s="664"/>
      <c r="K444" s="664"/>
      <c r="L444" s="664"/>
      <c r="M444" s="664"/>
      <c r="N444" s="664"/>
      <c r="O444" s="664"/>
      <c r="P444" s="664"/>
      <c r="Q444" s="664"/>
      <c r="R444" s="664"/>
      <c r="S444" s="664"/>
      <c r="T444" s="736"/>
      <c r="U444" s="736"/>
      <c r="V444" s="664"/>
      <c r="W444" s="664"/>
      <c r="X444" s="664"/>
      <c r="Y444" s="664"/>
      <c r="Z444" s="664"/>
      <c r="AA444" s="664"/>
      <c r="AB444" s="664"/>
      <c r="AC444" s="664"/>
      <c r="AD444" s="670"/>
    </row>
    <row r="445" spans="1:30">
      <c r="A445" s="670"/>
      <c r="B445" s="664"/>
      <c r="C445" s="664"/>
      <c r="D445" s="664"/>
      <c r="E445" s="664"/>
      <c r="F445" s="664"/>
      <c r="G445" s="664"/>
      <c r="H445" s="664"/>
      <c r="I445" s="664"/>
      <c r="J445" s="664"/>
      <c r="K445" s="664"/>
      <c r="L445" s="664"/>
      <c r="M445" s="664"/>
      <c r="N445" s="664"/>
      <c r="O445" s="664"/>
      <c r="P445" s="664"/>
      <c r="Q445" s="664"/>
      <c r="R445" s="664"/>
      <c r="S445" s="664"/>
      <c r="T445" s="736"/>
      <c r="U445" s="736"/>
      <c r="V445" s="664"/>
      <c r="W445" s="664"/>
      <c r="X445" s="664"/>
      <c r="Y445" s="664"/>
      <c r="Z445" s="664"/>
      <c r="AA445" s="664"/>
      <c r="AB445" s="664"/>
      <c r="AC445" s="664"/>
      <c r="AD445" s="670"/>
    </row>
    <row r="446" spans="1:30">
      <c r="A446" s="670"/>
      <c r="B446" s="664"/>
      <c r="C446" s="664"/>
      <c r="D446" s="664"/>
      <c r="E446" s="664"/>
      <c r="F446" s="664"/>
      <c r="G446" s="664"/>
      <c r="H446" s="664"/>
      <c r="I446" s="664"/>
      <c r="J446" s="664"/>
      <c r="K446" s="664"/>
      <c r="L446" s="664"/>
      <c r="M446" s="664"/>
      <c r="N446" s="664"/>
      <c r="O446" s="664"/>
      <c r="P446" s="664"/>
      <c r="Q446" s="664"/>
      <c r="R446" s="664"/>
      <c r="S446" s="664"/>
      <c r="T446" s="736"/>
      <c r="U446" s="736"/>
      <c r="V446" s="664"/>
      <c r="W446" s="664"/>
      <c r="X446" s="664"/>
      <c r="Y446" s="664"/>
      <c r="Z446" s="664"/>
      <c r="AA446" s="664"/>
      <c r="AB446" s="664"/>
      <c r="AC446" s="664"/>
      <c r="AD446" s="670"/>
    </row>
    <row r="447" spans="1:30">
      <c r="A447" s="670"/>
      <c r="B447" s="664"/>
      <c r="C447" s="664"/>
      <c r="D447" s="664"/>
      <c r="E447" s="664"/>
      <c r="F447" s="664"/>
      <c r="G447" s="664"/>
      <c r="H447" s="664"/>
      <c r="I447" s="664"/>
      <c r="J447" s="664"/>
      <c r="K447" s="664"/>
      <c r="AC447" s="664"/>
      <c r="AD447" s="670"/>
    </row>
  </sheetData>
  <sheetProtection sheet="1" objects="1" scenarios="1"/>
  <sortState ref="A13:CO90">
    <sortCondition descending="1" ref="V13:V90"/>
  </sortState>
  <phoneticPr fontId="83" type="noConversion"/>
  <conditionalFormatting sqref="X12 X92:X154 X15:X88">
    <cfRule type="cellIs" dxfId="302" priority="50" operator="lessThan">
      <formula>0.01</formula>
    </cfRule>
    <cfRule type="cellIs" dxfId="301" priority="51" operator="greaterThan">
      <formula>0.01</formula>
    </cfRule>
  </conditionalFormatting>
  <conditionalFormatting sqref="AA92:AA154 AA15:AA88">
    <cfRule type="cellIs" dxfId="300" priority="48" operator="lessThan">
      <formula>-0.01</formula>
    </cfRule>
    <cfRule type="cellIs" dxfId="299" priority="49" operator="greaterThan">
      <formula>0.01</formula>
    </cfRule>
  </conditionalFormatting>
  <conditionalFormatting sqref="BA6">
    <cfRule type="iconSet" priority="39">
      <iconSet iconSet="3Symbols" reverse="1">
        <cfvo type="percent" val="0"/>
        <cfvo type="num" val="0.33"/>
        <cfvo type="num" val="0.35"/>
      </iconSet>
    </cfRule>
  </conditionalFormatting>
  <conditionalFormatting sqref="K161">
    <cfRule type="iconSet" priority="24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298" priority="22" operator="lessThan">
      <formula>0.01</formula>
    </cfRule>
    <cfRule type="cellIs" dxfId="297" priority="23" operator="greaterThan">
      <formula>0.01</formula>
    </cfRule>
  </conditionalFormatting>
  <conditionalFormatting sqref="AA13:AA14">
    <cfRule type="cellIs" dxfId="296" priority="20" operator="lessThan">
      <formula>-0.01</formula>
    </cfRule>
    <cfRule type="cellIs" dxfId="295" priority="21" operator="greaterThan">
      <formula>0.01</formula>
    </cfRule>
  </conditionalFormatting>
  <conditionalFormatting pivot="1" sqref="B175:B226">
    <cfRule type="cellIs" dxfId="294" priority="18" operator="greaterThan">
      <formula>0.049</formula>
    </cfRule>
  </conditionalFormatting>
  <conditionalFormatting sqref="A91:A106 A108:A142 A13:A31 A33:A88">
    <cfRule type="duplicateValues" dxfId="293" priority="884"/>
  </conditionalFormatting>
  <conditionalFormatting sqref="AC107:AI107">
    <cfRule type="cellIs" dxfId="292" priority="9" operator="lessThan">
      <formula>-0.01</formula>
    </cfRule>
    <cfRule type="cellIs" dxfId="291" priority="10" operator="greaterThan">
      <formula>0.01</formula>
    </cfRule>
  </conditionalFormatting>
  <conditionalFormatting sqref="X89:X91">
    <cfRule type="cellIs" dxfId="290" priority="13" operator="lessThan">
      <formula>0.01</formula>
    </cfRule>
    <cfRule type="cellIs" dxfId="289" priority="14" operator="greaterThan">
      <formula>0.01</formula>
    </cfRule>
  </conditionalFormatting>
  <conditionalFormatting sqref="AA89:AA91">
    <cfRule type="cellIs" dxfId="288" priority="11" operator="lessThan">
      <formula>-0.01</formula>
    </cfRule>
    <cfRule type="cellIs" dxfId="287" priority="12" operator="greaterThan">
      <formula>0.01</formula>
    </cfRule>
  </conditionalFormatting>
  <conditionalFormatting sqref="A90">
    <cfRule type="duplicateValues" dxfId="286" priority="8"/>
  </conditionalFormatting>
  <conditionalFormatting sqref="A32">
    <cfRule type="duplicateValues" dxfId="285" priority="5"/>
  </conditionalFormatting>
  <conditionalFormatting pivot="1" sqref="B175:B226">
    <cfRule type="cellIs" dxfId="284" priority="4" operator="greaterThan">
      <formula>0.046</formula>
    </cfRule>
  </conditionalFormatting>
  <conditionalFormatting pivot="1" sqref="B175:B226">
    <cfRule type="cellIs" dxfId="283" priority="3" operator="greaterThan">
      <formula>0.04</formula>
    </cfRule>
  </conditionalFormatting>
  <conditionalFormatting pivot="1" sqref="B175:B226">
    <cfRule type="cellIs" dxfId="282" priority="2" operator="greaterThan">
      <formula>0.046</formula>
    </cfRule>
  </conditionalFormatting>
  <conditionalFormatting sqref="K13:K62">
    <cfRule type="cellIs" dxfId="281" priority="1" operator="greaterThan">
      <formula>0.098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B1:F237"/>
  <sheetViews>
    <sheetView topLeftCell="A223" workbookViewId="0">
      <selection activeCell="D238" sqref="D238"/>
    </sheetView>
  </sheetViews>
  <sheetFormatPr defaultColWidth="9.26953125" defaultRowHeight="14.5"/>
  <cols>
    <col min="1" max="1" width="9.26953125" style="106"/>
    <col min="2" max="2" width="17.26953125" style="298" customWidth="1"/>
    <col min="3" max="3" width="10.36328125" style="106" bestFit="1" customWidth="1"/>
    <col min="4" max="4" width="10.1796875" style="106" bestFit="1" customWidth="1"/>
    <col min="5" max="5" width="12.81640625" style="106" customWidth="1"/>
    <col min="6" max="7" width="9.26953125" style="106"/>
    <col min="8" max="8" width="10.54296875" style="106" bestFit="1" customWidth="1"/>
    <col min="9" max="16384" width="9.26953125" style="106"/>
  </cols>
  <sheetData>
    <row r="1" spans="2:5" customFormat="1">
      <c r="B1" s="474"/>
      <c r="C1" s="472" t="s">
        <v>1722</v>
      </c>
      <c r="D1" s="472" t="s">
        <v>2110</v>
      </c>
      <c r="E1" s="472" t="s">
        <v>2111</v>
      </c>
    </row>
    <row r="2" spans="2:5" customFormat="1">
      <c r="B2" s="474">
        <v>12678629.869999999</v>
      </c>
      <c r="C2" s="473">
        <v>44196</v>
      </c>
      <c r="D2" s="348">
        <v>140.4</v>
      </c>
      <c r="E2" s="475">
        <v>0</v>
      </c>
    </row>
    <row r="3" spans="2:5" customFormat="1">
      <c r="B3" s="474">
        <v>12950367.18</v>
      </c>
      <c r="C3" s="473">
        <v>44200</v>
      </c>
      <c r="D3" s="348">
        <v>143.41</v>
      </c>
      <c r="E3" s="475">
        <f>(D3-$D$2)/$D$2</f>
        <v>2.1438746438746374E-2</v>
      </c>
    </row>
    <row r="4" spans="2:5" customFormat="1">
      <c r="B4" s="474">
        <v>13069335.619999999</v>
      </c>
      <c r="C4" s="473">
        <v>44201</v>
      </c>
      <c r="D4" s="348">
        <v>144.72999999999999</v>
      </c>
      <c r="E4" s="475">
        <f t="shared" ref="E4:E67" si="0">(D4-$D$2)/$D$2</f>
        <v>3.0840455840455725E-2</v>
      </c>
    </row>
    <row r="5" spans="2:5" customFormat="1">
      <c r="B5" s="474">
        <v>13218793.949999999</v>
      </c>
      <c r="C5" s="473">
        <v>44202</v>
      </c>
      <c r="D5" s="348">
        <v>146.38999999999999</v>
      </c>
      <c r="E5" s="475">
        <f t="shared" si="0"/>
        <v>4.2663817663817521E-2</v>
      </c>
    </row>
    <row r="6" spans="2:5" customFormat="1">
      <c r="B6" s="474">
        <v>13469135.74</v>
      </c>
      <c r="C6" s="473">
        <v>44203</v>
      </c>
      <c r="D6" s="348">
        <v>149.16</v>
      </c>
      <c r="E6" s="475">
        <f t="shared" si="0"/>
        <v>6.2393162393162324E-2</v>
      </c>
    </row>
    <row r="7" spans="2:5" customFormat="1">
      <c r="B7" s="474">
        <v>13647481.92</v>
      </c>
      <c r="C7" s="473">
        <v>44204</v>
      </c>
      <c r="D7" s="348">
        <v>151.13999999999999</v>
      </c>
      <c r="E7" s="475">
        <f t="shared" si="0"/>
        <v>7.6495726495726349E-2</v>
      </c>
    </row>
    <row r="8" spans="2:5" customFormat="1">
      <c r="B8" s="474">
        <v>13889711.539999999</v>
      </c>
      <c r="C8" s="473">
        <v>44207</v>
      </c>
      <c r="D8" s="348">
        <v>151.4</v>
      </c>
      <c r="E8" s="475">
        <f t="shared" si="0"/>
        <v>7.8347578347578342E-2</v>
      </c>
    </row>
    <row r="9" spans="2:5" customFormat="1">
      <c r="B9" s="474">
        <v>15055761.890000001</v>
      </c>
      <c r="C9" s="473">
        <v>44208</v>
      </c>
      <c r="D9" s="348">
        <v>150.99</v>
      </c>
      <c r="E9" s="475">
        <f t="shared" si="0"/>
        <v>7.5427350427350451E-2</v>
      </c>
    </row>
    <row r="10" spans="2:5" customFormat="1">
      <c r="B10" s="474">
        <v>15458081</v>
      </c>
      <c r="C10" s="473">
        <v>44210</v>
      </c>
      <c r="D10" s="348">
        <v>151.43</v>
      </c>
      <c r="E10" s="475">
        <f t="shared" si="0"/>
        <v>7.8561253561253569E-2</v>
      </c>
    </row>
    <row r="11" spans="2:5" customFormat="1">
      <c r="B11" s="474">
        <v>15667415</v>
      </c>
      <c r="C11" s="473">
        <v>44211</v>
      </c>
      <c r="D11" s="348">
        <v>150.91</v>
      </c>
      <c r="E11" s="475">
        <f t="shared" si="0"/>
        <v>7.4857549857549791E-2</v>
      </c>
    </row>
    <row r="12" spans="2:5" customFormat="1">
      <c r="B12" s="474">
        <v>15576370.74</v>
      </c>
      <c r="C12" s="473">
        <v>44214</v>
      </c>
      <c r="D12" s="348">
        <v>150.03</v>
      </c>
      <c r="E12" s="475">
        <f t="shared" si="0"/>
        <v>6.8589743589743554E-2</v>
      </c>
    </row>
    <row r="13" spans="2:5" customFormat="1">
      <c r="B13" s="474">
        <v>15793788.07</v>
      </c>
      <c r="C13" s="473">
        <v>44215</v>
      </c>
      <c r="D13" s="348">
        <v>151.01</v>
      </c>
      <c r="E13" s="475">
        <f t="shared" si="0"/>
        <v>7.5569800569800463E-2</v>
      </c>
    </row>
    <row r="14" spans="2:5" customFormat="1">
      <c r="B14" s="474">
        <v>16041110.26</v>
      </c>
      <c r="C14" s="473">
        <v>44216</v>
      </c>
      <c r="D14" s="348">
        <v>153.47999999999999</v>
      </c>
      <c r="E14" s="475">
        <f t="shared" si="0"/>
        <v>9.316239316239304E-2</v>
      </c>
    </row>
    <row r="15" spans="2:5" customFormat="1">
      <c r="B15" s="474">
        <v>16837037.27</v>
      </c>
      <c r="C15" s="473">
        <v>44217</v>
      </c>
      <c r="D15" s="348">
        <v>154.88</v>
      </c>
      <c r="E15" s="475">
        <f t="shared" si="0"/>
        <v>0.10313390313390305</v>
      </c>
    </row>
    <row r="16" spans="2:5" customFormat="1">
      <c r="B16" s="474">
        <v>17092867.899999999</v>
      </c>
      <c r="C16" s="473">
        <v>44218</v>
      </c>
      <c r="D16" s="348">
        <v>154.69</v>
      </c>
      <c r="E16" s="475">
        <f t="shared" si="0"/>
        <v>0.10178062678062672</v>
      </c>
    </row>
    <row r="17" spans="2:5" customFormat="1">
      <c r="B17" s="474">
        <v>17522673.059999999</v>
      </c>
      <c r="C17" s="473">
        <v>44221</v>
      </c>
      <c r="D17" s="348">
        <v>156.4</v>
      </c>
      <c r="E17" s="475">
        <f t="shared" si="0"/>
        <v>0.11396011396011396</v>
      </c>
    </row>
    <row r="18" spans="2:5" customFormat="1">
      <c r="B18" s="474">
        <v>17447250</v>
      </c>
      <c r="C18" s="473">
        <v>44222</v>
      </c>
      <c r="D18" s="348">
        <v>155.91</v>
      </c>
      <c r="E18" s="475">
        <f t="shared" si="0"/>
        <v>0.1104700854700854</v>
      </c>
    </row>
    <row r="19" spans="2:5" customFormat="1">
      <c r="B19" s="474">
        <v>17383353.550000001</v>
      </c>
      <c r="C19" s="473">
        <v>44223</v>
      </c>
      <c r="D19" s="348">
        <v>155.71</v>
      </c>
      <c r="E19" s="475">
        <f t="shared" si="0"/>
        <v>0.10904558404558405</v>
      </c>
    </row>
    <row r="20" spans="2:5" customFormat="1">
      <c r="B20" s="474">
        <v>17069822.969999999</v>
      </c>
      <c r="C20" s="473">
        <v>44224</v>
      </c>
      <c r="D20" s="348">
        <v>152.75</v>
      </c>
      <c r="E20" s="475">
        <f t="shared" si="0"/>
        <v>8.7962962962962923E-2</v>
      </c>
    </row>
    <row r="21" spans="2:5" customFormat="1">
      <c r="B21" s="474">
        <v>16746809.050000001</v>
      </c>
      <c r="C21" s="473">
        <v>44225</v>
      </c>
      <c r="D21" s="348">
        <v>149.69999999999999</v>
      </c>
      <c r="E21" s="475">
        <f t="shared" si="0"/>
        <v>6.6239316239316115E-2</v>
      </c>
    </row>
    <row r="22" spans="2:5" customFormat="1">
      <c r="B22" s="474">
        <v>17023791</v>
      </c>
      <c r="C22" s="473">
        <v>44228</v>
      </c>
      <c r="D22" s="348">
        <v>152.18</v>
      </c>
      <c r="E22" s="475">
        <f t="shared" si="0"/>
        <v>8.3903133903133906E-2</v>
      </c>
    </row>
    <row r="23" spans="2:5" customFormat="1">
      <c r="B23" s="474">
        <v>17333410.91</v>
      </c>
      <c r="C23" s="473">
        <v>44229</v>
      </c>
      <c r="D23" s="348">
        <v>154.81</v>
      </c>
      <c r="E23" s="475">
        <f t="shared" si="0"/>
        <v>0.10263532763532761</v>
      </c>
    </row>
    <row r="24" spans="2:5" customFormat="1">
      <c r="B24" s="474">
        <v>17501447.050000001</v>
      </c>
      <c r="C24" s="473">
        <v>44230</v>
      </c>
      <c r="D24" s="348">
        <v>156.01</v>
      </c>
      <c r="E24" s="475">
        <f t="shared" si="0"/>
        <v>0.11118233618233607</v>
      </c>
    </row>
    <row r="25" spans="2:5" customFormat="1">
      <c r="B25" s="474">
        <v>17526182.359999999</v>
      </c>
      <c r="C25" s="473">
        <v>44231</v>
      </c>
      <c r="D25" s="348">
        <v>156.11000000000001</v>
      </c>
      <c r="E25" s="475">
        <f t="shared" si="0"/>
        <v>0.11189458689458695</v>
      </c>
    </row>
    <row r="26" spans="2:5" customFormat="1">
      <c r="B26" s="474">
        <v>17568267.870000001</v>
      </c>
      <c r="C26" s="473">
        <v>44232</v>
      </c>
      <c r="D26" s="348">
        <v>156.43</v>
      </c>
      <c r="E26" s="475">
        <f t="shared" si="0"/>
        <v>0.11417378917378918</v>
      </c>
    </row>
    <row r="27" spans="2:5" customFormat="1">
      <c r="B27" s="474">
        <v>17797375.109999999</v>
      </c>
      <c r="C27" s="473">
        <v>44235</v>
      </c>
      <c r="D27" s="348">
        <v>157.30000000000001</v>
      </c>
      <c r="E27" s="475">
        <f t="shared" si="0"/>
        <v>0.12037037037037041</v>
      </c>
    </row>
    <row r="28" spans="2:5" customFormat="1">
      <c r="B28" s="474">
        <v>17731069.289999999</v>
      </c>
      <c r="C28" s="473">
        <v>44236</v>
      </c>
      <c r="D28" s="348">
        <v>156.71</v>
      </c>
      <c r="E28" s="475">
        <f t="shared" si="0"/>
        <v>0.11616809116809118</v>
      </c>
    </row>
    <row r="29" spans="2:5" customFormat="1">
      <c r="B29" s="474">
        <v>17807149.27</v>
      </c>
      <c r="C29" s="473">
        <v>44237</v>
      </c>
      <c r="D29" s="348">
        <v>157.36000000000001</v>
      </c>
      <c r="E29" s="475">
        <f t="shared" si="0"/>
        <v>0.12079772079772085</v>
      </c>
    </row>
    <row r="30" spans="2:5" customFormat="1">
      <c r="B30" s="474">
        <v>17802299.739999998</v>
      </c>
      <c r="C30" s="473">
        <v>44238</v>
      </c>
      <c r="D30" s="348">
        <v>157.26</v>
      </c>
      <c r="E30" s="475">
        <f t="shared" si="0"/>
        <v>0.12008547008546998</v>
      </c>
    </row>
    <row r="31" spans="2:5" customFormat="1">
      <c r="B31" s="474">
        <v>17786496</v>
      </c>
      <c r="C31" s="473">
        <v>44239</v>
      </c>
      <c r="D31" s="348">
        <v>157.05000000000001</v>
      </c>
      <c r="E31" s="475">
        <f t="shared" si="0"/>
        <v>0.11858974358974363</v>
      </c>
    </row>
    <row r="32" spans="2:5" customFormat="1">
      <c r="B32" s="474">
        <v>18173352</v>
      </c>
      <c r="C32" s="473">
        <v>44242</v>
      </c>
      <c r="D32" s="348">
        <v>158.02000000000001</v>
      </c>
      <c r="E32" s="475">
        <f t="shared" si="0"/>
        <v>0.12549857549857552</v>
      </c>
    </row>
    <row r="33" spans="2:5" customFormat="1">
      <c r="B33" s="474">
        <v>18272947.920000002</v>
      </c>
      <c r="C33" s="473">
        <v>44243</v>
      </c>
      <c r="D33" s="348">
        <v>158.87</v>
      </c>
      <c r="E33" s="475">
        <f t="shared" si="0"/>
        <v>0.13155270655270654</v>
      </c>
    </row>
    <row r="34" spans="2:5" customFormat="1">
      <c r="B34" s="474">
        <v>18419603.539999999</v>
      </c>
      <c r="C34" s="473">
        <v>44244</v>
      </c>
      <c r="D34" s="348">
        <v>160.13</v>
      </c>
      <c r="E34" s="475">
        <f t="shared" si="0"/>
        <v>0.14052706552706545</v>
      </c>
    </row>
    <row r="35" spans="2:5" customFormat="1">
      <c r="B35" s="474">
        <v>18205457.359999999</v>
      </c>
      <c r="C35" s="473">
        <v>44245</v>
      </c>
      <c r="D35" s="348">
        <v>158.09</v>
      </c>
      <c r="E35" s="475">
        <f t="shared" si="0"/>
        <v>0.12599715099715098</v>
      </c>
    </row>
    <row r="36" spans="2:5" customFormat="1">
      <c r="B36" s="474">
        <v>18143609.66</v>
      </c>
      <c r="C36" s="473">
        <v>44246</v>
      </c>
      <c r="D36" s="348">
        <v>157.55000000000001</v>
      </c>
      <c r="E36" s="475">
        <f t="shared" si="0"/>
        <v>0.12215099715099718</v>
      </c>
    </row>
    <row r="37" spans="2:5" customFormat="1">
      <c r="B37" s="474"/>
      <c r="C37" s="473">
        <v>44249</v>
      </c>
      <c r="E37" s="475">
        <f t="shared" si="0"/>
        <v>-1</v>
      </c>
    </row>
    <row r="38" spans="2:5" customFormat="1">
      <c r="B38" s="474">
        <v>18684569.129999999</v>
      </c>
      <c r="C38" s="473">
        <v>44250</v>
      </c>
      <c r="D38" s="348">
        <v>157.85</v>
      </c>
      <c r="E38" s="475">
        <f t="shared" si="0"/>
        <v>0.1242877492877492</v>
      </c>
    </row>
    <row r="39" spans="2:5" customFormat="1">
      <c r="B39" s="474"/>
      <c r="C39" s="473">
        <v>44251</v>
      </c>
      <c r="D39" s="348">
        <v>156.26</v>
      </c>
      <c r="E39" s="475">
        <f t="shared" si="0"/>
        <v>0.11296296296296285</v>
      </c>
    </row>
    <row r="40" spans="2:5" customFormat="1">
      <c r="B40" s="474">
        <v>18594427</v>
      </c>
      <c r="C40" s="473">
        <v>44252</v>
      </c>
      <c r="D40" s="348">
        <v>157.03</v>
      </c>
      <c r="E40" s="475">
        <f t="shared" si="0"/>
        <v>0.11844729344729341</v>
      </c>
    </row>
    <row r="41" spans="2:5" customFormat="1">
      <c r="B41" s="474">
        <v>18204560.870000001</v>
      </c>
      <c r="C41" s="473">
        <v>44253</v>
      </c>
      <c r="D41" s="348">
        <v>153.74</v>
      </c>
      <c r="E41" s="475">
        <f t="shared" si="0"/>
        <v>9.5014245014245033E-2</v>
      </c>
    </row>
    <row r="42" spans="2:5" customFormat="1">
      <c r="B42" s="474">
        <v>18008292</v>
      </c>
      <c r="C42" s="473">
        <v>44256</v>
      </c>
      <c r="D42" s="348">
        <v>155.46</v>
      </c>
      <c r="E42" s="475">
        <f t="shared" si="0"/>
        <v>0.10726495726495727</v>
      </c>
    </row>
    <row r="43" spans="2:5" customFormat="1">
      <c r="B43" s="474">
        <v>17972240.260000002</v>
      </c>
      <c r="C43" s="473">
        <v>44257</v>
      </c>
      <c r="D43" s="348">
        <v>155.15</v>
      </c>
      <c r="E43" s="475">
        <f t="shared" si="0"/>
        <v>0.10505698005698005</v>
      </c>
    </row>
    <row r="44" spans="2:5" customFormat="1">
      <c r="B44" s="474">
        <v>18340918.120000001</v>
      </c>
      <c r="C44" s="473">
        <v>44258</v>
      </c>
      <c r="D44" s="348">
        <v>156.71</v>
      </c>
      <c r="E44" s="475">
        <f t="shared" si="0"/>
        <v>0.11616809116809118</v>
      </c>
    </row>
    <row r="45" spans="2:5" customFormat="1">
      <c r="B45" s="474">
        <v>18182565.899999999</v>
      </c>
      <c r="C45" s="473">
        <v>44259</v>
      </c>
      <c r="D45" s="348">
        <v>155.06</v>
      </c>
      <c r="E45" s="475">
        <f t="shared" si="0"/>
        <v>0.10441595441595439</v>
      </c>
    </row>
    <row r="46" spans="2:5" customFormat="1">
      <c r="B46" s="474">
        <v>18293401.02</v>
      </c>
      <c r="C46" s="473">
        <v>44260</v>
      </c>
      <c r="D46" s="348">
        <v>156.01</v>
      </c>
      <c r="E46" s="475">
        <f t="shared" si="0"/>
        <v>0.11118233618233607</v>
      </c>
    </row>
    <row r="47" spans="2:5" customFormat="1">
      <c r="B47" s="474">
        <v>18209440.219999999</v>
      </c>
      <c r="C47" s="473">
        <v>44263</v>
      </c>
      <c r="D47" s="348">
        <v>155.30000000000001</v>
      </c>
      <c r="E47" s="475">
        <f t="shared" si="0"/>
        <v>0.10612535612535616</v>
      </c>
    </row>
    <row r="48" spans="2:5" customFormat="1">
      <c r="B48" s="474">
        <v>18132834.609999999</v>
      </c>
      <c r="C48" s="473">
        <v>44264</v>
      </c>
      <c r="D48" s="348">
        <v>154.65</v>
      </c>
      <c r="E48" s="475">
        <f t="shared" si="0"/>
        <v>0.1014957264957265</v>
      </c>
    </row>
    <row r="49" spans="2:5" customFormat="1">
      <c r="B49" s="474">
        <v>18027376.010000002</v>
      </c>
      <c r="C49" s="473">
        <v>44265</v>
      </c>
      <c r="D49" s="348">
        <v>153.44999999999999</v>
      </c>
      <c r="E49" s="475">
        <f t="shared" si="0"/>
        <v>9.2948717948717827E-2</v>
      </c>
    </row>
    <row r="50" spans="2:5" customFormat="1">
      <c r="B50" s="474">
        <v>18178724.109999999</v>
      </c>
      <c r="C50" s="473">
        <v>44266</v>
      </c>
      <c r="D50" s="348">
        <v>154.38999999999999</v>
      </c>
      <c r="E50" s="475">
        <f t="shared" si="0"/>
        <v>9.9643874643874503E-2</v>
      </c>
    </row>
    <row r="51" spans="2:5" customFormat="1">
      <c r="B51" s="474">
        <v>18351843.399999999</v>
      </c>
      <c r="C51" s="473">
        <v>44267</v>
      </c>
      <c r="D51" s="348">
        <v>155.74</v>
      </c>
      <c r="E51" s="475">
        <f t="shared" si="0"/>
        <v>0.10925925925925928</v>
      </c>
    </row>
    <row r="52" spans="2:5" customFormat="1">
      <c r="B52" s="474">
        <v>18738777.469999999</v>
      </c>
      <c r="C52" s="473">
        <v>44270</v>
      </c>
      <c r="D52" s="348">
        <v>156</v>
      </c>
      <c r="E52" s="475">
        <f t="shared" si="0"/>
        <v>0.11111111111111106</v>
      </c>
    </row>
    <row r="53" spans="2:5" customFormat="1">
      <c r="B53" s="474">
        <v>18854383.98</v>
      </c>
      <c r="C53" s="473">
        <v>44271</v>
      </c>
      <c r="D53" s="348">
        <v>156.85</v>
      </c>
      <c r="E53" s="475">
        <f t="shared" si="0"/>
        <v>0.11716524216524207</v>
      </c>
    </row>
    <row r="54" spans="2:5" customFormat="1">
      <c r="B54" s="474">
        <v>18916631.960000001</v>
      </c>
      <c r="C54" s="473">
        <v>44272</v>
      </c>
      <c r="D54" s="348">
        <v>156.86000000000001</v>
      </c>
      <c r="E54" s="475">
        <f t="shared" si="0"/>
        <v>0.11723646723646729</v>
      </c>
    </row>
    <row r="55" spans="2:5" customFormat="1">
      <c r="B55" s="474">
        <v>19113762.710000001</v>
      </c>
      <c r="C55" s="473">
        <v>44273</v>
      </c>
      <c r="D55" s="348">
        <v>158.02000000000001</v>
      </c>
      <c r="E55" s="475">
        <f t="shared" si="0"/>
        <v>0.12549857549857552</v>
      </c>
    </row>
    <row r="56" spans="2:5" customFormat="1">
      <c r="B56" s="474">
        <v>19181259</v>
      </c>
      <c r="C56" s="473">
        <v>44274</v>
      </c>
      <c r="D56" s="348">
        <v>157.97</v>
      </c>
      <c r="E56" s="475">
        <f t="shared" si="0"/>
        <v>0.1251424501424501</v>
      </c>
    </row>
    <row r="57" spans="2:5" customFormat="1">
      <c r="B57" s="474">
        <v>19084085.75</v>
      </c>
      <c r="C57" s="473">
        <v>44277</v>
      </c>
      <c r="D57" s="348">
        <v>157.13</v>
      </c>
      <c r="E57" s="475">
        <f t="shared" si="0"/>
        <v>0.11915954415954408</v>
      </c>
    </row>
    <row r="58" spans="2:5" customFormat="1">
      <c r="B58" s="474">
        <v>18880608.280000001</v>
      </c>
      <c r="C58" s="473">
        <v>44278</v>
      </c>
      <c r="D58" s="348">
        <v>155.55000000000001</v>
      </c>
      <c r="E58" s="475">
        <f t="shared" si="0"/>
        <v>0.10790598290598294</v>
      </c>
    </row>
    <row r="59" spans="2:5" customFormat="1">
      <c r="B59" s="474">
        <v>18673669.260000002</v>
      </c>
      <c r="C59" s="473">
        <v>44279</v>
      </c>
      <c r="D59" s="348">
        <v>153.53</v>
      </c>
      <c r="E59" s="475">
        <f t="shared" si="0"/>
        <v>9.3518518518518487E-2</v>
      </c>
    </row>
    <row r="60" spans="2:5" customFormat="1">
      <c r="B60" s="474">
        <v>18784276.350000001</v>
      </c>
      <c r="C60" s="473">
        <v>44280</v>
      </c>
      <c r="D60" s="348">
        <v>154.59</v>
      </c>
      <c r="E60" s="475">
        <f t="shared" si="0"/>
        <v>0.10106837606837604</v>
      </c>
    </row>
    <row r="61" spans="2:5" customFormat="1">
      <c r="B61" s="474">
        <v>18863992.34</v>
      </c>
      <c r="C61" s="473">
        <v>44281</v>
      </c>
      <c r="D61" s="348">
        <v>155</v>
      </c>
      <c r="E61" s="475">
        <f t="shared" si="0"/>
        <v>0.10398860398860395</v>
      </c>
    </row>
    <row r="62" spans="2:5" customFormat="1">
      <c r="B62" s="474">
        <v>18941018.879999999</v>
      </c>
      <c r="C62" s="473">
        <v>44284</v>
      </c>
      <c r="D62" s="348">
        <v>155.51</v>
      </c>
      <c r="E62" s="475">
        <f t="shared" si="0"/>
        <v>0.10762108262108251</v>
      </c>
    </row>
    <row r="63" spans="2:5" customFormat="1">
      <c r="B63" s="474">
        <v>18941018.879999999</v>
      </c>
      <c r="C63" s="473"/>
      <c r="D63" s="348">
        <v>155.51</v>
      </c>
      <c r="E63" s="475">
        <f t="shared" si="0"/>
        <v>0.10762108262108251</v>
      </c>
    </row>
    <row r="64" spans="2:5" customFormat="1">
      <c r="B64" s="474">
        <v>19039013.73</v>
      </c>
      <c r="C64" s="473">
        <v>44286</v>
      </c>
      <c r="D64" s="348">
        <v>156.32</v>
      </c>
      <c r="E64" s="475">
        <f t="shared" si="0"/>
        <v>0.1133903133903133</v>
      </c>
    </row>
    <row r="65" spans="2:5" customFormat="1">
      <c r="B65" s="474">
        <v>19101800.539999999</v>
      </c>
      <c r="C65" s="473">
        <v>44287</v>
      </c>
      <c r="D65" s="348">
        <v>156.78</v>
      </c>
      <c r="E65" s="475">
        <f t="shared" si="0"/>
        <v>0.11666666666666663</v>
      </c>
    </row>
    <row r="66" spans="2:5" customFormat="1">
      <c r="B66" s="474">
        <v>19183183.800000001</v>
      </c>
      <c r="C66" s="473">
        <v>44292</v>
      </c>
      <c r="D66" s="348">
        <v>157.43</v>
      </c>
      <c r="E66" s="475">
        <f t="shared" si="0"/>
        <v>0.1212962962962963</v>
      </c>
    </row>
    <row r="67" spans="2:5" customFormat="1">
      <c r="B67" s="474">
        <v>19527120.620000001</v>
      </c>
      <c r="C67" s="473">
        <v>44293</v>
      </c>
      <c r="D67" s="348">
        <v>160</v>
      </c>
      <c r="E67" s="475">
        <f t="shared" si="0"/>
        <v>0.13960113960113957</v>
      </c>
    </row>
    <row r="68" spans="2:5" customFormat="1">
      <c r="B68" s="474">
        <v>19496620.59</v>
      </c>
      <c r="C68" s="473">
        <v>44294</v>
      </c>
      <c r="D68" s="348">
        <v>159.36000000000001</v>
      </c>
      <c r="E68" s="475">
        <f t="shared" ref="E68:E131" si="1">(D68-$D$2)/$D$2</f>
        <v>0.13504273504273509</v>
      </c>
    </row>
    <row r="69" spans="2:5" customFormat="1">
      <c r="B69" s="474">
        <v>19418399.23</v>
      </c>
      <c r="C69" s="473">
        <v>44295</v>
      </c>
      <c r="D69" s="348">
        <v>158.25</v>
      </c>
      <c r="E69" s="475">
        <f t="shared" si="1"/>
        <v>0.1271367521367521</v>
      </c>
    </row>
    <row r="70" spans="2:5" customFormat="1">
      <c r="B70" s="474">
        <v>19470202.18</v>
      </c>
      <c r="C70" s="473">
        <v>44298</v>
      </c>
      <c r="D70" s="348">
        <v>158.66999999999999</v>
      </c>
      <c r="E70" s="475">
        <f t="shared" si="1"/>
        <v>0.130128205128205</v>
      </c>
    </row>
    <row r="71" spans="2:5" customFormat="1">
      <c r="B71" s="474">
        <v>19522134.620000001</v>
      </c>
      <c r="C71" s="473">
        <v>44299</v>
      </c>
      <c r="D71" s="348">
        <v>159.09</v>
      </c>
      <c r="E71" s="475">
        <f t="shared" si="1"/>
        <v>0.13311965811965809</v>
      </c>
    </row>
    <row r="72" spans="2:5" customFormat="1">
      <c r="B72" s="474">
        <v>19610420.989999998</v>
      </c>
      <c r="C72" s="473">
        <v>44300</v>
      </c>
      <c r="D72" s="348">
        <v>159.77000000000001</v>
      </c>
      <c r="E72" s="475">
        <f t="shared" si="1"/>
        <v>0.13796296296296298</v>
      </c>
    </row>
    <row r="73" spans="2:5" customFormat="1">
      <c r="B73" s="474">
        <v>19812176.390000001</v>
      </c>
      <c r="C73" s="473">
        <v>44302</v>
      </c>
      <c r="D73" s="348">
        <v>161.16999999999999</v>
      </c>
      <c r="E73" s="475">
        <f t="shared" si="1"/>
        <v>0.14793447293447279</v>
      </c>
    </row>
    <row r="74" spans="2:5" customFormat="1">
      <c r="B74" s="474">
        <v>19826055.780000001</v>
      </c>
      <c r="C74" s="473">
        <v>44305</v>
      </c>
      <c r="D74" s="348">
        <v>160.88</v>
      </c>
      <c r="E74" s="475">
        <f t="shared" si="1"/>
        <v>0.14586894586894578</v>
      </c>
    </row>
    <row r="75" spans="2:5" customFormat="1">
      <c r="B75" s="474">
        <v>19692037.48</v>
      </c>
      <c r="C75" s="473">
        <v>44306</v>
      </c>
      <c r="D75" s="348">
        <v>159.68</v>
      </c>
      <c r="E75" s="475">
        <f t="shared" si="1"/>
        <v>0.13732193732193732</v>
      </c>
    </row>
    <row r="76" spans="2:5" customFormat="1">
      <c r="B76" s="474">
        <v>20411427.030000001</v>
      </c>
      <c r="C76" s="473">
        <v>44307</v>
      </c>
      <c r="D76" s="348">
        <v>158.05000000000001</v>
      </c>
      <c r="E76" s="475">
        <f t="shared" si="1"/>
        <v>0.12571225071225076</v>
      </c>
    </row>
    <row r="77" spans="2:5" customFormat="1">
      <c r="B77" s="474">
        <v>20607608.670000002</v>
      </c>
      <c r="C77" s="473">
        <v>44308</v>
      </c>
      <c r="D77" s="348">
        <v>159.13</v>
      </c>
      <c r="E77" s="475">
        <f t="shared" si="1"/>
        <v>0.13340455840455834</v>
      </c>
    </row>
    <row r="78" spans="2:5" customFormat="1">
      <c r="B78" s="474">
        <v>20566499.800000001</v>
      </c>
      <c r="C78" s="473">
        <v>44309</v>
      </c>
      <c r="D78" s="348">
        <v>158.78</v>
      </c>
      <c r="E78" s="475">
        <f t="shared" si="1"/>
        <v>0.13091168091168087</v>
      </c>
    </row>
    <row r="79" spans="2:5" customFormat="1">
      <c r="B79" s="474">
        <v>20674387.649999999</v>
      </c>
      <c r="C79" s="473">
        <v>44312</v>
      </c>
      <c r="D79" s="348">
        <v>159.62</v>
      </c>
      <c r="E79" s="475">
        <f t="shared" si="1"/>
        <v>0.13689458689458689</v>
      </c>
    </row>
    <row r="80" spans="2:5" customFormat="1">
      <c r="B80" s="474">
        <v>20725803</v>
      </c>
      <c r="C80" s="473">
        <v>44313</v>
      </c>
      <c r="D80" s="348">
        <v>159.91999999999999</v>
      </c>
      <c r="E80" s="475">
        <f t="shared" si="1"/>
        <v>0.13903133903133891</v>
      </c>
    </row>
    <row r="81" spans="2:5" customFormat="1">
      <c r="B81" s="474">
        <v>20723400.41</v>
      </c>
      <c r="C81" s="473">
        <v>44314</v>
      </c>
      <c r="D81" s="348">
        <v>159.44999999999999</v>
      </c>
      <c r="E81" s="475">
        <f t="shared" si="1"/>
        <v>0.13568376068376056</v>
      </c>
    </row>
    <row r="82" spans="2:5" customFormat="1">
      <c r="B82" s="474">
        <v>20846128.649999999</v>
      </c>
      <c r="C82" s="473">
        <v>44315</v>
      </c>
      <c r="D82" s="348">
        <v>159.88999999999999</v>
      </c>
      <c r="E82" s="475">
        <f t="shared" si="1"/>
        <v>0.13881766381766367</v>
      </c>
    </row>
    <row r="83" spans="2:5" customFormat="1">
      <c r="B83" s="474">
        <v>20785435.949999999</v>
      </c>
      <c r="C83" s="473">
        <v>44316</v>
      </c>
      <c r="D83" s="348">
        <v>159.12</v>
      </c>
      <c r="E83" s="475">
        <f t="shared" si="1"/>
        <v>0.13333333333333333</v>
      </c>
    </row>
    <row r="84" spans="2:5" customFormat="1">
      <c r="B84" s="474">
        <v>20935994.300000001</v>
      </c>
      <c r="C84" s="473">
        <v>44319</v>
      </c>
      <c r="D84" s="348">
        <v>158.69</v>
      </c>
      <c r="E84" s="475">
        <f t="shared" si="1"/>
        <v>0.13027065527065521</v>
      </c>
    </row>
    <row r="85" spans="2:5" customFormat="1">
      <c r="B85" s="474">
        <v>20939384.510000002</v>
      </c>
      <c r="C85" s="473">
        <v>44320</v>
      </c>
      <c r="D85" s="348">
        <v>158.96</v>
      </c>
      <c r="E85" s="475">
        <f t="shared" si="1"/>
        <v>0.13219373219373221</v>
      </c>
    </row>
    <row r="86" spans="2:5" customFormat="1">
      <c r="B86" s="474">
        <v>21028023.239999998</v>
      </c>
      <c r="C86" s="473">
        <v>44321</v>
      </c>
      <c r="D86" s="348">
        <v>159.66999999999999</v>
      </c>
      <c r="E86" s="475">
        <f t="shared" si="1"/>
        <v>0.13725071225071211</v>
      </c>
    </row>
    <row r="87" spans="2:5" customFormat="1">
      <c r="B87" s="474">
        <v>21199296.120000001</v>
      </c>
      <c r="C87" s="473">
        <v>44323</v>
      </c>
      <c r="D87" s="348">
        <v>160.9</v>
      </c>
      <c r="E87" s="475">
        <f t="shared" si="1"/>
        <v>0.14601139601139601</v>
      </c>
    </row>
    <row r="88" spans="2:5" customFormat="1">
      <c r="B88" s="474">
        <v>21024479.079999998</v>
      </c>
      <c r="C88" s="473">
        <v>44326</v>
      </c>
      <c r="D88" s="348">
        <v>162.69999999999999</v>
      </c>
      <c r="E88" s="475">
        <f t="shared" si="1"/>
        <v>0.1588319088319087</v>
      </c>
    </row>
    <row r="89" spans="2:5" customFormat="1">
      <c r="B89" s="474">
        <v>20720731</v>
      </c>
      <c r="C89" s="473">
        <v>44327</v>
      </c>
      <c r="D89" s="348">
        <v>160.35</v>
      </c>
      <c r="E89" s="475">
        <f t="shared" si="1"/>
        <v>0.14209401709401701</v>
      </c>
    </row>
    <row r="90" spans="2:5" customFormat="1">
      <c r="B90" s="474">
        <v>20504186.300000001</v>
      </c>
      <c r="C90" s="473">
        <v>44328</v>
      </c>
      <c r="D90" s="348">
        <v>158.65</v>
      </c>
      <c r="E90" s="475">
        <f t="shared" si="1"/>
        <v>0.12998575498575499</v>
      </c>
    </row>
    <row r="91" spans="2:5" customFormat="1">
      <c r="B91" s="474">
        <v>20298140.530000001</v>
      </c>
      <c r="C91" s="473">
        <v>44330</v>
      </c>
      <c r="D91" s="348">
        <v>157.11000000000001</v>
      </c>
      <c r="E91" s="475">
        <f t="shared" si="1"/>
        <v>0.11901709401709407</v>
      </c>
    </row>
    <row r="92" spans="2:5" customFormat="1">
      <c r="B92" s="474">
        <v>20334309.260000002</v>
      </c>
      <c r="C92" s="473">
        <v>44334</v>
      </c>
      <c r="D92" s="348">
        <v>157.43</v>
      </c>
      <c r="E92" s="475">
        <f t="shared" si="1"/>
        <v>0.1212962962962963</v>
      </c>
    </row>
    <row r="93" spans="2:5" customFormat="1">
      <c r="B93" s="474">
        <v>20153069.149999999</v>
      </c>
      <c r="C93" s="473">
        <v>44335</v>
      </c>
      <c r="D93" s="348">
        <v>155.71</v>
      </c>
      <c r="E93" s="475">
        <f t="shared" si="1"/>
        <v>0.10904558404558405</v>
      </c>
    </row>
    <row r="94" spans="2:5" customFormat="1">
      <c r="B94" s="474">
        <v>20159403</v>
      </c>
      <c r="C94" s="473">
        <v>44336</v>
      </c>
      <c r="D94" s="348">
        <v>155.76</v>
      </c>
      <c r="E94" s="475">
        <f t="shared" si="1"/>
        <v>0.10940170940170929</v>
      </c>
    </row>
    <row r="95" spans="2:5" customFormat="1">
      <c r="B95" s="474">
        <v>20191493.350000001</v>
      </c>
      <c r="C95" s="473">
        <v>44340</v>
      </c>
      <c r="D95" s="348">
        <v>155.94</v>
      </c>
      <c r="E95" s="475">
        <f t="shared" si="1"/>
        <v>0.11068376068376062</v>
      </c>
    </row>
    <row r="96" spans="2:5" customFormat="1">
      <c r="B96" s="474">
        <v>20276742.359999999</v>
      </c>
      <c r="C96" s="473">
        <v>44341</v>
      </c>
      <c r="D96" s="348">
        <v>156.52000000000001</v>
      </c>
      <c r="E96" s="475">
        <f t="shared" si="1"/>
        <v>0.11481481481481484</v>
      </c>
    </row>
    <row r="97" spans="2:5" customFormat="1">
      <c r="B97" s="474">
        <v>20366680.640000001</v>
      </c>
      <c r="C97" s="473">
        <v>44342</v>
      </c>
      <c r="D97" s="348">
        <v>156.83000000000001</v>
      </c>
      <c r="E97" s="475">
        <f t="shared" si="1"/>
        <v>0.11702279202279206</v>
      </c>
    </row>
    <row r="98" spans="2:5" customFormat="1">
      <c r="B98" s="474"/>
      <c r="C98" s="473">
        <v>44343</v>
      </c>
      <c r="E98" s="475">
        <f t="shared" si="1"/>
        <v>-1</v>
      </c>
    </row>
    <row r="99" spans="2:5" customFormat="1">
      <c r="B99" s="474">
        <v>20605109.260000002</v>
      </c>
      <c r="C99" s="473">
        <v>44344</v>
      </c>
      <c r="D99" s="348">
        <v>158.55000000000001</v>
      </c>
      <c r="E99" s="475">
        <f t="shared" si="1"/>
        <v>0.12927350427350431</v>
      </c>
    </row>
    <row r="100" spans="2:5" customFormat="1">
      <c r="B100" s="474">
        <v>20669231.239999998</v>
      </c>
      <c r="C100" s="473">
        <v>44347</v>
      </c>
      <c r="D100" s="348">
        <v>157.19999999999999</v>
      </c>
      <c r="E100" s="475">
        <f t="shared" si="1"/>
        <v>0.11965811965811954</v>
      </c>
    </row>
    <row r="101" spans="2:5" customFormat="1">
      <c r="B101" s="474">
        <v>20772014.789999999</v>
      </c>
      <c r="C101" s="473">
        <v>44348</v>
      </c>
      <c r="D101" s="348">
        <v>157.99</v>
      </c>
      <c r="E101" s="475">
        <f t="shared" si="1"/>
        <v>0.1252849002849003</v>
      </c>
    </row>
    <row r="102" spans="2:5" customFormat="1">
      <c r="B102" s="474">
        <v>20907378.66</v>
      </c>
      <c r="C102" s="473">
        <v>44349</v>
      </c>
      <c r="D102" s="348">
        <v>159.02000000000001</v>
      </c>
      <c r="E102" s="475">
        <f t="shared" si="1"/>
        <v>0.13262108262108266</v>
      </c>
    </row>
    <row r="103" spans="2:5" customFormat="1">
      <c r="B103" s="474">
        <v>20979954</v>
      </c>
      <c r="C103" s="473">
        <v>44350</v>
      </c>
      <c r="D103" s="348">
        <v>159.57</v>
      </c>
      <c r="E103" s="475">
        <f t="shared" si="1"/>
        <v>0.13653846153846144</v>
      </c>
    </row>
    <row r="104" spans="2:5" customFormat="1">
      <c r="B104" s="474"/>
      <c r="C104" s="473">
        <v>44351</v>
      </c>
      <c r="D104" s="348">
        <v>159.66999999999999</v>
      </c>
      <c r="E104" s="475">
        <f t="shared" si="1"/>
        <v>0.13725071225071211</v>
      </c>
    </row>
    <row r="105" spans="2:5" customFormat="1">
      <c r="B105" s="474"/>
      <c r="C105" s="473">
        <v>44354</v>
      </c>
      <c r="D105" s="348">
        <v>159.47999999999999</v>
      </c>
      <c r="E105" s="475">
        <f t="shared" si="1"/>
        <v>0.13589743589743578</v>
      </c>
    </row>
    <row r="106" spans="2:5" customFormat="1">
      <c r="B106" s="474">
        <v>20898771.640000001</v>
      </c>
      <c r="C106" s="473">
        <v>44355</v>
      </c>
      <c r="D106" s="348">
        <v>158.94999999999999</v>
      </c>
      <c r="E106" s="475">
        <f t="shared" si="1"/>
        <v>0.132122507122507</v>
      </c>
    </row>
    <row r="107" spans="2:5" customFormat="1">
      <c r="B107" s="474">
        <v>20880524.100000001</v>
      </c>
      <c r="C107" s="473">
        <v>44356</v>
      </c>
      <c r="D107" s="348">
        <v>158.82</v>
      </c>
      <c r="E107" s="475">
        <f t="shared" si="1"/>
        <v>0.13119658119658109</v>
      </c>
    </row>
    <row r="108" spans="2:5" customFormat="1">
      <c r="B108" s="474">
        <v>20957054.489999998</v>
      </c>
      <c r="C108" s="473">
        <v>44361</v>
      </c>
      <c r="D108" s="348">
        <v>159.41</v>
      </c>
      <c r="E108" s="475">
        <f t="shared" si="1"/>
        <v>0.13539886039886032</v>
      </c>
    </row>
    <row r="109" spans="2:5" customFormat="1">
      <c r="B109" s="474">
        <v>20870092</v>
      </c>
      <c r="C109" s="473">
        <v>44362</v>
      </c>
      <c r="D109" s="348">
        <v>158.69</v>
      </c>
      <c r="E109" s="475">
        <f t="shared" si="1"/>
        <v>0.13027065527065521</v>
      </c>
    </row>
    <row r="110" spans="2:5" customFormat="1">
      <c r="B110" s="474">
        <v>20783803.600000001</v>
      </c>
      <c r="C110" s="473">
        <v>44363</v>
      </c>
      <c r="D110" s="348">
        <v>158.1</v>
      </c>
      <c r="E110" s="475">
        <f t="shared" si="1"/>
        <v>0.12606837606837598</v>
      </c>
    </row>
    <row r="111" spans="2:5" customFormat="1">
      <c r="B111" s="474">
        <v>20759266</v>
      </c>
      <c r="C111" s="473">
        <v>44364</v>
      </c>
      <c r="D111" s="348">
        <v>157.83000000000001</v>
      </c>
      <c r="E111" s="475">
        <f t="shared" si="1"/>
        <v>0.12414529914529919</v>
      </c>
    </row>
    <row r="112" spans="2:5" customFormat="1">
      <c r="B112" s="474">
        <v>20675974.859999999</v>
      </c>
      <c r="C112" s="473">
        <v>44365</v>
      </c>
      <c r="D112" s="348">
        <v>157.19999999999999</v>
      </c>
      <c r="E112" s="475">
        <f t="shared" si="1"/>
        <v>0.11965811965811954</v>
      </c>
    </row>
    <row r="113" spans="2:5" customFormat="1">
      <c r="B113" s="474">
        <v>20495052.620000001</v>
      </c>
      <c r="C113" s="473">
        <v>44368</v>
      </c>
      <c r="D113" s="348">
        <v>155.79</v>
      </c>
      <c r="E113" s="475">
        <f t="shared" si="1"/>
        <v>0.10961538461538452</v>
      </c>
    </row>
    <row r="114" spans="2:5" customFormat="1">
      <c r="B114" s="474">
        <v>20740554.32</v>
      </c>
      <c r="C114" s="473">
        <v>44369</v>
      </c>
      <c r="D114" s="348">
        <v>157.59</v>
      </c>
      <c r="E114" s="475">
        <f t="shared" si="1"/>
        <v>0.12243589743589742</v>
      </c>
    </row>
    <row r="115" spans="2:5" customFormat="1">
      <c r="B115" s="474">
        <v>20819769.449999999</v>
      </c>
      <c r="C115" s="473">
        <v>44371</v>
      </c>
      <c r="D115" s="348">
        <v>158.30000000000001</v>
      </c>
      <c r="E115" s="475">
        <f t="shared" si="1"/>
        <v>0.12749287749287752</v>
      </c>
    </row>
    <row r="116" spans="2:5" customFormat="1">
      <c r="B116" s="474">
        <v>20009569</v>
      </c>
      <c r="C116" s="473">
        <v>44372</v>
      </c>
      <c r="D116" s="348">
        <v>159.12</v>
      </c>
      <c r="E116" s="475">
        <f t="shared" si="1"/>
        <v>0.13333333333333333</v>
      </c>
    </row>
    <row r="117" spans="2:5" customFormat="1">
      <c r="B117" s="474">
        <v>20032056.16</v>
      </c>
      <c r="C117" s="473">
        <v>44375</v>
      </c>
      <c r="D117" s="348">
        <v>159.27000000000001</v>
      </c>
      <c r="E117" s="475">
        <f t="shared" si="1"/>
        <v>0.13440170940170942</v>
      </c>
    </row>
    <row r="118" spans="2:5" customFormat="1">
      <c r="B118" s="474">
        <v>19678231</v>
      </c>
      <c r="C118" s="473">
        <v>44382</v>
      </c>
      <c r="D118" s="348">
        <v>160.29</v>
      </c>
      <c r="E118" s="475">
        <f t="shared" si="1"/>
        <v>0.14166666666666655</v>
      </c>
    </row>
    <row r="119" spans="2:5" customFormat="1">
      <c r="B119" s="474">
        <v>19628857</v>
      </c>
      <c r="C119" s="473">
        <v>44383</v>
      </c>
      <c r="D119" s="348">
        <v>159.88999999999999</v>
      </c>
      <c r="E119" s="475">
        <f t="shared" si="1"/>
        <v>0.13881766381766367</v>
      </c>
    </row>
    <row r="120" spans="2:5" customFormat="1">
      <c r="B120" s="474">
        <v>19533429</v>
      </c>
      <c r="C120" s="473">
        <v>44384</v>
      </c>
      <c r="D120" s="348">
        <v>159.11000000000001</v>
      </c>
      <c r="E120" s="475">
        <f t="shared" si="1"/>
        <v>0.13326210826210833</v>
      </c>
    </row>
    <row r="121" spans="2:5" customFormat="1">
      <c r="B121" s="474">
        <v>19374837</v>
      </c>
      <c r="C121" s="473">
        <v>44385</v>
      </c>
      <c r="D121" s="348">
        <v>157.82</v>
      </c>
      <c r="E121" s="475">
        <f t="shared" si="1"/>
        <v>0.12407407407407398</v>
      </c>
    </row>
    <row r="122" spans="2:5" customFormat="1">
      <c r="B122" s="474">
        <v>19334660.829999998</v>
      </c>
      <c r="C122" s="473">
        <v>44386</v>
      </c>
      <c r="D122" s="348">
        <v>157.44</v>
      </c>
      <c r="E122" s="475">
        <f t="shared" si="1"/>
        <v>0.12136752136752131</v>
      </c>
    </row>
    <row r="123" spans="2:5" customFormat="1">
      <c r="B123" s="474">
        <v>19524955.52</v>
      </c>
      <c r="C123" s="473">
        <v>44389</v>
      </c>
      <c r="D123" s="348">
        <v>158.94999999999999</v>
      </c>
      <c r="E123" s="475">
        <f t="shared" si="1"/>
        <v>0.132122507122507</v>
      </c>
    </row>
    <row r="124" spans="2:5" customFormat="1">
      <c r="B124" s="474">
        <v>19682160.57</v>
      </c>
      <c r="C124" s="473">
        <v>44390</v>
      </c>
      <c r="D124" s="348">
        <v>160.22999999999999</v>
      </c>
      <c r="E124" s="475">
        <f t="shared" si="1"/>
        <v>0.14123931623931613</v>
      </c>
    </row>
    <row r="125" spans="2:5" customFormat="1">
      <c r="B125" s="474">
        <v>19683493.359999999</v>
      </c>
      <c r="C125" s="473">
        <v>44391</v>
      </c>
      <c r="D125" s="348">
        <v>160.1</v>
      </c>
      <c r="E125" s="475">
        <f t="shared" si="1"/>
        <v>0.14031339031339024</v>
      </c>
    </row>
    <row r="126" spans="2:5" customFormat="1">
      <c r="B126" s="474">
        <v>19106883.120000001</v>
      </c>
      <c r="C126" s="473">
        <v>44396</v>
      </c>
      <c r="D126" s="348">
        <v>155.34</v>
      </c>
      <c r="E126" s="475">
        <f t="shared" si="1"/>
        <v>0.10641025641025639</v>
      </c>
    </row>
    <row r="127" spans="2:5" customFormat="1">
      <c r="B127" s="474">
        <v>19279602.199999999</v>
      </c>
      <c r="C127" s="473">
        <v>44397</v>
      </c>
      <c r="D127" s="348">
        <v>156.75</v>
      </c>
      <c r="E127" s="475">
        <f t="shared" si="1"/>
        <v>0.11645299145299141</v>
      </c>
    </row>
    <row r="128" spans="2:5" customFormat="1">
      <c r="B128" s="474">
        <v>19660394.66</v>
      </c>
      <c r="C128" s="473">
        <v>44403</v>
      </c>
      <c r="D128" s="348">
        <v>159.51</v>
      </c>
      <c r="E128" s="475">
        <f t="shared" si="1"/>
        <v>0.13611111111111099</v>
      </c>
    </row>
    <row r="129" spans="2:5" customFormat="1">
      <c r="B129" s="474">
        <v>19774126.73</v>
      </c>
      <c r="C129" s="473">
        <v>44404</v>
      </c>
      <c r="D129" s="348">
        <v>160.37</v>
      </c>
      <c r="E129" s="475">
        <f t="shared" si="1"/>
        <v>0.14223646723646721</v>
      </c>
    </row>
    <row r="130" spans="2:5" customFormat="1">
      <c r="B130" s="474">
        <v>19700370.760000002</v>
      </c>
      <c r="C130" s="473">
        <v>44405</v>
      </c>
      <c r="D130" s="348">
        <v>159.88999999999999</v>
      </c>
      <c r="E130" s="475">
        <f t="shared" si="1"/>
        <v>0.13881766381766367</v>
      </c>
    </row>
    <row r="131" spans="2:5" customFormat="1">
      <c r="B131" s="474">
        <v>19905718.780000001</v>
      </c>
      <c r="C131" s="473">
        <v>44406</v>
      </c>
      <c r="D131" s="348">
        <v>161.57</v>
      </c>
      <c r="E131" s="475">
        <f t="shared" si="1"/>
        <v>0.1507834757834757</v>
      </c>
    </row>
    <row r="132" spans="2:5">
      <c r="B132" s="474">
        <v>19699621.32</v>
      </c>
      <c r="C132" s="473">
        <v>44407</v>
      </c>
      <c r="D132" s="348">
        <v>159.83000000000001</v>
      </c>
      <c r="E132" s="475">
        <f t="shared" ref="E132:E225" si="2">(D132-$D$2)/$D$2</f>
        <v>0.13839031339031344</v>
      </c>
    </row>
    <row r="133" spans="2:5">
      <c r="B133" s="579">
        <v>19893798.649999999</v>
      </c>
      <c r="C133" s="473">
        <v>44410</v>
      </c>
      <c r="D133" s="348">
        <v>161.47999999999999</v>
      </c>
      <c r="E133" s="475">
        <f t="shared" si="2"/>
        <v>0.15014245014245003</v>
      </c>
    </row>
    <row r="134" spans="2:5">
      <c r="B134" s="579">
        <v>19926270.309999999</v>
      </c>
      <c r="C134" s="473">
        <v>44411</v>
      </c>
      <c r="D134" s="348">
        <v>161.74</v>
      </c>
      <c r="E134" s="475">
        <f t="shared" si="2"/>
        <v>0.151994301994302</v>
      </c>
    </row>
    <row r="135" spans="2:5">
      <c r="B135" s="579">
        <v>19980018.300000001</v>
      </c>
      <c r="C135" s="473">
        <v>44412</v>
      </c>
      <c r="D135" s="348">
        <v>162.18</v>
      </c>
      <c r="E135" s="475">
        <f t="shared" si="2"/>
        <v>0.15512820512820513</v>
      </c>
    </row>
    <row r="136" spans="2:5">
      <c r="B136" s="579">
        <v>20141152.969999999</v>
      </c>
      <c r="C136" s="473">
        <v>44413</v>
      </c>
      <c r="D136" s="348">
        <v>162.82</v>
      </c>
      <c r="E136" s="475">
        <f t="shared" si="2"/>
        <v>0.15968660968660958</v>
      </c>
    </row>
    <row r="137" spans="2:5">
      <c r="B137" s="579">
        <v>20258972.75</v>
      </c>
      <c r="C137" s="473">
        <v>44414</v>
      </c>
      <c r="D137" s="348">
        <v>163.75</v>
      </c>
      <c r="E137" s="475">
        <f t="shared" si="2"/>
        <v>0.16631054131054127</v>
      </c>
    </row>
    <row r="138" spans="2:5">
      <c r="B138" s="579">
        <v>20216088.949999999</v>
      </c>
      <c r="C138" s="473">
        <v>44417</v>
      </c>
      <c r="D138" s="348">
        <v>163.44</v>
      </c>
      <c r="E138" s="475">
        <f t="shared" si="2"/>
        <v>0.16410256410256405</v>
      </c>
    </row>
    <row r="139" spans="2:5">
      <c r="B139" s="579">
        <v>20218555.379999999</v>
      </c>
      <c r="C139" s="473">
        <v>44418</v>
      </c>
      <c r="D139" s="348">
        <v>163.47</v>
      </c>
      <c r="E139" s="475">
        <f t="shared" si="2"/>
        <v>0.16431623931623926</v>
      </c>
    </row>
    <row r="140" spans="2:5">
      <c r="B140" s="579">
        <v>20348972.48</v>
      </c>
      <c r="C140" s="473">
        <v>44419</v>
      </c>
      <c r="D140" s="106">
        <v>164.63</v>
      </c>
      <c r="E140" s="475">
        <f t="shared" si="2"/>
        <v>0.1725783475783475</v>
      </c>
    </row>
    <row r="141" spans="2:5">
      <c r="B141" s="579">
        <v>20507025.52</v>
      </c>
      <c r="C141" s="473">
        <v>44420</v>
      </c>
      <c r="D141" s="106">
        <v>165.91</v>
      </c>
      <c r="E141" s="475">
        <f t="shared" si="2"/>
        <v>0.18169515669515662</v>
      </c>
    </row>
    <row r="142" spans="2:5">
      <c r="B142" s="579">
        <v>20460892.789999999</v>
      </c>
      <c r="C142" s="473">
        <v>44421</v>
      </c>
      <c r="D142" s="348">
        <v>165.54</v>
      </c>
      <c r="E142" s="475">
        <f t="shared" si="2"/>
        <v>0.17905982905982895</v>
      </c>
    </row>
    <row r="143" spans="2:5">
      <c r="B143" s="579">
        <v>20217282.050000001</v>
      </c>
      <c r="C143" s="473">
        <v>44424</v>
      </c>
      <c r="D143" s="348">
        <v>163.57</v>
      </c>
      <c r="E143" s="475">
        <f t="shared" si="2"/>
        <v>0.16502849002848993</v>
      </c>
    </row>
    <row r="144" spans="2:5">
      <c r="B144" s="579">
        <v>19863634.989999998</v>
      </c>
      <c r="C144" s="473">
        <v>44425</v>
      </c>
      <c r="D144" s="348">
        <v>160.66999999999999</v>
      </c>
      <c r="E144" s="475">
        <f t="shared" si="2"/>
        <v>0.14437321937321923</v>
      </c>
    </row>
    <row r="145" spans="2:6">
      <c r="B145" s="579">
        <v>19858778.559999999</v>
      </c>
      <c r="C145" s="473">
        <v>44426</v>
      </c>
      <c r="D145" s="348">
        <v>160.6</v>
      </c>
      <c r="E145" s="475">
        <f t="shared" si="2"/>
        <v>0.1438746438746438</v>
      </c>
    </row>
    <row r="146" spans="2:6">
      <c r="B146" s="579">
        <v>19504589.789999999</v>
      </c>
      <c r="C146" s="473">
        <v>44427</v>
      </c>
      <c r="D146" s="106">
        <v>157.72999999999999</v>
      </c>
      <c r="E146" s="475">
        <f t="shared" si="2"/>
        <v>0.12343304843304831</v>
      </c>
    </row>
    <row r="147" spans="2:6">
      <c r="B147" s="579">
        <v>19303916.91</v>
      </c>
      <c r="C147" s="473">
        <v>44428</v>
      </c>
      <c r="D147" s="348">
        <v>156.11000000000001</v>
      </c>
      <c r="E147" s="475">
        <f t="shared" si="2"/>
        <v>0.11189458689458695</v>
      </c>
      <c r="F147" s="475"/>
    </row>
    <row r="148" spans="2:6">
      <c r="B148" s="579">
        <v>19501840.859999999</v>
      </c>
      <c r="C148" s="473">
        <v>44431</v>
      </c>
      <c r="D148" s="106">
        <v>157.71</v>
      </c>
      <c r="E148" s="475">
        <f t="shared" si="2"/>
        <v>0.1232905982905983</v>
      </c>
    </row>
    <row r="149" spans="2:6">
      <c r="B149" s="579">
        <v>19611884.960000001</v>
      </c>
      <c r="C149" s="473">
        <v>44432</v>
      </c>
      <c r="D149" s="348">
        <v>158.6</v>
      </c>
      <c r="E149" s="475">
        <f t="shared" si="2"/>
        <v>0.12962962962962954</v>
      </c>
    </row>
    <row r="150" spans="2:6">
      <c r="B150" s="579">
        <v>19743163.890000001</v>
      </c>
      <c r="C150" s="473">
        <v>44433</v>
      </c>
      <c r="D150" s="106">
        <v>159.59</v>
      </c>
      <c r="E150" s="475">
        <f t="shared" si="2"/>
        <v>0.13668091168091165</v>
      </c>
    </row>
    <row r="151" spans="2:6">
      <c r="B151" s="579">
        <v>19682515.460000001</v>
      </c>
      <c r="C151" s="473">
        <v>44434</v>
      </c>
      <c r="D151" s="106">
        <v>159.27000000000001</v>
      </c>
      <c r="E151" s="475">
        <f t="shared" si="2"/>
        <v>0.13440170940170942</v>
      </c>
    </row>
    <row r="152" spans="2:6">
      <c r="B152" s="579">
        <v>19630889.68</v>
      </c>
      <c r="C152" s="473">
        <v>44435</v>
      </c>
      <c r="D152" s="106">
        <v>158.63</v>
      </c>
      <c r="E152" s="475">
        <f t="shared" si="2"/>
        <v>0.12984330484330475</v>
      </c>
    </row>
    <row r="153" spans="2:6">
      <c r="B153" s="579">
        <v>19817216.57</v>
      </c>
      <c r="C153" s="473">
        <v>44438</v>
      </c>
      <c r="D153" s="106">
        <v>160.41999999999999</v>
      </c>
      <c r="E153" s="475">
        <f t="shared" si="2"/>
        <v>0.14259259259259247</v>
      </c>
    </row>
    <row r="154" spans="2:6">
      <c r="B154" s="579">
        <v>19903748.440000001</v>
      </c>
      <c r="C154" s="473">
        <v>44439</v>
      </c>
      <c r="D154" s="106">
        <v>161.12</v>
      </c>
      <c r="E154" s="475">
        <f t="shared" si="2"/>
        <v>0.14757834757834756</v>
      </c>
    </row>
    <row r="155" spans="2:6">
      <c r="B155" s="579">
        <v>19872583.890000001</v>
      </c>
      <c r="C155" s="473">
        <v>44441</v>
      </c>
      <c r="D155" s="106">
        <v>160.87</v>
      </c>
      <c r="E155" s="475">
        <f t="shared" si="2"/>
        <v>0.14579772079772077</v>
      </c>
    </row>
    <row r="156" spans="2:6">
      <c r="B156" s="579">
        <v>20052387.890000001</v>
      </c>
      <c r="C156" s="473">
        <v>44442</v>
      </c>
      <c r="D156" s="106">
        <v>161.91999999999999</v>
      </c>
      <c r="E156" s="475">
        <f t="shared" si="2"/>
        <v>0.15327635327635314</v>
      </c>
    </row>
    <row r="157" spans="2:6">
      <c r="B157" s="579">
        <v>20057133.600000001</v>
      </c>
      <c r="C157" s="473">
        <v>44445</v>
      </c>
      <c r="D157" s="106">
        <v>162.6</v>
      </c>
      <c r="E157" s="475">
        <f t="shared" si="2"/>
        <v>0.15811965811965803</v>
      </c>
    </row>
    <row r="158" spans="2:6">
      <c r="B158" s="579">
        <v>20291905.440000001</v>
      </c>
      <c r="C158" s="473">
        <v>44449</v>
      </c>
      <c r="D158" s="106">
        <v>164.39</v>
      </c>
      <c r="E158" s="475">
        <f t="shared" si="2"/>
        <v>0.17086894586894572</v>
      </c>
    </row>
    <row r="159" spans="2:6">
      <c r="B159" s="579">
        <v>20383309.899999999</v>
      </c>
      <c r="C159" s="600">
        <v>44452</v>
      </c>
      <c r="D159" s="106">
        <v>165.13</v>
      </c>
      <c r="E159" s="475">
        <f t="shared" si="2"/>
        <v>0.17613960113960106</v>
      </c>
    </row>
    <row r="160" spans="2:6">
      <c r="B160" s="579">
        <v>20583233.140000001</v>
      </c>
      <c r="C160" s="600">
        <v>44453</v>
      </c>
      <c r="D160" s="106">
        <v>165.53</v>
      </c>
      <c r="E160" s="475">
        <f t="shared" si="2"/>
        <v>0.17898860398860394</v>
      </c>
    </row>
    <row r="161" spans="2:5">
      <c r="B161" s="579">
        <v>20301747.039999999</v>
      </c>
      <c r="C161" s="600">
        <v>44455</v>
      </c>
      <c r="D161" s="106">
        <v>163.02000000000001</v>
      </c>
      <c r="E161" s="475">
        <f t="shared" si="2"/>
        <v>0.16111111111111115</v>
      </c>
    </row>
    <row r="162" spans="2:5">
      <c r="B162" s="579">
        <v>20055536.780000001</v>
      </c>
      <c r="C162" s="600">
        <v>44459</v>
      </c>
      <c r="D162" s="106">
        <v>161</v>
      </c>
      <c r="E162" s="475">
        <f t="shared" si="2"/>
        <v>0.14672364672364668</v>
      </c>
    </row>
    <row r="163" spans="2:5">
      <c r="B163" s="579">
        <v>20018637.260000002</v>
      </c>
      <c r="C163" s="600">
        <v>44462</v>
      </c>
      <c r="D163" s="106">
        <v>160.6</v>
      </c>
      <c r="E163" s="475">
        <f t="shared" si="2"/>
        <v>0.1438746438746438</v>
      </c>
    </row>
    <row r="164" spans="2:5">
      <c r="B164" s="579">
        <v>20195307.489999998</v>
      </c>
      <c r="C164" s="600">
        <v>44463</v>
      </c>
      <c r="D164" s="106">
        <v>162.06</v>
      </c>
      <c r="E164" s="475">
        <f t="shared" si="2"/>
        <v>0.15427350427350425</v>
      </c>
    </row>
    <row r="165" spans="2:5">
      <c r="B165" s="579">
        <v>20191741</v>
      </c>
      <c r="C165" s="600">
        <v>44466</v>
      </c>
      <c r="D165" s="106">
        <v>162.04</v>
      </c>
      <c r="E165" s="475">
        <f t="shared" si="2"/>
        <v>0.15413105413105402</v>
      </c>
    </row>
    <row r="166" spans="2:5">
      <c r="B166" s="579">
        <v>20105050.52</v>
      </c>
      <c r="C166" s="600">
        <v>44467</v>
      </c>
      <c r="D166" s="106">
        <v>161.41999999999999</v>
      </c>
      <c r="E166" s="475">
        <f t="shared" si="2"/>
        <v>0.14971509971509958</v>
      </c>
    </row>
    <row r="167" spans="2:5">
      <c r="B167" s="579">
        <v>20003139.940000001</v>
      </c>
      <c r="C167" s="600">
        <v>44468</v>
      </c>
      <c r="D167" s="106">
        <v>160.61000000000001</v>
      </c>
      <c r="E167" s="475">
        <f t="shared" si="2"/>
        <v>0.143945868945869</v>
      </c>
    </row>
    <row r="168" spans="2:5">
      <c r="B168" s="579">
        <v>19971227.210000001</v>
      </c>
      <c r="C168" s="600">
        <v>44469</v>
      </c>
      <c r="D168" s="106">
        <v>160.35</v>
      </c>
      <c r="E168" s="475">
        <f t="shared" si="2"/>
        <v>0.14209401709401701</v>
      </c>
    </row>
    <row r="169" spans="2:5">
      <c r="B169" s="579">
        <v>19703036</v>
      </c>
      <c r="C169" s="600">
        <v>44470</v>
      </c>
      <c r="D169" s="106">
        <v>158.19999999999999</v>
      </c>
      <c r="E169" s="475">
        <f t="shared" si="2"/>
        <v>0.12678062678062665</v>
      </c>
    </row>
    <row r="170" spans="2:5">
      <c r="B170" s="579">
        <v>19565792.440000001</v>
      </c>
      <c r="C170" s="600">
        <v>44473</v>
      </c>
      <c r="D170" s="106">
        <v>157.1</v>
      </c>
      <c r="E170" s="475">
        <f t="shared" si="2"/>
        <v>0.11894586894586887</v>
      </c>
    </row>
    <row r="171" spans="2:5">
      <c r="B171" s="579">
        <v>19406135.91</v>
      </c>
      <c r="C171" s="600">
        <v>44474</v>
      </c>
      <c r="D171" s="106">
        <v>156.13999999999999</v>
      </c>
      <c r="E171" s="475">
        <f t="shared" si="2"/>
        <v>0.11210826210826197</v>
      </c>
    </row>
    <row r="172" spans="2:5">
      <c r="B172" s="579">
        <v>19447893.199999999</v>
      </c>
      <c r="C172" s="600">
        <v>44475</v>
      </c>
      <c r="D172" s="106">
        <v>156.47999999999999</v>
      </c>
      <c r="E172" s="475">
        <f t="shared" si="2"/>
        <v>0.11452991452991441</v>
      </c>
    </row>
    <row r="173" spans="2:5">
      <c r="B173" s="579">
        <v>19500011.149999999</v>
      </c>
      <c r="C173" s="600">
        <v>44476</v>
      </c>
      <c r="D173" s="106">
        <v>156.9</v>
      </c>
      <c r="E173" s="475">
        <f t="shared" si="2"/>
        <v>0.11752136752136752</v>
      </c>
    </row>
    <row r="174" spans="2:5">
      <c r="B174" s="579">
        <v>19737765.579999998</v>
      </c>
      <c r="C174" s="600">
        <v>44477</v>
      </c>
      <c r="D174" s="106">
        <v>158.4</v>
      </c>
      <c r="E174" s="475">
        <f t="shared" si="2"/>
        <v>0.12820512820512819</v>
      </c>
    </row>
    <row r="175" spans="2:5">
      <c r="C175" s="600">
        <v>44480</v>
      </c>
      <c r="D175" s="106">
        <v>160.6</v>
      </c>
      <c r="E175" s="475">
        <f t="shared" si="2"/>
        <v>0.1438746438746438</v>
      </c>
    </row>
    <row r="176" spans="2:5">
      <c r="B176" s="579">
        <v>20166325.609999999</v>
      </c>
      <c r="C176" s="600">
        <v>44481</v>
      </c>
      <c r="D176" s="106">
        <v>160.93</v>
      </c>
      <c r="E176" s="475">
        <f t="shared" si="2"/>
        <v>0.14622507122507122</v>
      </c>
    </row>
    <row r="177" spans="2:5">
      <c r="B177" s="579">
        <v>20071118.399999999</v>
      </c>
      <c r="C177" s="600">
        <v>44482</v>
      </c>
      <c r="D177" s="106">
        <v>160.06</v>
      </c>
      <c r="E177" s="475">
        <f t="shared" si="2"/>
        <v>0.14002849002848999</v>
      </c>
    </row>
    <row r="178" spans="2:5">
      <c r="B178" s="579">
        <v>20232866.5</v>
      </c>
      <c r="C178" s="600">
        <v>44483</v>
      </c>
      <c r="D178" s="106">
        <v>161.26</v>
      </c>
      <c r="E178" s="475">
        <f t="shared" si="2"/>
        <v>0.14857549857549845</v>
      </c>
    </row>
    <row r="179" spans="2:5">
      <c r="B179" s="579">
        <v>20517403.379999999</v>
      </c>
      <c r="C179" s="600">
        <v>44484</v>
      </c>
      <c r="D179" s="106">
        <v>163.53</v>
      </c>
      <c r="E179" s="475">
        <f t="shared" si="2"/>
        <v>0.16474358974358971</v>
      </c>
    </row>
    <row r="180" spans="2:5">
      <c r="B180" s="579">
        <v>20572021.050000001</v>
      </c>
      <c r="C180" s="600">
        <v>44487</v>
      </c>
      <c r="D180" s="106">
        <v>163.97</v>
      </c>
      <c r="E180" s="475">
        <f t="shared" si="2"/>
        <v>0.16787749287749282</v>
      </c>
    </row>
    <row r="181" spans="2:5">
      <c r="B181" s="579">
        <v>20504693.390000001</v>
      </c>
      <c r="C181" s="600">
        <v>44488</v>
      </c>
      <c r="D181" s="106">
        <v>163.66</v>
      </c>
      <c r="E181" s="475">
        <f t="shared" si="2"/>
        <v>0.1656695156695156</v>
      </c>
    </row>
    <row r="182" spans="2:5">
      <c r="B182" s="579">
        <v>20412889.550000001</v>
      </c>
      <c r="C182" s="600">
        <v>44489</v>
      </c>
      <c r="D182" s="106">
        <v>162.93</v>
      </c>
      <c r="E182" s="475">
        <f t="shared" si="2"/>
        <v>0.16047008547008548</v>
      </c>
    </row>
    <row r="183" spans="2:5">
      <c r="B183" s="579">
        <v>20308719.359999999</v>
      </c>
      <c r="C183" s="600">
        <v>44490</v>
      </c>
      <c r="D183" s="106">
        <v>162.11000000000001</v>
      </c>
      <c r="E183" s="475">
        <f t="shared" si="2"/>
        <v>0.15462962962962967</v>
      </c>
    </row>
    <row r="184" spans="2:5">
      <c r="B184" s="579">
        <v>19888558.420000002</v>
      </c>
      <c r="C184" s="600">
        <v>44491</v>
      </c>
      <c r="D184" s="106">
        <v>162.26</v>
      </c>
      <c r="E184" s="475">
        <f t="shared" si="2"/>
        <v>0.1556980056980056</v>
      </c>
    </row>
    <row r="185" spans="2:5">
      <c r="B185" s="579">
        <v>20001376.91</v>
      </c>
      <c r="C185" s="600">
        <v>44494</v>
      </c>
      <c r="D185" s="106">
        <v>163.18</v>
      </c>
      <c r="E185" s="475">
        <f t="shared" si="2"/>
        <v>0.16225071225071225</v>
      </c>
    </row>
    <row r="186" spans="2:5">
      <c r="B186" s="579">
        <v>20214018.420000002</v>
      </c>
      <c r="C186" s="600">
        <v>44495</v>
      </c>
      <c r="D186" s="106">
        <v>164.87</v>
      </c>
      <c r="E186" s="475">
        <f t="shared" si="2"/>
        <v>0.17428774928774926</v>
      </c>
    </row>
    <row r="187" spans="2:5">
      <c r="B187" s="579">
        <v>20079208.550000001</v>
      </c>
      <c r="C187" s="600">
        <v>44497</v>
      </c>
      <c r="D187" s="106">
        <v>163.69999999999999</v>
      </c>
      <c r="E187" s="475">
        <f t="shared" si="2"/>
        <v>0.16595441595441582</v>
      </c>
    </row>
    <row r="188" spans="2:5">
      <c r="B188" s="579">
        <v>20004023.050000001</v>
      </c>
      <c r="C188" s="600">
        <v>44501</v>
      </c>
      <c r="D188" s="106">
        <v>163.09</v>
      </c>
      <c r="E188" s="475">
        <f t="shared" si="2"/>
        <v>0.16160968660968658</v>
      </c>
    </row>
    <row r="189" spans="2:5">
      <c r="B189" s="579">
        <v>20064721.57</v>
      </c>
      <c r="C189" s="600">
        <v>44502</v>
      </c>
      <c r="D189" s="106">
        <v>163.51</v>
      </c>
      <c r="E189" s="475">
        <f t="shared" si="2"/>
        <v>0.16460113960113948</v>
      </c>
    </row>
    <row r="190" spans="2:5">
      <c r="B190" s="579">
        <v>20100540.32</v>
      </c>
      <c r="C190" s="600">
        <v>44503</v>
      </c>
      <c r="D190" s="106">
        <v>163.61000000000001</v>
      </c>
      <c r="E190" s="475">
        <f t="shared" si="2"/>
        <v>0.16531339031339037</v>
      </c>
    </row>
    <row r="191" spans="2:5">
      <c r="B191" s="579">
        <v>20332648.98</v>
      </c>
      <c r="C191" s="600">
        <v>44504</v>
      </c>
      <c r="D191" s="106">
        <v>165.4</v>
      </c>
      <c r="E191" s="475">
        <f t="shared" si="2"/>
        <v>0.17806267806267806</v>
      </c>
    </row>
    <row r="192" spans="2:5">
      <c r="B192" s="579">
        <v>20190831.420000002</v>
      </c>
      <c r="C192" s="600">
        <v>44505</v>
      </c>
      <c r="D192" s="106">
        <v>164.15</v>
      </c>
      <c r="E192" s="475">
        <f t="shared" si="2"/>
        <v>0.16915954415954415</v>
      </c>
    </row>
    <row r="193" spans="2:5">
      <c r="B193" s="579">
        <v>20238211.649999999</v>
      </c>
      <c r="C193" s="600">
        <v>44508</v>
      </c>
      <c r="D193" s="106">
        <v>164.54</v>
      </c>
      <c r="E193" s="475">
        <f t="shared" si="2"/>
        <v>0.17193732193732184</v>
      </c>
    </row>
    <row r="194" spans="2:5">
      <c r="B194" s="579">
        <v>20225486.789999999</v>
      </c>
      <c r="C194" s="600">
        <v>44509</v>
      </c>
      <c r="D194" s="106">
        <v>164.44</v>
      </c>
      <c r="E194" s="475">
        <f t="shared" si="2"/>
        <v>0.17122507122507116</v>
      </c>
    </row>
    <row r="195" spans="2:5">
      <c r="B195" s="579">
        <v>20167785.43</v>
      </c>
      <c r="C195" s="600">
        <v>44510</v>
      </c>
      <c r="D195" s="106">
        <v>163.83000000000001</v>
      </c>
      <c r="E195" s="475">
        <f t="shared" si="2"/>
        <v>0.16688034188034193</v>
      </c>
    </row>
    <row r="196" spans="2:5">
      <c r="B196" s="579">
        <v>20191007.870000001</v>
      </c>
      <c r="C196" s="600">
        <v>44511</v>
      </c>
      <c r="D196" s="106">
        <v>163.56</v>
      </c>
      <c r="E196" s="475">
        <f t="shared" si="2"/>
        <v>0.16495726495726493</v>
      </c>
    </row>
    <row r="197" spans="2:5">
      <c r="B197" s="579">
        <v>20521329.77</v>
      </c>
      <c r="C197" s="600">
        <v>44512</v>
      </c>
      <c r="D197" s="106">
        <v>166.22</v>
      </c>
      <c r="E197" s="475">
        <f t="shared" si="2"/>
        <v>0.18390313390313384</v>
      </c>
    </row>
    <row r="198" spans="2:5">
      <c r="B198" s="579">
        <v>20549371.18</v>
      </c>
      <c r="C198" s="600">
        <v>44515</v>
      </c>
      <c r="D198" s="106">
        <v>166.36</v>
      </c>
      <c r="E198" s="475">
        <f t="shared" si="2"/>
        <v>0.18490028490028496</v>
      </c>
    </row>
    <row r="199" spans="2:5">
      <c r="B199" s="579">
        <v>20618788.16</v>
      </c>
      <c r="C199" s="600">
        <v>44516</v>
      </c>
      <c r="D199" s="106">
        <v>166.96</v>
      </c>
      <c r="E199" s="475">
        <f t="shared" si="2"/>
        <v>0.18917378917378919</v>
      </c>
    </row>
    <row r="200" spans="2:5">
      <c r="B200" s="579">
        <v>20654246.609999999</v>
      </c>
      <c r="C200" s="600">
        <v>44517</v>
      </c>
      <c r="D200" s="106">
        <v>167.19</v>
      </c>
      <c r="E200" s="475">
        <f t="shared" si="2"/>
        <v>0.19081196581196574</v>
      </c>
    </row>
    <row r="201" spans="2:5">
      <c r="B201" s="579">
        <v>20567758.890000001</v>
      </c>
      <c r="C201" s="600">
        <v>44518</v>
      </c>
      <c r="D201" s="106">
        <v>166.6</v>
      </c>
      <c r="E201" s="475">
        <f t="shared" si="2"/>
        <v>0.18660968660968652</v>
      </c>
    </row>
    <row r="202" spans="2:5">
      <c r="B202" s="579">
        <v>20642087.940000001</v>
      </c>
      <c r="C202" s="600">
        <v>44519</v>
      </c>
      <c r="D202" s="106">
        <v>167.26</v>
      </c>
      <c r="E202" s="475">
        <f t="shared" si="2"/>
        <v>0.1913105413105412</v>
      </c>
    </row>
    <row r="203" spans="2:5">
      <c r="B203" s="579">
        <v>20701188.140000001</v>
      </c>
      <c r="C203" s="600">
        <v>44522</v>
      </c>
      <c r="D203" s="106">
        <v>167.74</v>
      </c>
      <c r="E203" s="475">
        <f t="shared" si="2"/>
        <v>0.19472934472934475</v>
      </c>
    </row>
    <row r="204" spans="2:5">
      <c r="B204" s="579">
        <v>20592069.710000001</v>
      </c>
      <c r="C204" s="600">
        <v>44523</v>
      </c>
      <c r="D204" s="106">
        <v>166.86</v>
      </c>
      <c r="E204" s="475">
        <f t="shared" si="2"/>
        <v>0.18846153846153851</v>
      </c>
    </row>
    <row r="205" spans="2:5">
      <c r="B205" s="579">
        <v>20560381.59</v>
      </c>
      <c r="C205" s="600">
        <v>44524</v>
      </c>
      <c r="D205" s="106">
        <v>166.55</v>
      </c>
      <c r="E205" s="475">
        <f t="shared" si="2"/>
        <v>0.18625356125356129</v>
      </c>
    </row>
    <row r="206" spans="2:5">
      <c r="B206" s="579">
        <v>20407656</v>
      </c>
      <c r="C206" s="600">
        <v>44525</v>
      </c>
      <c r="D206" s="106">
        <v>165.32</v>
      </c>
      <c r="E206" s="475">
        <f t="shared" si="2"/>
        <v>0.1774928774928774</v>
      </c>
    </row>
    <row r="207" spans="2:5">
      <c r="B207" s="579">
        <v>19869878.41</v>
      </c>
      <c r="C207" s="600">
        <v>44526</v>
      </c>
      <c r="D207" s="106">
        <v>161.05000000000001</v>
      </c>
      <c r="E207" s="475">
        <f t="shared" si="2"/>
        <v>0.1470797720797721</v>
      </c>
    </row>
    <row r="208" spans="2:5">
      <c r="B208" s="579">
        <v>19482057.75</v>
      </c>
      <c r="C208" s="600">
        <v>44529</v>
      </c>
      <c r="D208" s="106">
        <v>157.83000000000001</v>
      </c>
      <c r="E208" s="475">
        <f t="shared" si="2"/>
        <v>0.12414529914529919</v>
      </c>
    </row>
    <row r="209" spans="2:5">
      <c r="B209" s="579">
        <v>19412477.57</v>
      </c>
      <c r="C209" s="600">
        <v>44530</v>
      </c>
      <c r="D209" s="106">
        <v>157.22999999999999</v>
      </c>
      <c r="E209" s="475">
        <f t="shared" si="2"/>
        <v>0.11987179487179475</v>
      </c>
    </row>
    <row r="210" spans="2:5">
      <c r="B210" s="579">
        <v>19656789.879999999</v>
      </c>
      <c r="C210" s="600">
        <v>44531</v>
      </c>
      <c r="D210" s="106">
        <v>159.19999999999999</v>
      </c>
      <c r="E210" s="475">
        <f t="shared" si="2"/>
        <v>0.13390313390313377</v>
      </c>
    </row>
    <row r="211" spans="2:5">
      <c r="B211" s="579">
        <v>19580100.25</v>
      </c>
      <c r="C211" s="600">
        <v>44532</v>
      </c>
      <c r="D211" s="106">
        <v>158.68</v>
      </c>
      <c r="E211" s="475">
        <f t="shared" si="2"/>
        <v>0.1301994301994302</v>
      </c>
    </row>
    <row r="212" spans="2:5">
      <c r="B212" s="579">
        <v>20276493.879999999</v>
      </c>
      <c r="C212" s="600">
        <v>44533</v>
      </c>
      <c r="D212" s="106">
        <v>159.38</v>
      </c>
      <c r="E212" s="475">
        <f t="shared" si="2"/>
        <v>0.1351851851851851</v>
      </c>
    </row>
    <row r="213" spans="2:5">
      <c r="B213" s="579">
        <v>20219833.73</v>
      </c>
      <c r="C213" s="600">
        <v>44536</v>
      </c>
      <c r="D213" s="106">
        <v>158.93</v>
      </c>
      <c r="E213" s="475">
        <f t="shared" si="2"/>
        <v>0.13198005698005699</v>
      </c>
    </row>
    <row r="214" spans="2:5">
      <c r="B214" s="579">
        <v>20566058.710000001</v>
      </c>
      <c r="C214" s="600">
        <v>44537</v>
      </c>
      <c r="D214" s="106">
        <v>161.66</v>
      </c>
      <c r="E214" s="475">
        <f t="shared" si="2"/>
        <v>0.15142450142450134</v>
      </c>
    </row>
    <row r="215" spans="2:5">
      <c r="B215" s="579">
        <v>20589860.899999999</v>
      </c>
      <c r="C215" s="600">
        <v>44538</v>
      </c>
      <c r="D215" s="106">
        <v>161.79</v>
      </c>
      <c r="E215" s="475">
        <f t="shared" si="2"/>
        <v>0.15235042735042725</v>
      </c>
    </row>
    <row r="216" spans="2:5">
      <c r="B216" s="579">
        <v>20568033.859999999</v>
      </c>
      <c r="C216" s="600">
        <v>44539</v>
      </c>
      <c r="D216" s="106">
        <v>161.52000000000001</v>
      </c>
      <c r="E216" s="475">
        <f t="shared" si="2"/>
        <v>0.15042735042735045</v>
      </c>
    </row>
    <row r="217" spans="2:5">
      <c r="B217" s="579">
        <v>20554977.34</v>
      </c>
      <c r="C217" s="600">
        <v>44540</v>
      </c>
      <c r="D217" s="106">
        <v>161.52000000000001</v>
      </c>
      <c r="E217" s="475">
        <f t="shared" si="2"/>
        <v>0.15042735042735045</v>
      </c>
    </row>
    <row r="218" spans="2:5">
      <c r="B218" s="579">
        <v>20591632.809999999</v>
      </c>
      <c r="C218" s="600">
        <v>44543</v>
      </c>
      <c r="D218" s="106">
        <v>161.81</v>
      </c>
      <c r="E218" s="475">
        <f t="shared" si="2"/>
        <v>0.15249287749287746</v>
      </c>
    </row>
    <row r="219" spans="2:5">
      <c r="B219" s="579">
        <v>20488612.75</v>
      </c>
      <c r="C219" s="600">
        <v>44544</v>
      </c>
      <c r="D219" s="106">
        <v>160.88999999999999</v>
      </c>
      <c r="E219" s="475">
        <f t="shared" si="2"/>
        <v>0.14594017094017081</v>
      </c>
    </row>
    <row r="220" spans="2:5">
      <c r="B220" s="579">
        <v>20646890.210000001</v>
      </c>
      <c r="C220" s="600">
        <v>44545</v>
      </c>
      <c r="D220" s="106">
        <v>162.05000000000001</v>
      </c>
      <c r="E220" s="475">
        <f t="shared" si="2"/>
        <v>0.15420227920227925</v>
      </c>
    </row>
    <row r="221" spans="2:5">
      <c r="B221" s="579">
        <v>20982003.890000001</v>
      </c>
      <c r="C221" s="600">
        <v>44546</v>
      </c>
      <c r="D221" s="106">
        <v>164.72</v>
      </c>
      <c r="E221" s="475">
        <f t="shared" si="2"/>
        <v>0.17321937321937317</v>
      </c>
    </row>
    <row r="222" spans="2:5">
      <c r="B222" s="579">
        <v>20969775.43</v>
      </c>
      <c r="C222" s="600">
        <v>44547</v>
      </c>
      <c r="D222" s="106">
        <v>164.6</v>
      </c>
      <c r="E222" s="475">
        <f t="shared" si="2"/>
        <v>0.17236467236467229</v>
      </c>
    </row>
    <row r="223" spans="2:5">
      <c r="B223" s="579">
        <v>20593911.559999999</v>
      </c>
      <c r="C223" s="600">
        <v>44551</v>
      </c>
      <c r="D223" s="106">
        <v>161.51</v>
      </c>
      <c r="E223" s="475">
        <f t="shared" si="2"/>
        <v>0.15035612535612525</v>
      </c>
    </row>
    <row r="224" spans="2:5">
      <c r="B224" s="579">
        <v>20623871.550000001</v>
      </c>
      <c r="C224" s="600">
        <v>44552</v>
      </c>
      <c r="D224" s="106">
        <v>161.72999999999999</v>
      </c>
      <c r="E224" s="475">
        <f t="shared" si="2"/>
        <v>0.1519230769230768</v>
      </c>
    </row>
    <row r="225" spans="2:5">
      <c r="B225" s="579">
        <v>20985184.370000001</v>
      </c>
      <c r="C225" s="600">
        <v>44553</v>
      </c>
      <c r="D225" s="106">
        <v>164.48</v>
      </c>
      <c r="E225" s="475">
        <f t="shared" si="2"/>
        <v>0.17150997150997138</v>
      </c>
    </row>
    <row r="226" spans="2:5">
      <c r="B226" s="579">
        <v>21102411.170000002</v>
      </c>
      <c r="C226" s="600">
        <v>44554</v>
      </c>
      <c r="D226" s="106">
        <v>165.31</v>
      </c>
      <c r="E226" s="475">
        <f t="shared" ref="E226:E237" si="3">(D226-$D$2)/$D$2</f>
        <v>0.17742165242165239</v>
      </c>
    </row>
    <row r="227" spans="2:5">
      <c r="B227" s="579">
        <v>21122994.370000001</v>
      </c>
      <c r="C227" s="600">
        <v>44558</v>
      </c>
      <c r="D227" s="106">
        <v>165.51</v>
      </c>
      <c r="E227" s="475">
        <f t="shared" si="3"/>
        <v>0.17884615384615374</v>
      </c>
    </row>
    <row r="228" spans="2:5">
      <c r="B228" s="579">
        <v>21075657.859999999</v>
      </c>
      <c r="C228" s="600">
        <v>44559</v>
      </c>
      <c r="D228" s="106">
        <v>165.14</v>
      </c>
      <c r="E228" s="475">
        <f t="shared" si="3"/>
        <v>0.17621082621082607</v>
      </c>
    </row>
    <row r="229" spans="2:5">
      <c r="C229" s="600">
        <v>44560</v>
      </c>
      <c r="E229" s="475"/>
    </row>
    <row r="230" spans="2:5">
      <c r="B230" s="579">
        <v>21207559.550000001</v>
      </c>
      <c r="C230" s="600">
        <v>44561</v>
      </c>
      <c r="D230" s="106">
        <v>166.14</v>
      </c>
      <c r="E230" s="475">
        <f t="shared" si="3"/>
        <v>0.18333333333333318</v>
      </c>
    </row>
    <row r="231" spans="2:5">
      <c r="B231" s="579">
        <v>21342092.550000001</v>
      </c>
      <c r="C231" s="600">
        <v>44199</v>
      </c>
      <c r="D231" s="106">
        <v>167.2</v>
      </c>
      <c r="E231" s="475">
        <f t="shared" si="3"/>
        <v>0.19088319088319075</v>
      </c>
    </row>
    <row r="232" spans="2:5">
      <c r="B232" s="579">
        <v>21585243.289999999</v>
      </c>
      <c r="C232" s="600">
        <v>44200</v>
      </c>
      <c r="D232" s="106">
        <v>169.1</v>
      </c>
      <c r="E232" s="475">
        <f t="shared" si="3"/>
        <v>0.20441595441595434</v>
      </c>
    </row>
    <row r="233" spans="2:5">
      <c r="B233" s="579">
        <v>21677895.210000001</v>
      </c>
      <c r="C233" s="600">
        <v>44201</v>
      </c>
      <c r="D233" s="106">
        <v>169.58</v>
      </c>
      <c r="E233" s="475">
        <f t="shared" si="3"/>
        <v>0.20783475783475788</v>
      </c>
    </row>
    <row r="234" spans="2:5">
      <c r="B234" s="579">
        <v>21564583.829999998</v>
      </c>
      <c r="C234" s="600">
        <v>44202</v>
      </c>
      <c r="D234" s="106">
        <v>167.96</v>
      </c>
      <c r="E234" s="475">
        <f t="shared" si="3"/>
        <v>0.1962962962962963</v>
      </c>
    </row>
    <row r="235" spans="2:5">
      <c r="B235" s="579">
        <v>21576322.079999998</v>
      </c>
      <c r="C235" s="600">
        <v>44203</v>
      </c>
      <c r="D235" s="106">
        <v>167.82</v>
      </c>
      <c r="E235" s="475">
        <f t="shared" si="3"/>
        <v>0.19529914529914522</v>
      </c>
    </row>
    <row r="236" spans="2:5">
      <c r="B236" s="579">
        <v>21594047.620000001</v>
      </c>
      <c r="C236" s="600">
        <v>44206</v>
      </c>
      <c r="D236" s="106">
        <v>167.87</v>
      </c>
      <c r="E236" s="475">
        <f t="shared" si="3"/>
        <v>0.19565527065527064</v>
      </c>
    </row>
    <row r="237" spans="2:5">
      <c r="B237" s="579">
        <v>21656703.629999999</v>
      </c>
      <c r="C237" s="600">
        <v>44207</v>
      </c>
      <c r="D237" s="106">
        <v>168.36</v>
      </c>
      <c r="E237" s="475">
        <f t="shared" si="3"/>
        <v>0.19914529914529919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9"/>
  <sheetViews>
    <sheetView workbookViewId="0">
      <selection activeCell="A3" sqref="A3:M28"/>
    </sheetView>
  </sheetViews>
  <sheetFormatPr defaultRowHeight="14.5"/>
  <cols>
    <col min="1" max="1" width="9.54296875" customWidth="1"/>
    <col min="2" max="2" width="22.26953125" customWidth="1"/>
    <col min="3" max="3" width="15" style="344" customWidth="1"/>
    <col min="4" max="4" width="22.26953125" style="344" customWidth="1"/>
    <col min="5" max="5" width="13.36328125" style="415" customWidth="1"/>
    <col min="6" max="6" width="14.36328125" style="415" customWidth="1"/>
    <col min="7" max="7" width="6.54296875" customWidth="1"/>
    <col min="8" max="8" width="22.26953125" style="416" customWidth="1"/>
    <col min="9" max="9" width="13.7265625" customWidth="1"/>
    <col min="10" max="10" width="15.7265625" style="344" customWidth="1"/>
    <col min="11" max="11" width="14.36328125" style="344" customWidth="1"/>
    <col min="12" max="12" width="12.26953125" customWidth="1"/>
    <col min="13" max="13" width="7.54296875" customWidth="1"/>
    <col min="14" max="15" width="10" style="388" customWidth="1"/>
    <col min="16" max="16" width="21.81640625" customWidth="1"/>
    <col min="17" max="17" width="13" bestFit="1" customWidth="1"/>
    <col min="18" max="18" width="11" bestFit="1" customWidth="1"/>
    <col min="20" max="20" width="26.81640625" customWidth="1"/>
    <col min="22" max="22" width="16.26953125" customWidth="1"/>
    <col min="26" max="26" width="7.54296875" customWidth="1"/>
    <col min="30" max="30" width="16.81640625" bestFit="1" customWidth="1"/>
    <col min="31" max="31" width="22.81640625" customWidth="1"/>
    <col min="32" max="32" width="19.81640625" customWidth="1"/>
    <col min="34" max="35" width="16.81640625" bestFit="1" customWidth="1"/>
  </cols>
  <sheetData>
    <row r="1" spans="1:35" ht="31">
      <c r="A1" s="1229" t="s">
        <v>2107</v>
      </c>
      <c r="B1" s="1229"/>
      <c r="C1" s="1229"/>
      <c r="D1" s="1229"/>
      <c r="E1" s="1229"/>
      <c r="F1" s="1229"/>
      <c r="G1" s="1229"/>
      <c r="H1" s="1229"/>
      <c r="I1" s="1229"/>
      <c r="J1" s="1229"/>
      <c r="K1" s="1229"/>
      <c r="L1" s="1229"/>
      <c r="M1" s="1229"/>
    </row>
    <row r="2" spans="1:35" ht="72.5">
      <c r="A2" s="389" t="s">
        <v>1732</v>
      </c>
      <c r="B2" s="390" t="s">
        <v>69</v>
      </c>
      <c r="C2" s="390" t="s">
        <v>245</v>
      </c>
      <c r="D2" s="390" t="s">
        <v>1733</v>
      </c>
      <c r="E2" s="391" t="s">
        <v>1734</v>
      </c>
      <c r="F2" s="392" t="s">
        <v>1735</v>
      </c>
      <c r="G2" s="390" t="s">
        <v>1736</v>
      </c>
      <c r="H2" s="392" t="s">
        <v>1737</v>
      </c>
      <c r="I2" s="393" t="s">
        <v>1738</v>
      </c>
      <c r="J2" s="390" t="s">
        <v>1739</v>
      </c>
      <c r="K2" s="390" t="s">
        <v>1740</v>
      </c>
      <c r="L2" s="390" t="s">
        <v>1741</v>
      </c>
      <c r="M2" s="390" t="s">
        <v>1742</v>
      </c>
      <c r="P2" s="394" t="s">
        <v>1743</v>
      </c>
      <c r="Q2" s="395" t="s">
        <v>1744</v>
      </c>
      <c r="R2" s="395" t="s">
        <v>1745</v>
      </c>
      <c r="S2" s="396" t="s">
        <v>1746</v>
      </c>
      <c r="T2" s="396" t="s">
        <v>1747</v>
      </c>
    </row>
    <row r="3" spans="1:35" s="407" customFormat="1">
      <c r="A3" s="397"/>
      <c r="B3" s="398"/>
      <c r="C3" s="5"/>
      <c r="D3" s="5"/>
      <c r="E3" s="399"/>
      <c r="F3" s="399"/>
      <c r="G3" s="402"/>
      <c r="H3" s="399"/>
      <c r="I3" s="400"/>
      <c r="J3" s="400"/>
      <c r="K3" s="400"/>
      <c r="L3" s="401"/>
      <c r="M3" s="388"/>
      <c r="N3" s="388"/>
      <c r="O3" s="388"/>
      <c r="P3" s="402"/>
      <c r="R3" s="404"/>
      <c r="S3" s="405" t="s">
        <v>136</v>
      </c>
      <c r="T3" s="406"/>
    </row>
    <row r="4" spans="1:35" s="407" customFormat="1">
      <c r="A4" s="397"/>
      <c r="B4" s="398"/>
      <c r="C4" s="5"/>
      <c r="D4" s="5"/>
      <c r="E4" s="399"/>
      <c r="F4" s="399"/>
      <c r="G4" s="402"/>
      <c r="H4" s="399"/>
      <c r="I4" s="400"/>
      <c r="J4" s="400"/>
      <c r="K4" s="400"/>
      <c r="L4" s="401"/>
      <c r="M4" s="388"/>
      <c r="N4" s="388"/>
      <c r="O4" s="388"/>
      <c r="P4" s="402"/>
      <c r="R4" s="404"/>
      <c r="S4" s="405" t="s">
        <v>136</v>
      </c>
      <c r="T4" s="406"/>
    </row>
    <row r="5" spans="1:35" s="407" customFormat="1">
      <c r="A5" s="397"/>
      <c r="C5" s="402"/>
      <c r="D5" s="402"/>
      <c r="E5" s="399"/>
      <c r="F5" s="399"/>
      <c r="H5" s="399"/>
      <c r="I5" s="400"/>
      <c r="J5" s="400"/>
      <c r="K5" s="400"/>
      <c r="L5" s="401"/>
      <c r="M5" s="388"/>
      <c r="N5" s="388"/>
      <c r="O5" s="388"/>
      <c r="P5" s="402"/>
      <c r="R5" s="404"/>
      <c r="S5" s="405" t="s">
        <v>136</v>
      </c>
      <c r="T5" s="406"/>
    </row>
    <row r="6" spans="1:35" s="407" customFormat="1">
      <c r="A6" s="397"/>
      <c r="B6" s="398"/>
      <c r="C6" s="5"/>
      <c r="D6" s="5"/>
      <c r="E6" s="399"/>
      <c r="F6" s="399"/>
      <c r="H6" s="399"/>
      <c r="I6" s="400"/>
      <c r="J6" s="400"/>
      <c r="K6" s="400"/>
      <c r="L6" s="401"/>
      <c r="M6" s="388"/>
      <c r="N6" s="388"/>
      <c r="O6" s="388"/>
      <c r="P6" s="402"/>
      <c r="R6" s="404" t="s">
        <v>1498</v>
      </c>
      <c r="S6" s="405" t="s">
        <v>136</v>
      </c>
      <c r="T6" s="406"/>
    </row>
    <row r="7" spans="1:35" s="407" customFormat="1">
      <c r="A7" s="397"/>
      <c r="B7" s="398"/>
      <c r="C7" s="5"/>
      <c r="D7" s="5"/>
      <c r="E7" s="399"/>
      <c r="F7" s="399"/>
      <c r="H7" s="399"/>
      <c r="I7" s="400"/>
      <c r="J7" s="400"/>
      <c r="K7" s="400"/>
      <c r="L7" s="401"/>
      <c r="M7" s="388"/>
      <c r="N7" s="388"/>
      <c r="O7" s="388"/>
      <c r="P7" s="402"/>
      <c r="R7" s="404"/>
      <c r="S7" s="405" t="s">
        <v>136</v>
      </c>
      <c r="T7" s="406"/>
    </row>
    <row r="8" spans="1:35" s="407" customFormat="1">
      <c r="A8" s="397"/>
      <c r="B8" s="398"/>
      <c r="C8" s="5"/>
      <c r="D8" s="5"/>
      <c r="E8" s="399"/>
      <c r="F8" s="399"/>
      <c r="H8" s="399"/>
      <c r="I8" s="400"/>
      <c r="J8" s="400"/>
      <c r="K8" s="400"/>
      <c r="L8" s="401"/>
      <c r="M8" s="388"/>
      <c r="N8" s="388"/>
      <c r="O8" s="388"/>
      <c r="P8" s="402"/>
      <c r="R8" s="404"/>
      <c r="S8" s="405" t="s">
        <v>136</v>
      </c>
      <c r="T8" s="406"/>
    </row>
    <row r="9" spans="1:35" s="407" customFormat="1">
      <c r="N9" s="388"/>
      <c r="O9" s="388"/>
      <c r="P9" s="402"/>
      <c r="R9" s="404"/>
      <c r="S9" s="405" t="s">
        <v>136</v>
      </c>
      <c r="T9" s="406"/>
      <c r="V9"/>
      <c r="W9"/>
      <c r="X9"/>
      <c r="Y9"/>
      <c r="Z9"/>
    </row>
    <row r="10" spans="1:35" s="407" customFormat="1">
      <c r="A10" s="397"/>
      <c r="B10" s="398"/>
      <c r="C10" s="5"/>
      <c r="D10" s="5"/>
      <c r="E10" s="399"/>
      <c r="F10" s="399"/>
      <c r="G10" s="402"/>
      <c r="H10" s="399"/>
      <c r="I10" s="400"/>
      <c r="J10" s="400"/>
      <c r="K10" s="400"/>
      <c r="L10" s="401"/>
      <c r="M10" s="388"/>
      <c r="N10" s="388"/>
      <c r="O10" s="388"/>
      <c r="P10" s="402"/>
      <c r="Q10" s="403"/>
      <c r="R10" s="404"/>
      <c r="S10" s="405" t="str">
        <f t="shared" ref="S10:S16" si="0">+IFERROR((Q10/R10)-1,"")</f>
        <v/>
      </c>
      <c r="T10" s="406"/>
      <c r="V10"/>
      <c r="W10"/>
      <c r="X10"/>
      <c r="Y10"/>
      <c r="Z10"/>
      <c r="AH10"/>
      <c r="AI10"/>
    </row>
    <row r="11" spans="1:35" s="407" customFormat="1">
      <c r="A11" s="397"/>
      <c r="B11" s="398"/>
      <c r="C11" s="5"/>
      <c r="D11" s="5"/>
      <c r="E11" s="399"/>
      <c r="F11" s="399"/>
      <c r="G11" s="402"/>
      <c r="H11" s="399"/>
      <c r="I11" s="400"/>
      <c r="J11" s="400"/>
      <c r="K11" s="400"/>
      <c r="L11" s="401"/>
      <c r="M11" s="388"/>
      <c r="N11" s="388"/>
      <c r="O11" s="388"/>
      <c r="P11" s="402"/>
      <c r="Q11" s="403"/>
      <c r="R11" s="404"/>
      <c r="S11" s="405" t="str">
        <f t="shared" si="0"/>
        <v/>
      </c>
      <c r="T11" s="406"/>
      <c r="AH11"/>
      <c r="AI11"/>
    </row>
    <row r="12" spans="1:35" s="407" customFormat="1">
      <c r="A12" s="397"/>
      <c r="B12" s="398"/>
      <c r="C12" s="5"/>
      <c r="D12" s="5"/>
      <c r="E12" s="399"/>
      <c r="F12" s="399"/>
      <c r="G12" s="402"/>
      <c r="H12" s="399"/>
      <c r="I12" s="400"/>
      <c r="J12" s="400"/>
      <c r="K12" s="400"/>
      <c r="L12" s="401"/>
      <c r="M12" s="388"/>
      <c r="N12" s="388"/>
      <c r="O12" s="388"/>
      <c r="P12" s="402"/>
      <c r="Q12" s="403"/>
      <c r="R12" s="404"/>
      <c r="S12" s="405" t="str">
        <f t="shared" si="0"/>
        <v/>
      </c>
      <c r="T12" s="406"/>
      <c r="AH12"/>
      <c r="AI12"/>
    </row>
    <row r="13" spans="1:35" s="407" customFormat="1">
      <c r="A13" s="397"/>
      <c r="B13" s="398"/>
      <c r="C13" s="5"/>
      <c r="D13" s="5"/>
      <c r="E13" s="399"/>
      <c r="F13" s="399"/>
      <c r="G13" s="402"/>
      <c r="H13" s="399"/>
      <c r="I13" s="400"/>
      <c r="J13" s="400"/>
      <c r="K13" s="400"/>
      <c r="L13" s="401"/>
      <c r="M13" s="388"/>
      <c r="N13" s="388"/>
      <c r="O13" s="388"/>
      <c r="P13" s="402"/>
      <c r="Q13" s="403"/>
      <c r="R13" s="404"/>
      <c r="S13" s="405" t="str">
        <f t="shared" si="0"/>
        <v/>
      </c>
      <c r="T13" s="406"/>
      <c r="AH13"/>
      <c r="AI13"/>
    </row>
    <row r="14" spans="1:35" s="407" customFormat="1">
      <c r="A14" s="397"/>
      <c r="B14" s="398"/>
      <c r="C14" s="5"/>
      <c r="D14" s="5"/>
      <c r="E14" s="399"/>
      <c r="F14" s="399"/>
      <c r="G14" s="402"/>
      <c r="H14" s="399"/>
      <c r="I14" s="400"/>
      <c r="J14" s="400"/>
      <c r="K14" s="400"/>
      <c r="L14" s="401"/>
      <c r="M14" s="388"/>
      <c r="N14" s="388"/>
      <c r="O14" s="388"/>
      <c r="P14" s="402"/>
      <c r="Q14" s="403"/>
      <c r="R14" s="404"/>
      <c r="S14" s="405" t="str">
        <f t="shared" si="0"/>
        <v/>
      </c>
      <c r="T14" s="406"/>
      <c r="AH14"/>
      <c r="AI14"/>
    </row>
    <row r="15" spans="1:35" s="407" customFormat="1">
      <c r="A15" s="397"/>
      <c r="B15" s="398"/>
      <c r="C15" s="5"/>
      <c r="D15" s="5"/>
      <c r="E15" s="399"/>
      <c r="F15" s="399"/>
      <c r="G15" s="402"/>
      <c r="H15" s="399"/>
      <c r="I15" s="400"/>
      <c r="J15" s="400"/>
      <c r="K15" s="400"/>
      <c r="L15" s="401"/>
      <c r="M15" s="388"/>
      <c r="N15" s="388"/>
      <c r="O15" s="388"/>
      <c r="P15" s="410"/>
      <c r="Q15" s="411"/>
      <c r="R15" s="412"/>
      <c r="S15" s="413" t="str">
        <f t="shared" si="0"/>
        <v/>
      </c>
      <c r="T15" s="414"/>
      <c r="AH15"/>
      <c r="AI15"/>
    </row>
    <row r="16" spans="1:35" s="407" customFormat="1">
      <c r="A16" s="397"/>
      <c r="B16" s="398"/>
      <c r="C16" s="5"/>
      <c r="D16" s="5"/>
      <c r="E16" s="399"/>
      <c r="F16" s="399"/>
      <c r="G16" s="402"/>
      <c r="H16" s="399"/>
      <c r="I16" s="400"/>
      <c r="J16" s="400"/>
      <c r="K16" s="400"/>
      <c r="L16" s="401"/>
      <c r="M16" s="388"/>
      <c r="N16" s="388"/>
      <c r="O16" s="388"/>
      <c r="P16" s="402"/>
      <c r="Q16" s="403"/>
      <c r="R16" s="404"/>
      <c r="S16" s="405" t="str">
        <f t="shared" si="0"/>
        <v/>
      </c>
      <c r="T16" s="406"/>
      <c r="AH16"/>
      <c r="AI16"/>
    </row>
    <row r="17" spans="1:35" s="407" customFormat="1">
      <c r="A17" s="397"/>
      <c r="B17" s="398"/>
      <c r="C17" s="5"/>
      <c r="D17" s="5"/>
      <c r="E17" s="399"/>
      <c r="F17" s="399"/>
      <c r="G17" s="402"/>
      <c r="H17" s="399"/>
      <c r="I17" s="400"/>
      <c r="J17" s="400"/>
      <c r="K17" s="400"/>
      <c r="L17" s="401"/>
      <c r="M17" s="388"/>
      <c r="N17" s="388"/>
      <c r="O17" s="388"/>
      <c r="AH17"/>
      <c r="AI17"/>
    </row>
    <row r="18" spans="1:35" s="407" customFormat="1">
      <c r="A18" s="397"/>
      <c r="B18" s="398"/>
      <c r="C18" s="5"/>
      <c r="D18" s="5"/>
      <c r="E18" s="399"/>
      <c r="F18" s="399"/>
      <c r="G18" s="402"/>
      <c r="H18" s="399"/>
      <c r="I18" s="400"/>
      <c r="J18" s="400"/>
      <c r="K18" s="400"/>
      <c r="L18" s="401"/>
      <c r="M18" s="388"/>
      <c r="V18" s="556" t="s">
        <v>1748</v>
      </c>
      <c r="W18" s="556" t="s">
        <v>1749</v>
      </c>
      <c r="AH18"/>
      <c r="AI18"/>
    </row>
    <row r="19" spans="1:35" s="407" customFormat="1">
      <c r="A19" s="397"/>
      <c r="B19" s="398"/>
      <c r="C19" s="5"/>
      <c r="D19" s="5"/>
      <c r="E19" s="399"/>
      <c r="F19" s="399"/>
      <c r="G19" s="402"/>
      <c r="H19" s="399"/>
      <c r="I19" s="400"/>
      <c r="J19" s="400"/>
      <c r="K19" s="400"/>
      <c r="L19" s="401"/>
      <c r="M19" s="388"/>
      <c r="N19" s="388"/>
      <c r="O19" s="388"/>
      <c r="P19" s="402"/>
      <c r="Q19" s="403"/>
      <c r="R19" s="404"/>
      <c r="S19" s="405" t="str">
        <f>+IFERROR((Q19/R19)-1,"")</f>
        <v/>
      </c>
      <c r="T19" s="406"/>
      <c r="V19" s="408" t="s">
        <v>148</v>
      </c>
      <c r="W19" s="22" t="s">
        <v>148</v>
      </c>
    </row>
    <row r="20" spans="1:35" s="407" customFormat="1">
      <c r="A20" s="397"/>
      <c r="B20" s="398"/>
      <c r="C20" s="5"/>
      <c r="D20" s="5"/>
      <c r="E20" s="399"/>
      <c r="F20" s="399"/>
      <c r="G20" s="402"/>
      <c r="H20" s="399"/>
      <c r="I20" s="400"/>
      <c r="J20" s="400"/>
      <c r="K20" s="400"/>
      <c r="L20" s="401"/>
      <c r="M20" s="388"/>
      <c r="N20" s="388"/>
      <c r="O20" s="388"/>
      <c r="V20" s="408" t="s">
        <v>147</v>
      </c>
      <c r="W20" s="22" t="s">
        <v>147</v>
      </c>
    </row>
    <row r="21" spans="1:35" s="407" customFormat="1">
      <c r="A21" s="397"/>
      <c r="B21" s="398"/>
      <c r="C21" s="5"/>
      <c r="D21" s="5"/>
      <c r="E21" s="399"/>
      <c r="F21" s="399"/>
      <c r="G21" s="402"/>
      <c r="H21" s="399"/>
      <c r="I21" s="400"/>
      <c r="J21" s="400"/>
      <c r="K21" s="400"/>
      <c r="L21" s="401"/>
      <c r="M21" s="388"/>
      <c r="N21" s="388"/>
      <c r="O21" s="388"/>
      <c r="P21" s="402"/>
      <c r="Q21" s="403"/>
      <c r="R21" s="404"/>
      <c r="S21" s="405"/>
      <c r="T21" s="406"/>
      <c r="V21" s="408" t="s">
        <v>12787</v>
      </c>
      <c r="W21" s="22" t="s">
        <v>12786</v>
      </c>
    </row>
    <row r="22" spans="1:35" s="407" customFormat="1">
      <c r="A22" s="397"/>
      <c r="B22" s="398"/>
      <c r="C22" s="5"/>
      <c r="D22" s="5"/>
      <c r="E22" s="399"/>
      <c r="F22" s="399"/>
      <c r="G22" s="402"/>
      <c r="H22" s="399"/>
      <c r="I22" s="400"/>
      <c r="J22" s="400"/>
      <c r="K22" s="400"/>
      <c r="L22" s="401"/>
      <c r="M22" s="388"/>
      <c r="N22" s="388"/>
      <c r="O22" s="388"/>
      <c r="P22" s="402"/>
      <c r="Q22" s="403"/>
      <c r="R22" s="404"/>
      <c r="S22" s="405"/>
      <c r="T22" s="406"/>
      <c r="V22" s="408" t="s">
        <v>1753</v>
      </c>
      <c r="W22" s="22" t="s">
        <v>1754</v>
      </c>
    </row>
    <row r="23" spans="1:35" s="407" customFormat="1">
      <c r="A23"/>
      <c r="B23"/>
      <c r="C23" s="344"/>
      <c r="D23" s="344"/>
      <c r="E23" s="415"/>
      <c r="F23" s="415"/>
      <c r="G23"/>
      <c r="H23" s="416"/>
      <c r="I23"/>
      <c r="J23" s="344"/>
      <c r="K23" s="344"/>
      <c r="L23"/>
      <c r="M23"/>
      <c r="N23" s="388"/>
      <c r="O23" s="388"/>
      <c r="P23" s="402"/>
      <c r="Q23" s="403"/>
      <c r="R23" s="404"/>
      <c r="S23" s="405"/>
      <c r="T23" s="406"/>
      <c r="V23" s="408" t="s">
        <v>1755</v>
      </c>
      <c r="W23" s="409" t="s">
        <v>1756</v>
      </c>
    </row>
    <row r="24" spans="1:35" s="407" customFormat="1">
      <c r="A24"/>
      <c r="B24"/>
      <c r="C24" s="344"/>
      <c r="D24" s="344"/>
      <c r="E24" s="415"/>
      <c r="F24" s="415"/>
      <c r="G24"/>
      <c r="H24" s="416"/>
      <c r="I24"/>
      <c r="J24" s="344"/>
      <c r="K24" s="344"/>
      <c r="L24"/>
      <c r="M24"/>
      <c r="N24" s="388"/>
      <c r="O24" s="388"/>
      <c r="P24" s="402"/>
      <c r="Q24" s="403"/>
      <c r="R24" s="404"/>
      <c r="S24" s="405"/>
      <c r="T24" s="406"/>
      <c r="V24" s="408" t="s">
        <v>1757</v>
      </c>
      <c r="W24" s="22"/>
    </row>
    <row r="25" spans="1:35" s="407" customFormat="1">
      <c r="A25"/>
      <c r="B25"/>
      <c r="C25" s="344"/>
      <c r="D25" s="344"/>
      <c r="E25" s="415"/>
      <c r="F25" s="415"/>
      <c r="G25"/>
      <c r="H25" s="416"/>
      <c r="I25"/>
      <c r="J25" s="344"/>
      <c r="K25" s="344"/>
      <c r="L25"/>
      <c r="M25"/>
      <c r="N25" s="388"/>
      <c r="O25" s="388"/>
      <c r="P25" s="402"/>
      <c r="Q25" s="403"/>
      <c r="R25" s="404"/>
      <c r="S25" s="405"/>
      <c r="T25" s="406"/>
      <c r="V25" s="407" t="s">
        <v>1750</v>
      </c>
      <c r="W25" s="407" t="s">
        <v>1758</v>
      </c>
    </row>
    <row r="26" spans="1:35" s="407" customFormat="1">
      <c r="A26"/>
      <c r="B26"/>
      <c r="C26" s="344"/>
      <c r="D26" s="344"/>
      <c r="E26" s="415"/>
      <c r="F26" s="415"/>
      <c r="G26"/>
      <c r="H26" s="416"/>
      <c r="I26"/>
      <c r="J26" s="344"/>
      <c r="K26" s="344"/>
      <c r="L26"/>
      <c r="M26"/>
      <c r="N26" s="388"/>
      <c r="O26" s="388"/>
      <c r="P26" s="402"/>
      <c r="Q26" s="403"/>
      <c r="R26" s="404"/>
      <c r="S26" s="405"/>
      <c r="T26" s="406"/>
      <c r="V26" s="407" t="s">
        <v>2096</v>
      </c>
      <c r="W26" s="407" t="s">
        <v>2097</v>
      </c>
    </row>
    <row r="27" spans="1:35" s="407" customFormat="1">
      <c r="A27"/>
      <c r="B27"/>
      <c r="C27" s="344"/>
      <c r="D27" s="344"/>
      <c r="E27" s="415"/>
      <c r="F27" s="415"/>
      <c r="G27"/>
      <c r="H27" s="416"/>
      <c r="I27"/>
      <c r="J27" s="344"/>
      <c r="K27" s="344"/>
      <c r="L27"/>
      <c r="M27"/>
      <c r="N27" s="388"/>
      <c r="O27" s="388"/>
      <c r="P27" s="402"/>
      <c r="Q27" s="403"/>
      <c r="R27" s="404"/>
      <c r="S27" s="405"/>
      <c r="T27" s="406"/>
      <c r="V27" s="407" t="s">
        <v>12911</v>
      </c>
      <c r="W27" s="407" t="s">
        <v>1752</v>
      </c>
    </row>
    <row r="28" spans="1:35" s="407" customFormat="1">
      <c r="A28"/>
      <c r="B28"/>
      <c r="C28" s="344"/>
      <c r="D28" s="344"/>
      <c r="E28" s="415"/>
      <c r="F28" s="415"/>
      <c r="G28"/>
      <c r="H28" s="416"/>
      <c r="I28"/>
      <c r="J28" s="344"/>
      <c r="K28" s="344"/>
      <c r="L28"/>
      <c r="M28"/>
      <c r="N28" s="388"/>
      <c r="O28" s="388"/>
      <c r="P28" s="402"/>
      <c r="Q28" s="403"/>
      <c r="R28" s="404"/>
      <c r="S28" s="405"/>
      <c r="T28" s="406"/>
      <c r="V28" s="407" t="s">
        <v>12912</v>
      </c>
      <c r="W28" s="407" t="s">
        <v>12913</v>
      </c>
    </row>
    <row r="29" spans="1:35" s="407" customFormat="1">
      <c r="A29"/>
      <c r="B29"/>
      <c r="C29" s="344"/>
      <c r="D29" s="344"/>
      <c r="E29" s="415"/>
      <c r="F29" s="415"/>
      <c r="G29"/>
      <c r="H29" s="416"/>
      <c r="I29"/>
      <c r="J29" s="344"/>
      <c r="K29" s="344"/>
      <c r="L29"/>
      <c r="M29"/>
      <c r="N29" s="388"/>
      <c r="O29" s="388"/>
      <c r="P29" s="402"/>
      <c r="Q29" s="403"/>
      <c r="R29" s="404"/>
      <c r="S29" s="405"/>
      <c r="T29" s="406"/>
    </row>
  </sheetData>
  <mergeCells count="1">
    <mergeCell ref="A1:M1"/>
  </mergeCells>
  <conditionalFormatting sqref="A1:XFD1 Z2 AB2:AC2 AJ2:XFD2 A2:U2 AF2:AG2 M5:M8 A8:M8 A10:M1048576 A3:M4">
    <cfRule type="expression" dxfId="266" priority="72">
      <formula>$A1="SELL"</formula>
    </cfRule>
  </conditionalFormatting>
  <conditionalFormatting sqref="N11:T15 N3:P9 R3:T9">
    <cfRule type="expression" dxfId="265" priority="81">
      <formula>#REF!="SELL"</formula>
    </cfRule>
  </conditionalFormatting>
  <conditionalFormatting sqref="A10:A1048576 A1:A4 A8">
    <cfRule type="containsText" dxfId="264" priority="70" operator="containsText" text="sell">
      <formula>NOT(ISERROR(SEARCH("sell",A1)))</formula>
    </cfRule>
    <cfRule type="containsText" dxfId="263" priority="71" operator="containsText" text="Buy">
      <formula>NOT(ISERROR(SEARCH("Buy",A1)))</formula>
    </cfRule>
  </conditionalFormatting>
  <conditionalFormatting sqref="U61:XFD1048576">
    <cfRule type="expression" dxfId="262" priority="207">
      <formula>$A26="SELL"</formula>
    </cfRule>
  </conditionalFormatting>
  <conditionalFormatting sqref="AJ3:XFD3 U3:AC3 AF3:AG3 U4:AG5">
    <cfRule type="expression" dxfId="261" priority="302">
      <formula>#REF!="SELL"</formula>
    </cfRule>
  </conditionalFormatting>
  <conditionalFormatting sqref="AJ4:XFD4 AH5:XFD8">
    <cfRule type="expression" dxfId="260" priority="326">
      <formula>#REF!="SELL"</formula>
    </cfRule>
  </conditionalFormatting>
  <conditionalFormatting sqref="AH7:XFD7">
    <cfRule type="expression" dxfId="259" priority="345">
      <formula>#REF!="SELL"</formula>
    </cfRule>
  </conditionalFormatting>
  <conditionalFormatting sqref="U6:AG8">
    <cfRule type="expression" dxfId="258" priority="349">
      <formula>#REF!="SELL"</formula>
    </cfRule>
  </conditionalFormatting>
  <conditionalFormatting sqref="AH8:XFD8">
    <cfRule type="expression" dxfId="257" priority="366">
      <formula>#REF!="SELL"</formula>
    </cfRule>
  </conditionalFormatting>
  <conditionalFormatting sqref="AH9:XFD9">
    <cfRule type="expression" dxfId="256" priority="391">
      <formula>#REF!="SELL"</formula>
    </cfRule>
  </conditionalFormatting>
  <conditionalFormatting sqref="U8:AG8 U9 AA9:AG9">
    <cfRule type="expression" dxfId="255" priority="395">
      <formula>#REF!="SELL"</formula>
    </cfRule>
  </conditionalFormatting>
  <conditionalFormatting sqref="AJ11:XFD15">
    <cfRule type="expression" dxfId="254" priority="406">
      <formula>#REF!="SELL"</formula>
    </cfRule>
  </conditionalFormatting>
  <conditionalFormatting sqref="U11:AG14">
    <cfRule type="expression" dxfId="253" priority="413">
      <formula>#REF!="SELL"</formula>
    </cfRule>
  </conditionalFormatting>
  <conditionalFormatting sqref="AJ16:XFD17">
    <cfRule type="expression" dxfId="252" priority="430">
      <formula>#REF!="SELL"</formula>
    </cfRule>
  </conditionalFormatting>
  <conditionalFormatting sqref="U15:AG16">
    <cfRule type="expression" dxfId="251" priority="433">
      <formula>#REF!="SELL"</formula>
    </cfRule>
  </conditionalFormatting>
  <conditionalFormatting sqref="AH19:XFD19 AJ18:XFD18">
    <cfRule type="expression" dxfId="250" priority="447">
      <formula>#REF!="SELL"</formula>
    </cfRule>
  </conditionalFormatting>
  <conditionalFormatting sqref="U17:AG17 U18 X18:AG18">
    <cfRule type="expression" dxfId="249" priority="453">
      <formula>#REF!="SELL"</formula>
    </cfRule>
  </conditionalFormatting>
  <conditionalFormatting sqref="AH20:XFD20">
    <cfRule type="expression" dxfId="248" priority="467">
      <formula>#REF!="SELL"</formula>
    </cfRule>
  </conditionalFormatting>
  <conditionalFormatting sqref="U19 X19:AG19">
    <cfRule type="expression" dxfId="247" priority="473">
      <formula>#REF!="SELL"</formula>
    </cfRule>
  </conditionalFormatting>
  <conditionalFormatting sqref="AH21:XFD21">
    <cfRule type="expression" dxfId="246" priority="487">
      <formula>#REF!="SELL"</formula>
    </cfRule>
  </conditionalFormatting>
  <conditionalFormatting sqref="U20 X20:AG20">
    <cfRule type="expression" dxfId="245" priority="493">
      <formula>#REF!="SELL"</formula>
    </cfRule>
  </conditionalFormatting>
  <conditionalFormatting sqref="AH22:XFD23">
    <cfRule type="expression" dxfId="244" priority="507">
      <formula>#REF!="SELL"</formula>
    </cfRule>
  </conditionalFormatting>
  <conditionalFormatting sqref="N16:T16 N17:O17">
    <cfRule type="expression" dxfId="243" priority="511">
      <formula>#REF!="SELL"</formula>
    </cfRule>
  </conditionalFormatting>
  <conditionalFormatting sqref="P15:T15">
    <cfRule type="expression" dxfId="242" priority="513">
      <formula>#REF!="SELL"</formula>
    </cfRule>
  </conditionalFormatting>
  <conditionalFormatting sqref="U21:U22 X21:AG22">
    <cfRule type="expression" dxfId="241" priority="514">
      <formula>#REF!="SELL"</formula>
    </cfRule>
  </conditionalFormatting>
  <conditionalFormatting sqref="U24:U25 X24:XFD25">
    <cfRule type="expression" dxfId="240" priority="524">
      <formula>#REF!="SELL"</formula>
    </cfRule>
  </conditionalFormatting>
  <conditionalFormatting sqref="N19:T19 N20:O20">
    <cfRule type="expression" dxfId="239" priority="527">
      <formula>#REF!="SELL"</formula>
    </cfRule>
  </conditionalFormatting>
  <conditionalFormatting sqref="P15:T15">
    <cfRule type="expression" dxfId="238" priority="529">
      <formula>#REF!="SELL"</formula>
    </cfRule>
  </conditionalFormatting>
  <conditionalFormatting sqref="U26 X26:XFD26">
    <cfRule type="expression" dxfId="237" priority="539">
      <formula>#REF!="SELL"</formula>
    </cfRule>
  </conditionalFormatting>
  <conditionalFormatting sqref="N21:T21">
    <cfRule type="expression" dxfId="236" priority="542">
      <formula>#REF!="SELL"</formula>
    </cfRule>
  </conditionalFormatting>
  <conditionalFormatting sqref="U27:XFD27">
    <cfRule type="expression" dxfId="235" priority="553">
      <formula>#REF!="SELL"</formula>
    </cfRule>
  </conditionalFormatting>
  <conditionalFormatting sqref="N22:T22">
    <cfRule type="expression" dxfId="234" priority="556">
      <formula>#REF!="SELL"</formula>
    </cfRule>
  </conditionalFormatting>
  <conditionalFormatting sqref="AA29:XFD29 U28:XFD28 U29">
    <cfRule type="expression" dxfId="233" priority="566">
      <formula>#REF!="SELL"</formula>
    </cfRule>
  </conditionalFormatting>
  <conditionalFormatting sqref="N23:T25">
    <cfRule type="expression" dxfId="232" priority="569">
      <formula>#REF!="SELL"</formula>
    </cfRule>
  </conditionalFormatting>
  <conditionalFormatting sqref="N56:T1048576">
    <cfRule type="expression" dxfId="231" priority="570">
      <formula>$A26="SELL"</formula>
    </cfRule>
  </conditionalFormatting>
  <conditionalFormatting sqref="N26:T26">
    <cfRule type="expression" dxfId="230" priority="586">
      <formula>#REF!="SELL"</formula>
    </cfRule>
  </conditionalFormatting>
  <conditionalFormatting sqref="N27:T27">
    <cfRule type="expression" dxfId="229" priority="592">
      <formula>#REF!="SELL"</formula>
    </cfRule>
  </conditionalFormatting>
  <conditionalFormatting sqref="N29:T29">
    <cfRule type="expression" dxfId="228" priority="633">
      <formula>#REF!="SELL"</formula>
    </cfRule>
  </conditionalFormatting>
  <conditionalFormatting sqref="N28:T28">
    <cfRule type="expression" dxfId="227" priority="635">
      <formula>#REF!="SELL"</formula>
    </cfRule>
  </conditionalFormatting>
  <conditionalFormatting sqref="U30:XFD42">
    <cfRule type="expression" dxfId="226" priority="711">
      <formula>$A13="SELL"</formula>
    </cfRule>
  </conditionalFormatting>
  <conditionalFormatting sqref="U43:XFD60">
    <cfRule type="expression" dxfId="225" priority="713">
      <formula>#REF!="SELL"</formula>
    </cfRule>
  </conditionalFormatting>
  <conditionalFormatting sqref="N30:T37">
    <cfRule type="expression" dxfId="224" priority="716">
      <formula>$A18="SELL"</formula>
    </cfRule>
  </conditionalFormatting>
  <conditionalFormatting sqref="N38:T55">
    <cfRule type="expression" dxfId="223" priority="718">
      <formula>#REF!="SELL"</formula>
    </cfRule>
  </conditionalFormatting>
  <conditionalFormatting sqref="A5 A6:F8 H6:K8">
    <cfRule type="expression" dxfId="222" priority="31">
      <formula>$A5="SELL"</formula>
    </cfRule>
  </conditionalFormatting>
  <conditionalFormatting sqref="N10:T10">
    <cfRule type="expression" dxfId="221" priority="34">
      <formula>#REF!="SELL"</formula>
    </cfRule>
  </conditionalFormatting>
  <conditionalFormatting sqref="A5:A8">
    <cfRule type="containsText" dxfId="220" priority="29" operator="containsText" text="sell">
      <formula>NOT(ISERROR(SEARCH("sell",A5)))</formula>
    </cfRule>
    <cfRule type="containsText" dxfId="219" priority="30" operator="containsText" text="Buy">
      <formula>NOT(ISERROR(SEARCH("Buy",A5)))</formula>
    </cfRule>
  </conditionalFormatting>
  <conditionalFormatting sqref="AJ10:XFD10">
    <cfRule type="expression" dxfId="218" priority="35">
      <formula>#REF!="SELL"</formula>
    </cfRule>
  </conditionalFormatting>
  <conditionalFormatting sqref="U10 AA10:AG10">
    <cfRule type="expression" dxfId="217" priority="36">
      <formula>#REF!="SELL"</formula>
    </cfRule>
  </conditionalFormatting>
  <conditionalFormatting sqref="V19:W19">
    <cfRule type="expression" dxfId="216" priority="18">
      <formula>#REF!="SELL"</formula>
    </cfRule>
  </conditionalFormatting>
  <conditionalFormatting sqref="V19:W20">
    <cfRule type="expression" dxfId="215" priority="19">
      <formula>#REF!="SELL"</formula>
    </cfRule>
  </conditionalFormatting>
  <conditionalFormatting sqref="V20:W20">
    <cfRule type="expression" dxfId="214" priority="20">
      <formula>#REF!="SELL"</formula>
    </cfRule>
  </conditionalFormatting>
  <conditionalFormatting sqref="V21:W21">
    <cfRule type="expression" dxfId="213" priority="21">
      <formula>#REF!="SELL"</formula>
    </cfRule>
  </conditionalFormatting>
  <conditionalFormatting sqref="V21:W21">
    <cfRule type="expression" dxfId="212" priority="22">
      <formula>#REF!="SELL"</formula>
    </cfRule>
  </conditionalFormatting>
  <conditionalFormatting sqref="V22:W22">
    <cfRule type="expression" dxfId="211" priority="23">
      <formula>#REF!="SELL"</formula>
    </cfRule>
  </conditionalFormatting>
  <conditionalFormatting sqref="V24:W24 V23">
    <cfRule type="expression" dxfId="210" priority="24">
      <formula>#REF!="SELL"</formula>
    </cfRule>
  </conditionalFormatting>
  <conditionalFormatting sqref="V24:W24">
    <cfRule type="expression" dxfId="209" priority="25">
      <formula>#REF!="SELL"</formula>
    </cfRule>
  </conditionalFormatting>
  <conditionalFormatting sqref="V23 V19:W22">
    <cfRule type="expression" dxfId="208" priority="26">
      <formula>#REF!="SELL"</formula>
    </cfRule>
  </conditionalFormatting>
  <conditionalFormatting sqref="V24:W25">
    <cfRule type="expression" dxfId="207" priority="27">
      <formula>#REF!="SELL"</formula>
    </cfRule>
  </conditionalFormatting>
  <conditionalFormatting sqref="V26:W26">
    <cfRule type="expression" dxfId="206" priority="28">
      <formula>#REF!="SELL"</formula>
    </cfRule>
  </conditionalFormatting>
  <conditionalFormatting sqref="V18:W18">
    <cfRule type="expression" dxfId="205" priority="17">
      <formula>#REF!="SELL"</formula>
    </cfRule>
  </conditionalFormatting>
  <conditionalFormatting sqref="H5:K5">
    <cfRule type="expression" dxfId="204" priority="4">
      <formula>$A5="SELL"</formula>
    </cfRule>
  </conditionalFormatting>
  <conditionalFormatting sqref="E5:F5">
    <cfRule type="expression" dxfId="203" priority="3">
      <formula>$A5="SELL"</formula>
    </cfRule>
  </conditionalFormatting>
  <conditionalFormatting sqref="L5:L8">
    <cfRule type="expression" dxfId="202" priority="2">
      <formula>$A5="SELL"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5"/>
  <sheetViews>
    <sheetView topLeftCell="A7" zoomScale="73" zoomScaleNormal="73" workbookViewId="0">
      <selection activeCell="B36" sqref="B36"/>
    </sheetView>
  </sheetViews>
  <sheetFormatPr defaultColWidth="9" defaultRowHeight="14.5"/>
  <cols>
    <col min="1" max="1" width="41.26953125" style="22" bestFit="1" customWidth="1"/>
    <col min="2" max="2" width="13.7265625" style="24" customWidth="1"/>
    <col min="3" max="3" width="13.7265625" style="25" customWidth="1"/>
    <col min="4" max="4" width="13.7265625" style="24" customWidth="1"/>
    <col min="5" max="6" width="7.81640625" style="25" customWidth="1"/>
    <col min="7" max="8" width="7.81640625" style="26" customWidth="1"/>
    <col min="9" max="10" width="12.81640625" style="22" bestFit="1" customWidth="1"/>
    <col min="11" max="11" width="17.26953125" style="22" bestFit="1" customWidth="1"/>
    <col min="12" max="12" width="9" style="22"/>
    <col min="13" max="13" width="16.54296875" style="22" customWidth="1"/>
    <col min="14" max="14" width="13.54296875" style="22" customWidth="1"/>
    <col min="15" max="18" width="9" style="22"/>
    <col min="19" max="19" width="10.81640625" style="22" customWidth="1"/>
    <col min="20" max="16384" width="9" style="22"/>
  </cols>
  <sheetData>
    <row r="1" spans="1:28" s="6" customFormat="1" ht="13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3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3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3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3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3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3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3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204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525" t="e">
        <f ca="1">'Cash Mgmt'!E50</f>
        <v>#NAME?</v>
      </c>
      <c r="C13" s="36"/>
    </row>
    <row r="14" spans="1:28">
      <c r="A14" s="30" t="s">
        <v>224</v>
      </c>
      <c r="B14" s="382">
        <v>25407.89</v>
      </c>
      <c r="C14" s="36"/>
    </row>
    <row r="15" spans="1:28" ht="15" thickBot="1">
      <c r="A15" s="30" t="s">
        <v>216</v>
      </c>
      <c r="B15" s="210" t="e">
        <f ca="1">+'Cash Mgmt'!J208</f>
        <v>#NAME?</v>
      </c>
      <c r="C15" s="36"/>
    </row>
    <row r="16" spans="1:28" ht="15" thickBot="1">
      <c r="A16" s="42" t="s">
        <v>220</v>
      </c>
      <c r="B16" s="49" t="e">
        <f ca="1">SUM(B13:B15)</f>
        <v>#NAME?</v>
      </c>
      <c r="C16" s="27" t="s">
        <v>42</v>
      </c>
      <c r="D16" s="28">
        <f ca="1">TODAY()-1</f>
        <v>44727</v>
      </c>
    </row>
    <row r="17" spans="1:10">
      <c r="A17" s="30"/>
      <c r="B17" s="48"/>
      <c r="C17" s="36"/>
    </row>
    <row r="18" spans="1:10">
      <c r="A18" s="31" t="s">
        <v>142</v>
      </c>
      <c r="B18" s="386">
        <f ca="1">SUM(B19:B21)</f>
        <v>0</v>
      </c>
      <c r="C18" s="36"/>
    </row>
    <row r="19" spans="1:10">
      <c r="A19" s="30" t="s">
        <v>51</v>
      </c>
      <c r="B19" s="48">
        <f ca="1">SUMIF(TradesEquity!$B$11:$B$573,(TODAY()),TradesEquity!$T11:$T573)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1" t="s">
        <v>1721</v>
      </c>
      <c r="B23" s="63">
        <f ca="1">Dvd!T111</f>
        <v>0</v>
      </c>
      <c r="C23" s="36"/>
      <c r="D23" s="526"/>
    </row>
    <row r="24" spans="1:10">
      <c r="A24" s="30"/>
      <c r="B24" s="48"/>
      <c r="C24" s="36"/>
    </row>
    <row r="25" spans="1:10">
      <c r="A25" s="31" t="s">
        <v>116</v>
      </c>
      <c r="B25" s="63">
        <f>SUM(B26:B47)</f>
        <v>-829833.16</v>
      </c>
      <c r="C25" s="36"/>
    </row>
    <row r="26" spans="1:10">
      <c r="A26" s="30" t="s">
        <v>1163</v>
      </c>
      <c r="B26" s="64">
        <v>-10816.31</v>
      </c>
      <c r="C26" s="36"/>
    </row>
    <row r="27" spans="1:10">
      <c r="A27" s="22" t="s">
        <v>1164</v>
      </c>
      <c r="B27" s="64">
        <v>22428</v>
      </c>
      <c r="C27" s="36"/>
    </row>
    <row r="28" spans="1:10">
      <c r="A28" s="34" t="s">
        <v>1165</v>
      </c>
      <c r="B28" s="64">
        <v>-0.78</v>
      </c>
      <c r="C28" s="36"/>
    </row>
    <row r="29" spans="1:10">
      <c r="A29" s="34" t="s">
        <v>12813</v>
      </c>
      <c r="B29" s="64">
        <v>0</v>
      </c>
      <c r="D29" s="25"/>
      <c r="E29" s="551"/>
      <c r="F29" s="551"/>
      <c r="G29" s="22"/>
      <c r="H29" s="22"/>
    </row>
    <row r="30" spans="1:10">
      <c r="A30" s="34" t="s">
        <v>2245</v>
      </c>
      <c r="B30" s="64">
        <v>-1948.27</v>
      </c>
      <c r="C30" s="36"/>
      <c r="G30" s="555"/>
      <c r="H30" s="555"/>
    </row>
    <row r="31" spans="1:10">
      <c r="A31" s="22" t="s">
        <v>1166</v>
      </c>
      <c r="B31" s="1228">
        <v>0</v>
      </c>
      <c r="C31" s="36"/>
      <c r="G31" s="381"/>
      <c r="H31" s="381"/>
    </row>
    <row r="32" spans="1:10">
      <c r="A32" s="34" t="s">
        <v>1167</v>
      </c>
      <c r="B32" s="48">
        <v>-7750.69</v>
      </c>
      <c r="C32" s="36"/>
      <c r="G32" s="518"/>
      <c r="H32" s="518"/>
      <c r="J32" s="1204"/>
    </row>
    <row r="33" spans="1:8">
      <c r="A33" s="34" t="s">
        <v>1168</v>
      </c>
      <c r="B33" s="48">
        <v>-64.930000000000007</v>
      </c>
      <c r="C33" s="36"/>
    </row>
    <row r="34" spans="1:8">
      <c r="A34" s="34" t="s">
        <v>1280</v>
      </c>
      <c r="B34" s="48">
        <v>-73142.3</v>
      </c>
      <c r="C34" s="36"/>
    </row>
    <row r="35" spans="1:8">
      <c r="A35" s="34" t="s">
        <v>1169</v>
      </c>
      <c r="B35" s="64">
        <v>-183.35</v>
      </c>
      <c r="C35" s="36"/>
    </row>
    <row r="36" spans="1:8">
      <c r="A36" s="34" t="s">
        <v>12814</v>
      </c>
      <c r="B36" s="1228">
        <v>0</v>
      </c>
      <c r="C36" s="36"/>
      <c r="G36" s="563"/>
      <c r="H36" s="563"/>
    </row>
    <row r="37" spans="1:8">
      <c r="A37" s="30" t="s">
        <v>1170</v>
      </c>
      <c r="B37" s="64">
        <v>-233.47</v>
      </c>
      <c r="C37" s="36"/>
      <c r="G37" s="560"/>
      <c r="H37" s="560"/>
    </row>
    <row r="38" spans="1:8">
      <c r="A38" s="34" t="s">
        <v>1171</v>
      </c>
      <c r="B38" s="64"/>
      <c r="C38" s="36"/>
      <c r="G38" s="555"/>
      <c r="H38" s="555"/>
    </row>
    <row r="39" spans="1:8">
      <c r="A39" s="575" t="s">
        <v>13104</v>
      </c>
      <c r="B39" s="574">
        <v>-81376.88</v>
      </c>
      <c r="C39" s="36"/>
      <c r="G39" s="1224"/>
      <c r="H39" s="1224"/>
    </row>
    <row r="40" spans="1:8">
      <c r="A40" s="575" t="s">
        <v>1168</v>
      </c>
      <c r="B40" s="574">
        <v>0</v>
      </c>
      <c r="C40" s="36"/>
      <c r="G40" s="543"/>
      <c r="H40" s="543"/>
    </row>
    <row r="41" spans="1:8">
      <c r="A41" s="575" t="s">
        <v>12951</v>
      </c>
      <c r="B41" s="574">
        <v>-15366.9</v>
      </c>
      <c r="C41" s="29"/>
      <c r="G41" s="557"/>
      <c r="H41" s="557"/>
    </row>
    <row r="42" spans="1:8">
      <c r="A42" s="575" t="s">
        <v>12950</v>
      </c>
      <c r="B42" s="574">
        <v>-61113.95</v>
      </c>
      <c r="C42" s="36"/>
      <c r="G42" s="524"/>
      <c r="H42" s="524"/>
    </row>
    <row r="43" spans="1:8">
      <c r="A43" s="575" t="s">
        <v>13105</v>
      </c>
      <c r="B43" s="574">
        <v>-589551.93000000005</v>
      </c>
      <c r="C43" s="36"/>
      <c r="G43" s="1224"/>
      <c r="H43" s="1224"/>
    </row>
    <row r="44" spans="1:8">
      <c r="A44" s="575" t="s">
        <v>12954</v>
      </c>
      <c r="B44" s="574">
        <v>-1863.75</v>
      </c>
      <c r="C44" s="36"/>
      <c r="G44" s="550"/>
      <c r="H44" s="550"/>
    </row>
    <row r="45" spans="1:8">
      <c r="A45" s="576" t="s">
        <v>1170</v>
      </c>
      <c r="B45" s="574">
        <v>-854.89</v>
      </c>
      <c r="C45" s="36"/>
      <c r="G45" s="550"/>
      <c r="H45" s="550"/>
    </row>
    <row r="46" spans="1:8">
      <c r="A46" s="575" t="s">
        <v>13058</v>
      </c>
      <c r="B46" s="574">
        <v>-1500</v>
      </c>
      <c r="C46" s="36"/>
      <c r="G46" s="524"/>
      <c r="H46" s="524"/>
    </row>
    <row r="47" spans="1:8">
      <c r="A47" s="575" t="s">
        <v>13059</v>
      </c>
      <c r="B47" s="574">
        <v>-6492.76</v>
      </c>
      <c r="C47" s="36"/>
      <c r="G47" s="524"/>
      <c r="H47" s="524"/>
    </row>
    <row r="48" spans="1:8">
      <c r="A48" s="30"/>
      <c r="B48" s="48"/>
      <c r="C48" s="36"/>
      <c r="G48" s="524"/>
      <c r="H48" s="524"/>
    </row>
    <row r="49" spans="1:8">
      <c r="A49" s="79" t="s">
        <v>1298</v>
      </c>
      <c r="B49" s="48"/>
      <c r="C49" s="36"/>
      <c r="G49" s="524"/>
      <c r="H49" s="524"/>
    </row>
    <row r="50" spans="1:8">
      <c r="A50" s="383" t="s">
        <v>1726</v>
      </c>
      <c r="B50" s="48"/>
      <c r="C50" s="36"/>
      <c r="G50" s="524"/>
      <c r="H50" s="524"/>
    </row>
    <row r="51" spans="1:8" ht="16">
      <c r="A51" s="30"/>
      <c r="B51" s="379">
        <v>0</v>
      </c>
      <c r="C51" s="36"/>
      <c r="G51" s="524"/>
      <c r="H51" s="524"/>
    </row>
    <row r="52" spans="1:8" ht="15" thickBot="1">
      <c r="B52" s="63">
        <v>0</v>
      </c>
      <c r="C52" s="36"/>
    </row>
    <row r="53" spans="1:8" ht="15" thickBot="1">
      <c r="A53" s="42" t="s">
        <v>61</v>
      </c>
      <c r="B53" s="49"/>
      <c r="C53" s="36"/>
    </row>
    <row r="54" spans="1:8" ht="15" thickBot="1">
      <c r="A54" s="30"/>
      <c r="B54" s="49" t="e">
        <f ca="1">SUM(B16,B18,B23,B25)+B51+B52</f>
        <v>#NAME?</v>
      </c>
      <c r="C54" s="36"/>
    </row>
    <row r="55" spans="1:8">
      <c r="A55" s="30"/>
      <c r="B55" s="39"/>
      <c r="C55" s="27" t="s">
        <v>42</v>
      </c>
      <c r="D55" s="28">
        <f ca="1">TODAY()</f>
        <v>44728</v>
      </c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A61" s="30"/>
      <c r="B61" s="39"/>
      <c r="C61" s="36"/>
    </row>
    <row r="62" spans="1:8">
      <c r="A62" s="30"/>
      <c r="B62" s="39"/>
      <c r="C62" s="36"/>
    </row>
    <row r="63" spans="1:8">
      <c r="B63" s="39"/>
      <c r="C63" s="36"/>
    </row>
    <row r="64" spans="1:8">
      <c r="B64" s="39"/>
      <c r="C64" s="36"/>
    </row>
    <row r="65" spans="1:9">
      <c r="A65" s="65"/>
      <c r="C65" s="36"/>
    </row>
    <row r="66" spans="1:9">
      <c r="B66" s="22"/>
    </row>
    <row r="67" spans="1:9">
      <c r="B67" s="44"/>
    </row>
    <row r="68" spans="1:9">
      <c r="B68" s="45"/>
      <c r="C68" s="27"/>
      <c r="D68" s="28"/>
    </row>
    <row r="69" spans="1:9">
      <c r="A69" s="30"/>
      <c r="B69" s="46"/>
    </row>
    <row r="70" spans="1:9">
      <c r="A70" s="30"/>
      <c r="B70" s="46"/>
      <c r="C70" s="29"/>
      <c r="D70" s="39"/>
      <c r="E70" s="66"/>
      <c r="H70" s="67"/>
    </row>
    <row r="71" spans="1:9">
      <c r="A71" s="30"/>
      <c r="B71" s="43"/>
      <c r="C71" s="29"/>
      <c r="D71" s="39"/>
      <c r="E71" s="66"/>
      <c r="H71" s="67"/>
    </row>
    <row r="72" spans="1:9">
      <c r="A72" s="30"/>
      <c r="B72" s="43"/>
    </row>
    <row r="73" spans="1:9">
      <c r="A73" s="30"/>
      <c r="B73" s="43"/>
    </row>
    <row r="74" spans="1:9">
      <c r="A74" s="31"/>
      <c r="B74" s="43"/>
    </row>
    <row r="75" spans="1:9">
      <c r="B75" s="43"/>
    </row>
    <row r="76" spans="1:9">
      <c r="A76" s="30"/>
      <c r="B76" s="44"/>
    </row>
    <row r="77" spans="1:9">
      <c r="A77" s="34"/>
      <c r="B77" s="43"/>
      <c r="C77" s="68"/>
      <c r="D77" s="65"/>
      <c r="E77" s="68"/>
      <c r="F77" s="69"/>
      <c r="G77" s="70"/>
      <c r="H77" s="71"/>
      <c r="I77" s="31"/>
    </row>
    <row r="78" spans="1:9">
      <c r="A78" s="30"/>
      <c r="B78" s="43"/>
      <c r="F78" s="32"/>
      <c r="H78" s="33"/>
    </row>
    <row r="79" spans="1:9">
      <c r="A79" s="30"/>
      <c r="B79" s="47"/>
      <c r="F79" s="33"/>
      <c r="G79" s="66"/>
    </row>
    <row r="80" spans="1:9">
      <c r="A80" s="31"/>
      <c r="B80" s="46"/>
      <c r="F80" s="33"/>
      <c r="G80" s="66"/>
    </row>
    <row r="81" spans="1:9">
      <c r="A81" s="31"/>
      <c r="B81" s="45"/>
      <c r="C81" s="35"/>
      <c r="D81" s="72"/>
      <c r="F81" s="33"/>
      <c r="G81" s="73"/>
    </row>
    <row r="82" spans="1:9">
      <c r="A82" s="31"/>
      <c r="B82" s="44"/>
      <c r="F82" s="33"/>
    </row>
    <row r="83" spans="1:9">
      <c r="B83" s="46"/>
      <c r="C83" s="68"/>
      <c r="D83" s="65"/>
      <c r="E83" s="68"/>
      <c r="F83" s="68"/>
      <c r="G83" s="70"/>
      <c r="H83" s="70"/>
      <c r="I83" s="31"/>
    </row>
    <row r="84" spans="1:9">
      <c r="A84" s="30"/>
      <c r="B84" s="74"/>
      <c r="C84" s="68"/>
      <c r="D84" s="65"/>
      <c r="E84" s="68"/>
      <c r="F84" s="68"/>
      <c r="G84" s="70"/>
      <c r="H84" s="70"/>
      <c r="I84" s="31"/>
    </row>
    <row r="85" spans="1:9" ht="16">
      <c r="A85" s="30"/>
      <c r="B85" s="22"/>
      <c r="C85" s="27"/>
      <c r="D85" s="28"/>
      <c r="E85" s="75"/>
      <c r="F85" s="70"/>
      <c r="G85" s="75"/>
      <c r="H85" s="70"/>
      <c r="I85" s="31"/>
    </row>
    <row r="86" spans="1:9">
      <c r="A86" s="30"/>
      <c r="B86" s="39"/>
      <c r="C86" s="26"/>
      <c r="D86" s="22"/>
      <c r="F86" s="66"/>
      <c r="G86" s="7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A301" s="30"/>
      <c r="B301" s="39"/>
      <c r="C301" s="36"/>
    </row>
    <row r="302" spans="1:3">
      <c r="A302" s="30"/>
      <c r="B302" s="39"/>
      <c r="C302" s="36"/>
    </row>
    <row r="303" spans="1:3">
      <c r="B303" s="39"/>
      <c r="C303" s="36"/>
    </row>
    <row r="304" spans="1:3">
      <c r="B304" s="39"/>
      <c r="C304" s="36"/>
    </row>
    <row r="305" spans="3:3">
      <c r="C305" s="36"/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27"/>
  <sheetViews>
    <sheetView topLeftCell="A306" zoomScale="81" zoomScaleNormal="81" workbookViewId="0">
      <selection activeCell="F331" sqref="F331"/>
    </sheetView>
  </sheetViews>
  <sheetFormatPr defaultRowHeight="14.5"/>
  <cols>
    <col min="1" max="1" width="55" bestFit="1" customWidth="1"/>
    <col min="2" max="2" width="10.26953125" bestFit="1" customWidth="1"/>
    <col min="3" max="3" width="11.54296875" bestFit="1" customWidth="1"/>
    <col min="4" max="4" width="16.54296875" bestFit="1" customWidth="1"/>
    <col min="5" max="5" width="11.54296875" style="348" bestFit="1" customWidth="1"/>
    <col min="7" max="7" width="10.54296875" bestFit="1" customWidth="1"/>
  </cols>
  <sheetData>
    <row r="12" spans="1:5">
      <c r="A12" s="483" t="s">
        <v>19</v>
      </c>
      <c r="B12" s="483" t="s">
        <v>2150</v>
      </c>
      <c r="C12" s="483" t="s">
        <v>2151</v>
      </c>
      <c r="D12" s="483" t="s">
        <v>2152</v>
      </c>
      <c r="E12" s="483" t="s">
        <v>2164</v>
      </c>
    </row>
    <row r="13" spans="1:5">
      <c r="A13" t="s">
        <v>2158</v>
      </c>
      <c r="B13">
        <v>43924</v>
      </c>
      <c r="C13" s="348">
        <v>150000</v>
      </c>
      <c r="D13">
        <v>43929</v>
      </c>
      <c r="E13" s="348">
        <v>2018.5708</v>
      </c>
    </row>
    <row r="14" spans="1:5">
      <c r="A14" t="s">
        <v>2157</v>
      </c>
      <c r="B14">
        <v>43935</v>
      </c>
      <c r="C14" s="348">
        <v>990</v>
      </c>
      <c r="D14">
        <v>43938</v>
      </c>
      <c r="E14" s="348">
        <v>990</v>
      </c>
    </row>
    <row r="15" spans="1:5">
      <c r="A15" t="s">
        <v>2157</v>
      </c>
      <c r="B15">
        <v>43937</v>
      </c>
      <c r="C15" s="348">
        <v>598.75</v>
      </c>
      <c r="D15">
        <v>43942</v>
      </c>
      <c r="E15" s="348">
        <v>7.7739000000000003</v>
      </c>
    </row>
    <row r="16" spans="1:5">
      <c r="A16" t="s">
        <v>2154</v>
      </c>
      <c r="B16">
        <v>43948</v>
      </c>
      <c r="C16" s="348">
        <v>5010.6000000000004</v>
      </c>
      <c r="D16">
        <v>43951</v>
      </c>
      <c r="E16" s="348">
        <v>60</v>
      </c>
    </row>
    <row r="17" spans="1:7">
      <c r="A17" t="s">
        <v>2157</v>
      </c>
      <c r="B17">
        <v>43956</v>
      </c>
      <c r="C17" s="348">
        <v>8979.99</v>
      </c>
      <c r="D17">
        <v>43959</v>
      </c>
      <c r="E17" s="348">
        <v>111.8027</v>
      </c>
    </row>
    <row r="18" spans="1:7">
      <c r="A18" t="s">
        <v>2157</v>
      </c>
      <c r="B18">
        <v>43957</v>
      </c>
      <c r="C18" s="348">
        <v>-19667</v>
      </c>
      <c r="D18">
        <v>43962</v>
      </c>
      <c r="E18" s="348">
        <v>-244.28149999999999</v>
      </c>
    </row>
    <row r="19" spans="1:7">
      <c r="A19" t="s">
        <v>2157</v>
      </c>
      <c r="B19">
        <v>43965</v>
      </c>
      <c r="C19" s="348">
        <v>4990</v>
      </c>
      <c r="D19">
        <v>43970</v>
      </c>
      <c r="E19" s="348">
        <v>62.375</v>
      </c>
    </row>
    <row r="20" spans="1:7">
      <c r="A20" t="s">
        <v>2157</v>
      </c>
      <c r="B20">
        <v>43966</v>
      </c>
      <c r="C20" s="348">
        <v>598.74</v>
      </c>
      <c r="D20">
        <v>43971</v>
      </c>
      <c r="E20" s="348">
        <v>7.3918999999999997</v>
      </c>
    </row>
    <row r="21" spans="1:7">
      <c r="A21" t="s">
        <v>2157</v>
      </c>
      <c r="B21">
        <v>43971</v>
      </c>
      <c r="C21" s="348">
        <v>4989.99</v>
      </c>
      <c r="D21">
        <v>43977</v>
      </c>
      <c r="E21" s="348">
        <v>58.423999999999999</v>
      </c>
    </row>
    <row r="22" spans="1:7">
      <c r="A22" t="s">
        <v>2157</v>
      </c>
      <c r="B22">
        <v>43977</v>
      </c>
      <c r="C22" s="348">
        <v>988</v>
      </c>
      <c r="D22">
        <v>43980</v>
      </c>
      <c r="E22" s="348">
        <v>11.015700000000001</v>
      </c>
    </row>
    <row r="23" spans="1:7">
      <c r="A23" t="s">
        <v>2157</v>
      </c>
      <c r="B23">
        <v>43978</v>
      </c>
      <c r="C23" s="348">
        <v>987.99</v>
      </c>
      <c r="D23">
        <v>43984</v>
      </c>
      <c r="E23" s="348">
        <v>10.837999999999999</v>
      </c>
    </row>
    <row r="24" spans="1:7">
      <c r="A24" t="s">
        <v>2157</v>
      </c>
      <c r="B24">
        <v>43979</v>
      </c>
      <c r="C24" s="348">
        <v>1976</v>
      </c>
      <c r="D24">
        <v>43985</v>
      </c>
      <c r="E24" s="348">
        <v>21.8294</v>
      </c>
    </row>
    <row r="25" spans="1:7">
      <c r="A25" t="s">
        <v>2158</v>
      </c>
      <c r="B25">
        <v>43980</v>
      </c>
      <c r="C25" s="348">
        <v>147626.9</v>
      </c>
      <c r="D25">
        <v>43986</v>
      </c>
      <c r="E25" s="348">
        <v>1585</v>
      </c>
    </row>
    <row r="26" spans="1:7">
      <c r="A26" t="s">
        <v>2158</v>
      </c>
      <c r="B26">
        <v>43984</v>
      </c>
      <c r="C26" s="348">
        <v>300000</v>
      </c>
      <c r="D26">
        <v>43987</v>
      </c>
      <c r="E26" s="348">
        <v>3135.7791999999999</v>
      </c>
    </row>
    <row r="27" spans="1:7">
      <c r="A27" t="s">
        <v>2154</v>
      </c>
      <c r="B27">
        <v>43984</v>
      </c>
      <c r="C27" s="348">
        <v>-5743</v>
      </c>
      <c r="D27">
        <v>43987</v>
      </c>
      <c r="E27" s="348">
        <v>-60</v>
      </c>
    </row>
    <row r="28" spans="1:7">
      <c r="A28" t="s">
        <v>2157</v>
      </c>
      <c r="B28">
        <v>43986</v>
      </c>
      <c r="C28" s="348">
        <v>4990</v>
      </c>
      <c r="D28">
        <v>43991</v>
      </c>
      <c r="E28" s="348">
        <v>53.581000000000003</v>
      </c>
    </row>
    <row r="29" spans="1:7">
      <c r="A29" s="498" t="s">
        <v>2158</v>
      </c>
      <c r="B29" s="498">
        <v>43993</v>
      </c>
      <c r="C29" s="499">
        <v>-68373.5</v>
      </c>
      <c r="D29" s="498">
        <v>43998</v>
      </c>
      <c r="E29" s="348">
        <v>-670</v>
      </c>
    </row>
    <row r="30" spans="1:7">
      <c r="A30" t="s">
        <v>2157</v>
      </c>
      <c r="B30">
        <v>43997</v>
      </c>
      <c r="C30" s="348">
        <v>10588.74</v>
      </c>
      <c r="D30">
        <v>44000</v>
      </c>
      <c r="E30" s="348">
        <v>114.8827</v>
      </c>
    </row>
    <row r="31" spans="1:7">
      <c r="A31" t="s">
        <v>2154</v>
      </c>
      <c r="B31">
        <v>43999</v>
      </c>
      <c r="C31" s="348">
        <v>5616.6</v>
      </c>
      <c r="D31">
        <v>44004</v>
      </c>
      <c r="E31" s="348">
        <v>55</v>
      </c>
    </row>
    <row r="32" spans="1:7">
      <c r="A32" t="s">
        <v>2157</v>
      </c>
      <c r="B32">
        <v>44007</v>
      </c>
      <c r="C32" s="348">
        <v>44377.99</v>
      </c>
      <c r="D32">
        <v>44012</v>
      </c>
      <c r="E32" s="348">
        <v>461.83769999999998</v>
      </c>
      <c r="G32" s="348"/>
    </row>
    <row r="33" spans="1:9">
      <c r="A33" t="s">
        <v>2157</v>
      </c>
      <c r="B33">
        <v>44012</v>
      </c>
      <c r="C33" s="348">
        <v>9987.99</v>
      </c>
      <c r="D33">
        <v>44015</v>
      </c>
      <c r="E33" s="348">
        <v>104.91589999999999</v>
      </c>
    </row>
    <row r="34" spans="1:9">
      <c r="A34" s="519" t="s">
        <v>2157</v>
      </c>
      <c r="B34" s="519">
        <v>44019</v>
      </c>
      <c r="C34" s="520">
        <v>9989.99</v>
      </c>
      <c r="D34" s="519">
        <v>44022</v>
      </c>
      <c r="E34" s="520">
        <v>101.65860000000001</v>
      </c>
    </row>
    <row r="35" spans="1:9">
      <c r="A35" s="519" t="s">
        <v>2154</v>
      </c>
      <c r="B35" s="519">
        <v>44020</v>
      </c>
      <c r="C35" s="520">
        <v>-5620</v>
      </c>
      <c r="D35" s="519">
        <v>44025</v>
      </c>
      <c r="E35" s="520">
        <v>-55</v>
      </c>
    </row>
    <row r="36" spans="1:9">
      <c r="A36" s="519" t="s">
        <v>2157</v>
      </c>
      <c r="B36" s="519">
        <v>44026</v>
      </c>
      <c r="C36" s="520">
        <v>24990</v>
      </c>
      <c r="D36" s="519">
        <v>44029</v>
      </c>
      <c r="E36" s="520">
        <v>256.49180000000001</v>
      </c>
    </row>
    <row r="37" spans="1:9">
      <c r="A37" s="519" t="s">
        <v>2157</v>
      </c>
      <c r="B37" s="519">
        <v>44027</v>
      </c>
      <c r="C37" s="520">
        <v>598.74</v>
      </c>
      <c r="D37" s="519">
        <v>44032</v>
      </c>
      <c r="E37" s="520">
        <v>6.0430000000000001</v>
      </c>
    </row>
    <row r="38" spans="1:9">
      <c r="A38" s="519" t="s">
        <v>2157</v>
      </c>
      <c r="B38" s="519">
        <v>44032</v>
      </c>
      <c r="C38" s="520">
        <v>1990</v>
      </c>
      <c r="D38" s="519">
        <v>44035</v>
      </c>
      <c r="E38" s="520">
        <v>20.2256</v>
      </c>
    </row>
    <row r="39" spans="1:9">
      <c r="A39" s="521" t="s">
        <v>2157</v>
      </c>
      <c r="B39" s="521">
        <v>44036</v>
      </c>
      <c r="C39" s="522">
        <v>4989.99</v>
      </c>
      <c r="D39" s="521">
        <v>44041</v>
      </c>
      <c r="E39" s="522">
        <v>20.2256</v>
      </c>
    </row>
    <row r="40" spans="1:9">
      <c r="A40" s="521" t="s">
        <v>2157</v>
      </c>
      <c r="B40" s="521">
        <v>44036</v>
      </c>
      <c r="C40" s="522">
        <v>-40608</v>
      </c>
      <c r="D40" s="521">
        <v>44041</v>
      </c>
      <c r="E40" s="522">
        <v>20.2256</v>
      </c>
      <c r="G40" s="474">
        <f>-400*103.4</f>
        <v>-41360</v>
      </c>
      <c r="H40" s="474">
        <f>+G40-C40</f>
        <v>-752</v>
      </c>
      <c r="I40" s="500">
        <f>+H40/G40</f>
        <v>1.8181818181818181E-2</v>
      </c>
    </row>
    <row r="41" spans="1:9">
      <c r="A41" s="519" t="s">
        <v>2157</v>
      </c>
      <c r="B41" s="519">
        <v>44039</v>
      </c>
      <c r="C41" s="520">
        <v>44980</v>
      </c>
      <c r="D41" s="519">
        <v>44042</v>
      </c>
      <c r="E41" s="523">
        <v>464.28570000000002</v>
      </c>
    </row>
    <row r="42" spans="1:9">
      <c r="A42" s="519" t="s">
        <v>2157</v>
      </c>
      <c r="B42" s="519">
        <v>44046</v>
      </c>
      <c r="C42" s="520">
        <v>49990</v>
      </c>
      <c r="D42" s="519">
        <v>44049</v>
      </c>
      <c r="E42" s="523">
        <v>542.30849999999998</v>
      </c>
    </row>
    <row r="43" spans="1:9">
      <c r="A43" s="519" t="s">
        <v>2157</v>
      </c>
      <c r="B43" s="519">
        <v>44049</v>
      </c>
      <c r="C43" s="520">
        <v>-4250.1499999999996</v>
      </c>
      <c r="D43" s="519">
        <v>44054</v>
      </c>
      <c r="E43" s="523">
        <v>-40.551000000000002</v>
      </c>
    </row>
    <row r="44" spans="1:9">
      <c r="A44" s="519" t="s">
        <v>2158</v>
      </c>
      <c r="B44" s="519">
        <v>44049</v>
      </c>
      <c r="C44" s="520">
        <v>-63637.599999999999</v>
      </c>
      <c r="D44" s="519">
        <v>44054</v>
      </c>
      <c r="E44" s="523">
        <v>-580</v>
      </c>
    </row>
    <row r="45" spans="1:9">
      <c r="A45" s="519" t="s">
        <v>2157</v>
      </c>
      <c r="B45" s="519">
        <v>44050</v>
      </c>
      <c r="C45" s="520">
        <v>-4347.13</v>
      </c>
      <c r="D45" s="519">
        <v>44055</v>
      </c>
      <c r="E45" s="523">
        <v>-40.24</v>
      </c>
    </row>
    <row r="46" spans="1:9">
      <c r="A46" s="519" t="s">
        <v>2157</v>
      </c>
      <c r="B46" s="519">
        <v>44053</v>
      </c>
      <c r="C46" s="520">
        <v>-5417.81</v>
      </c>
      <c r="D46" s="519">
        <v>44056</v>
      </c>
      <c r="E46" s="523">
        <v>-49.850999999999999</v>
      </c>
    </row>
    <row r="47" spans="1:9">
      <c r="A47" s="519" t="s">
        <v>2157</v>
      </c>
      <c r="B47" s="519">
        <v>44056</v>
      </c>
      <c r="C47" s="520">
        <v>-2719</v>
      </c>
      <c r="D47" s="519">
        <v>44061</v>
      </c>
      <c r="E47" s="523">
        <v>-25</v>
      </c>
    </row>
    <row r="48" spans="1:9">
      <c r="A48" s="519" t="s">
        <v>2157</v>
      </c>
      <c r="B48" s="519">
        <v>44057</v>
      </c>
      <c r="C48" s="520">
        <v>-2931.39</v>
      </c>
      <c r="D48" s="519">
        <v>44062</v>
      </c>
      <c r="E48" s="523">
        <v>-27.34</v>
      </c>
    </row>
    <row r="49" spans="1:5">
      <c r="A49" s="519" t="s">
        <v>2157</v>
      </c>
      <c r="B49" s="519">
        <v>44060</v>
      </c>
      <c r="C49" s="520">
        <v>598.74</v>
      </c>
      <c r="D49" s="519">
        <v>44063</v>
      </c>
      <c r="E49" s="523">
        <v>5.6014999999999997</v>
      </c>
    </row>
    <row r="50" spans="1:5">
      <c r="A50" s="519" t="s">
        <v>2157</v>
      </c>
      <c r="B50" s="519">
        <v>44061</v>
      </c>
      <c r="C50" s="520">
        <v>-4237.03</v>
      </c>
      <c r="D50" s="519">
        <v>44064</v>
      </c>
      <c r="E50" s="523">
        <v>-40.421999999999997</v>
      </c>
    </row>
    <row r="51" spans="1:5">
      <c r="A51" s="519" t="s">
        <v>2157</v>
      </c>
      <c r="B51" s="519">
        <v>44062</v>
      </c>
      <c r="C51" s="520">
        <v>-2896.52</v>
      </c>
      <c r="D51" s="519">
        <v>44067</v>
      </c>
      <c r="E51" s="523">
        <v>-27.803000000000001</v>
      </c>
    </row>
    <row r="52" spans="1:5">
      <c r="A52" s="519" t="s">
        <v>2157</v>
      </c>
      <c r="B52" s="519">
        <v>44063</v>
      </c>
      <c r="C52" s="520">
        <v>-3004.92</v>
      </c>
      <c r="D52" s="519">
        <v>44068</v>
      </c>
      <c r="E52" s="523">
        <v>-29.207999999999998</v>
      </c>
    </row>
    <row r="53" spans="1:5">
      <c r="A53" s="519" t="s">
        <v>2157</v>
      </c>
      <c r="B53" s="519">
        <v>44068</v>
      </c>
      <c r="C53" s="520">
        <v>-3157.82</v>
      </c>
      <c r="D53" s="519">
        <v>44071</v>
      </c>
      <c r="E53" s="523">
        <v>-29.949000000000002</v>
      </c>
    </row>
    <row r="54" spans="1:5">
      <c r="A54" s="519" t="s">
        <v>2157</v>
      </c>
      <c r="B54" s="519">
        <v>44069</v>
      </c>
      <c r="C54" s="520">
        <v>-3567.14</v>
      </c>
      <c r="D54" s="519">
        <v>44074</v>
      </c>
      <c r="E54" s="523">
        <v>-33.831000000000003</v>
      </c>
    </row>
    <row r="55" spans="1:5">
      <c r="A55" s="519" t="s">
        <v>2158</v>
      </c>
      <c r="B55" s="519">
        <v>44081</v>
      </c>
      <c r="C55" s="520">
        <v>-66708</v>
      </c>
      <c r="D55" s="519">
        <v>44084</v>
      </c>
      <c r="E55" s="523">
        <v>600</v>
      </c>
    </row>
    <row r="56" spans="1:5">
      <c r="A56" s="519" t="s">
        <v>2157</v>
      </c>
      <c r="B56" s="519">
        <v>44089</v>
      </c>
      <c r="C56" s="520">
        <v>-3287.7</v>
      </c>
      <c r="D56" s="519">
        <v>44092</v>
      </c>
      <c r="E56" s="523">
        <v>-30.178999999999998</v>
      </c>
    </row>
    <row r="57" spans="1:5">
      <c r="A57" s="519" t="s">
        <v>2157</v>
      </c>
      <c r="B57" s="519">
        <v>44089</v>
      </c>
      <c r="C57" s="520">
        <v>598</v>
      </c>
      <c r="D57" s="519">
        <v>44092</v>
      </c>
      <c r="E57" s="523">
        <v>5.4961000000000002</v>
      </c>
    </row>
    <row r="58" spans="1:5">
      <c r="A58" s="519" t="s">
        <v>2157</v>
      </c>
      <c r="B58" s="519">
        <v>44092</v>
      </c>
      <c r="C58" s="520">
        <v>14989.99</v>
      </c>
      <c r="D58" s="519">
        <v>44097</v>
      </c>
      <c r="E58" s="523">
        <v>138.46289999999999</v>
      </c>
    </row>
    <row r="59" spans="1:5">
      <c r="A59" s="519" t="s">
        <v>2154</v>
      </c>
      <c r="B59" s="519">
        <v>44099</v>
      </c>
      <c r="C59" s="520">
        <v>-4575.4799999999996</v>
      </c>
      <c r="D59" s="519">
        <v>44104</v>
      </c>
      <c r="E59" s="523">
        <v>-42</v>
      </c>
    </row>
    <row r="60" spans="1:5">
      <c r="A60" s="519" t="s">
        <v>2157</v>
      </c>
      <c r="B60" s="519">
        <v>44105</v>
      </c>
      <c r="C60" s="520">
        <v>-20876</v>
      </c>
      <c r="D60" s="519">
        <v>44110</v>
      </c>
      <c r="E60" s="523">
        <v>-200</v>
      </c>
    </row>
    <row r="61" spans="1:5">
      <c r="A61" t="s">
        <v>2157</v>
      </c>
      <c r="B61" s="519">
        <v>44113</v>
      </c>
      <c r="C61" s="520">
        <v>54980</v>
      </c>
      <c r="D61" s="519">
        <v>44118</v>
      </c>
      <c r="E61" s="348">
        <v>508.46199999999999</v>
      </c>
    </row>
    <row r="62" spans="1:5">
      <c r="A62" t="s">
        <v>2154</v>
      </c>
      <c r="B62" s="519">
        <v>44113</v>
      </c>
      <c r="C62" s="520">
        <v>22624</v>
      </c>
      <c r="D62" s="519">
        <v>44118</v>
      </c>
      <c r="E62" s="348">
        <v>200</v>
      </c>
    </row>
    <row r="63" spans="1:5">
      <c r="A63" t="s">
        <v>2157</v>
      </c>
      <c r="B63" s="519">
        <v>44118</v>
      </c>
      <c r="C63" s="520">
        <v>14989.99</v>
      </c>
      <c r="D63" s="519">
        <v>44123</v>
      </c>
      <c r="E63" s="348">
        <v>139.96</v>
      </c>
    </row>
    <row r="64" spans="1:5">
      <c r="A64" t="s">
        <v>2157</v>
      </c>
      <c r="B64" s="519">
        <v>44119</v>
      </c>
      <c r="C64" s="520">
        <v>598.74</v>
      </c>
      <c r="D64" s="519">
        <v>44124</v>
      </c>
      <c r="E64" s="348">
        <v>5604</v>
      </c>
    </row>
    <row r="65" spans="1:5">
      <c r="A65" t="s">
        <v>2157</v>
      </c>
      <c r="B65" s="519">
        <v>44126</v>
      </c>
      <c r="C65" s="520">
        <v>1989.99</v>
      </c>
      <c r="D65" s="519">
        <v>44131</v>
      </c>
      <c r="E65" s="348">
        <v>18.575500000000002</v>
      </c>
    </row>
    <row r="66" spans="1:5">
      <c r="A66" t="s">
        <v>2157</v>
      </c>
      <c r="B66" s="519">
        <v>44127</v>
      </c>
      <c r="C66" s="520">
        <v>-1922.77</v>
      </c>
      <c r="D66" s="519">
        <v>44132</v>
      </c>
      <c r="E66" s="348">
        <v>-17.847999999999999</v>
      </c>
    </row>
    <row r="67" spans="1:5">
      <c r="A67" t="s">
        <v>2157</v>
      </c>
      <c r="B67" s="519">
        <v>44132</v>
      </c>
      <c r="C67" s="520">
        <v>14990</v>
      </c>
      <c r="D67" s="519">
        <v>44137</v>
      </c>
      <c r="E67" s="348">
        <v>142.81630000000001</v>
      </c>
    </row>
    <row r="68" spans="1:5">
      <c r="A68" t="s">
        <v>2157</v>
      </c>
      <c r="B68" s="519">
        <v>44134</v>
      </c>
      <c r="C68" s="520">
        <v>4990</v>
      </c>
      <c r="D68" s="519">
        <v>44139</v>
      </c>
      <c r="E68" s="348">
        <v>47.8611</v>
      </c>
    </row>
    <row r="69" spans="1:5">
      <c r="A69" t="s">
        <v>2154</v>
      </c>
      <c r="B69" s="519">
        <v>44141</v>
      </c>
      <c r="C69" s="520">
        <v>-230700</v>
      </c>
      <c r="D69" s="519">
        <v>44146</v>
      </c>
      <c r="E69" s="348">
        <v>-2000</v>
      </c>
    </row>
    <row r="70" spans="1:5">
      <c r="A70" t="s">
        <v>2157</v>
      </c>
      <c r="B70" s="519">
        <v>44146</v>
      </c>
      <c r="C70" s="520">
        <v>4989.99</v>
      </c>
      <c r="D70" s="519">
        <v>44151</v>
      </c>
      <c r="E70" s="348">
        <v>43.357300000000002</v>
      </c>
    </row>
    <row r="71" spans="1:5">
      <c r="A71" t="s">
        <v>2157</v>
      </c>
      <c r="B71" s="519">
        <v>44151</v>
      </c>
      <c r="C71" s="520">
        <v>598.74</v>
      </c>
      <c r="D71" s="519">
        <v>44154</v>
      </c>
      <c r="E71" s="348">
        <v>5.1363000000000003</v>
      </c>
    </row>
    <row r="72" spans="1:5">
      <c r="A72" t="s">
        <v>2154</v>
      </c>
      <c r="B72" s="519">
        <v>44151</v>
      </c>
      <c r="C72" s="520">
        <v>22024</v>
      </c>
      <c r="D72" s="519">
        <v>44154</v>
      </c>
      <c r="E72" s="348">
        <v>180</v>
      </c>
    </row>
    <row r="73" spans="1:5">
      <c r="A73" t="s">
        <v>2157</v>
      </c>
      <c r="B73" s="519">
        <v>44152</v>
      </c>
      <c r="C73" s="520">
        <v>65950</v>
      </c>
      <c r="D73" s="519">
        <v>44155</v>
      </c>
      <c r="E73" s="348">
        <v>575.32929999999999</v>
      </c>
    </row>
    <row r="74" spans="1:5">
      <c r="A74" t="s">
        <v>2154</v>
      </c>
      <c r="B74" s="519">
        <v>44153</v>
      </c>
      <c r="C74" s="520">
        <v>2716.12</v>
      </c>
      <c r="D74" s="519">
        <v>44158</v>
      </c>
      <c r="E74" s="348">
        <v>22</v>
      </c>
    </row>
    <row r="75" spans="1:5">
      <c r="A75" t="s">
        <v>2154</v>
      </c>
      <c r="B75" s="519">
        <v>44154</v>
      </c>
      <c r="C75" s="520">
        <v>1481.52</v>
      </c>
      <c r="D75" s="519">
        <v>44159</v>
      </c>
      <c r="E75" s="348">
        <v>12</v>
      </c>
    </row>
    <row r="76" spans="1:5">
      <c r="A76" t="s">
        <v>2157</v>
      </c>
      <c r="B76" s="519">
        <v>44155</v>
      </c>
      <c r="C76" s="520">
        <v>4990</v>
      </c>
      <c r="D76" s="519">
        <v>44160</v>
      </c>
      <c r="E76" s="348">
        <v>42.252299999999998</v>
      </c>
    </row>
    <row r="77" spans="1:5">
      <c r="A77" t="s">
        <v>2154</v>
      </c>
      <c r="B77" s="519">
        <v>44155</v>
      </c>
      <c r="C77" s="520">
        <v>40189</v>
      </c>
      <c r="D77" s="519">
        <v>44160</v>
      </c>
      <c r="E77" s="348">
        <v>325</v>
      </c>
    </row>
    <row r="78" spans="1:5">
      <c r="A78" t="s">
        <v>2154</v>
      </c>
      <c r="B78" s="519">
        <v>44158</v>
      </c>
      <c r="C78" s="520">
        <v>18101</v>
      </c>
      <c r="D78" s="519">
        <v>44161</v>
      </c>
      <c r="E78" s="348">
        <v>146</v>
      </c>
    </row>
    <row r="79" spans="1:5">
      <c r="A79" t="s">
        <v>2157</v>
      </c>
      <c r="B79" s="519">
        <v>44161</v>
      </c>
      <c r="C79" s="520">
        <v>4990</v>
      </c>
      <c r="D79" s="519">
        <v>44166</v>
      </c>
      <c r="E79" s="348">
        <v>40.761299999999999</v>
      </c>
    </row>
    <row r="80" spans="1:5">
      <c r="A80" t="s">
        <v>2157</v>
      </c>
      <c r="B80" s="519">
        <v>44162</v>
      </c>
      <c r="C80" s="520">
        <v>989.99</v>
      </c>
      <c r="D80" s="519">
        <v>44167</v>
      </c>
      <c r="E80" s="348">
        <v>8.0154999999999994</v>
      </c>
    </row>
    <row r="81" spans="1:5">
      <c r="A81" t="s">
        <v>2157</v>
      </c>
      <c r="B81" s="519">
        <v>44165</v>
      </c>
      <c r="C81" s="520">
        <v>9988</v>
      </c>
      <c r="D81" s="519">
        <v>44168</v>
      </c>
      <c r="E81" s="348">
        <v>79.725399999999993</v>
      </c>
    </row>
    <row r="82" spans="1:5">
      <c r="A82" t="s">
        <v>2154</v>
      </c>
      <c r="B82" s="519">
        <v>44165</v>
      </c>
      <c r="C82" s="520">
        <v>-1578.6</v>
      </c>
      <c r="D82" s="519">
        <v>44168</v>
      </c>
      <c r="E82" s="348">
        <v>-12</v>
      </c>
    </row>
    <row r="83" spans="1:5">
      <c r="A83" t="s">
        <v>2154</v>
      </c>
      <c r="B83" s="519">
        <v>44167</v>
      </c>
      <c r="C83" s="520">
        <v>-65677</v>
      </c>
      <c r="D83" s="519">
        <v>44172</v>
      </c>
      <c r="E83" s="348">
        <v>-493</v>
      </c>
    </row>
    <row r="84" spans="1:5">
      <c r="A84" t="s">
        <v>2154</v>
      </c>
      <c r="B84" s="519">
        <v>44168</v>
      </c>
      <c r="C84" s="520">
        <v>348636</v>
      </c>
      <c r="D84" s="519">
        <v>44173</v>
      </c>
      <c r="E84" s="348">
        <v>2617</v>
      </c>
    </row>
    <row r="85" spans="1:5">
      <c r="A85" t="s">
        <v>2157</v>
      </c>
      <c r="B85" s="519">
        <v>44169</v>
      </c>
      <c r="C85" s="520">
        <v>4990</v>
      </c>
      <c r="D85" s="519">
        <v>44174</v>
      </c>
      <c r="E85" s="348">
        <v>38.613300000000002</v>
      </c>
    </row>
    <row r="86" spans="1:5">
      <c r="A86" t="s">
        <v>2157</v>
      </c>
      <c r="B86" s="519">
        <v>44172</v>
      </c>
      <c r="C86" s="520">
        <v>6990</v>
      </c>
      <c r="D86" s="519">
        <v>44175</v>
      </c>
      <c r="E86" s="348">
        <v>54.089599999999997</v>
      </c>
    </row>
    <row r="87" spans="1:5">
      <c r="A87" t="s">
        <v>2157</v>
      </c>
      <c r="B87" s="519">
        <v>44175</v>
      </c>
      <c r="C87" s="520">
        <v>4897.99</v>
      </c>
      <c r="D87" s="519">
        <v>44180</v>
      </c>
      <c r="E87" s="348">
        <v>38.771799999999999</v>
      </c>
    </row>
    <row r="88" spans="1:5">
      <c r="A88" t="s">
        <v>2157</v>
      </c>
      <c r="B88" s="519">
        <v>44179</v>
      </c>
      <c r="C88" s="520">
        <v>29989.99</v>
      </c>
      <c r="D88" s="519">
        <v>44182</v>
      </c>
      <c r="E88" s="348">
        <v>230.74549999999999</v>
      </c>
    </row>
    <row r="89" spans="1:5">
      <c r="A89" t="s">
        <v>2157</v>
      </c>
      <c r="B89" s="519">
        <v>44180</v>
      </c>
      <c r="C89" s="520">
        <v>598.74</v>
      </c>
      <c r="D89" s="519">
        <v>44183</v>
      </c>
      <c r="E89" s="348">
        <v>4.6135000000000002</v>
      </c>
    </row>
    <row r="90" spans="1:5">
      <c r="A90" t="s">
        <v>2157</v>
      </c>
      <c r="B90" s="519">
        <v>44183</v>
      </c>
      <c r="C90" s="520">
        <v>9990</v>
      </c>
      <c r="D90" s="519">
        <v>44188</v>
      </c>
      <c r="E90" s="348">
        <v>75.980999999999995</v>
      </c>
    </row>
    <row r="91" spans="1:5">
      <c r="A91" t="s">
        <v>2157</v>
      </c>
      <c r="B91" s="519">
        <v>44181</v>
      </c>
      <c r="C91" s="520">
        <v>2318</v>
      </c>
      <c r="D91" s="519">
        <v>44186</v>
      </c>
      <c r="E91" s="348">
        <v>17.647500000000001</v>
      </c>
    </row>
    <row r="92" spans="1:5">
      <c r="A92" t="s">
        <v>2157</v>
      </c>
      <c r="B92" s="519">
        <v>44186</v>
      </c>
      <c r="C92" s="520">
        <v>4989.99</v>
      </c>
      <c r="D92" s="519">
        <v>44189</v>
      </c>
      <c r="E92" s="348">
        <v>37.874699999999997</v>
      </c>
    </row>
    <row r="93" spans="1:5">
      <c r="A93" t="s">
        <v>2154</v>
      </c>
      <c r="B93" s="519">
        <v>44186</v>
      </c>
      <c r="C93" s="520">
        <v>-25834.05</v>
      </c>
      <c r="D93" s="519">
        <v>44189</v>
      </c>
      <c r="E93" s="348">
        <v>187</v>
      </c>
    </row>
    <row r="94" spans="1:5">
      <c r="A94" t="s">
        <v>2157</v>
      </c>
      <c r="B94" s="519">
        <v>44187</v>
      </c>
      <c r="C94" s="520">
        <v>55365.99</v>
      </c>
      <c r="D94" s="519">
        <v>44193</v>
      </c>
      <c r="E94" s="348">
        <v>420.42669999999998</v>
      </c>
    </row>
    <row r="95" spans="1:5">
      <c r="A95" t="s">
        <v>2157</v>
      </c>
      <c r="B95" s="519">
        <v>44188</v>
      </c>
      <c r="C95" s="520">
        <v>22980</v>
      </c>
      <c r="D95" s="519">
        <v>44194</v>
      </c>
      <c r="E95" s="348">
        <v>174.50069999999999</v>
      </c>
    </row>
    <row r="96" spans="1:5">
      <c r="A96" t="s">
        <v>2157</v>
      </c>
      <c r="B96" s="519">
        <v>44193</v>
      </c>
      <c r="C96" s="520">
        <v>1489.99</v>
      </c>
      <c r="D96" s="519">
        <v>44196</v>
      </c>
      <c r="E96" s="348">
        <v>11.3307</v>
      </c>
    </row>
    <row r="97" spans="1:5">
      <c r="A97" t="s">
        <v>2157</v>
      </c>
      <c r="B97" s="519">
        <v>44195</v>
      </c>
      <c r="C97" s="520">
        <v>199990</v>
      </c>
      <c r="D97" s="519">
        <v>44201</v>
      </c>
      <c r="E97" s="348">
        <v>1520.8364999999999</v>
      </c>
    </row>
    <row r="98" spans="1:5">
      <c r="A98" t="s">
        <v>2157</v>
      </c>
      <c r="B98" s="519">
        <v>43838</v>
      </c>
      <c r="C98" s="520">
        <v>39674.85</v>
      </c>
      <c r="D98" s="519">
        <v>44209</v>
      </c>
      <c r="E98" s="348">
        <v>285</v>
      </c>
    </row>
    <row r="99" spans="1:5">
      <c r="A99" t="s">
        <v>2154</v>
      </c>
      <c r="B99" s="519">
        <v>43838</v>
      </c>
      <c r="C99" s="520">
        <v>171217.8</v>
      </c>
      <c r="D99" s="519">
        <v>44209</v>
      </c>
      <c r="E99" s="348">
        <v>1170</v>
      </c>
    </row>
    <row r="100" spans="1:5">
      <c r="A100" t="s">
        <v>2157</v>
      </c>
      <c r="B100" s="519">
        <v>44207</v>
      </c>
      <c r="C100" s="520">
        <v>1159453.8400000001</v>
      </c>
      <c r="D100" s="519">
        <v>44210</v>
      </c>
      <c r="E100" s="348">
        <v>8054</v>
      </c>
    </row>
    <row r="101" spans="1:5">
      <c r="A101" t="s">
        <v>2158</v>
      </c>
      <c r="B101" s="519">
        <v>44207</v>
      </c>
      <c r="C101" s="520">
        <v>48561.99</v>
      </c>
      <c r="D101" s="519">
        <v>44210</v>
      </c>
      <c r="E101" s="348">
        <v>335.63150000000002</v>
      </c>
    </row>
    <row r="102" spans="1:5">
      <c r="A102" t="s">
        <v>2157</v>
      </c>
      <c r="B102" s="519">
        <v>44208</v>
      </c>
      <c r="C102" s="520">
        <v>107892.96</v>
      </c>
      <c r="D102" s="519">
        <v>44211</v>
      </c>
      <c r="E102" s="348">
        <v>750.40679999999998</v>
      </c>
    </row>
    <row r="103" spans="1:5">
      <c r="A103" t="s">
        <v>2157</v>
      </c>
      <c r="B103" s="519">
        <v>44209</v>
      </c>
      <c r="C103" s="520">
        <v>72913.350000000006</v>
      </c>
      <c r="D103" s="519">
        <v>44214</v>
      </c>
      <c r="E103" s="348">
        <v>555.62649999999996</v>
      </c>
    </row>
    <row r="104" spans="1:5">
      <c r="A104" t="s">
        <v>2154</v>
      </c>
      <c r="B104" s="519">
        <v>44209</v>
      </c>
      <c r="C104" s="520">
        <v>177091.20000000001</v>
      </c>
      <c r="D104" s="519">
        <v>44214</v>
      </c>
      <c r="E104" s="348">
        <v>1170</v>
      </c>
    </row>
    <row r="105" spans="1:5">
      <c r="A105" t="s">
        <v>2157</v>
      </c>
      <c r="B105" s="519">
        <v>44210</v>
      </c>
      <c r="C105" s="520">
        <v>-1525.24</v>
      </c>
      <c r="D105" s="519">
        <v>44215</v>
      </c>
      <c r="E105" s="348">
        <v>-10.5641</v>
      </c>
    </row>
    <row r="106" spans="1:5">
      <c r="A106" t="s">
        <v>2158</v>
      </c>
      <c r="B106" s="519">
        <v>44210</v>
      </c>
      <c r="C106" s="520">
        <v>250000</v>
      </c>
      <c r="D106" s="519">
        <v>44215</v>
      </c>
      <c r="E106" s="348">
        <v>1646.2530999999999</v>
      </c>
    </row>
    <row r="107" spans="1:5">
      <c r="A107" t="s">
        <v>2154</v>
      </c>
      <c r="B107" s="519">
        <v>44210</v>
      </c>
      <c r="C107" s="520">
        <v>15094</v>
      </c>
      <c r="D107" s="519">
        <v>44215</v>
      </c>
      <c r="E107" s="348">
        <v>100</v>
      </c>
    </row>
    <row r="108" spans="1:5">
      <c r="A108" t="s">
        <v>2157</v>
      </c>
      <c r="B108" s="519">
        <v>44211</v>
      </c>
      <c r="C108" s="520">
        <v>598.74</v>
      </c>
      <c r="D108" s="519">
        <v>44216</v>
      </c>
      <c r="E108" s="348">
        <v>4.1733000000000002</v>
      </c>
    </row>
    <row r="109" spans="1:5">
      <c r="A109" t="s">
        <v>2157</v>
      </c>
      <c r="B109" s="519">
        <v>36909</v>
      </c>
      <c r="C109" s="520">
        <v>-17931.14</v>
      </c>
      <c r="D109" s="519">
        <v>44217</v>
      </c>
      <c r="E109" s="348">
        <v>-136.3698</v>
      </c>
    </row>
    <row r="110" spans="1:5">
      <c r="A110" t="s">
        <v>2154</v>
      </c>
      <c r="B110" s="519">
        <v>44214</v>
      </c>
      <c r="C110" s="520">
        <v>133482</v>
      </c>
      <c r="D110" s="519">
        <v>44217</v>
      </c>
      <c r="E110" s="348">
        <v>890</v>
      </c>
    </row>
    <row r="111" spans="1:5">
      <c r="A111" t="s">
        <v>2157</v>
      </c>
      <c r="B111" s="519">
        <v>44215</v>
      </c>
      <c r="C111" s="520">
        <v>-10902.35</v>
      </c>
      <c r="D111" s="519">
        <v>44218</v>
      </c>
      <c r="E111" s="348">
        <v>-76.438000000000002</v>
      </c>
    </row>
    <row r="112" spans="1:5">
      <c r="A112" t="s">
        <v>2157</v>
      </c>
      <c r="B112" s="519">
        <v>44216</v>
      </c>
      <c r="C112" s="520">
        <v>75743.17</v>
      </c>
      <c r="D112" s="519">
        <v>44221</v>
      </c>
      <c r="E112" s="348">
        <v>519.17999999999995</v>
      </c>
    </row>
    <row r="113" spans="1:7">
      <c r="A113" t="s">
        <v>2158</v>
      </c>
      <c r="B113" s="519">
        <v>44216</v>
      </c>
      <c r="C113" s="520">
        <v>557741.32999999996</v>
      </c>
      <c r="D113" s="519">
        <v>44221</v>
      </c>
      <c r="E113" s="348">
        <v>3717.5320000000002</v>
      </c>
      <c r="G113" s="304" t="s">
        <v>12695</v>
      </c>
    </row>
    <row r="114" spans="1:7">
      <c r="A114" t="s">
        <v>2154</v>
      </c>
      <c r="B114" s="519">
        <v>44216</v>
      </c>
      <c r="C114" s="520">
        <v>7671.5</v>
      </c>
      <c r="D114" s="519">
        <v>44221</v>
      </c>
      <c r="E114" s="348">
        <v>50</v>
      </c>
    </row>
    <row r="115" spans="1:7">
      <c r="A115" t="s">
        <v>2157</v>
      </c>
      <c r="B115" s="519">
        <v>44217</v>
      </c>
      <c r="C115" s="520">
        <v>268807.5</v>
      </c>
      <c r="D115" s="519">
        <v>44222</v>
      </c>
      <c r="E115" s="348">
        <v>1872</v>
      </c>
    </row>
    <row r="116" spans="1:7">
      <c r="A116" t="s">
        <v>2158</v>
      </c>
      <c r="B116" s="519">
        <v>44217</v>
      </c>
      <c r="C116" s="520">
        <v>673.9</v>
      </c>
      <c r="D116" s="519">
        <v>44222</v>
      </c>
      <c r="E116" s="348">
        <v>4.4626000000000001</v>
      </c>
    </row>
    <row r="117" spans="1:7">
      <c r="A117" t="s">
        <v>2157</v>
      </c>
      <c r="B117" s="519">
        <v>44218</v>
      </c>
      <c r="C117" s="520">
        <v>94425.36</v>
      </c>
      <c r="D117" s="519">
        <v>44223</v>
      </c>
      <c r="E117" s="348">
        <v>642</v>
      </c>
    </row>
    <row r="118" spans="1:7">
      <c r="A118" t="s">
        <v>2158</v>
      </c>
      <c r="B118" s="519">
        <v>44218</v>
      </c>
      <c r="C118" s="520">
        <v>148137.69</v>
      </c>
      <c r="D118" s="519">
        <v>44223</v>
      </c>
      <c r="E118" s="348">
        <v>972.91549999999995</v>
      </c>
    </row>
    <row r="119" spans="1:7">
      <c r="A119" t="s">
        <v>2157</v>
      </c>
      <c r="B119" s="519">
        <v>44221</v>
      </c>
      <c r="C119" s="520">
        <v>-21421.22</v>
      </c>
      <c r="D119" s="519">
        <v>44224</v>
      </c>
      <c r="E119" s="348">
        <v>-145.64330000000001</v>
      </c>
    </row>
    <row r="120" spans="1:7">
      <c r="A120" t="s">
        <v>2158</v>
      </c>
      <c r="B120" s="519">
        <v>44221</v>
      </c>
      <c r="C120" s="520">
        <v>527.09</v>
      </c>
      <c r="D120" s="519">
        <v>44224</v>
      </c>
      <c r="E120" s="348">
        <v>3.4074</v>
      </c>
    </row>
    <row r="121" spans="1:7">
      <c r="A121" t="s">
        <v>2157</v>
      </c>
      <c r="B121" s="519">
        <v>44222</v>
      </c>
      <c r="C121" s="520">
        <v>75959.960000000006</v>
      </c>
      <c r="D121" s="519">
        <v>44225</v>
      </c>
      <c r="E121" s="348">
        <v>512.61950000000002</v>
      </c>
    </row>
    <row r="122" spans="1:7">
      <c r="A122" t="s">
        <v>2158</v>
      </c>
      <c r="B122" s="519">
        <v>44222</v>
      </c>
      <c r="C122" s="520">
        <v>-49891.199999999997</v>
      </c>
      <c r="D122" s="519">
        <v>44225</v>
      </c>
      <c r="E122" s="348">
        <v>-320</v>
      </c>
    </row>
    <row r="123" spans="1:7">
      <c r="A123" t="s">
        <v>12712</v>
      </c>
      <c r="B123" s="519">
        <v>44222</v>
      </c>
      <c r="C123" s="520">
        <v>-67019.8</v>
      </c>
      <c r="D123" s="519">
        <v>44225</v>
      </c>
      <c r="E123" s="348">
        <v>-430</v>
      </c>
    </row>
    <row r="124" spans="1:7">
      <c r="A124" t="s">
        <v>2157</v>
      </c>
      <c r="B124" s="519">
        <v>44223</v>
      </c>
      <c r="C124" s="520">
        <v>14388</v>
      </c>
      <c r="D124" s="519">
        <v>44228</v>
      </c>
      <c r="E124" s="348">
        <v>96.797600000000003</v>
      </c>
    </row>
    <row r="125" spans="1:7">
      <c r="A125" t="s">
        <v>12712</v>
      </c>
      <c r="B125" s="519">
        <v>44223</v>
      </c>
      <c r="C125" s="520">
        <v>2970.46</v>
      </c>
      <c r="D125" s="519">
        <v>44228</v>
      </c>
      <c r="E125" s="348">
        <v>19</v>
      </c>
    </row>
    <row r="126" spans="1:7">
      <c r="A126" t="s">
        <v>2157</v>
      </c>
      <c r="B126" s="519">
        <v>44224</v>
      </c>
      <c r="C126" s="520">
        <v>13174.16</v>
      </c>
      <c r="D126" s="519">
        <v>44229</v>
      </c>
      <c r="E126" s="348">
        <v>25188</v>
      </c>
    </row>
    <row r="127" spans="1:7">
      <c r="A127" t="s">
        <v>2158</v>
      </c>
      <c r="B127" s="519">
        <v>44225</v>
      </c>
      <c r="C127" s="520">
        <v>4573.01</v>
      </c>
      <c r="D127" s="519">
        <v>44229</v>
      </c>
      <c r="E127" s="348">
        <v>457301</v>
      </c>
    </row>
    <row r="128" spans="1:7">
      <c r="A128" t="s">
        <v>2157</v>
      </c>
      <c r="B128" s="519">
        <v>44229</v>
      </c>
      <c r="C128" s="520">
        <v>32580</v>
      </c>
      <c r="D128" s="519">
        <v>44232</v>
      </c>
      <c r="E128" s="348">
        <v>229.006</v>
      </c>
    </row>
    <row r="129" spans="1:5">
      <c r="A129" t="s">
        <v>2157</v>
      </c>
      <c r="B129" s="519">
        <v>44228</v>
      </c>
      <c r="C129" s="520">
        <v>14987.99</v>
      </c>
      <c r="D129" s="519">
        <v>44231</v>
      </c>
      <c r="E129" s="348">
        <v>103.6442</v>
      </c>
    </row>
    <row r="130" spans="1:5">
      <c r="A130" t="s">
        <v>2157</v>
      </c>
      <c r="B130" s="519">
        <v>44230</v>
      </c>
      <c r="C130" s="520">
        <v>14388</v>
      </c>
      <c r="D130" s="519">
        <v>44235</v>
      </c>
      <c r="E130" s="348">
        <v>97.058800000000005</v>
      </c>
    </row>
    <row r="131" spans="1:5">
      <c r="A131" t="s">
        <v>2157</v>
      </c>
      <c r="B131" s="519">
        <v>44232</v>
      </c>
      <c r="C131" s="520">
        <v>6296.58</v>
      </c>
      <c r="D131" s="519">
        <v>44236</v>
      </c>
      <c r="E131" s="348">
        <v>42.449800000000003</v>
      </c>
    </row>
    <row r="132" spans="1:5">
      <c r="A132" t="s">
        <v>2157</v>
      </c>
      <c r="B132" s="519">
        <v>44232</v>
      </c>
      <c r="C132" s="520">
        <v>50933.93</v>
      </c>
      <c r="D132" s="519">
        <v>44237</v>
      </c>
      <c r="E132" s="348">
        <v>343.33100000000002</v>
      </c>
    </row>
    <row r="133" spans="1:5">
      <c r="A133" t="s">
        <v>2158</v>
      </c>
      <c r="B133" s="519">
        <v>44232</v>
      </c>
      <c r="C133" s="520">
        <v>80092.160000000003</v>
      </c>
      <c r="D133" s="519">
        <v>44237</v>
      </c>
      <c r="E133" s="348">
        <v>512</v>
      </c>
    </row>
    <row r="134" spans="1:5">
      <c r="A134" t="s">
        <v>2158</v>
      </c>
      <c r="B134" s="519">
        <v>44236</v>
      </c>
      <c r="C134" s="520">
        <v>3749.99</v>
      </c>
      <c r="D134" s="519">
        <v>44239</v>
      </c>
      <c r="E134" s="348">
        <v>23.929500000000001</v>
      </c>
    </row>
    <row r="135" spans="1:5">
      <c r="A135" t="s">
        <v>2157</v>
      </c>
      <c r="B135" s="519">
        <v>44237</v>
      </c>
      <c r="C135" s="520">
        <v>5979.6</v>
      </c>
      <c r="D135" s="519">
        <v>44242</v>
      </c>
      <c r="E135" s="348">
        <v>40</v>
      </c>
    </row>
    <row r="136" spans="1:5">
      <c r="A136" t="s">
        <v>2157</v>
      </c>
      <c r="B136" s="519">
        <v>44238</v>
      </c>
      <c r="C136" s="520">
        <v>7967.59</v>
      </c>
      <c r="D136" s="519">
        <v>44243</v>
      </c>
      <c r="E136" s="348">
        <v>53.380099999999999</v>
      </c>
    </row>
    <row r="137" spans="1:5">
      <c r="A137" t="s">
        <v>2157</v>
      </c>
      <c r="B137" s="519">
        <v>44239</v>
      </c>
      <c r="C137" s="520">
        <v>225532</v>
      </c>
      <c r="D137" s="519">
        <v>44244</v>
      </c>
      <c r="E137" s="348">
        <v>1510.53</v>
      </c>
    </row>
    <row r="138" spans="1:5">
      <c r="A138" t="s">
        <v>2158</v>
      </c>
      <c r="B138" s="519">
        <v>44239</v>
      </c>
      <c r="C138" s="520">
        <v>50256</v>
      </c>
      <c r="D138" s="519">
        <v>44244</v>
      </c>
      <c r="E138" s="348">
        <v>320</v>
      </c>
    </row>
    <row r="139" spans="1:5">
      <c r="A139" t="s">
        <v>2157</v>
      </c>
      <c r="B139" s="519">
        <v>44242</v>
      </c>
      <c r="C139" s="520">
        <v>1797.49</v>
      </c>
      <c r="D139" s="519">
        <v>44245</v>
      </c>
      <c r="E139" s="348">
        <v>11.975300000000001</v>
      </c>
    </row>
    <row r="140" spans="1:5">
      <c r="A140" t="s">
        <v>2158</v>
      </c>
      <c r="B140" s="519">
        <v>44244</v>
      </c>
      <c r="C140" s="520">
        <v>-1370.52</v>
      </c>
      <c r="D140" s="519">
        <v>44249</v>
      </c>
      <c r="E140" s="348">
        <v>-8.6266999999999996</v>
      </c>
    </row>
    <row r="141" spans="1:5">
      <c r="A141" t="s">
        <v>2157</v>
      </c>
      <c r="B141" s="519">
        <v>44246</v>
      </c>
      <c r="C141" s="520">
        <v>158021.51</v>
      </c>
      <c r="D141" s="519">
        <v>44251</v>
      </c>
      <c r="E141" s="348">
        <v>1039</v>
      </c>
    </row>
    <row r="142" spans="1:5">
      <c r="A142" t="s">
        <v>2157</v>
      </c>
      <c r="B142" s="519">
        <v>44249</v>
      </c>
      <c r="C142" s="520">
        <v>4980.6899999999996</v>
      </c>
      <c r="D142" s="519">
        <v>44252</v>
      </c>
      <c r="E142" s="348">
        <v>33</v>
      </c>
    </row>
    <row r="143" spans="1:5">
      <c r="A143" t="s">
        <v>2158</v>
      </c>
      <c r="B143" s="519">
        <v>44249</v>
      </c>
      <c r="C143" s="520">
        <v>349999.98</v>
      </c>
      <c r="D143" s="519">
        <v>44252</v>
      </c>
      <c r="E143" s="348">
        <v>2202.2273</v>
      </c>
    </row>
    <row r="144" spans="1:5">
      <c r="A144" t="s">
        <v>2157</v>
      </c>
      <c r="B144" s="519">
        <v>44253</v>
      </c>
      <c r="C144" s="520">
        <v>-395018.87</v>
      </c>
      <c r="D144" s="519">
        <v>44258</v>
      </c>
      <c r="E144" s="348">
        <v>-2705.7939999999999</v>
      </c>
    </row>
    <row r="145" spans="1:5">
      <c r="A145" t="s">
        <v>2157</v>
      </c>
      <c r="B145" s="519">
        <v>44257</v>
      </c>
      <c r="C145" s="520">
        <v>83944.25</v>
      </c>
      <c r="D145" s="519">
        <v>44260</v>
      </c>
      <c r="E145" s="348">
        <v>575</v>
      </c>
    </row>
    <row r="146" spans="1:5">
      <c r="A146" t="s">
        <v>2158</v>
      </c>
      <c r="B146" s="519">
        <v>44257</v>
      </c>
      <c r="C146" s="520">
        <v>101049</v>
      </c>
      <c r="D146" s="519">
        <v>44260</v>
      </c>
      <c r="E146" s="348">
        <v>650</v>
      </c>
    </row>
    <row r="147" spans="1:5">
      <c r="A147" t="s">
        <v>2157</v>
      </c>
      <c r="B147" s="519">
        <v>44258</v>
      </c>
      <c r="C147" s="520">
        <v>35284.300000000003</v>
      </c>
      <c r="D147" s="519">
        <v>44263</v>
      </c>
      <c r="E147" s="348">
        <v>237.14160000000001</v>
      </c>
    </row>
    <row r="148" spans="1:5">
      <c r="A148" t="s">
        <v>2158</v>
      </c>
      <c r="B148" s="519">
        <v>44263</v>
      </c>
      <c r="C148" s="520">
        <v>-19.82</v>
      </c>
      <c r="D148" s="519">
        <v>44266</v>
      </c>
      <c r="E148" s="348">
        <v>-0.12759999999999999</v>
      </c>
    </row>
    <row r="149" spans="1:5">
      <c r="A149" t="s">
        <v>2157</v>
      </c>
      <c r="B149" s="519">
        <v>44264</v>
      </c>
      <c r="C149" s="520">
        <v>34891.69</v>
      </c>
      <c r="D149" s="519">
        <v>44267</v>
      </c>
      <c r="E149" s="348">
        <v>236.38220000000001</v>
      </c>
    </row>
    <row r="150" spans="1:5">
      <c r="A150" t="s">
        <v>2157</v>
      </c>
      <c r="B150" s="519">
        <v>44265</v>
      </c>
      <c r="C150" s="520">
        <v>41104</v>
      </c>
      <c r="D150" s="519">
        <v>44270</v>
      </c>
      <c r="E150" s="348">
        <v>280</v>
      </c>
    </row>
    <row r="151" spans="1:5">
      <c r="A151" t="s">
        <v>2157</v>
      </c>
      <c r="B151" s="519">
        <v>44266</v>
      </c>
      <c r="C151" s="520">
        <v>14680</v>
      </c>
      <c r="D151" s="519">
        <v>44271</v>
      </c>
      <c r="E151" s="348">
        <v>100</v>
      </c>
    </row>
    <row r="152" spans="1:5">
      <c r="A152" t="s">
        <v>2157</v>
      </c>
      <c r="B152" s="519">
        <v>44267</v>
      </c>
      <c r="C152" s="520">
        <v>248051</v>
      </c>
      <c r="D152" s="519">
        <v>44272</v>
      </c>
      <c r="E152" s="348">
        <v>1702.8351</v>
      </c>
    </row>
    <row r="153" spans="1:5">
      <c r="A153" t="s">
        <v>2158</v>
      </c>
      <c r="B153" s="519">
        <v>44267</v>
      </c>
      <c r="C153" s="520">
        <v>102811</v>
      </c>
      <c r="D153" s="519">
        <v>44272</v>
      </c>
      <c r="E153" s="348">
        <v>670</v>
      </c>
    </row>
    <row r="154" spans="1:5">
      <c r="A154" t="s">
        <v>2157</v>
      </c>
      <c r="B154" s="519">
        <v>44270</v>
      </c>
      <c r="C154" s="520">
        <v>8632.49</v>
      </c>
      <c r="D154" s="519">
        <v>44273</v>
      </c>
      <c r="E154" s="348">
        <v>58.3947</v>
      </c>
    </row>
    <row r="155" spans="1:5">
      <c r="A155" t="s">
        <v>12712</v>
      </c>
      <c r="B155" s="519">
        <v>44270</v>
      </c>
      <c r="C155" s="520">
        <v>5604.84</v>
      </c>
      <c r="D155" s="519">
        <v>44273</v>
      </c>
      <c r="E155" s="348">
        <v>36</v>
      </c>
    </row>
    <row r="156" spans="1:5">
      <c r="A156" t="s">
        <v>2157</v>
      </c>
      <c r="B156" s="519">
        <v>44271</v>
      </c>
      <c r="C156" s="520">
        <v>60112.36</v>
      </c>
      <c r="D156" s="519">
        <v>44274</v>
      </c>
      <c r="E156" s="348">
        <v>406</v>
      </c>
    </row>
    <row r="157" spans="1:5">
      <c r="A157" t="s">
        <v>2157</v>
      </c>
      <c r="B157" s="519">
        <v>44272</v>
      </c>
      <c r="C157" s="520">
        <v>56823</v>
      </c>
      <c r="D157" s="519">
        <v>44277</v>
      </c>
      <c r="E157" s="348">
        <v>383.52140000000003</v>
      </c>
    </row>
    <row r="158" spans="1:5">
      <c r="A158" t="s">
        <v>2157</v>
      </c>
      <c r="B158" s="519">
        <v>44273</v>
      </c>
      <c r="C158" s="520">
        <v>73877.320000000007</v>
      </c>
      <c r="D158" s="519">
        <v>44278</v>
      </c>
      <c r="E158" s="348">
        <v>-496.27820000000003</v>
      </c>
    </row>
    <row r="159" spans="1:5">
      <c r="A159" t="s">
        <v>2157</v>
      </c>
      <c r="B159" s="519">
        <v>44274</v>
      </c>
      <c r="C159" s="520">
        <v>4989.99</v>
      </c>
      <c r="D159" s="519">
        <v>44279</v>
      </c>
      <c r="E159" s="348">
        <v>33.519100000000002</v>
      </c>
    </row>
    <row r="160" spans="1:5">
      <c r="A160" t="s">
        <v>2157</v>
      </c>
      <c r="B160" s="519">
        <v>44277</v>
      </c>
      <c r="C160" s="520">
        <v>-5259.34</v>
      </c>
      <c r="D160" s="519">
        <v>44280</v>
      </c>
      <c r="E160" s="348">
        <v>-35.273899999999998</v>
      </c>
    </row>
    <row r="161" spans="1:5">
      <c r="A161" t="s">
        <v>2158</v>
      </c>
      <c r="B161" s="519">
        <v>44277</v>
      </c>
      <c r="C161" s="520">
        <v>1288.7</v>
      </c>
      <c r="D161" s="519">
        <v>44280</v>
      </c>
      <c r="E161" s="348">
        <v>8.2014999999999993</v>
      </c>
    </row>
    <row r="162" spans="1:5">
      <c r="A162" t="s">
        <v>2157</v>
      </c>
      <c r="B162" s="519">
        <v>44278</v>
      </c>
      <c r="C162" s="520">
        <v>31555.99</v>
      </c>
      <c r="D162" s="519">
        <v>44281</v>
      </c>
      <c r="E162" s="348">
        <v>213.79400000000001</v>
      </c>
    </row>
    <row r="163" spans="1:5">
      <c r="A163" t="s">
        <v>2158</v>
      </c>
      <c r="B163" s="519">
        <v>44278</v>
      </c>
      <c r="C163" s="520">
        <v>-153.61000000000001</v>
      </c>
      <c r="D163" s="519">
        <v>44281</v>
      </c>
      <c r="E163" s="348">
        <v>-0.98750000000000004</v>
      </c>
    </row>
    <row r="164" spans="1:5">
      <c r="A164" t="s">
        <v>2157</v>
      </c>
      <c r="B164" s="519">
        <v>44279</v>
      </c>
      <c r="C164" s="520">
        <v>-19901.59</v>
      </c>
      <c r="D164" s="519">
        <v>44284</v>
      </c>
      <c r="E164" s="348">
        <v>-134.83459999999999</v>
      </c>
    </row>
    <row r="165" spans="1:5">
      <c r="A165" t="s">
        <v>2158</v>
      </c>
      <c r="B165" s="519">
        <v>44279</v>
      </c>
      <c r="C165" s="520">
        <v>782.51</v>
      </c>
      <c r="D165" s="519">
        <v>44284</v>
      </c>
      <c r="E165" s="348">
        <v>-5.0303000000000004</v>
      </c>
    </row>
    <row r="166" spans="1:5">
      <c r="A166" t="s">
        <v>2157</v>
      </c>
      <c r="B166" s="519">
        <v>44280</v>
      </c>
      <c r="C166" s="520">
        <v>32130</v>
      </c>
      <c r="D166" s="519">
        <v>44285</v>
      </c>
      <c r="E166" s="348">
        <v>217.68289999999999</v>
      </c>
    </row>
    <row r="167" spans="1:5">
      <c r="A167" t="s">
        <v>12712</v>
      </c>
      <c r="B167" s="519">
        <v>44280</v>
      </c>
      <c r="C167" s="520">
        <v>-1088.5</v>
      </c>
      <c r="D167" s="519">
        <v>44285</v>
      </c>
      <c r="E167" s="348">
        <v>-7</v>
      </c>
    </row>
    <row r="168" spans="1:5">
      <c r="A168" t="s">
        <v>2157</v>
      </c>
      <c r="B168" s="519">
        <v>44281</v>
      </c>
      <c r="C168" s="520">
        <v>14979.99</v>
      </c>
      <c r="D168" s="519">
        <v>44286</v>
      </c>
      <c r="E168" s="348">
        <v>101.8631</v>
      </c>
    </row>
    <row r="169" spans="1:5">
      <c r="A169" t="s">
        <v>2157</v>
      </c>
      <c r="B169" s="519">
        <v>44285</v>
      </c>
      <c r="C169" s="520">
        <v>4989.99</v>
      </c>
      <c r="D169" s="519">
        <v>44292</v>
      </c>
      <c r="E169" s="348">
        <v>33.821300000000001</v>
      </c>
    </row>
    <row r="170" spans="1:5">
      <c r="A170" t="s">
        <v>2157</v>
      </c>
      <c r="B170" s="519">
        <v>44286</v>
      </c>
      <c r="C170" s="520">
        <v>1999.99</v>
      </c>
      <c r="D170" s="519">
        <v>44293</v>
      </c>
      <c r="E170" s="348">
        <v>13.5244</v>
      </c>
    </row>
    <row r="171" spans="1:5">
      <c r="A171" t="s">
        <v>2157</v>
      </c>
      <c r="B171" s="519">
        <v>44287</v>
      </c>
      <c r="C171" s="520">
        <v>1989.99</v>
      </c>
      <c r="D171" s="519">
        <v>44294</v>
      </c>
      <c r="E171" s="348">
        <v>13.456799999999999</v>
      </c>
    </row>
    <row r="172" spans="1:5">
      <c r="A172" t="s">
        <v>2157</v>
      </c>
      <c r="B172" s="519">
        <v>44292</v>
      </c>
      <c r="C172" s="520">
        <v>29989.99</v>
      </c>
      <c r="D172" s="519">
        <v>44295</v>
      </c>
      <c r="E172" s="348">
        <v>201.6405</v>
      </c>
    </row>
    <row r="173" spans="1:5">
      <c r="A173" t="s">
        <v>12712</v>
      </c>
      <c r="B173" s="519">
        <v>44292</v>
      </c>
      <c r="C173" s="520">
        <v>779.15</v>
      </c>
      <c r="D173" s="519">
        <v>44295</v>
      </c>
      <c r="E173" s="348">
        <v>5</v>
      </c>
    </row>
    <row r="174" spans="1:5">
      <c r="A174" t="s">
        <v>2157</v>
      </c>
      <c r="B174" s="519">
        <v>44293</v>
      </c>
      <c r="C174" s="520">
        <v>46669.68</v>
      </c>
      <c r="D174" s="519">
        <v>44298</v>
      </c>
      <c r="E174" s="348">
        <v>316</v>
      </c>
    </row>
    <row r="175" spans="1:5">
      <c r="A175" t="s">
        <v>2157</v>
      </c>
      <c r="B175" s="519">
        <v>44294</v>
      </c>
      <c r="C175" s="520">
        <v>57322.49</v>
      </c>
      <c r="D175" s="519">
        <v>44299</v>
      </c>
      <c r="E175" s="348">
        <v>383.86450000000002</v>
      </c>
    </row>
    <row r="176" spans="1:5">
      <c r="A176" t="s">
        <v>2157</v>
      </c>
      <c r="B176" s="519">
        <v>44295</v>
      </c>
      <c r="C176" s="520">
        <v>1651.1</v>
      </c>
      <c r="D176" s="519">
        <v>44300</v>
      </c>
      <c r="E176" s="348">
        <v>11</v>
      </c>
    </row>
    <row r="177" spans="1:5">
      <c r="A177" t="s">
        <v>2158</v>
      </c>
      <c r="B177" s="519">
        <v>44295</v>
      </c>
      <c r="C177" s="520">
        <v>-154.86000000000001</v>
      </c>
      <c r="D177" s="519">
        <v>44300</v>
      </c>
      <c r="E177" s="348">
        <v>-0.97860000000000003</v>
      </c>
    </row>
    <row r="178" spans="1:5">
      <c r="A178" t="s">
        <v>2157</v>
      </c>
      <c r="B178" s="519">
        <v>44299</v>
      </c>
      <c r="C178" s="520">
        <v>4952.49</v>
      </c>
      <c r="D178" s="519">
        <v>44302</v>
      </c>
      <c r="E178" s="348">
        <v>32.912500000000001</v>
      </c>
    </row>
    <row r="179" spans="1:5">
      <c r="A179" t="s">
        <v>12712</v>
      </c>
      <c r="B179" s="519">
        <v>44300</v>
      </c>
      <c r="C179" s="520">
        <v>479.13</v>
      </c>
      <c r="D179" s="519">
        <v>44305</v>
      </c>
      <c r="E179" s="348">
        <v>3</v>
      </c>
    </row>
    <row r="180" spans="1:5">
      <c r="A180" t="s">
        <v>2157</v>
      </c>
      <c r="B180" s="519">
        <v>44301</v>
      </c>
      <c r="C180" s="520">
        <v>30696.66</v>
      </c>
      <c r="D180" s="519">
        <v>44306</v>
      </c>
      <c r="E180" s="348">
        <v>202.5018</v>
      </c>
    </row>
    <row r="181" spans="1:5">
      <c r="A181" t="s">
        <v>2157</v>
      </c>
      <c r="B181" s="519">
        <v>44302</v>
      </c>
      <c r="C181" s="520">
        <v>48483.199999999997</v>
      </c>
      <c r="D181" s="519">
        <v>44307</v>
      </c>
      <c r="E181" s="348">
        <v>320</v>
      </c>
    </row>
    <row r="182" spans="1:5">
      <c r="A182" t="s">
        <v>2157</v>
      </c>
      <c r="B182" s="519">
        <v>44305</v>
      </c>
      <c r="C182" s="520">
        <v>14989.99</v>
      </c>
      <c r="D182" s="519">
        <v>44308</v>
      </c>
      <c r="E182" s="348">
        <v>98.082800000000006</v>
      </c>
    </row>
    <row r="183" spans="1:5">
      <c r="A183" t="s">
        <v>2157</v>
      </c>
      <c r="B183" s="519">
        <v>44306</v>
      </c>
      <c r="C183" s="520">
        <v>735168.45</v>
      </c>
      <c r="D183" s="519">
        <v>44309</v>
      </c>
      <c r="E183" s="348">
        <v>4817.7098999999998</v>
      </c>
    </row>
    <row r="184" spans="1:5">
      <c r="A184" t="s">
        <v>2158</v>
      </c>
      <c r="B184" s="519">
        <v>44306</v>
      </c>
      <c r="C184" s="520">
        <v>200000</v>
      </c>
      <c r="D184" s="519">
        <v>44309</v>
      </c>
      <c r="E184" s="348">
        <v>1240.9257</v>
      </c>
    </row>
    <row r="185" spans="1:5">
      <c r="A185" t="s">
        <v>2157</v>
      </c>
      <c r="B185" s="519">
        <v>44307</v>
      </c>
      <c r="C185" s="520">
        <v>54979.99</v>
      </c>
      <c r="D185" s="519">
        <v>44312</v>
      </c>
      <c r="E185" s="348">
        <v>366.90019999999998</v>
      </c>
    </row>
    <row r="186" spans="1:5">
      <c r="A186" t="s">
        <v>2157</v>
      </c>
      <c r="B186" s="519">
        <v>44308</v>
      </c>
      <c r="C186" s="520">
        <v>4508.18</v>
      </c>
      <c r="D186" s="519">
        <v>44313</v>
      </c>
      <c r="E186" s="348">
        <v>29.8812</v>
      </c>
    </row>
    <row r="187" spans="1:5">
      <c r="A187" t="s">
        <v>12712</v>
      </c>
      <c r="B187" s="519">
        <v>44307</v>
      </c>
      <c r="C187" s="520">
        <v>947.94</v>
      </c>
      <c r="D187" s="519">
        <v>44312</v>
      </c>
      <c r="E187" s="348">
        <v>6</v>
      </c>
    </row>
    <row r="188" spans="1:5">
      <c r="A188" t="s">
        <v>2157</v>
      </c>
      <c r="B188" s="519">
        <v>44312</v>
      </c>
      <c r="C188" s="520">
        <v>13016.4</v>
      </c>
      <c r="D188" s="519">
        <v>44315</v>
      </c>
      <c r="E188" s="348">
        <v>86.019000000000005</v>
      </c>
    </row>
    <row r="189" spans="1:5">
      <c r="A189" t="s">
        <v>2157</v>
      </c>
      <c r="B189" s="519">
        <v>44313</v>
      </c>
      <c r="C189" s="520">
        <v>58210.559999999998</v>
      </c>
      <c r="D189" s="519">
        <v>44316</v>
      </c>
      <c r="E189" s="348">
        <v>384</v>
      </c>
    </row>
    <row r="190" spans="1:5">
      <c r="A190" t="s">
        <v>2157</v>
      </c>
      <c r="B190" s="519">
        <v>44314</v>
      </c>
      <c r="C190" s="520">
        <v>65556.63</v>
      </c>
      <c r="D190" s="519">
        <v>44319</v>
      </c>
      <c r="E190" s="348">
        <v>432.81990000000002</v>
      </c>
    </row>
    <row r="191" spans="1:5">
      <c r="A191" t="s">
        <v>2158</v>
      </c>
      <c r="B191" s="519">
        <v>44315</v>
      </c>
      <c r="C191" s="520">
        <v>40181.4</v>
      </c>
      <c r="D191" s="519">
        <v>44320</v>
      </c>
      <c r="E191" s="348">
        <v>252</v>
      </c>
    </row>
    <row r="192" spans="1:5">
      <c r="A192" t="s">
        <v>2158</v>
      </c>
      <c r="B192" s="519">
        <v>44316</v>
      </c>
      <c r="C192" s="520">
        <v>200000</v>
      </c>
      <c r="D192" s="519">
        <v>44321</v>
      </c>
      <c r="E192" s="348">
        <v>1256.913</v>
      </c>
    </row>
    <row r="193" spans="1:5">
      <c r="A193" t="s">
        <v>2158</v>
      </c>
      <c r="B193" s="519">
        <v>44319</v>
      </c>
      <c r="C193" s="520">
        <v>-24020.18</v>
      </c>
      <c r="D193" s="519">
        <v>44322</v>
      </c>
      <c r="E193" s="348">
        <v>-151.3082</v>
      </c>
    </row>
    <row r="194" spans="1:5">
      <c r="A194" t="s">
        <v>12712</v>
      </c>
      <c r="B194" s="519">
        <v>44320</v>
      </c>
      <c r="C194" s="520">
        <v>-4602.01</v>
      </c>
      <c r="D194" s="519">
        <v>44323</v>
      </c>
      <c r="E194" s="348">
        <v>-29</v>
      </c>
    </row>
    <row r="195" spans="1:5">
      <c r="A195" t="s">
        <v>2157</v>
      </c>
      <c r="B195" s="519">
        <v>44321</v>
      </c>
      <c r="C195" s="520">
        <v>4062.42</v>
      </c>
      <c r="D195" s="519">
        <v>44326</v>
      </c>
      <c r="E195" s="348">
        <v>27</v>
      </c>
    </row>
    <row r="196" spans="1:5">
      <c r="A196" t="s">
        <v>2157</v>
      </c>
      <c r="B196" s="519">
        <v>44322</v>
      </c>
      <c r="C196" s="520">
        <v>5152.62</v>
      </c>
      <c r="D196" s="519">
        <v>44327</v>
      </c>
      <c r="E196" s="348">
        <v>34.2712</v>
      </c>
    </row>
    <row r="197" spans="1:5">
      <c r="A197" t="s">
        <v>2157</v>
      </c>
      <c r="B197" s="519">
        <v>44323</v>
      </c>
      <c r="C197" s="520">
        <v>-4544.34</v>
      </c>
      <c r="D197" s="519">
        <v>44328</v>
      </c>
      <c r="E197" s="348">
        <v>-29.95</v>
      </c>
    </row>
    <row r="198" spans="1:5">
      <c r="A198" t="s">
        <v>12712</v>
      </c>
      <c r="B198" s="519">
        <v>44323</v>
      </c>
      <c r="C198" s="520">
        <v>-399025</v>
      </c>
      <c r="D198" s="519">
        <v>44328</v>
      </c>
      <c r="E198" s="348">
        <v>-2500</v>
      </c>
    </row>
    <row r="199" spans="1:5">
      <c r="A199" t="s">
        <v>2157</v>
      </c>
      <c r="B199" s="519">
        <v>44326</v>
      </c>
      <c r="C199" s="520">
        <v>-256.08999999999997</v>
      </c>
      <c r="D199" s="519">
        <v>44330</v>
      </c>
      <c r="E199" s="348">
        <v>-1.6611</v>
      </c>
    </row>
    <row r="200" spans="1:5">
      <c r="A200" t="s">
        <v>2158</v>
      </c>
      <c r="B200" s="519">
        <v>44327</v>
      </c>
      <c r="C200" s="520">
        <v>3527.7</v>
      </c>
      <c r="D200" s="519">
        <v>44333</v>
      </c>
      <c r="E200" s="348">
        <v>22</v>
      </c>
    </row>
    <row r="201" spans="1:5">
      <c r="A201" t="s">
        <v>2157</v>
      </c>
      <c r="B201" s="519">
        <v>44328</v>
      </c>
      <c r="C201" s="520">
        <v>-6937.65</v>
      </c>
      <c r="D201" s="519">
        <v>44334</v>
      </c>
      <c r="E201" s="348">
        <v>-45</v>
      </c>
    </row>
    <row r="202" spans="1:5">
      <c r="A202" t="s">
        <v>12712</v>
      </c>
      <c r="B202" s="519">
        <v>44328</v>
      </c>
      <c r="C202" s="520">
        <v>487.92</v>
      </c>
      <c r="D202" s="519">
        <v>44334</v>
      </c>
      <c r="E202" s="348">
        <v>3</v>
      </c>
    </row>
    <row r="203" spans="1:5">
      <c r="A203" t="s">
        <v>2157</v>
      </c>
      <c r="B203" s="519">
        <v>44330</v>
      </c>
      <c r="C203" s="520">
        <v>-9024.3700000000008</v>
      </c>
      <c r="D203" s="519">
        <v>44335</v>
      </c>
      <c r="E203" s="348">
        <v>-59.394300000000001</v>
      </c>
    </row>
    <row r="204" spans="1:5">
      <c r="A204" t="s">
        <v>2158</v>
      </c>
      <c r="B204" s="519">
        <v>44330</v>
      </c>
      <c r="C204" s="520">
        <v>-4371.6400000000003</v>
      </c>
      <c r="D204" s="519">
        <v>44335</v>
      </c>
      <c r="E204" s="348">
        <v>-27.263100000000001</v>
      </c>
    </row>
    <row r="205" spans="1:5">
      <c r="A205" t="s">
        <v>2157</v>
      </c>
      <c r="B205" s="519">
        <v>44333</v>
      </c>
      <c r="C205" s="520">
        <v>2081.36</v>
      </c>
      <c r="D205" s="519">
        <v>44336</v>
      </c>
      <c r="E205" s="348">
        <v>53.628700000000002</v>
      </c>
    </row>
    <row r="206" spans="1:5">
      <c r="A206" t="s">
        <v>2157</v>
      </c>
      <c r="B206" s="519">
        <v>44333</v>
      </c>
      <c r="C206" s="520">
        <v>8086.22</v>
      </c>
      <c r="D206" s="519">
        <v>44336</v>
      </c>
      <c r="E206" s="348">
        <v>54.456299999999999</v>
      </c>
    </row>
    <row r="207" spans="1:5">
      <c r="A207" t="s">
        <v>2157</v>
      </c>
      <c r="B207" s="519">
        <v>44334</v>
      </c>
      <c r="C207" s="520">
        <v>41577.199999999997</v>
      </c>
      <c r="D207" s="519">
        <v>44337</v>
      </c>
      <c r="E207" s="348">
        <v>280</v>
      </c>
    </row>
    <row r="208" spans="1:5">
      <c r="A208" t="s">
        <v>2157</v>
      </c>
      <c r="B208" s="519">
        <v>44336</v>
      </c>
      <c r="C208" s="520">
        <v>9993</v>
      </c>
      <c r="D208" s="519">
        <v>44342</v>
      </c>
      <c r="E208" s="348">
        <v>67</v>
      </c>
    </row>
    <row r="209" spans="1:5">
      <c r="A209" t="s">
        <v>2157</v>
      </c>
      <c r="B209" s="519">
        <v>44337</v>
      </c>
      <c r="C209" s="520">
        <v>9990</v>
      </c>
      <c r="D209" s="519">
        <v>44343</v>
      </c>
      <c r="E209" s="348">
        <v>67.724199999999996</v>
      </c>
    </row>
    <row r="210" spans="1:5">
      <c r="A210" t="s">
        <v>2157</v>
      </c>
      <c r="B210" s="519">
        <v>44341</v>
      </c>
      <c r="C210" s="520">
        <v>49977.99</v>
      </c>
      <c r="D210" s="519">
        <v>44344</v>
      </c>
      <c r="E210" s="348">
        <v>338.32920000000001</v>
      </c>
    </row>
    <row r="211" spans="1:5">
      <c r="A211" t="s">
        <v>2157</v>
      </c>
      <c r="B211" s="519">
        <v>44342</v>
      </c>
      <c r="C211" s="520">
        <v>9839.99</v>
      </c>
      <c r="D211">
        <v>44347</v>
      </c>
      <c r="E211" s="348">
        <v>66.244699999999995</v>
      </c>
    </row>
    <row r="212" spans="1:5">
      <c r="A212" t="s">
        <v>2157</v>
      </c>
      <c r="B212" s="519">
        <v>44343</v>
      </c>
      <c r="C212" s="520">
        <v>5347.44</v>
      </c>
      <c r="D212" s="519">
        <v>44348</v>
      </c>
      <c r="E212" s="348">
        <v>36</v>
      </c>
    </row>
    <row r="213" spans="1:5">
      <c r="A213" t="s">
        <v>2157</v>
      </c>
      <c r="B213" s="519">
        <v>44344</v>
      </c>
      <c r="C213" s="520">
        <v>243259.2</v>
      </c>
      <c r="D213" s="519">
        <v>44349</v>
      </c>
      <c r="E213" s="348">
        <v>1620</v>
      </c>
    </row>
    <row r="214" spans="1:5">
      <c r="A214" t="s">
        <v>2158</v>
      </c>
      <c r="B214" s="519">
        <v>44344</v>
      </c>
      <c r="C214" s="520">
        <v>-467.91</v>
      </c>
      <c r="D214" s="519">
        <v>44349</v>
      </c>
      <c r="E214" s="348">
        <v>-2.9512</v>
      </c>
    </row>
    <row r="215" spans="1:5">
      <c r="A215" t="s">
        <v>2157</v>
      </c>
      <c r="B215" s="519">
        <v>44347</v>
      </c>
      <c r="C215" s="520">
        <v>-11172.4</v>
      </c>
      <c r="D215" s="519">
        <v>44350</v>
      </c>
      <c r="E215" s="348">
        <v>-75.159099999999995</v>
      </c>
    </row>
    <row r="216" spans="1:5">
      <c r="A216" t="s">
        <v>2158</v>
      </c>
      <c r="B216" s="519">
        <v>44347</v>
      </c>
      <c r="C216" s="520">
        <v>10099.200000000001</v>
      </c>
      <c r="D216" s="519">
        <v>44350</v>
      </c>
      <c r="E216" s="348">
        <v>64</v>
      </c>
    </row>
    <row r="217" spans="1:5">
      <c r="A217" t="s">
        <v>2157</v>
      </c>
      <c r="B217" s="519">
        <v>44351</v>
      </c>
      <c r="C217" s="520">
        <v>2489.9899999999998</v>
      </c>
      <c r="D217" s="519">
        <v>44356</v>
      </c>
      <c r="E217" s="348">
        <v>16.478000000000002</v>
      </c>
    </row>
    <row r="218" spans="1:5">
      <c r="A218" t="s">
        <v>2157</v>
      </c>
      <c r="B218" s="519">
        <v>44355</v>
      </c>
      <c r="C218" s="520">
        <v>-2106.86</v>
      </c>
      <c r="D218" s="519">
        <v>44358</v>
      </c>
      <c r="E218" s="348">
        <v>-14</v>
      </c>
    </row>
    <row r="219" spans="1:5">
      <c r="A219" t="s">
        <v>12712</v>
      </c>
      <c r="B219" s="519">
        <v>44358</v>
      </c>
      <c r="C219" s="520">
        <v>476.28</v>
      </c>
      <c r="D219" s="519">
        <v>44363</v>
      </c>
      <c r="E219" s="348">
        <v>3</v>
      </c>
    </row>
    <row r="220" spans="1:5">
      <c r="A220" t="s">
        <v>2157</v>
      </c>
      <c r="B220" s="519">
        <v>44361</v>
      </c>
      <c r="C220" s="520">
        <v>4989.99</v>
      </c>
      <c r="D220" s="519">
        <v>44364</v>
      </c>
      <c r="E220" s="348">
        <v>33.066000000000003</v>
      </c>
    </row>
    <row r="221" spans="1:5">
      <c r="A221" t="s">
        <v>12712</v>
      </c>
      <c r="B221" s="519">
        <v>44361</v>
      </c>
      <c r="C221" s="520">
        <v>3505.48</v>
      </c>
      <c r="D221" s="519">
        <v>44364</v>
      </c>
      <c r="E221" s="348">
        <v>22</v>
      </c>
    </row>
    <row r="222" spans="1:5">
      <c r="A222" t="s">
        <v>2157</v>
      </c>
      <c r="B222" s="519">
        <v>44362</v>
      </c>
      <c r="C222" s="520">
        <v>-9596.5499999999993</v>
      </c>
      <c r="D222" s="519">
        <v>44365</v>
      </c>
      <c r="E222" s="348">
        <v>-63.462000000000003</v>
      </c>
    </row>
    <row r="223" spans="1:5">
      <c r="A223" t="s">
        <v>2157</v>
      </c>
      <c r="B223" s="519">
        <v>44363</v>
      </c>
      <c r="C223" s="520">
        <v>10990</v>
      </c>
      <c r="D223" s="519">
        <v>44368</v>
      </c>
      <c r="E223" s="348">
        <v>73.433310000000006</v>
      </c>
    </row>
    <row r="224" spans="1:5">
      <c r="A224" t="s">
        <v>2157</v>
      </c>
      <c r="B224" s="519">
        <v>44365</v>
      </c>
      <c r="C224" s="520">
        <v>4989.99</v>
      </c>
      <c r="D224" s="519">
        <v>44371</v>
      </c>
      <c r="E224" s="348">
        <v>33.5349</v>
      </c>
    </row>
    <row r="225" spans="1:5">
      <c r="A225" t="s">
        <v>2157</v>
      </c>
      <c r="B225" s="519">
        <v>44369</v>
      </c>
      <c r="C225" s="520">
        <v>-4865.8500000000004</v>
      </c>
      <c r="D225" s="519">
        <v>44375</v>
      </c>
      <c r="E225" s="348">
        <v>-33</v>
      </c>
    </row>
    <row r="226" spans="1:5">
      <c r="A226" t="s">
        <v>2157</v>
      </c>
      <c r="B226" s="519">
        <v>44371</v>
      </c>
      <c r="C226" s="520">
        <v>-421825</v>
      </c>
      <c r="D226" s="519">
        <v>44376</v>
      </c>
      <c r="E226" s="348">
        <v>-2834</v>
      </c>
    </row>
    <row r="227" spans="1:5">
      <c r="A227" t="s">
        <v>12712</v>
      </c>
      <c r="B227" s="519">
        <v>44371</v>
      </c>
      <c r="C227" s="520">
        <v>-485377</v>
      </c>
      <c r="D227" s="519">
        <v>44376</v>
      </c>
      <c r="E227" s="348">
        <v>-3080</v>
      </c>
    </row>
    <row r="228" spans="1:5">
      <c r="A228" t="s">
        <v>2157</v>
      </c>
      <c r="B228" s="519">
        <v>44372</v>
      </c>
      <c r="C228" s="520">
        <v>3730.5</v>
      </c>
      <c r="D228" s="519">
        <v>44377</v>
      </c>
      <c r="E228" s="348">
        <v>25</v>
      </c>
    </row>
    <row r="229" spans="1:5">
      <c r="A229" t="s">
        <v>12712</v>
      </c>
      <c r="B229" s="519">
        <v>44375</v>
      </c>
      <c r="C229" s="520">
        <v>-477600</v>
      </c>
      <c r="D229" s="519">
        <v>44378</v>
      </c>
      <c r="E229" s="348">
        <v>-3000</v>
      </c>
    </row>
    <row r="230" spans="1:5">
      <c r="A230" t="s">
        <v>2157</v>
      </c>
      <c r="B230" s="519">
        <v>44385</v>
      </c>
      <c r="C230" s="520">
        <v>5822.7</v>
      </c>
      <c r="D230" s="519">
        <v>44390</v>
      </c>
      <c r="E230" s="348">
        <v>39</v>
      </c>
    </row>
    <row r="231" spans="1:5">
      <c r="A231" t="s">
        <v>2157</v>
      </c>
      <c r="B231" s="519">
        <v>44386</v>
      </c>
      <c r="C231" s="520">
        <v>-1936.22</v>
      </c>
      <c r="D231" s="519">
        <v>44391</v>
      </c>
      <c r="E231" s="348">
        <v>-13</v>
      </c>
    </row>
    <row r="232" spans="1:5">
      <c r="A232" t="s">
        <v>12712</v>
      </c>
      <c r="B232" s="519">
        <v>44385</v>
      </c>
      <c r="C232" s="520">
        <v>473.25</v>
      </c>
      <c r="D232" s="519">
        <v>44390</v>
      </c>
      <c r="E232" s="348">
        <v>-3</v>
      </c>
    </row>
    <row r="233" spans="1:5">
      <c r="A233" t="s">
        <v>2158</v>
      </c>
      <c r="B233" s="519">
        <v>44390</v>
      </c>
      <c r="C233" s="520">
        <v>17555.580000000002</v>
      </c>
      <c r="D233" s="519">
        <v>44393</v>
      </c>
      <c r="E233" s="348">
        <v>110.4055</v>
      </c>
    </row>
    <row r="234" spans="1:5">
      <c r="A234" t="s">
        <v>2158</v>
      </c>
      <c r="B234" s="519">
        <v>44392</v>
      </c>
      <c r="C234" s="520">
        <v>10041.24</v>
      </c>
      <c r="D234" s="519">
        <v>44397</v>
      </c>
      <c r="E234" s="348">
        <v>66.283199999999994</v>
      </c>
    </row>
    <row r="235" spans="1:5">
      <c r="A235" t="s">
        <v>2158</v>
      </c>
      <c r="B235" s="519">
        <v>44397</v>
      </c>
      <c r="C235" s="520">
        <v>-1169.8699999999999</v>
      </c>
      <c r="D235" s="519">
        <v>44400</v>
      </c>
      <c r="E235" s="348">
        <v>-7.3116700000000003</v>
      </c>
    </row>
    <row r="236" spans="1:5">
      <c r="A236" t="s">
        <v>2158</v>
      </c>
      <c r="B236" s="519">
        <v>44399</v>
      </c>
      <c r="C236" s="520">
        <v>49677.15</v>
      </c>
      <c r="D236" s="519">
        <v>44404</v>
      </c>
      <c r="E236" s="348">
        <v>335</v>
      </c>
    </row>
    <row r="237" spans="1:5">
      <c r="A237" t="s">
        <v>2157</v>
      </c>
      <c r="B237" s="519">
        <v>44403</v>
      </c>
      <c r="C237" s="520">
        <v>7950.23</v>
      </c>
      <c r="D237" s="519">
        <v>44406</v>
      </c>
      <c r="E237" s="348">
        <v>52.7134</v>
      </c>
    </row>
    <row r="238" spans="1:5">
      <c r="A238" t="s">
        <v>2158</v>
      </c>
      <c r="B238" s="519">
        <v>44404</v>
      </c>
      <c r="C238" s="520">
        <v>-14410.49</v>
      </c>
      <c r="D238" s="519">
        <v>44407</v>
      </c>
      <c r="E238" s="348">
        <v>990</v>
      </c>
    </row>
    <row r="239" spans="1:5">
      <c r="A239" t="s">
        <v>2158</v>
      </c>
      <c r="B239" s="519">
        <v>44405</v>
      </c>
      <c r="C239" s="520">
        <v>-769.09</v>
      </c>
      <c r="D239" s="519">
        <v>44410</v>
      </c>
      <c r="E239" s="348">
        <v>-4.8216000000000001</v>
      </c>
    </row>
    <row r="240" spans="1:5">
      <c r="A240" t="s">
        <v>2157</v>
      </c>
      <c r="B240" s="519">
        <v>44412</v>
      </c>
      <c r="C240" s="520">
        <v>81937.320000000007</v>
      </c>
      <c r="D240" s="519">
        <v>44417</v>
      </c>
      <c r="E240" s="348">
        <v>534.49</v>
      </c>
    </row>
    <row r="241" spans="1:5">
      <c r="A241" t="s">
        <v>2157</v>
      </c>
      <c r="B241" s="519">
        <v>44413</v>
      </c>
      <c r="C241" s="520">
        <v>2989.99</v>
      </c>
      <c r="D241" s="519">
        <v>44418</v>
      </c>
      <c r="E241" s="348">
        <v>19.504200000000001</v>
      </c>
    </row>
    <row r="242" spans="1:5">
      <c r="A242" t="s">
        <v>2157</v>
      </c>
      <c r="B242" s="519">
        <v>44414</v>
      </c>
      <c r="C242" s="520">
        <v>-7595.09</v>
      </c>
      <c r="D242" s="519">
        <v>44419</v>
      </c>
      <c r="E242" s="348">
        <v>-49.3508</v>
      </c>
    </row>
    <row r="243" spans="1:5">
      <c r="A243" t="s">
        <v>12712</v>
      </c>
      <c r="B243" s="519">
        <v>44414</v>
      </c>
      <c r="C243" s="520">
        <v>3417.75</v>
      </c>
      <c r="D243" s="519">
        <v>44419</v>
      </c>
      <c r="E243" s="348">
        <v>21</v>
      </c>
    </row>
    <row r="244" spans="1:5">
      <c r="A244" t="s">
        <v>2157</v>
      </c>
      <c r="B244" s="519">
        <v>44418</v>
      </c>
      <c r="C244" s="520">
        <v>-16993.900000000001</v>
      </c>
      <c r="D244" s="519">
        <v>44421</v>
      </c>
      <c r="E244" s="348">
        <v>110</v>
      </c>
    </row>
    <row r="245" spans="1:5">
      <c r="A245" t="s">
        <v>2158</v>
      </c>
      <c r="B245" s="519">
        <v>44418</v>
      </c>
      <c r="C245" s="520">
        <v>3122.69</v>
      </c>
      <c r="D245" s="519">
        <v>44421</v>
      </c>
      <c r="E245" s="348">
        <v>19.102499999999999</v>
      </c>
    </row>
    <row r="246" spans="1:5">
      <c r="A246" t="s">
        <v>2157</v>
      </c>
      <c r="B246" s="519">
        <v>44424</v>
      </c>
      <c r="C246" s="520">
        <v>6142.49</v>
      </c>
      <c r="D246" s="519">
        <v>44427</v>
      </c>
      <c r="E246" s="348">
        <v>39.264200000000002</v>
      </c>
    </row>
    <row r="247" spans="1:5">
      <c r="A247" t="s">
        <v>2157</v>
      </c>
      <c r="B247" s="519">
        <v>44425</v>
      </c>
      <c r="C247" s="520">
        <v>3898.73</v>
      </c>
      <c r="D247" s="519">
        <v>44428</v>
      </c>
      <c r="E247" s="348">
        <v>25.223099999999999</v>
      </c>
    </row>
    <row r="248" spans="1:5">
      <c r="A248" t="s">
        <v>2157</v>
      </c>
      <c r="B248" s="519">
        <v>44428</v>
      </c>
      <c r="C248" s="520">
        <v>987.99</v>
      </c>
      <c r="D248" s="519">
        <v>44433</v>
      </c>
      <c r="E248" s="348">
        <v>6.6295000000000002</v>
      </c>
    </row>
    <row r="249" spans="1:5">
      <c r="A249" t="s">
        <v>2157</v>
      </c>
      <c r="B249" s="519">
        <v>44433</v>
      </c>
      <c r="C249" s="520">
        <v>-12059.82</v>
      </c>
      <c r="D249" s="519">
        <v>44438</v>
      </c>
      <c r="E249" s="348">
        <v>-80.489999999999995</v>
      </c>
    </row>
    <row r="250" spans="1:5">
      <c r="A250" t="s">
        <v>2157</v>
      </c>
      <c r="B250" s="519">
        <v>44434</v>
      </c>
      <c r="C250" s="520">
        <v>2897.99</v>
      </c>
      <c r="D250" s="519">
        <v>44439</v>
      </c>
      <c r="E250" s="348">
        <v>19.2136</v>
      </c>
    </row>
    <row r="251" spans="1:5">
      <c r="A251" t="s">
        <v>12712</v>
      </c>
      <c r="B251" s="519">
        <v>44435</v>
      </c>
      <c r="C251" s="520">
        <v>-8756</v>
      </c>
      <c r="D251" s="519">
        <v>44440</v>
      </c>
      <c r="E251" s="348">
        <v>-55</v>
      </c>
    </row>
    <row r="252" spans="1:5">
      <c r="A252" t="s">
        <v>2157</v>
      </c>
      <c r="B252" s="519">
        <v>44439</v>
      </c>
      <c r="C252" s="520">
        <v>-9152</v>
      </c>
      <c r="D252" s="519">
        <v>44442</v>
      </c>
      <c r="E252" s="348">
        <v>-61</v>
      </c>
    </row>
    <row r="253" spans="1:5">
      <c r="A253" t="s">
        <v>2157</v>
      </c>
      <c r="B253" s="519">
        <v>44440</v>
      </c>
      <c r="C253" s="520">
        <v>9144</v>
      </c>
      <c r="D253" s="519">
        <v>44445</v>
      </c>
      <c r="E253" s="348">
        <v>60</v>
      </c>
    </row>
    <row r="254" spans="1:5">
      <c r="A254" t="s">
        <v>2157</v>
      </c>
      <c r="B254" s="519">
        <v>44441</v>
      </c>
      <c r="C254" s="520">
        <v>49762.86</v>
      </c>
      <c r="D254" s="519">
        <v>44446</v>
      </c>
      <c r="E254" s="348">
        <v>327</v>
      </c>
    </row>
    <row r="255" spans="1:5">
      <c r="A255" t="s">
        <v>2157</v>
      </c>
      <c r="B255" s="519">
        <v>44442</v>
      </c>
      <c r="C255" s="520">
        <v>-77337.460000000006</v>
      </c>
      <c r="D255" s="519">
        <v>44447</v>
      </c>
      <c r="E255" s="348">
        <v>590</v>
      </c>
    </row>
    <row r="256" spans="1:5">
      <c r="A256" t="s">
        <v>12712</v>
      </c>
      <c r="B256" s="519">
        <v>44446</v>
      </c>
      <c r="C256" s="520">
        <v>9427.32</v>
      </c>
      <c r="D256" s="519">
        <v>44449</v>
      </c>
      <c r="E256" s="348">
        <v>58</v>
      </c>
    </row>
    <row r="257" spans="1:5">
      <c r="A257" t="s">
        <v>2157</v>
      </c>
      <c r="B257" s="519">
        <v>44448</v>
      </c>
      <c r="C257" s="520">
        <v>5393.15</v>
      </c>
      <c r="D257" s="519">
        <v>44453</v>
      </c>
      <c r="E257" s="348">
        <v>35</v>
      </c>
    </row>
    <row r="258" spans="1:5">
      <c r="A258" t="s">
        <v>12712</v>
      </c>
      <c r="B258" s="519">
        <v>44449</v>
      </c>
      <c r="C258" s="520">
        <v>492.93</v>
      </c>
      <c r="D258" s="519">
        <v>44454</v>
      </c>
      <c r="E258" s="348">
        <v>3</v>
      </c>
    </row>
    <row r="259" spans="1:5">
      <c r="A259" t="s">
        <v>2157</v>
      </c>
      <c r="B259" s="519">
        <v>11579</v>
      </c>
      <c r="C259" s="520">
        <v>149951.99</v>
      </c>
      <c r="D259" s="519">
        <v>44455</v>
      </c>
    </row>
    <row r="260" spans="1:5">
      <c r="A260" t="s">
        <v>2157</v>
      </c>
      <c r="B260" s="519">
        <v>11581</v>
      </c>
      <c r="C260" s="520">
        <v>21132.49</v>
      </c>
      <c r="D260" s="519">
        <v>44459</v>
      </c>
      <c r="E260" s="348">
        <v>136.1454</v>
      </c>
    </row>
    <row r="261" spans="1:5">
      <c r="A261" t="s">
        <v>2157</v>
      </c>
      <c r="B261" s="519">
        <v>11582</v>
      </c>
      <c r="C261" s="520">
        <v>3898.75</v>
      </c>
      <c r="D261" s="519">
        <v>44460</v>
      </c>
      <c r="E261" s="348">
        <v>24.94</v>
      </c>
    </row>
    <row r="262" spans="1:5">
      <c r="A262" t="s">
        <v>2157</v>
      </c>
      <c r="B262" s="519">
        <v>44456</v>
      </c>
      <c r="C262" s="520">
        <v>12100.43</v>
      </c>
      <c r="D262" s="519">
        <v>44461</v>
      </c>
      <c r="E262" s="348">
        <v>79</v>
      </c>
    </row>
    <row r="263" spans="1:5">
      <c r="A263" t="s">
        <v>2157</v>
      </c>
      <c r="B263" s="519">
        <v>44460</v>
      </c>
      <c r="C263" s="520">
        <v>13987.99</v>
      </c>
      <c r="D263" s="519">
        <v>44463</v>
      </c>
      <c r="E263" s="348">
        <v>91.323300000000003</v>
      </c>
    </row>
    <row r="264" spans="1:5">
      <c r="A264" t="s">
        <v>2157</v>
      </c>
      <c r="B264" s="519">
        <v>44462</v>
      </c>
      <c r="C264" s="520">
        <v>-5424.12</v>
      </c>
      <c r="D264" s="519">
        <v>44467</v>
      </c>
      <c r="E264" s="348">
        <v>-36</v>
      </c>
    </row>
    <row r="265" spans="1:5">
      <c r="A265" t="s">
        <v>2157</v>
      </c>
      <c r="B265" s="519">
        <v>44466</v>
      </c>
      <c r="C265" s="520">
        <v>-10061.030000000001</v>
      </c>
      <c r="D265" s="519">
        <v>44469</v>
      </c>
      <c r="E265" s="348">
        <v>-66.37</v>
      </c>
    </row>
    <row r="266" spans="1:5">
      <c r="A266" t="s">
        <v>2158</v>
      </c>
      <c r="B266" s="519">
        <v>44473</v>
      </c>
      <c r="C266" s="520">
        <v>-40499</v>
      </c>
      <c r="D266" s="519">
        <v>44476</v>
      </c>
      <c r="E266" s="348">
        <v>-256</v>
      </c>
    </row>
    <row r="267" spans="1:5">
      <c r="A267" t="s">
        <v>2157</v>
      </c>
      <c r="B267" s="519">
        <v>44476</v>
      </c>
      <c r="C267" s="520">
        <v>51814</v>
      </c>
      <c r="D267" s="519">
        <v>44481</v>
      </c>
      <c r="E267" s="348">
        <v>350</v>
      </c>
    </row>
    <row r="268" spans="1:5">
      <c r="A268" t="s">
        <v>2157</v>
      </c>
      <c r="B268" s="519">
        <v>44477</v>
      </c>
      <c r="C268" s="520">
        <v>207005.3</v>
      </c>
      <c r="D268" s="519">
        <v>44482</v>
      </c>
      <c r="E268" s="348">
        <v>1402</v>
      </c>
    </row>
    <row r="269" spans="1:5">
      <c r="A269" t="s">
        <v>2158</v>
      </c>
      <c r="B269" s="519">
        <v>44477</v>
      </c>
      <c r="C269" s="520">
        <v>2270.75</v>
      </c>
      <c r="D269" s="519">
        <v>44482</v>
      </c>
      <c r="E269" s="348">
        <v>14.4726</v>
      </c>
    </row>
    <row r="270" spans="1:5">
      <c r="A270" t="s">
        <v>2157</v>
      </c>
      <c r="B270" s="519">
        <v>44480</v>
      </c>
      <c r="C270" s="520">
        <v>19990</v>
      </c>
      <c r="D270" s="519">
        <v>44483</v>
      </c>
      <c r="E270" s="348">
        <v>133.75710000000001</v>
      </c>
    </row>
    <row r="271" spans="1:5">
      <c r="A271" t="s">
        <v>2158</v>
      </c>
      <c r="B271" s="519">
        <v>44480</v>
      </c>
      <c r="C271" s="520">
        <v>-117647.03999999999</v>
      </c>
      <c r="D271" s="519">
        <v>44483</v>
      </c>
      <c r="E271" s="348">
        <v>-755.34749999999997</v>
      </c>
    </row>
    <row r="272" spans="1:5">
      <c r="A272" t="s">
        <v>12712</v>
      </c>
      <c r="B272" s="519">
        <v>44480</v>
      </c>
      <c r="C272" s="520">
        <v>470.46</v>
      </c>
      <c r="D272" s="519">
        <v>44483</v>
      </c>
      <c r="E272" s="348">
        <v>3</v>
      </c>
    </row>
    <row r="273" spans="1:5">
      <c r="A273" t="s">
        <v>2157</v>
      </c>
      <c r="B273" s="519">
        <v>44481</v>
      </c>
      <c r="C273" s="520">
        <v>9989.99</v>
      </c>
      <c r="D273" s="519">
        <v>44484</v>
      </c>
      <c r="E273" s="348">
        <v>65.936199999999999</v>
      </c>
    </row>
    <row r="274" spans="1:5">
      <c r="A274" t="s">
        <v>12712</v>
      </c>
      <c r="B274" s="519">
        <v>44481</v>
      </c>
      <c r="C274" s="520">
        <v>3166.4</v>
      </c>
      <c r="D274" s="519">
        <v>44484</v>
      </c>
      <c r="E274" s="348">
        <v>20</v>
      </c>
    </row>
    <row r="275" spans="1:5">
      <c r="A275" t="s">
        <v>2157</v>
      </c>
      <c r="B275" s="519">
        <v>44482</v>
      </c>
      <c r="C275" s="520">
        <v>11211.74</v>
      </c>
      <c r="D275" s="519">
        <v>44487</v>
      </c>
      <c r="E275" s="348">
        <v>74</v>
      </c>
    </row>
    <row r="276" spans="1:5">
      <c r="A276" t="s">
        <v>2157</v>
      </c>
      <c r="B276" s="519">
        <v>44484</v>
      </c>
      <c r="C276" s="520">
        <v>1076.58</v>
      </c>
      <c r="D276" s="519">
        <v>44489</v>
      </c>
      <c r="E276" s="348">
        <v>7.0766999999999998</v>
      </c>
    </row>
    <row r="277" spans="1:5">
      <c r="A277" t="s">
        <v>2157</v>
      </c>
      <c r="B277" s="519">
        <v>44487</v>
      </c>
      <c r="C277" s="520">
        <v>3898.74</v>
      </c>
      <c r="D277" s="519">
        <v>44490</v>
      </c>
      <c r="E277" s="348">
        <v>25.627700000000001</v>
      </c>
    </row>
    <row r="278" spans="1:5">
      <c r="A278" t="s">
        <v>2158</v>
      </c>
      <c r="B278" s="519">
        <v>44487</v>
      </c>
      <c r="C278" s="520">
        <v>-32630.58</v>
      </c>
      <c r="D278" s="519">
        <v>44490</v>
      </c>
      <c r="E278" s="348">
        <v>-199.53880000000001</v>
      </c>
    </row>
    <row r="279" spans="1:5">
      <c r="A279" t="s">
        <v>2158</v>
      </c>
      <c r="B279" s="519">
        <v>44489</v>
      </c>
      <c r="C279" s="520">
        <v>-1311.76</v>
      </c>
      <c r="D279" s="519">
        <v>44494</v>
      </c>
      <c r="E279" s="348">
        <v>-8</v>
      </c>
    </row>
    <row r="280" spans="1:5">
      <c r="A280" t="s">
        <v>2158</v>
      </c>
      <c r="B280" s="519">
        <v>44490</v>
      </c>
      <c r="C280" s="520">
        <v>-440391.04</v>
      </c>
      <c r="D280" s="519">
        <v>44495</v>
      </c>
      <c r="E280" s="348">
        <v>-2702.9463000000001</v>
      </c>
    </row>
    <row r="281" spans="1:5">
      <c r="A281" t="s">
        <v>12712</v>
      </c>
      <c r="B281" s="519">
        <v>44491</v>
      </c>
      <c r="C281" s="520">
        <v>810.15</v>
      </c>
      <c r="D281" s="519">
        <v>44496</v>
      </c>
      <c r="E281" s="348">
        <v>5</v>
      </c>
    </row>
    <row r="282" spans="1:5">
      <c r="A282" t="s">
        <v>2157</v>
      </c>
      <c r="B282" s="519">
        <v>44494</v>
      </c>
      <c r="C282" s="520">
        <v>5159.99</v>
      </c>
      <c r="D282" s="519">
        <v>44497</v>
      </c>
      <c r="E282" s="348">
        <v>33.747</v>
      </c>
    </row>
    <row r="283" spans="1:5">
      <c r="A283" t="s">
        <v>2157</v>
      </c>
      <c r="B283" s="519">
        <v>44495</v>
      </c>
      <c r="C283" s="520">
        <v>5113.72</v>
      </c>
      <c r="D283" s="519">
        <v>44498</v>
      </c>
      <c r="E283" s="348">
        <v>33.229700000000001</v>
      </c>
    </row>
    <row r="284" spans="1:5">
      <c r="A284" t="s">
        <v>12712</v>
      </c>
      <c r="B284" s="519">
        <v>44495</v>
      </c>
      <c r="C284" s="520">
        <v>4077.25</v>
      </c>
      <c r="D284" s="519">
        <v>44498</v>
      </c>
      <c r="E284" s="348">
        <v>25</v>
      </c>
    </row>
    <row r="285" spans="1:5">
      <c r="A285" t="s">
        <v>2157</v>
      </c>
      <c r="B285" s="519">
        <v>44498</v>
      </c>
      <c r="C285" s="520">
        <v>9989.99</v>
      </c>
      <c r="D285" s="519">
        <v>44504</v>
      </c>
      <c r="E285" s="348">
        <v>64.718800000000002</v>
      </c>
    </row>
    <row r="286" spans="1:5">
      <c r="A286" t="s">
        <v>2157</v>
      </c>
      <c r="B286" s="519">
        <v>44502</v>
      </c>
      <c r="C286" s="520">
        <v>23558.74</v>
      </c>
      <c r="D286" s="519">
        <v>44505</v>
      </c>
      <c r="E286" s="348">
        <v>153.1977</v>
      </c>
    </row>
    <row r="287" spans="1:5">
      <c r="A287" t="s">
        <v>2157</v>
      </c>
      <c r="B287" s="519">
        <v>44503</v>
      </c>
      <c r="C287" s="520">
        <v>12031.5</v>
      </c>
      <c r="D287" s="519">
        <v>44508</v>
      </c>
      <c r="E287" s="348">
        <v>78</v>
      </c>
    </row>
    <row r="288" spans="1:5">
      <c r="A288" t="s">
        <v>2157</v>
      </c>
      <c r="B288" s="519">
        <v>44504</v>
      </c>
      <c r="C288" s="520">
        <v>2620.7199999999998</v>
      </c>
      <c r="D288" s="519">
        <v>44509</v>
      </c>
      <c r="E288" s="348">
        <v>17</v>
      </c>
    </row>
    <row r="289" spans="1:5">
      <c r="A289" t="s">
        <v>12712</v>
      </c>
      <c r="B289" s="519">
        <v>44504</v>
      </c>
      <c r="C289" s="520">
        <v>10295.459999999999</v>
      </c>
      <c r="D289" s="519">
        <v>44509</v>
      </c>
      <c r="E289" s="348">
        <v>63</v>
      </c>
    </row>
    <row r="290" spans="1:5">
      <c r="A290" t="s">
        <v>2157</v>
      </c>
      <c r="B290" s="519">
        <v>44508</v>
      </c>
      <c r="C290" s="520">
        <v>-747.28</v>
      </c>
      <c r="D290" s="519">
        <v>44511</v>
      </c>
      <c r="E290" s="348">
        <v>75</v>
      </c>
    </row>
    <row r="291" spans="1:5">
      <c r="A291" t="s">
        <v>2157</v>
      </c>
      <c r="B291" s="519">
        <v>44509</v>
      </c>
      <c r="C291" s="520">
        <v>3110.27</v>
      </c>
      <c r="D291" s="519">
        <v>44512</v>
      </c>
      <c r="E291" s="348">
        <v>20.098700000000001</v>
      </c>
    </row>
    <row r="292" spans="1:5">
      <c r="A292" t="s">
        <v>12712</v>
      </c>
      <c r="B292" s="519">
        <v>44509</v>
      </c>
      <c r="C292" s="520">
        <v>14929.46</v>
      </c>
      <c r="D292" s="519">
        <v>44512</v>
      </c>
      <c r="E292" s="348">
        <v>91</v>
      </c>
    </row>
    <row r="293" spans="1:5">
      <c r="A293" t="s">
        <v>2157</v>
      </c>
      <c r="B293" s="519">
        <v>44510</v>
      </c>
      <c r="C293" s="520">
        <v>56843.21</v>
      </c>
      <c r="D293" s="519">
        <v>44515</v>
      </c>
      <c r="E293" s="348">
        <v>366.70670000000001</v>
      </c>
    </row>
    <row r="294" spans="1:5">
      <c r="A294" t="s">
        <v>12712</v>
      </c>
      <c r="B294" s="519">
        <v>44511</v>
      </c>
      <c r="C294" s="520">
        <v>2456.1</v>
      </c>
      <c r="D294" s="519">
        <v>44516</v>
      </c>
      <c r="E294" s="348">
        <v>15</v>
      </c>
    </row>
    <row r="295" spans="1:5">
      <c r="A295" t="s">
        <v>2157</v>
      </c>
      <c r="B295" s="519">
        <v>44512</v>
      </c>
      <c r="C295" s="520">
        <v>4941.76</v>
      </c>
      <c r="D295" s="519">
        <v>44517</v>
      </c>
      <c r="E295" s="348">
        <v>32</v>
      </c>
    </row>
    <row r="296" spans="1:5">
      <c r="A296" t="s">
        <v>12712</v>
      </c>
      <c r="B296" s="519">
        <v>44512</v>
      </c>
      <c r="C296" s="520">
        <v>5394.51</v>
      </c>
      <c r="D296" s="519">
        <v>44517</v>
      </c>
      <c r="E296" s="348">
        <v>33</v>
      </c>
    </row>
    <row r="297" spans="1:5">
      <c r="A297" t="s">
        <v>2157</v>
      </c>
      <c r="B297" s="519">
        <v>44515</v>
      </c>
      <c r="C297" s="520">
        <v>-4128.75</v>
      </c>
      <c r="D297" s="519">
        <v>44518</v>
      </c>
    </row>
    <row r="298" spans="1:5">
      <c r="A298" t="s">
        <v>2157</v>
      </c>
      <c r="B298" s="519">
        <v>44516</v>
      </c>
      <c r="C298" s="520">
        <v>1230.1099999999999</v>
      </c>
      <c r="D298" s="519">
        <v>44519</v>
      </c>
      <c r="E298" s="348">
        <v>7.8516000000000004</v>
      </c>
    </row>
    <row r="299" spans="1:5">
      <c r="A299" t="s">
        <v>12712</v>
      </c>
      <c r="B299" s="519">
        <v>44516</v>
      </c>
      <c r="C299" s="520">
        <v>6146.81</v>
      </c>
      <c r="D299" s="519">
        <v>44519</v>
      </c>
      <c r="E299" s="348">
        <v>37</v>
      </c>
    </row>
    <row r="300" spans="1:5">
      <c r="A300" t="s">
        <v>2157</v>
      </c>
      <c r="B300" s="519">
        <v>44517</v>
      </c>
      <c r="C300" s="520">
        <v>-13445.05</v>
      </c>
      <c r="D300" s="519">
        <v>44522</v>
      </c>
      <c r="E300" s="348">
        <v>-85.446799999999996</v>
      </c>
    </row>
    <row r="301" spans="1:5">
      <c r="A301" t="s">
        <v>2157</v>
      </c>
      <c r="B301" s="519">
        <v>44518</v>
      </c>
      <c r="C301" s="520">
        <v>2700.06</v>
      </c>
      <c r="D301" s="519">
        <v>44523</v>
      </c>
      <c r="E301" s="348">
        <v>17.137599999999999</v>
      </c>
    </row>
    <row r="302" spans="1:5">
      <c r="A302" t="s">
        <v>2158</v>
      </c>
      <c r="B302" s="519">
        <v>44518</v>
      </c>
      <c r="C302" s="520">
        <v>-10031.4</v>
      </c>
      <c r="D302" s="519">
        <v>44523</v>
      </c>
      <c r="E302" s="348">
        <v>-60</v>
      </c>
    </row>
    <row r="303" spans="1:5">
      <c r="A303" t="s">
        <v>12712</v>
      </c>
      <c r="B303" s="519">
        <v>44523</v>
      </c>
      <c r="C303" s="520">
        <v>7041.72</v>
      </c>
      <c r="D303" s="519">
        <v>44526</v>
      </c>
      <c r="E303" s="348">
        <v>42</v>
      </c>
    </row>
    <row r="304" spans="1:5">
      <c r="A304" t="s">
        <v>2157</v>
      </c>
      <c r="B304" s="519">
        <v>44525</v>
      </c>
      <c r="C304" s="520">
        <v>-10675.21</v>
      </c>
      <c r="D304" s="519">
        <v>44530</v>
      </c>
      <c r="E304" s="348">
        <v>-67.8</v>
      </c>
    </row>
    <row r="305" spans="1:5">
      <c r="A305" t="s">
        <v>2157</v>
      </c>
      <c r="B305" s="519">
        <v>44526</v>
      </c>
      <c r="C305" s="520">
        <v>9989.99</v>
      </c>
      <c r="D305" s="519">
        <v>44531</v>
      </c>
      <c r="E305" s="348">
        <v>64.137100000000004</v>
      </c>
    </row>
    <row r="306" spans="1:5">
      <c r="A306" t="s">
        <v>2157</v>
      </c>
      <c r="B306" s="519">
        <v>44529</v>
      </c>
      <c r="C306" s="520">
        <v>4414.1899999999996</v>
      </c>
      <c r="D306" s="519">
        <v>44532</v>
      </c>
      <c r="E306" s="348">
        <v>28.339700000000001</v>
      </c>
    </row>
    <row r="307" spans="1:5">
      <c r="A307" t="s">
        <v>2157</v>
      </c>
      <c r="B307" s="519">
        <v>44530</v>
      </c>
      <c r="C307" s="520">
        <v>1853.97</v>
      </c>
      <c r="D307" s="519">
        <v>44533</v>
      </c>
      <c r="E307" s="348">
        <v>12.4687</v>
      </c>
    </row>
    <row r="308" spans="1:5">
      <c r="A308" t="s">
        <v>2157</v>
      </c>
      <c r="B308" s="519">
        <v>44531</v>
      </c>
      <c r="C308" s="520">
        <v>-12174.01</v>
      </c>
      <c r="D308" s="519">
        <v>44536</v>
      </c>
      <c r="E308" s="348">
        <v>-82.190200000000004</v>
      </c>
    </row>
    <row r="309" spans="1:5">
      <c r="A309" t="s">
        <v>2157</v>
      </c>
      <c r="B309" s="519">
        <v>44532</v>
      </c>
      <c r="C309" s="520">
        <v>9748.0499999999993</v>
      </c>
      <c r="D309" s="519">
        <v>44537</v>
      </c>
      <c r="E309" s="348">
        <v>65</v>
      </c>
    </row>
    <row r="310" spans="1:5">
      <c r="A310" t="s">
        <v>12712</v>
      </c>
      <c r="B310" s="519">
        <v>44532</v>
      </c>
      <c r="C310" s="520">
        <v>599999.99</v>
      </c>
      <c r="D310" s="519">
        <v>44537</v>
      </c>
      <c r="E310" s="348">
        <v>3816.0655999999999</v>
      </c>
    </row>
    <row r="311" spans="1:5">
      <c r="A311" t="s">
        <v>12712</v>
      </c>
      <c r="B311" s="519">
        <v>44533</v>
      </c>
      <c r="C311" s="520">
        <v>634.36</v>
      </c>
      <c r="D311" s="519">
        <v>44538</v>
      </c>
      <c r="E311" s="348">
        <v>4</v>
      </c>
    </row>
    <row r="312" spans="1:5">
      <c r="A312" t="s">
        <v>2157</v>
      </c>
      <c r="B312" s="519">
        <v>44537</v>
      </c>
      <c r="C312" s="520">
        <v>7056.11</v>
      </c>
      <c r="D312" s="519">
        <v>44540</v>
      </c>
      <c r="E312" s="348">
        <v>47</v>
      </c>
    </row>
    <row r="313" spans="1:5">
      <c r="A313" t="s">
        <v>2157</v>
      </c>
      <c r="B313" s="519">
        <v>44543</v>
      </c>
      <c r="C313" s="520">
        <v>2215.06</v>
      </c>
      <c r="D313" s="519">
        <v>44546</v>
      </c>
      <c r="E313" s="348">
        <v>14.561299999999999</v>
      </c>
    </row>
    <row r="314" spans="1:5">
      <c r="A314" t="s">
        <v>12712</v>
      </c>
      <c r="B314" s="519">
        <v>44544</v>
      </c>
      <c r="C314" s="520">
        <v>11423.19</v>
      </c>
      <c r="D314" s="519">
        <v>44547</v>
      </c>
      <c r="E314" s="348">
        <v>71</v>
      </c>
    </row>
    <row r="315" spans="1:5">
      <c r="A315" t="s">
        <v>2157</v>
      </c>
      <c r="B315" s="519">
        <v>44545</v>
      </c>
      <c r="C315" s="520">
        <v>6142.5</v>
      </c>
      <c r="D315" s="519">
        <v>44550</v>
      </c>
      <c r="E315" s="348">
        <v>40.517800000000001</v>
      </c>
    </row>
    <row r="316" spans="1:5">
      <c r="A316" t="s">
        <v>2157</v>
      </c>
      <c r="B316" s="519">
        <v>44546</v>
      </c>
      <c r="C316" s="520">
        <v>3898.74</v>
      </c>
      <c r="D316" s="519">
        <v>44551</v>
      </c>
      <c r="E316" s="348">
        <v>25.717300000000002</v>
      </c>
    </row>
    <row r="317" spans="1:5">
      <c r="A317" t="s">
        <v>2157</v>
      </c>
      <c r="B317" s="519">
        <v>44547</v>
      </c>
      <c r="C317" s="520">
        <v>15854.75</v>
      </c>
      <c r="D317" s="519">
        <v>44552</v>
      </c>
      <c r="E317" s="348">
        <v>102.2953</v>
      </c>
    </row>
    <row r="318" spans="1:5">
      <c r="A318" t="s">
        <v>2157</v>
      </c>
      <c r="B318" s="519">
        <v>44550</v>
      </c>
      <c r="C318" s="520">
        <v>3028.6</v>
      </c>
      <c r="D318" s="519">
        <v>44553</v>
      </c>
      <c r="E318" s="348">
        <v>20</v>
      </c>
    </row>
    <row r="319" spans="1:5">
      <c r="A319" t="s">
        <v>2157</v>
      </c>
      <c r="B319" s="519">
        <v>44551</v>
      </c>
      <c r="C319" s="520">
        <v>1978.08</v>
      </c>
      <c r="D319" s="519">
        <v>44554</v>
      </c>
      <c r="E319" s="348">
        <v>13.0627</v>
      </c>
    </row>
    <row r="320" spans="1:5">
      <c r="A320" t="s">
        <v>2157</v>
      </c>
      <c r="B320" s="519">
        <v>44552</v>
      </c>
      <c r="C320" s="520">
        <v>10316</v>
      </c>
      <c r="D320" s="519">
        <v>44557</v>
      </c>
      <c r="E320" s="348">
        <v>67.749099999999999</v>
      </c>
    </row>
    <row r="321" spans="1:5">
      <c r="A321" t="s">
        <v>2157</v>
      </c>
      <c r="B321" s="519">
        <v>44553</v>
      </c>
      <c r="C321" s="520">
        <v>7895.51</v>
      </c>
      <c r="D321" s="519">
        <v>44559</v>
      </c>
      <c r="E321" s="348">
        <v>20.9848</v>
      </c>
    </row>
    <row r="322" spans="1:5">
      <c r="A322" t="s">
        <v>2157</v>
      </c>
      <c r="B322" s="519">
        <v>44559</v>
      </c>
      <c r="C322" s="520">
        <v>4989.99</v>
      </c>
      <c r="D322" s="519">
        <v>44564</v>
      </c>
      <c r="E322" s="348">
        <v>32.028199999999998</v>
      </c>
    </row>
    <row r="323" spans="1:5">
      <c r="A323" t="s">
        <v>2157</v>
      </c>
      <c r="B323" s="519">
        <v>44565</v>
      </c>
      <c r="C323" s="520">
        <v>21873.040000000001</v>
      </c>
      <c r="D323" s="519">
        <v>44568</v>
      </c>
      <c r="E323" s="348">
        <v>139</v>
      </c>
    </row>
    <row r="324" spans="1:5">
      <c r="A324" t="s">
        <v>12712</v>
      </c>
      <c r="B324" s="519">
        <v>44565</v>
      </c>
      <c r="C324" s="520">
        <v>9691.7999999999993</v>
      </c>
      <c r="D324" s="519">
        <v>44568</v>
      </c>
      <c r="E324" s="348">
        <v>58</v>
      </c>
    </row>
    <row r="325" spans="1:5">
      <c r="A325" t="s">
        <v>2157</v>
      </c>
      <c r="B325" s="519">
        <v>44566</v>
      </c>
      <c r="C325" s="520">
        <v>93897.7</v>
      </c>
      <c r="D325" s="519">
        <v>44571</v>
      </c>
      <c r="E325" s="348">
        <v>595</v>
      </c>
    </row>
    <row r="326" spans="1:5">
      <c r="A326" t="s">
        <v>2157</v>
      </c>
      <c r="B326" s="519">
        <v>44567</v>
      </c>
      <c r="C326" s="520">
        <v>29685.79</v>
      </c>
      <c r="D326" s="519">
        <v>44572</v>
      </c>
      <c r="E326" s="348">
        <v>186.00120000000001</v>
      </c>
    </row>
    <row r="327" spans="1:5">
      <c r="A327" t="s">
        <v>2157</v>
      </c>
      <c r="B327" s="519">
        <v>44573</v>
      </c>
      <c r="C327" s="520">
        <v>20546.5</v>
      </c>
      <c r="D327" s="519">
        <v>44578</v>
      </c>
      <c r="E327" s="348">
        <v>130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EMM1562"/>
  <sheetViews>
    <sheetView zoomScale="70" zoomScaleNormal="70" workbookViewId="0">
      <pane xSplit="1" ySplit="9" topLeftCell="B50" activePane="bottomRight" state="frozen"/>
      <selection pane="topRight" activeCell="B1" sqref="B1"/>
      <selection pane="bottomLeft" activeCell="A10" sqref="A10"/>
      <selection pane="bottomRight" activeCell="E68" sqref="E68"/>
    </sheetView>
  </sheetViews>
  <sheetFormatPr defaultColWidth="18" defaultRowHeight="14.5" outlineLevelRow="1"/>
  <cols>
    <col min="1" max="1" width="11.26953125" style="54" customWidth="1"/>
    <col min="2" max="2" width="13.36328125" style="104" bestFit="1" customWidth="1"/>
    <col min="3" max="3" width="18.90625" style="103" bestFit="1" customWidth="1"/>
    <col min="4" max="4" width="20.36328125" style="54" customWidth="1"/>
    <col min="5" max="5" width="13.36328125" style="103" bestFit="1" customWidth="1"/>
    <col min="6" max="6" width="17.81640625" style="103" bestFit="1" customWidth="1"/>
    <col min="7" max="7" width="14.26953125" style="54" customWidth="1"/>
    <col min="8" max="8" width="17.26953125" style="54" bestFit="1" customWidth="1"/>
    <col min="9" max="9" width="10.36328125" style="103" bestFit="1" customWidth="1"/>
    <col min="10" max="10" width="24" style="54" bestFit="1" customWidth="1"/>
    <col min="11" max="11" width="17.26953125" style="54" bestFit="1" customWidth="1"/>
    <col min="12" max="12" width="9.7265625" style="54" bestFit="1" customWidth="1"/>
    <col min="13" max="13" width="8.7265625" style="54" customWidth="1"/>
    <col min="14" max="14" width="17.26953125" style="54" bestFit="1" customWidth="1"/>
    <col min="15" max="15" width="9.7265625" style="54" bestFit="1" customWidth="1"/>
    <col min="16" max="16" width="8.7265625" style="54" customWidth="1"/>
    <col min="17" max="17" width="17.26953125" style="54" bestFit="1" customWidth="1"/>
    <col min="18" max="18" width="9.7265625" style="54" bestFit="1" customWidth="1"/>
    <col min="19" max="19" width="8" style="54" customWidth="1"/>
    <col min="20" max="20" width="17.26953125" style="54" bestFit="1" customWidth="1"/>
    <col min="21" max="21" width="9.7265625" style="54" bestFit="1" customWidth="1"/>
    <col min="22" max="22" width="8.81640625" style="54" customWidth="1"/>
    <col min="23" max="23" width="17.26953125" style="54" bestFit="1" customWidth="1"/>
    <col min="24" max="24" width="9.7265625" style="54" bestFit="1" customWidth="1"/>
    <col min="25" max="25" width="8.81640625" style="54" customWidth="1"/>
    <col min="26" max="26" width="17.26953125" style="54" bestFit="1" customWidth="1"/>
    <col min="27" max="27" width="9.7265625" style="54" bestFit="1" customWidth="1"/>
    <col min="28" max="28" width="8.26953125" style="54" customWidth="1"/>
    <col min="29" max="29" width="17.26953125" style="54" bestFit="1" customWidth="1"/>
    <col min="30" max="30" width="9.7265625" style="54" bestFit="1" customWidth="1"/>
    <col min="31" max="31" width="10" style="54" customWidth="1"/>
    <col min="32" max="32" width="28.26953125" style="54" bestFit="1" customWidth="1"/>
    <col min="33" max="33" width="21" style="54" bestFit="1" customWidth="1"/>
    <col min="34" max="34" width="18" style="54"/>
    <col min="35" max="35" width="25.81640625" style="54" bestFit="1" customWidth="1"/>
    <col min="36" max="36" width="19.26953125" style="54" bestFit="1" customWidth="1"/>
    <col min="37" max="37" width="16.26953125" style="54" bestFit="1" customWidth="1"/>
    <col min="38" max="38" width="3.26953125" style="54" bestFit="1" customWidth="1"/>
    <col min="39" max="39" width="4" style="54" bestFit="1" customWidth="1"/>
    <col min="40" max="40" width="3.26953125" style="54" bestFit="1" customWidth="1"/>
    <col min="41" max="41" width="4" style="54" bestFit="1" customWidth="1"/>
    <col min="42" max="42" width="25.81640625" style="54" bestFit="1" customWidth="1"/>
    <col min="43" max="43" width="19.26953125" style="54" bestFit="1" customWidth="1"/>
    <col min="44" max="44" width="10" style="54" bestFit="1" customWidth="1"/>
    <col min="45" max="47" width="13.81640625" style="54" bestFit="1" customWidth="1"/>
    <col min="48" max="48" width="12.81640625" style="54" bestFit="1" customWidth="1"/>
    <col min="49" max="49" width="7.7265625" style="54" bestFit="1" customWidth="1"/>
    <col min="50" max="50" width="16.26953125" style="54" bestFit="1" customWidth="1"/>
    <col min="51" max="51" width="5.26953125" style="54" bestFit="1" customWidth="1"/>
    <col min="52" max="52" width="9" style="54" bestFit="1" customWidth="1"/>
    <col min="53" max="53" width="6" style="54" bestFit="1" customWidth="1"/>
    <col min="54" max="54" width="9.7265625" style="54" bestFit="1" customWidth="1"/>
    <col min="55" max="55" width="5.26953125" style="54" bestFit="1" customWidth="1"/>
    <col min="56" max="56" width="8.7265625" style="54" bestFit="1" customWidth="1"/>
    <col min="57" max="57" width="16.26953125" style="54" bestFit="1" customWidth="1"/>
    <col min="58" max="67" width="6.26953125" style="54" bestFit="1" customWidth="1"/>
    <col min="68" max="96" width="6" style="54" bestFit="1" customWidth="1"/>
    <col min="97" max="127" width="6.54296875" style="54" bestFit="1" customWidth="1"/>
    <col min="128" max="157" width="6" style="54" bestFit="1" customWidth="1"/>
    <col min="158" max="188" width="6.81640625" style="54" bestFit="1" customWidth="1"/>
    <col min="189" max="249" width="5.81640625" style="54" bestFit="1" customWidth="1"/>
    <col min="250" max="280" width="6.26953125" style="54" bestFit="1" customWidth="1"/>
    <col min="281" max="310" width="5.81640625" style="54" bestFit="1" customWidth="1"/>
    <col min="311" max="341" width="5.7265625" style="54" bestFit="1" customWidth="1"/>
    <col min="342" max="371" width="6.26953125" style="54" bestFit="1" customWidth="1"/>
    <col min="372" max="402" width="5.7265625" style="54" bestFit="1" customWidth="1"/>
    <col min="403" max="403" width="11.26953125" style="54" bestFit="1" customWidth="1"/>
    <col min="404" max="404" width="10" style="54" bestFit="1" customWidth="1"/>
    <col min="405" max="405" width="11.26953125" style="54" bestFit="1" customWidth="1"/>
    <col min="406" max="436" width="6.26953125" style="54" bestFit="1" customWidth="1"/>
    <col min="437" max="465" width="6" style="54" bestFit="1" customWidth="1"/>
    <col min="466" max="496" width="6.54296875" style="54" bestFit="1" customWidth="1"/>
    <col min="497" max="526" width="6" style="54" bestFit="1" customWidth="1"/>
    <col min="527" max="557" width="6.81640625" style="54" bestFit="1" customWidth="1"/>
    <col min="558" max="618" width="5.81640625" style="54" bestFit="1" customWidth="1"/>
    <col min="619" max="649" width="6.26953125" style="54" bestFit="1" customWidth="1"/>
    <col min="650" max="679" width="5.81640625" style="54" bestFit="1" customWidth="1"/>
    <col min="680" max="710" width="5.7265625" style="54" bestFit="1" customWidth="1"/>
    <col min="711" max="740" width="6.26953125" style="54" bestFit="1" customWidth="1"/>
    <col min="741" max="771" width="5.7265625" style="54" bestFit="1" customWidth="1"/>
    <col min="772" max="772" width="11.26953125" style="54" bestFit="1" customWidth="1"/>
    <col min="773" max="773" width="9.7265625" style="54" bestFit="1" customWidth="1"/>
    <col min="774" max="774" width="11.26953125" style="54" bestFit="1" customWidth="1"/>
    <col min="775" max="805" width="6.26953125" style="54" bestFit="1" customWidth="1"/>
    <col min="806" max="834" width="6" style="54" bestFit="1" customWidth="1"/>
    <col min="835" max="865" width="6.54296875" style="54" bestFit="1" customWidth="1"/>
    <col min="866" max="895" width="6" style="54" bestFit="1" customWidth="1"/>
    <col min="896" max="926" width="6.81640625" style="54" bestFit="1" customWidth="1"/>
    <col min="927" max="987" width="5.81640625" style="54" bestFit="1" customWidth="1"/>
    <col min="988" max="1018" width="6.26953125" style="54" bestFit="1" customWidth="1"/>
    <col min="1019" max="1048" width="5.81640625" style="54" bestFit="1" customWidth="1"/>
    <col min="1049" max="1079" width="5.7265625" style="54" bestFit="1" customWidth="1"/>
    <col min="1080" max="1109" width="6.26953125" style="54" bestFit="1" customWidth="1"/>
    <col min="1110" max="1140" width="5.7265625" style="54" bestFit="1" customWidth="1"/>
    <col min="1141" max="1141" width="11.26953125" style="54" bestFit="1" customWidth="1"/>
    <col min="1142" max="1142" width="9.54296875" style="54" bestFit="1" customWidth="1"/>
    <col min="1143" max="1143" width="11.26953125" style="54" bestFit="1" customWidth="1"/>
    <col min="1144" max="1174" width="6.26953125" style="54" bestFit="1" customWidth="1"/>
    <col min="1175" max="1203" width="6" style="54" bestFit="1" customWidth="1"/>
    <col min="1204" max="1234" width="6.54296875" style="54" bestFit="1" customWidth="1"/>
    <col min="1235" max="1264" width="6" style="54" bestFit="1" customWidth="1"/>
    <col min="1265" max="1295" width="6.81640625" style="54" bestFit="1" customWidth="1"/>
    <col min="1296" max="1356" width="5.81640625" style="54" bestFit="1" customWidth="1"/>
    <col min="1357" max="1387" width="6.26953125" style="54" bestFit="1" customWidth="1"/>
    <col min="1388" max="1417" width="5.81640625" style="54" bestFit="1" customWidth="1"/>
    <col min="1418" max="1448" width="5.7265625" style="54" bestFit="1" customWidth="1"/>
    <col min="1449" max="1478" width="6.26953125" style="54" bestFit="1" customWidth="1"/>
    <col min="1479" max="1509" width="5.7265625" style="54" bestFit="1" customWidth="1"/>
    <col min="1510" max="1510" width="11.26953125" style="54" bestFit="1" customWidth="1"/>
    <col min="1511" max="1511" width="9.54296875" style="54" bestFit="1" customWidth="1"/>
    <col min="1512" max="1512" width="11.26953125" style="54" bestFit="1" customWidth="1"/>
    <col min="1513" max="1543" width="6.26953125" style="54" bestFit="1" customWidth="1"/>
    <col min="1544" max="1572" width="6" style="54" bestFit="1" customWidth="1"/>
    <col min="1573" max="1603" width="6.54296875" style="54" bestFit="1" customWidth="1"/>
    <col min="1604" max="1633" width="6" style="54" bestFit="1" customWidth="1"/>
    <col min="1634" max="1664" width="6.81640625" style="54" bestFit="1" customWidth="1"/>
    <col min="1665" max="1725" width="5.81640625" style="54" bestFit="1" customWidth="1"/>
    <col min="1726" max="1756" width="6.26953125" style="54" bestFit="1" customWidth="1"/>
    <col min="1757" max="1786" width="5.81640625" style="54" bestFit="1" customWidth="1"/>
    <col min="1787" max="1817" width="5.7265625" style="54" bestFit="1" customWidth="1"/>
    <col min="1818" max="1847" width="6.26953125" style="54" bestFit="1" customWidth="1"/>
    <col min="1848" max="1878" width="5.7265625" style="54" bestFit="1" customWidth="1"/>
    <col min="1879" max="1879" width="11.26953125" style="54" bestFit="1" customWidth="1"/>
    <col min="1880" max="1880" width="9.7265625" style="54" bestFit="1" customWidth="1"/>
    <col min="1881" max="1881" width="11.26953125" style="54" bestFit="1" customWidth="1"/>
    <col min="1882" max="1912" width="6.26953125" style="54" bestFit="1" customWidth="1"/>
    <col min="1913" max="1941" width="6" style="54" bestFit="1" customWidth="1"/>
    <col min="1942" max="1972" width="6.54296875" style="54" bestFit="1" customWidth="1"/>
    <col min="1973" max="2002" width="6" style="54" bestFit="1" customWidth="1"/>
    <col min="2003" max="2033" width="6.81640625" style="54" bestFit="1" customWidth="1"/>
    <col min="2034" max="2094" width="5.81640625" style="54" bestFit="1" customWidth="1"/>
    <col min="2095" max="2125" width="6.26953125" style="54" bestFit="1" customWidth="1"/>
    <col min="2126" max="2155" width="5.81640625" style="54" bestFit="1" customWidth="1"/>
    <col min="2156" max="2186" width="5.7265625" style="54" bestFit="1" customWidth="1"/>
    <col min="2187" max="2216" width="6.26953125" style="54" bestFit="1" customWidth="1"/>
    <col min="2217" max="2247" width="5.7265625" style="54" bestFit="1" customWidth="1"/>
    <col min="2248" max="2248" width="11.26953125" style="54" bestFit="1" customWidth="1"/>
    <col min="2249" max="2249" width="9" style="54" bestFit="1" customWidth="1"/>
    <col min="2250" max="2250" width="7.7265625" style="54" bestFit="1" customWidth="1"/>
    <col min="2251" max="2251" width="9" style="54" bestFit="1" customWidth="1"/>
    <col min="2252" max="2252" width="11.26953125" style="54" bestFit="1" customWidth="1"/>
    <col min="2253" max="2283" width="6.26953125" style="54" bestFit="1" customWidth="1"/>
    <col min="2284" max="2312" width="6" style="54" bestFit="1" customWidth="1"/>
    <col min="2313" max="2343" width="6.54296875" style="54" bestFit="1" customWidth="1"/>
    <col min="2344" max="2373" width="6" style="54" bestFit="1" customWidth="1"/>
    <col min="2374" max="2404" width="6.81640625" style="54" bestFit="1" customWidth="1"/>
    <col min="2405" max="2465" width="5.81640625" style="54" bestFit="1" customWidth="1"/>
    <col min="2466" max="2496" width="6.26953125" style="54" bestFit="1" customWidth="1"/>
    <col min="2497" max="2526" width="5.81640625" style="54" bestFit="1" customWidth="1"/>
    <col min="2527" max="2557" width="5.7265625" style="54" bestFit="1" customWidth="1"/>
    <col min="2558" max="2587" width="6.26953125" style="54" bestFit="1" customWidth="1"/>
    <col min="2588" max="2618" width="5.7265625" style="54" bestFit="1" customWidth="1"/>
    <col min="2619" max="2619" width="11.26953125" style="54" bestFit="1" customWidth="1"/>
    <col min="2620" max="2620" width="10" style="54" bestFit="1" customWidth="1"/>
    <col min="2621" max="2621" width="11.26953125" style="54" bestFit="1" customWidth="1"/>
    <col min="2622" max="2652" width="6.26953125" style="54" bestFit="1" customWidth="1"/>
    <col min="2653" max="2681" width="6" style="54" bestFit="1" customWidth="1"/>
    <col min="2682" max="2712" width="6.54296875" style="54" bestFit="1" customWidth="1"/>
    <col min="2713" max="2742" width="6" style="54" bestFit="1" customWidth="1"/>
    <col min="2743" max="2773" width="6.81640625" style="54" bestFit="1" customWidth="1"/>
    <col min="2774" max="2834" width="5.81640625" style="54" bestFit="1" customWidth="1"/>
    <col min="2835" max="2865" width="6.26953125" style="54" bestFit="1" customWidth="1"/>
    <col min="2866" max="2895" width="5.81640625" style="54" bestFit="1" customWidth="1"/>
    <col min="2896" max="2926" width="5.7265625" style="54" bestFit="1" customWidth="1"/>
    <col min="2927" max="2956" width="6.26953125" style="54" bestFit="1" customWidth="1"/>
    <col min="2957" max="2987" width="5.7265625" style="54" bestFit="1" customWidth="1"/>
    <col min="2988" max="2988" width="11.26953125" style="54" bestFit="1" customWidth="1"/>
    <col min="2989" max="2989" width="10" style="54" bestFit="1" customWidth="1"/>
    <col min="2990" max="2990" width="13.54296875" style="54" bestFit="1" customWidth="1"/>
    <col min="2991" max="3021" width="6.26953125" style="54" bestFit="1" customWidth="1"/>
    <col min="3022" max="3050" width="6" style="54" bestFit="1" customWidth="1"/>
    <col min="3051" max="3081" width="6.54296875" style="54" bestFit="1" customWidth="1"/>
    <col min="3082" max="3111" width="6" style="54" bestFit="1" customWidth="1"/>
    <col min="3112" max="3142" width="6.81640625" style="54" bestFit="1" customWidth="1"/>
    <col min="3143" max="3203" width="5.81640625" style="54" bestFit="1" customWidth="1"/>
    <col min="3204" max="3234" width="6.26953125" style="54" bestFit="1" customWidth="1"/>
    <col min="3235" max="3264" width="5.81640625" style="54" bestFit="1" customWidth="1"/>
    <col min="3265" max="3295" width="5.7265625" style="54" bestFit="1" customWidth="1"/>
    <col min="3296" max="3325" width="6.26953125" style="54" bestFit="1" customWidth="1"/>
    <col min="3326" max="3356" width="5.7265625" style="54" bestFit="1" customWidth="1"/>
    <col min="3357" max="3357" width="11.26953125" style="54" bestFit="1" customWidth="1"/>
    <col min="3358" max="3358" width="17.26953125" style="54" bestFit="1" customWidth="1"/>
    <col min="3359" max="3359" width="11.26953125" style="54" bestFit="1" customWidth="1"/>
    <col min="3360" max="3390" width="6.26953125" style="54" bestFit="1" customWidth="1"/>
    <col min="3391" max="3419" width="6" style="54" bestFit="1" customWidth="1"/>
    <col min="3420" max="3450" width="6.54296875" style="54" bestFit="1" customWidth="1"/>
    <col min="3451" max="3480" width="6" style="54" bestFit="1" customWidth="1"/>
    <col min="3481" max="3511" width="6.81640625" style="54" bestFit="1" customWidth="1"/>
    <col min="3512" max="3572" width="5.81640625" style="54" bestFit="1" customWidth="1"/>
    <col min="3573" max="3603" width="6.26953125" style="54" bestFit="1" customWidth="1"/>
    <col min="3604" max="3633" width="5.81640625" style="54" bestFit="1" customWidth="1"/>
    <col min="3634" max="3664" width="5.7265625" style="54" bestFit="1" customWidth="1"/>
    <col min="3665" max="3694" width="6.26953125" style="54" bestFit="1" customWidth="1"/>
    <col min="3695" max="3725" width="5.7265625" style="54" bestFit="1" customWidth="1"/>
    <col min="3726" max="3726" width="11.26953125" style="54" bestFit="1" customWidth="1"/>
    <col min="3727" max="3727" width="9" style="54" bestFit="1" customWidth="1"/>
    <col min="3728" max="3728" width="6.81640625" style="54" bestFit="1" customWidth="1"/>
    <col min="3729" max="3729" width="5.81640625" style="54" bestFit="1" customWidth="1"/>
    <col min="3730" max="3730" width="9.7265625" style="54" bestFit="1" customWidth="1"/>
    <col min="3731" max="3731" width="16.26953125" style="54" bestFit="1" customWidth="1"/>
    <col min="3732" max="16384" width="18" style="54"/>
  </cols>
  <sheetData>
    <row r="11" spans="2:6">
      <c r="C11" s="300"/>
    </row>
    <row r="12" spans="2:6" ht="15.5">
      <c r="B12" s="164" t="s">
        <v>235</v>
      </c>
      <c r="C12" s="562">
        <f ca="1">+TODAY()-1</f>
        <v>44727</v>
      </c>
    </row>
    <row r="13" spans="2:6">
      <c r="B13" s="238" t="s">
        <v>243</v>
      </c>
      <c r="C13" s="125"/>
    </row>
    <row r="14" spans="2:6">
      <c r="B14" s="122"/>
      <c r="C14" s="123"/>
    </row>
    <row r="15" spans="2:6">
      <c r="B15" s="108"/>
      <c r="C15" s="109" t="s">
        <v>217</v>
      </c>
      <c r="D15" s="110" t="s">
        <v>25</v>
      </c>
      <c r="E15" s="109" t="s">
        <v>2</v>
      </c>
      <c r="F15" s="161"/>
    </row>
    <row r="16" spans="2:6">
      <c r="B16" s="105"/>
      <c r="C16" s="211"/>
      <c r="D16" s="107"/>
      <c r="E16" s="208"/>
    </row>
    <row r="17" spans="2:7">
      <c r="B17" s="104" t="s">
        <v>2</v>
      </c>
      <c r="C17" s="50">
        <v>999785.1</v>
      </c>
      <c r="D17" s="368">
        <v>1</v>
      </c>
      <c r="E17" s="50">
        <f>+C17/D17</f>
        <v>999785.1</v>
      </c>
      <c r="G17" s="211"/>
    </row>
    <row r="18" spans="2:7">
      <c r="C18" s="50"/>
      <c r="D18" s="368"/>
      <c r="E18" s="50"/>
      <c r="G18" s="211"/>
    </row>
    <row r="19" spans="2:7">
      <c r="B19" s="104" t="s">
        <v>2229</v>
      </c>
      <c r="C19" s="50">
        <v>0</v>
      </c>
      <c r="D19" s="368">
        <v>1</v>
      </c>
      <c r="E19" s="50">
        <f>+C19/D19</f>
        <v>0</v>
      </c>
      <c r="G19" s="211"/>
    </row>
    <row r="20" spans="2:7">
      <c r="C20" s="211"/>
      <c r="D20" s="368"/>
      <c r="E20" s="50"/>
    </row>
    <row r="21" spans="2:7">
      <c r="B21" s="104" t="s">
        <v>3</v>
      </c>
      <c r="C21" s="211">
        <v>0</v>
      </c>
      <c r="D21" s="368" t="e">
        <f ca="1">+_xll.BDP("EUR"&amp;B21&amp; " CuRNCY","px_last")</f>
        <v>#NAME?</v>
      </c>
      <c r="E21" s="50" t="e">
        <f ca="1">+C21/D21</f>
        <v>#NAME?</v>
      </c>
    </row>
    <row r="22" spans="2:7">
      <c r="C22" s="211"/>
      <c r="D22" s="368"/>
      <c r="E22" s="50"/>
    </row>
    <row r="23" spans="2:7">
      <c r="B23" s="104" t="s">
        <v>125</v>
      </c>
      <c r="C23" s="211">
        <v>0</v>
      </c>
      <c r="D23" s="368" t="e">
        <f ca="1">+_xll.BDP("EUR"&amp;B23&amp; " CuRNCY","px_last")</f>
        <v>#NAME?</v>
      </c>
      <c r="E23" s="50" t="e">
        <f ca="1">+C23/D23</f>
        <v>#NAME?</v>
      </c>
    </row>
    <row r="24" spans="2:7">
      <c r="C24" s="211"/>
      <c r="D24" s="368"/>
      <c r="E24" s="50"/>
    </row>
    <row r="25" spans="2:7" hidden="1">
      <c r="B25" s="104" t="s">
        <v>123</v>
      </c>
      <c r="C25" s="211">
        <v>0</v>
      </c>
      <c r="D25" s="368" t="e">
        <f ca="1">+_xll.BDP("EUR"&amp;B25&amp; " CuRNCY","px_last")</f>
        <v>#NAME?</v>
      </c>
      <c r="E25" s="50" t="e">
        <f ca="1">+C25/D25</f>
        <v>#NAME?</v>
      </c>
    </row>
    <row r="26" spans="2:7" hidden="1">
      <c r="C26" s="211"/>
      <c r="D26" s="368" t="e">
        <f ca="1">+_xll.BDP("EUR"&amp;B26&amp; " CuRNCY","px_last")</f>
        <v>#NAME?</v>
      </c>
      <c r="E26" s="50"/>
    </row>
    <row r="27" spans="2:7" hidden="1">
      <c r="B27" s="104" t="s">
        <v>126</v>
      </c>
      <c r="C27" s="211">
        <v>0</v>
      </c>
      <c r="D27" s="368" t="e">
        <f ca="1">+_xll.BDP("EUR"&amp;B27&amp; " CuRNCY","px_last")</f>
        <v>#NAME?</v>
      </c>
      <c r="E27" s="50" t="e">
        <f ca="1">+C27/D27</f>
        <v>#NAME?</v>
      </c>
    </row>
    <row r="28" spans="2:7" hidden="1">
      <c r="C28" s="211"/>
      <c r="D28" s="368" t="e">
        <f ca="1">+_xll.BDP("EUR"&amp;B28&amp; " CuRNCY","px_last")</f>
        <v>#NAME?</v>
      </c>
      <c r="E28" s="50"/>
    </row>
    <row r="29" spans="2:7">
      <c r="B29" s="104" t="s">
        <v>1105</v>
      </c>
      <c r="C29" s="211">
        <v>0</v>
      </c>
      <c r="D29" s="368" t="e">
        <f ca="1">+_xll.BDP("EUR"&amp;B29&amp; " CuRNCY","px_last")</f>
        <v>#NAME?</v>
      </c>
      <c r="E29" s="50" t="e">
        <f ca="1">+C29/D29</f>
        <v>#NAME?</v>
      </c>
    </row>
    <row r="30" spans="2:7">
      <c r="C30" s="211"/>
      <c r="D30" s="368"/>
      <c r="E30" s="50"/>
    </row>
    <row r="31" spans="2:7">
      <c r="B31" s="104" t="s">
        <v>1100</v>
      </c>
      <c r="C31" s="211">
        <v>0</v>
      </c>
      <c r="D31" s="368" t="e">
        <f ca="1">+_xll.BDP("EUR"&amp;B31&amp; " CuRNCY","px_last")</f>
        <v>#NAME?</v>
      </c>
      <c r="E31" s="50" t="e">
        <f ca="1">+C31/D31</f>
        <v>#NAME?</v>
      </c>
    </row>
    <row r="32" spans="2:7">
      <c r="C32" s="211"/>
      <c r="D32" s="368"/>
      <c r="E32" s="50"/>
    </row>
    <row r="33" spans="2:7">
      <c r="B33" s="104" t="s">
        <v>1102</v>
      </c>
      <c r="C33" s="211">
        <v>0</v>
      </c>
      <c r="D33" s="368" t="e">
        <f ca="1">+_xll.BDP("EUR"&amp;B33&amp; " CuRNCY","px_last")</f>
        <v>#NAME?</v>
      </c>
      <c r="E33" s="50" t="e">
        <f ca="1">+C33/D33</f>
        <v>#NAME?</v>
      </c>
    </row>
    <row r="34" spans="2:7">
      <c r="C34" s="211"/>
      <c r="D34" s="368"/>
      <c r="E34" s="50"/>
    </row>
    <row r="35" spans="2:7">
      <c r="B35" s="104" t="s">
        <v>1103</v>
      </c>
      <c r="C35" s="211">
        <v>0</v>
      </c>
      <c r="D35" s="368" t="e">
        <f ca="1">+_xll.BDP("EUR"&amp;B35&amp; " CuRNCY","px_last")</f>
        <v>#NAME?</v>
      </c>
      <c r="E35" s="50" t="e">
        <f ca="1">+C35/D35</f>
        <v>#NAME?</v>
      </c>
    </row>
    <row r="36" spans="2:7">
      <c r="C36" s="211"/>
      <c r="D36" s="368"/>
      <c r="E36" s="50"/>
    </row>
    <row r="37" spans="2:7">
      <c r="B37" s="104" t="s">
        <v>1104</v>
      </c>
      <c r="C37" s="211">
        <v>0</v>
      </c>
      <c r="D37" s="368" t="e">
        <f ca="1">+_xll.BDP("EUR"&amp;B37&amp; " CuRNCY","px_last")</f>
        <v>#NAME?</v>
      </c>
      <c r="E37" s="50" t="e">
        <f ca="1">+C37/D37</f>
        <v>#NAME?</v>
      </c>
    </row>
    <row r="38" spans="2:7">
      <c r="C38" s="211"/>
      <c r="D38" s="368"/>
      <c r="E38" s="50"/>
    </row>
    <row r="39" spans="2:7">
      <c r="B39" s="104" t="s">
        <v>1150</v>
      </c>
      <c r="C39" s="211">
        <v>0</v>
      </c>
      <c r="D39" s="368" t="e">
        <f ca="1">+_xll.BDP("EUR"&amp;B39&amp; " CuRNCY","px_last")</f>
        <v>#NAME?</v>
      </c>
      <c r="E39" s="50" t="e">
        <f ca="1">+C39/D39</f>
        <v>#NAME?</v>
      </c>
    </row>
    <row r="40" spans="2:7">
      <c r="C40" s="211"/>
      <c r="D40" s="368"/>
      <c r="E40" s="50"/>
    </row>
    <row r="41" spans="2:7">
      <c r="B41" s="104" t="s">
        <v>1101</v>
      </c>
      <c r="C41" s="211">
        <v>0</v>
      </c>
      <c r="D41" s="368" t="e">
        <f ca="1">+_xll.BDP("EUR"&amp;B41&amp; " CuRNCY","px_last")</f>
        <v>#NAME?</v>
      </c>
      <c r="E41" s="50" t="e">
        <f ca="1">+C41/D41</f>
        <v>#NAME?</v>
      </c>
    </row>
    <row r="42" spans="2:7">
      <c r="C42" s="211"/>
      <c r="D42" s="305"/>
      <c r="E42" s="50"/>
    </row>
    <row r="43" spans="2:7">
      <c r="B43" s="104" t="s">
        <v>12720</v>
      </c>
      <c r="C43" s="211"/>
      <c r="D43" s="305"/>
      <c r="E43" s="50">
        <v>-80000</v>
      </c>
    </row>
    <row r="44" spans="2:7">
      <c r="C44" s="212"/>
      <c r="E44" s="50"/>
    </row>
    <row r="45" spans="2:7">
      <c r="B45" s="220" t="s">
        <v>222</v>
      </c>
      <c r="C45" s="221">
        <f>+Forward!H32</f>
        <v>3902963.4461753443</v>
      </c>
      <c r="D45" s="330">
        <v>1</v>
      </c>
      <c r="E45" s="221">
        <f>+C45/D45</f>
        <v>3902963.4461753443</v>
      </c>
    </row>
    <row r="46" spans="2:7">
      <c r="B46" s="220" t="s">
        <v>219</v>
      </c>
      <c r="C46" s="331">
        <f>+Forward!G32</f>
        <v>-501000000</v>
      </c>
      <c r="D46" s="332" t="e">
        <f ca="1">D23</f>
        <v>#NAME?</v>
      </c>
      <c r="E46" s="221" t="e">
        <f ca="1">+C46/D46</f>
        <v>#NAME?</v>
      </c>
    </row>
    <row r="47" spans="2:7">
      <c r="B47" s="220" t="s">
        <v>12992</v>
      </c>
      <c r="C47" s="221">
        <f>+Forward!H25</f>
        <v>879441.73000283982</v>
      </c>
      <c r="D47" s="330" t="e">
        <f ca="1">D21</f>
        <v>#NAME?</v>
      </c>
      <c r="E47" s="221" t="e">
        <f ca="1">+C47/D47</f>
        <v>#NAME?</v>
      </c>
    </row>
    <row r="48" spans="2:7" ht="16">
      <c r="B48" s="220" t="s">
        <v>219</v>
      </c>
      <c r="C48" s="331">
        <f>+Forward!G25</f>
        <v>-100000000</v>
      </c>
      <c r="D48" s="332" t="e">
        <f ca="1">D23</f>
        <v>#NAME?</v>
      </c>
      <c r="E48" s="221" t="e">
        <f ca="1">+C48/D48</f>
        <v>#NAME?</v>
      </c>
      <c r="G48" s="364" t="e">
        <f ca="1">SUM(E45:E48)</f>
        <v>#NAME?</v>
      </c>
    </row>
    <row r="49" spans="2:36">
      <c r="B49" s="111"/>
      <c r="C49" s="213"/>
      <c r="D49" s="113"/>
      <c r="E49" s="209"/>
      <c r="F49" s="112"/>
    </row>
    <row r="50" spans="2:36">
      <c r="B50" s="104" t="s">
        <v>218</v>
      </c>
      <c r="C50" s="160"/>
      <c r="D50" s="58"/>
      <c r="E50" s="55" t="e">
        <f ca="1">SUM(E16:E41)+E43+G48</f>
        <v>#NAME?</v>
      </c>
    </row>
    <row r="51" spans="2:36">
      <c r="E51" s="301"/>
      <c r="F51" s="302"/>
    </row>
    <row r="52" spans="2:36">
      <c r="E52" s="50"/>
    </row>
    <row r="54" spans="2:36" ht="15.5">
      <c r="B54" s="164" t="s">
        <v>234</v>
      </c>
      <c r="C54" s="164"/>
      <c r="Q54" s="1209"/>
    </row>
    <row r="58" spans="2:36">
      <c r="B58" s="333" t="s">
        <v>1281</v>
      </c>
      <c r="E58" s="333" t="s">
        <v>2153</v>
      </c>
      <c r="I58" s="127" t="s">
        <v>2244</v>
      </c>
      <c r="L58" s="334"/>
      <c r="O58" s="334"/>
      <c r="AI58" s="22"/>
      <c r="AJ58" s="22"/>
    </row>
    <row r="59" spans="2:36">
      <c r="AI59" s="22"/>
      <c r="AJ59" s="22"/>
    </row>
    <row r="60" spans="2:36" ht="29">
      <c r="B60" s="236" t="s">
        <v>12853</v>
      </c>
      <c r="C60" s="297" t="s">
        <v>2104</v>
      </c>
      <c r="E60" s="236" t="s">
        <v>12853</v>
      </c>
      <c r="F60" t="s">
        <v>2155</v>
      </c>
      <c r="G60"/>
      <c r="I60" s="236" t="s">
        <v>1498</v>
      </c>
      <c r="J60" t="s">
        <v>2243</v>
      </c>
      <c r="K60"/>
      <c r="AI60" s="22"/>
      <c r="AJ60" s="22"/>
    </row>
    <row r="61" spans="2:36">
      <c r="B61" s="384">
        <v>44531</v>
      </c>
      <c r="C61" s="385">
        <v>-149312.08542637844</v>
      </c>
      <c r="E61" s="384">
        <v>44564</v>
      </c>
      <c r="F61" s="385">
        <v>4989.99</v>
      </c>
      <c r="G61"/>
      <c r="I61" s="384">
        <v>44210</v>
      </c>
      <c r="J61" s="348">
        <v>-593479.33884297521</v>
      </c>
      <c r="K61"/>
      <c r="AI61" s="22"/>
      <c r="AJ61" s="22"/>
    </row>
    <row r="62" spans="2:36">
      <c r="B62" s="384">
        <v>44536</v>
      </c>
      <c r="C62" s="385">
        <v>-121263.97964553347</v>
      </c>
      <c r="E62" s="384">
        <v>44568</v>
      </c>
      <c r="F62" s="385">
        <v>31564.84</v>
      </c>
      <c r="G62"/>
      <c r="I62" s="237" t="s">
        <v>12854</v>
      </c>
      <c r="J62" s="348" t="e">
        <v>#DIV/0!</v>
      </c>
      <c r="K62"/>
      <c r="AI62" s="22"/>
      <c r="AJ62" s="22"/>
    </row>
    <row r="63" spans="2:36">
      <c r="B63" s="384">
        <v>44537</v>
      </c>
      <c r="C63" s="385">
        <v>-176251.56305907515</v>
      </c>
      <c r="E63" s="384">
        <v>44571</v>
      </c>
      <c r="F63" s="385">
        <v>93897.7</v>
      </c>
      <c r="G63"/>
      <c r="H63" s="22"/>
      <c r="I63" s="384">
        <v>44475</v>
      </c>
      <c r="J63" s="348">
        <v>322053.49439171702</v>
      </c>
      <c r="K63"/>
      <c r="AI63" s="22"/>
      <c r="AJ63" s="22"/>
    </row>
    <row r="64" spans="2:36">
      <c r="B64" s="384">
        <v>44566</v>
      </c>
      <c r="C64" s="385">
        <v>117290.02834694192</v>
      </c>
      <c r="E64" s="384">
        <v>44572</v>
      </c>
      <c r="F64" s="385">
        <v>29685.79</v>
      </c>
      <c r="G64"/>
      <c r="H64" s="22"/>
      <c r="I64" s="384">
        <v>44495</v>
      </c>
      <c r="J64" s="348">
        <v>318570</v>
      </c>
      <c r="K64"/>
      <c r="AI64" s="22"/>
      <c r="AJ64" s="22"/>
    </row>
    <row r="65" spans="2:36">
      <c r="B65" s="384">
        <v>44565</v>
      </c>
      <c r="C65" s="385">
        <v>50961.506404290296</v>
      </c>
      <c r="E65" s="384">
        <v>44578</v>
      </c>
      <c r="F65" s="385">
        <v>20546.5</v>
      </c>
      <c r="G65"/>
      <c r="I65"/>
      <c r="J65"/>
      <c r="K65"/>
      <c r="AI65" s="22"/>
      <c r="AJ65" s="22"/>
    </row>
    <row r="66" spans="2:36">
      <c r="B66"/>
      <c r="C66"/>
      <c r="E66"/>
      <c r="F66"/>
      <c r="G66"/>
      <c r="I66"/>
      <c r="J66"/>
      <c r="K66"/>
      <c r="AI66" s="22"/>
      <c r="AJ66" s="22"/>
    </row>
    <row r="67" spans="2:36">
      <c r="B67"/>
      <c r="C67"/>
      <c r="E67"/>
      <c r="F67"/>
      <c r="G67"/>
      <c r="I67"/>
      <c r="J67"/>
      <c r="K67"/>
      <c r="AI67" s="22"/>
      <c r="AJ67" s="22"/>
    </row>
    <row r="68" spans="2:36">
      <c r="B68"/>
      <c r="C68"/>
      <c r="E68"/>
      <c r="F68"/>
      <c r="G68"/>
      <c r="I68"/>
      <c r="J68"/>
      <c r="K68"/>
      <c r="AI68" s="22"/>
      <c r="AJ68" s="22"/>
    </row>
    <row r="69" spans="2:36">
      <c r="B69"/>
      <c r="C69"/>
      <c r="E69"/>
      <c r="F69"/>
      <c r="G69"/>
      <c r="I69"/>
      <c r="J69"/>
      <c r="K69"/>
      <c r="AI69" s="22"/>
      <c r="AJ69" s="22"/>
    </row>
    <row r="70" spans="2:36" ht="14.75" customHeight="1">
      <c r="B70"/>
      <c r="C70"/>
      <c r="E70"/>
      <c r="F70"/>
      <c r="G70"/>
      <c r="I70"/>
      <c r="J70"/>
      <c r="K70"/>
      <c r="AI70" s="22"/>
      <c r="AJ70" s="22"/>
    </row>
    <row r="71" spans="2:36">
      <c r="B71"/>
      <c r="C71"/>
      <c r="E71"/>
      <c r="F71"/>
      <c r="G71"/>
      <c r="I71"/>
      <c r="J71"/>
      <c r="K71"/>
      <c r="AI71" s="22"/>
      <c r="AJ71" s="22"/>
    </row>
    <row r="72" spans="2:36">
      <c r="B72"/>
      <c r="C72"/>
      <c r="E72"/>
      <c r="F72"/>
      <c r="G72"/>
      <c r="I72"/>
      <c r="J72"/>
      <c r="K72"/>
      <c r="AI72" s="22"/>
      <c r="AJ72" s="22"/>
    </row>
    <row r="73" spans="2:36">
      <c r="B73"/>
      <c r="C73"/>
      <c r="E73"/>
      <c r="F73"/>
      <c r="G73"/>
      <c r="I73"/>
      <c r="J73"/>
      <c r="K73"/>
      <c r="AI73" s="22"/>
      <c r="AJ73" s="22"/>
    </row>
    <row r="74" spans="2:36" hidden="1">
      <c r="B74"/>
      <c r="C74"/>
      <c r="E74"/>
      <c r="F74"/>
      <c r="G74"/>
      <c r="I74"/>
      <c r="J74"/>
      <c r="K74"/>
      <c r="AI74" s="22"/>
      <c r="AJ74" s="22"/>
    </row>
    <row r="75" spans="2:36" ht="5.25" hidden="1" customHeight="1">
      <c r="B75"/>
      <c r="C75"/>
      <c r="E75"/>
      <c r="F75"/>
      <c r="G75"/>
      <c r="I75"/>
      <c r="J75"/>
      <c r="K75"/>
      <c r="AI75" s="22"/>
      <c r="AJ75" s="22"/>
    </row>
    <row r="76" spans="2:36" hidden="1">
      <c r="B76"/>
      <c r="C76"/>
      <c r="E76"/>
      <c r="F76"/>
      <c r="G76"/>
      <c r="I76"/>
      <c r="J76"/>
      <c r="K76"/>
      <c r="AI76" s="22"/>
      <c r="AJ76" s="22"/>
    </row>
    <row r="77" spans="2:36" hidden="1">
      <c r="B77"/>
      <c r="C77"/>
      <c r="E77"/>
      <c r="F77"/>
      <c r="G77"/>
      <c r="I77"/>
      <c r="J77"/>
      <c r="K77"/>
      <c r="AI77" s="22"/>
      <c r="AJ77" s="22"/>
    </row>
    <row r="78" spans="2:36" hidden="1">
      <c r="B78"/>
      <c r="C78"/>
      <c r="AI78" s="22"/>
      <c r="AJ78" s="22"/>
    </row>
    <row r="79" spans="2:36" hidden="1">
      <c r="B79"/>
      <c r="C79"/>
      <c r="AI79" s="22"/>
      <c r="AJ79" s="22"/>
    </row>
    <row r="80" spans="2:36" hidden="1">
      <c r="B80"/>
      <c r="C80"/>
      <c r="AI80" s="22"/>
      <c r="AJ80" s="22"/>
    </row>
    <row r="81" spans="2:3731" hidden="1">
      <c r="B81"/>
      <c r="C81"/>
      <c r="AI81" s="22"/>
      <c r="AJ81" s="22"/>
    </row>
    <row r="82" spans="2:3731" hidden="1">
      <c r="B82"/>
      <c r="C82"/>
      <c r="F82" s="348"/>
      <c r="AI82" s="22"/>
      <c r="AJ82" s="22"/>
    </row>
    <row r="83" spans="2:3731" hidden="1">
      <c r="B83"/>
      <c r="C83"/>
      <c r="AI83" s="22"/>
      <c r="AJ83" s="22"/>
    </row>
    <row r="84" spans="2:3731">
      <c r="B84"/>
      <c r="C84"/>
      <c r="AI84" s="22"/>
      <c r="AJ84" s="22"/>
    </row>
    <row r="85" spans="2:3731" ht="9" customHeight="1">
      <c r="B85"/>
      <c r="C85"/>
      <c r="AI85" s="22"/>
      <c r="AJ85" s="22"/>
    </row>
    <row r="86" spans="2:3731" hidden="1">
      <c r="B86"/>
      <c r="C86"/>
      <c r="AI86" s="22"/>
      <c r="AJ86" s="22"/>
    </row>
    <row r="87" spans="2:3731" hidden="1">
      <c r="B87"/>
      <c r="C87"/>
      <c r="AI87" s="22"/>
      <c r="AJ87" s="22"/>
    </row>
    <row r="88" spans="2:3731" hidden="1">
      <c r="B88"/>
      <c r="C88"/>
      <c r="AI88" s="22"/>
      <c r="AJ88" s="22"/>
    </row>
    <row r="89" spans="2:3731" hidden="1">
      <c r="B89"/>
      <c r="C89"/>
      <c r="AI89" s="22"/>
      <c r="AJ89" s="22"/>
    </row>
    <row r="90" spans="2:3731" hidden="1">
      <c r="B90"/>
      <c r="C90"/>
      <c r="AI90" s="22"/>
      <c r="AJ90" s="22"/>
    </row>
    <row r="91" spans="2:3731" hidden="1">
      <c r="B91"/>
      <c r="C91"/>
    </row>
    <row r="92" spans="2:3731" hidden="1">
      <c r="B92"/>
      <c r="C92"/>
      <c r="E92"/>
      <c r="F92"/>
      <c r="H92"/>
      <c r="I92"/>
      <c r="K92"/>
      <c r="L92"/>
      <c r="N92"/>
      <c r="O92"/>
      <c r="Q92"/>
      <c r="R92"/>
      <c r="T92"/>
      <c r="U92"/>
      <c r="W92"/>
      <c r="X92"/>
      <c r="Z92"/>
      <c r="AA92"/>
      <c r="AC92"/>
      <c r="AD92"/>
      <c r="AF92"/>
      <c r="AG92"/>
      <c r="AI92" s="335"/>
      <c r="AJ92" s="336"/>
      <c r="AK92" s="337"/>
      <c r="AL92" s="22"/>
      <c r="AM92" s="22"/>
      <c r="AN92" s="22"/>
      <c r="AO92" s="22"/>
      <c r="AP92" s="2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  <c r="ALM92"/>
      <c r="ALN92"/>
      <c r="ALO92"/>
      <c r="ALP92"/>
      <c r="ALQ92"/>
      <c r="ALR92"/>
      <c r="ALS92"/>
      <c r="ALT92"/>
      <c r="ALU92"/>
      <c r="ALV92"/>
      <c r="ALW92"/>
      <c r="ALX92"/>
      <c r="ALY92"/>
      <c r="ALZ92"/>
      <c r="AMA92"/>
      <c r="AMB92"/>
      <c r="AMC92"/>
      <c r="AMD92"/>
      <c r="AME92"/>
      <c r="AMF92"/>
      <c r="AMG92"/>
      <c r="AMH92"/>
      <c r="AMI92"/>
      <c r="AMJ92"/>
      <c r="AMK92"/>
      <c r="AML92"/>
      <c r="AMM92"/>
      <c r="AMN92"/>
      <c r="AMO92"/>
      <c r="AMP92"/>
      <c r="AMQ92"/>
      <c r="AMR92"/>
      <c r="AMS92"/>
      <c r="AMT92"/>
      <c r="AMU92"/>
      <c r="AMV92"/>
      <c r="AMW92"/>
      <c r="AMX92"/>
      <c r="AMY92"/>
      <c r="AMZ92"/>
      <c r="ANA92"/>
      <c r="ANB92"/>
      <c r="ANC92"/>
      <c r="AND92"/>
      <c r="ANE92"/>
      <c r="ANF92"/>
      <c r="ANG92"/>
      <c r="ANH92"/>
      <c r="ANI92"/>
      <c r="ANJ92"/>
      <c r="ANK92"/>
      <c r="ANL92"/>
      <c r="ANM92"/>
      <c r="ANN92"/>
      <c r="ANO92"/>
      <c r="ANP92"/>
      <c r="ANQ92"/>
      <c r="ANR92"/>
      <c r="ANS92"/>
      <c r="ANT92"/>
      <c r="ANU92"/>
      <c r="ANV92"/>
      <c r="ANW92"/>
      <c r="ANX92"/>
      <c r="ANY92"/>
      <c r="ANZ92"/>
      <c r="AOA92"/>
      <c r="AOB92"/>
      <c r="AOC92"/>
      <c r="AOD92"/>
      <c r="AOE92"/>
      <c r="AOF92"/>
      <c r="AOG92"/>
      <c r="AOH92"/>
      <c r="AOI92"/>
      <c r="AOJ92"/>
      <c r="AOK92"/>
      <c r="AOL92"/>
      <c r="AOM92"/>
      <c r="AON92"/>
      <c r="AOO92"/>
      <c r="AOP92"/>
      <c r="AOQ92"/>
      <c r="AOR92"/>
      <c r="AOS92"/>
      <c r="AOT92"/>
      <c r="AOU92"/>
      <c r="AOV92"/>
      <c r="AOW92"/>
      <c r="AOX92"/>
      <c r="AOY92"/>
      <c r="AOZ92"/>
      <c r="APA92"/>
      <c r="APB92"/>
      <c r="APC92"/>
      <c r="APD92"/>
      <c r="APE92"/>
      <c r="APF92"/>
      <c r="APG92"/>
      <c r="APH92"/>
      <c r="API92"/>
      <c r="APJ92"/>
      <c r="APK92"/>
      <c r="APL92"/>
      <c r="APM92"/>
      <c r="APN92"/>
      <c r="APO92"/>
      <c r="APP92"/>
      <c r="APQ92"/>
      <c r="APR92"/>
      <c r="APS92"/>
      <c r="APT92"/>
      <c r="APU92"/>
      <c r="APV92"/>
      <c r="APW92"/>
      <c r="APX92"/>
      <c r="APY92"/>
      <c r="APZ92"/>
      <c r="AQA92"/>
      <c r="AQB92"/>
      <c r="AQC92"/>
      <c r="AQD92"/>
      <c r="AQE92"/>
      <c r="AQF92"/>
      <c r="AQG92"/>
      <c r="AQH92"/>
      <c r="AQI92"/>
      <c r="AQJ92"/>
      <c r="AQK92"/>
      <c r="AQL92"/>
      <c r="AQM92"/>
      <c r="AQN92"/>
      <c r="AQO92"/>
      <c r="AQP92"/>
      <c r="AQQ92"/>
      <c r="AQR92"/>
      <c r="AQS92"/>
      <c r="AQT92"/>
      <c r="AQU92"/>
      <c r="AQV92"/>
      <c r="AQW92"/>
      <c r="AQX92"/>
      <c r="AQY92"/>
      <c r="AQZ92"/>
      <c r="ARA92"/>
      <c r="ARB92"/>
      <c r="ARC92"/>
      <c r="ARD92"/>
      <c r="ARE92"/>
      <c r="ARF92"/>
      <c r="ARG92"/>
      <c r="ARH92"/>
      <c r="ARI92"/>
      <c r="ARJ92"/>
      <c r="ARK92"/>
      <c r="ARL92"/>
      <c r="ARM92"/>
      <c r="ARN92"/>
      <c r="ARO92"/>
      <c r="ARP92"/>
      <c r="ARQ92"/>
      <c r="ARR92"/>
      <c r="ARS92"/>
      <c r="ART92"/>
      <c r="ARU92"/>
      <c r="ARV92"/>
      <c r="ARW92"/>
      <c r="ARX92"/>
      <c r="ARY92"/>
      <c r="ARZ92"/>
      <c r="ASA92"/>
      <c r="ASB92"/>
      <c r="ASC92"/>
      <c r="ASD92"/>
      <c r="ASE92"/>
      <c r="ASF92"/>
      <c r="ASG92"/>
      <c r="ASH92"/>
      <c r="ASI92"/>
      <c r="ASJ92"/>
      <c r="ASK92"/>
      <c r="ASL92"/>
      <c r="ASM92"/>
      <c r="ASN92"/>
      <c r="ASO92"/>
      <c r="ASP92"/>
      <c r="ASQ92"/>
      <c r="ASR92"/>
      <c r="ASS92"/>
      <c r="AST92"/>
      <c r="ASU92"/>
      <c r="ASV92"/>
      <c r="ASW92"/>
      <c r="ASX92"/>
      <c r="ASY92"/>
      <c r="ASZ92"/>
      <c r="ATA92"/>
      <c r="ATB92"/>
      <c r="ATC92"/>
      <c r="ATD92"/>
      <c r="ATE92"/>
      <c r="ATF92"/>
      <c r="ATG92"/>
      <c r="ATH92"/>
      <c r="ATI92"/>
      <c r="ATJ92"/>
      <c r="ATK92"/>
      <c r="ATL92"/>
      <c r="ATM92"/>
      <c r="ATN92"/>
      <c r="ATO92"/>
      <c r="ATP92"/>
      <c r="ATQ92"/>
      <c r="ATR92"/>
      <c r="ATS92"/>
      <c r="ATT92"/>
      <c r="ATU92"/>
      <c r="ATV92"/>
      <c r="ATW92"/>
      <c r="ATX92"/>
      <c r="ATY92"/>
      <c r="ATZ92"/>
      <c r="AUA92"/>
      <c r="AUB92"/>
      <c r="AUC92"/>
      <c r="AUD92"/>
      <c r="AUE92"/>
      <c r="AUF92"/>
      <c r="AUG92"/>
      <c r="AUH92"/>
      <c r="AUI92"/>
      <c r="AUJ92"/>
      <c r="AUK92"/>
      <c r="AUL92"/>
      <c r="AUM92"/>
      <c r="AUN92"/>
      <c r="AUO92"/>
      <c r="AUP92"/>
      <c r="AUQ92"/>
      <c r="AUR92"/>
      <c r="AUS92"/>
      <c r="AUT92"/>
      <c r="AUU92"/>
      <c r="AUV92"/>
      <c r="AUW92"/>
      <c r="AUX92"/>
      <c r="AUY92"/>
      <c r="AUZ92"/>
      <c r="AVA92"/>
      <c r="AVB92"/>
      <c r="AVC92"/>
      <c r="AVD92"/>
      <c r="AVE92"/>
      <c r="AVF92"/>
      <c r="AVG92"/>
      <c r="AVH92"/>
      <c r="AVI92"/>
      <c r="AVJ92"/>
      <c r="AVK92"/>
      <c r="AVL92"/>
      <c r="AVM92"/>
      <c r="AVN92"/>
      <c r="AVO92"/>
      <c r="AVP92"/>
      <c r="AVQ92"/>
      <c r="AVR92"/>
      <c r="AVS92"/>
      <c r="AVT92"/>
      <c r="AVU92"/>
      <c r="AVV92"/>
      <c r="AVW92"/>
      <c r="AVX92"/>
      <c r="AVY92"/>
      <c r="AVZ92"/>
      <c r="AWA92"/>
      <c r="AWB92"/>
      <c r="AWC92"/>
      <c r="AWD92"/>
      <c r="AWE92"/>
      <c r="AWF92"/>
      <c r="AWG92"/>
      <c r="AWH92"/>
      <c r="AWI92"/>
      <c r="AWJ92"/>
      <c r="AWK92"/>
      <c r="AWL92"/>
      <c r="AWM92"/>
      <c r="AWN92"/>
      <c r="AWO92"/>
      <c r="AWP92"/>
      <c r="AWQ92"/>
      <c r="AWR92"/>
      <c r="AWS92"/>
      <c r="AWT92"/>
      <c r="AWU92"/>
      <c r="AWV92"/>
      <c r="AWW92"/>
      <c r="AWX92"/>
      <c r="AWY92"/>
      <c r="AWZ92"/>
      <c r="AXA92"/>
      <c r="AXB92"/>
      <c r="AXC92"/>
      <c r="AXD92"/>
      <c r="AXE92"/>
      <c r="AXF92"/>
      <c r="AXG92"/>
      <c r="AXH92"/>
      <c r="AXI92"/>
      <c r="AXJ92"/>
      <c r="AXK92"/>
      <c r="AXL92"/>
      <c r="AXM92"/>
      <c r="AXN92"/>
      <c r="AXO92"/>
      <c r="AXP92"/>
      <c r="AXQ92"/>
      <c r="AXR92"/>
      <c r="AXS92"/>
      <c r="AXT92"/>
      <c r="AXU92"/>
      <c r="AXV92"/>
      <c r="AXW92"/>
      <c r="AXX92"/>
      <c r="AXY92"/>
      <c r="AXZ92"/>
      <c r="AYA92"/>
      <c r="AYB92"/>
      <c r="AYC92"/>
      <c r="AYD92"/>
      <c r="AYE92"/>
      <c r="AYF92"/>
      <c r="AYG92"/>
      <c r="AYH92"/>
      <c r="AYI92"/>
      <c r="AYJ92"/>
      <c r="AYK92"/>
      <c r="AYL92"/>
      <c r="AYM92"/>
      <c r="AYN92"/>
      <c r="AYO92"/>
      <c r="AYP92"/>
      <c r="AYQ92"/>
      <c r="AYR92"/>
      <c r="AYS92"/>
      <c r="AYT92"/>
      <c r="AYU92"/>
      <c r="AYV92"/>
      <c r="AYW92"/>
      <c r="AYX92"/>
      <c r="AYY92"/>
      <c r="AYZ92"/>
      <c r="AZA92"/>
      <c r="AZB92"/>
      <c r="AZC92"/>
      <c r="AZD92"/>
      <c r="AZE92"/>
      <c r="AZF92"/>
      <c r="AZG92"/>
      <c r="AZH92"/>
      <c r="AZI92"/>
      <c r="AZJ92"/>
      <c r="AZK92"/>
      <c r="AZL92"/>
      <c r="AZM92"/>
      <c r="AZN92"/>
      <c r="AZO92"/>
      <c r="AZP92"/>
      <c r="AZQ92"/>
      <c r="AZR92"/>
      <c r="AZS92"/>
      <c r="AZT92"/>
      <c r="AZU92"/>
      <c r="AZV92"/>
      <c r="AZW92"/>
      <c r="AZX92"/>
      <c r="AZY92"/>
      <c r="AZZ92"/>
      <c r="BAA92"/>
      <c r="BAB92"/>
      <c r="BAC92"/>
      <c r="BAD92"/>
      <c r="BAE92"/>
      <c r="BAF92"/>
      <c r="BAG92"/>
      <c r="BAH92"/>
      <c r="BAI92"/>
      <c r="BAJ92"/>
      <c r="BAK92"/>
      <c r="BAL92"/>
      <c r="BAM92"/>
      <c r="BAN92"/>
      <c r="BAO92"/>
      <c r="BAP92"/>
      <c r="BAQ92"/>
      <c r="BAR92"/>
      <c r="BAS92"/>
      <c r="BAT92"/>
      <c r="BAU92"/>
      <c r="BAV92"/>
      <c r="BAW92"/>
      <c r="BAX92"/>
      <c r="BAY92"/>
      <c r="BAZ92"/>
      <c r="BBA92"/>
      <c r="BBB92"/>
      <c r="BBC92"/>
      <c r="BBD92"/>
      <c r="BBE92"/>
      <c r="BBF92"/>
      <c r="BBG92"/>
      <c r="BBH92"/>
      <c r="BBI92"/>
      <c r="BBJ92"/>
      <c r="BBK92"/>
      <c r="BBL92"/>
      <c r="BBM92"/>
      <c r="BBN92"/>
      <c r="BBO92"/>
      <c r="BBP92"/>
      <c r="BBQ92"/>
      <c r="BBR92"/>
      <c r="BBS92"/>
      <c r="BBT92"/>
      <c r="BBU92"/>
      <c r="BBV92"/>
      <c r="BBW92"/>
      <c r="BBX92"/>
      <c r="BBY92"/>
      <c r="BBZ92"/>
      <c r="BCA92"/>
      <c r="BCB92"/>
      <c r="BCC92"/>
      <c r="BCD92"/>
      <c r="BCE92"/>
      <c r="BCF92"/>
      <c r="BCG92"/>
      <c r="BCH92"/>
      <c r="BCI92"/>
      <c r="BCJ92"/>
      <c r="BCK92"/>
      <c r="BCL92"/>
      <c r="BCM92"/>
      <c r="BCN92"/>
      <c r="BCO92"/>
      <c r="BCP92"/>
      <c r="BCQ92"/>
      <c r="BCR92"/>
      <c r="BCS92"/>
      <c r="BCT92"/>
      <c r="BCU92"/>
      <c r="BCV92"/>
      <c r="BCW92"/>
      <c r="BCX92"/>
      <c r="BCY92"/>
      <c r="BCZ92"/>
      <c r="BDA92"/>
      <c r="BDB92"/>
      <c r="BDC92"/>
      <c r="BDD92"/>
      <c r="BDE92"/>
      <c r="BDF92"/>
      <c r="BDG92"/>
      <c r="BDH92"/>
      <c r="BDI92"/>
      <c r="BDJ92"/>
      <c r="BDK92"/>
      <c r="BDL92"/>
      <c r="BDM92"/>
      <c r="BDN92"/>
      <c r="BDO92"/>
      <c r="BDP92"/>
      <c r="BDQ92"/>
      <c r="BDR92"/>
      <c r="BDS92"/>
      <c r="BDT92"/>
      <c r="BDU92"/>
      <c r="BDV92"/>
      <c r="BDW92"/>
      <c r="BDX92"/>
      <c r="BDY92"/>
      <c r="BDZ92"/>
      <c r="BEA92"/>
      <c r="BEB92"/>
      <c r="BEC92"/>
      <c r="BED92"/>
      <c r="BEE92"/>
      <c r="BEF92"/>
      <c r="BEG92"/>
      <c r="BEH92"/>
      <c r="BEI92"/>
      <c r="BEJ92"/>
      <c r="BEK92"/>
      <c r="BEL92"/>
      <c r="BEM92"/>
      <c r="BEN92"/>
      <c r="BEO92"/>
      <c r="BEP92"/>
      <c r="BEQ92"/>
      <c r="BER92"/>
      <c r="BES92"/>
      <c r="BET92"/>
      <c r="BEU92"/>
      <c r="BEV92"/>
      <c r="BEW92"/>
      <c r="BEX92"/>
      <c r="BEY92"/>
      <c r="BEZ92"/>
      <c r="BFA92"/>
      <c r="BFB92"/>
      <c r="BFC92"/>
      <c r="BFD92"/>
      <c r="BFE92"/>
      <c r="BFF92"/>
      <c r="BFG92"/>
      <c r="BFH92"/>
      <c r="BFI92"/>
      <c r="BFJ92"/>
      <c r="BFK92"/>
      <c r="BFL92"/>
      <c r="BFM92"/>
      <c r="BFN92"/>
      <c r="BFO92"/>
      <c r="BFP92"/>
      <c r="BFQ92"/>
      <c r="BFR92"/>
      <c r="BFS92"/>
      <c r="BFT92"/>
      <c r="BFU92"/>
      <c r="BFV92"/>
      <c r="BFW92"/>
      <c r="BFX92"/>
      <c r="BFY92"/>
      <c r="BFZ92"/>
      <c r="BGA92"/>
      <c r="BGB92"/>
      <c r="BGC92"/>
      <c r="BGD92"/>
      <c r="BGE92"/>
      <c r="BGF92"/>
      <c r="BGG92"/>
      <c r="BGH92"/>
      <c r="BGI92"/>
      <c r="BGJ92"/>
      <c r="BGK92"/>
      <c r="BGL92"/>
      <c r="BGM92"/>
      <c r="BGN92"/>
      <c r="BGO92"/>
      <c r="BGP92"/>
      <c r="BGQ92"/>
      <c r="BGR92"/>
      <c r="BGS92"/>
      <c r="BGT92"/>
      <c r="BGU92"/>
      <c r="BGV92"/>
      <c r="BGW92"/>
      <c r="BGX92"/>
      <c r="BGY92"/>
      <c r="BGZ92"/>
      <c r="BHA92"/>
      <c r="BHB92"/>
      <c r="BHC92"/>
      <c r="BHD92"/>
      <c r="BHE92"/>
      <c r="BHF92"/>
      <c r="BHG92"/>
      <c r="BHH92"/>
      <c r="BHI92"/>
      <c r="BHJ92"/>
      <c r="BHK92"/>
      <c r="BHL92"/>
      <c r="BHM92"/>
      <c r="BHN92"/>
      <c r="BHO92"/>
      <c r="BHP92"/>
      <c r="BHQ92"/>
      <c r="BHR92"/>
      <c r="BHS92"/>
      <c r="BHT92"/>
      <c r="BHU92"/>
      <c r="BHV92"/>
      <c r="BHW92"/>
      <c r="BHX92"/>
      <c r="BHY92"/>
      <c r="BHZ92"/>
      <c r="BIA92"/>
      <c r="BIB92"/>
      <c r="BIC92"/>
      <c r="BID92"/>
      <c r="BIE92"/>
      <c r="BIF92"/>
      <c r="BIG92"/>
      <c r="BIH92"/>
      <c r="BII92"/>
      <c r="BIJ92"/>
      <c r="BIK92"/>
      <c r="BIL92"/>
      <c r="BIM92"/>
      <c r="BIN92"/>
      <c r="BIO92"/>
      <c r="BIP92"/>
      <c r="BIQ92"/>
      <c r="BIR92"/>
      <c r="BIS92"/>
      <c r="BIT92"/>
      <c r="BIU92"/>
      <c r="BIV92"/>
      <c r="BIW92"/>
      <c r="BIX92"/>
      <c r="BIY92"/>
      <c r="BIZ92"/>
      <c r="BJA92"/>
      <c r="BJB92"/>
      <c r="BJC92"/>
      <c r="BJD92"/>
      <c r="BJE92"/>
      <c r="BJF92"/>
      <c r="BJG92"/>
      <c r="BJH92"/>
      <c r="BJI92"/>
      <c r="BJJ92"/>
      <c r="BJK92"/>
      <c r="BJL92"/>
      <c r="BJM92"/>
      <c r="BJN92"/>
      <c r="BJO92"/>
      <c r="BJP92"/>
      <c r="BJQ92"/>
      <c r="BJR92"/>
      <c r="BJS92"/>
      <c r="BJT92"/>
      <c r="BJU92"/>
      <c r="BJV92"/>
      <c r="BJW92"/>
      <c r="BJX92"/>
      <c r="BJY92"/>
      <c r="BJZ92"/>
      <c r="BKA92"/>
      <c r="BKB92"/>
      <c r="BKC92"/>
      <c r="BKD92"/>
      <c r="BKE92"/>
      <c r="BKF92"/>
      <c r="BKG92"/>
      <c r="BKH92"/>
      <c r="BKI92"/>
      <c r="BKJ92"/>
      <c r="BKK92"/>
      <c r="BKL92"/>
      <c r="BKM92"/>
      <c r="BKN92"/>
      <c r="BKO92"/>
      <c r="BKP92"/>
      <c r="BKQ92"/>
      <c r="BKR92"/>
      <c r="BKS92"/>
      <c r="BKT92"/>
      <c r="BKU92"/>
      <c r="BKV92"/>
      <c r="BKW92"/>
      <c r="BKX92"/>
      <c r="BKY92"/>
      <c r="BKZ92"/>
      <c r="BLA92"/>
      <c r="BLB92"/>
      <c r="BLC92"/>
      <c r="BLD92"/>
      <c r="BLE92"/>
      <c r="BLF92"/>
      <c r="BLG92"/>
      <c r="BLH92"/>
      <c r="BLI92"/>
      <c r="BLJ92"/>
      <c r="BLK92"/>
      <c r="BLL92"/>
      <c r="BLM92"/>
      <c r="BLN92"/>
      <c r="BLO92"/>
      <c r="BLP92"/>
      <c r="BLQ92"/>
      <c r="BLR92"/>
      <c r="BLS92"/>
      <c r="BLT92"/>
      <c r="BLU92"/>
      <c r="BLV92"/>
      <c r="BLW92"/>
      <c r="BLX92"/>
      <c r="BLY92"/>
      <c r="BLZ92"/>
      <c r="BMA92"/>
      <c r="BMB92"/>
      <c r="BMC92"/>
      <c r="BMD92"/>
      <c r="BME92"/>
      <c r="BMF92"/>
      <c r="BMG92"/>
      <c r="BMH92"/>
      <c r="BMI92"/>
      <c r="BMJ92"/>
      <c r="BMK92"/>
      <c r="BML92"/>
      <c r="BMM92"/>
      <c r="BMN92"/>
      <c r="BMO92"/>
      <c r="BMP92"/>
      <c r="BMQ92"/>
      <c r="BMR92"/>
      <c r="BMS92"/>
      <c r="BMT92"/>
      <c r="BMU92"/>
      <c r="BMV92"/>
      <c r="BMW92"/>
      <c r="BMX92"/>
      <c r="BMY92"/>
      <c r="BMZ92"/>
      <c r="BNA92"/>
      <c r="BNB92"/>
      <c r="BNC92"/>
      <c r="BND92"/>
      <c r="BNE92"/>
      <c r="BNF92"/>
      <c r="BNG92"/>
      <c r="BNH92"/>
      <c r="BNI92"/>
      <c r="BNJ92"/>
      <c r="BNK92"/>
      <c r="BNL92"/>
      <c r="BNM92"/>
      <c r="BNN92"/>
      <c r="BNO92"/>
      <c r="BNP92"/>
      <c r="BNQ92"/>
      <c r="BNR92"/>
      <c r="BNS92"/>
      <c r="BNT92"/>
      <c r="BNU92"/>
      <c r="BNV92"/>
      <c r="BNW92"/>
      <c r="BNX92"/>
      <c r="BNY92"/>
      <c r="BNZ92"/>
      <c r="BOA92"/>
      <c r="BOB92"/>
      <c r="BOC92"/>
      <c r="BOD92"/>
      <c r="BOE92"/>
      <c r="BOF92"/>
      <c r="BOG92"/>
      <c r="BOH92"/>
      <c r="BOI92"/>
      <c r="BOJ92"/>
      <c r="BOK92"/>
      <c r="BOL92"/>
      <c r="BOM92"/>
      <c r="BON92"/>
      <c r="BOO92"/>
      <c r="BOP92"/>
      <c r="BOQ92"/>
      <c r="BOR92"/>
      <c r="BOS92"/>
      <c r="BOT92"/>
      <c r="BOU92"/>
      <c r="BOV92"/>
      <c r="BOW92"/>
      <c r="BOX92"/>
      <c r="BOY92"/>
      <c r="BOZ92"/>
      <c r="BPA92"/>
      <c r="BPB92"/>
      <c r="BPC92"/>
      <c r="BPD92"/>
      <c r="BPE92"/>
      <c r="BPF92"/>
      <c r="BPG92"/>
      <c r="BPH92"/>
      <c r="BPI92"/>
      <c r="BPJ92"/>
      <c r="BPK92"/>
      <c r="BPL92"/>
      <c r="BPM92"/>
      <c r="BPN92"/>
      <c r="BPO92"/>
      <c r="BPP92"/>
      <c r="BPQ92"/>
      <c r="BPR92"/>
      <c r="BPS92"/>
      <c r="BPT92"/>
      <c r="BPU92"/>
      <c r="BPV92"/>
      <c r="BPW92"/>
      <c r="BPX92"/>
      <c r="BPY92"/>
      <c r="BPZ92"/>
      <c r="BQA92"/>
      <c r="BQB92"/>
      <c r="BQC92"/>
      <c r="BQD92"/>
      <c r="BQE92"/>
      <c r="BQF92"/>
      <c r="BQG92"/>
      <c r="BQH92"/>
      <c r="BQI92"/>
      <c r="BQJ92"/>
      <c r="BQK92"/>
      <c r="BQL92"/>
      <c r="BQM92"/>
      <c r="BQN92"/>
      <c r="BQO92"/>
      <c r="BQP92"/>
      <c r="BQQ92"/>
      <c r="BQR92"/>
      <c r="BQS92"/>
      <c r="BQT92"/>
      <c r="BQU92"/>
      <c r="BQV92"/>
      <c r="BQW92"/>
      <c r="BQX92"/>
      <c r="BQY92"/>
      <c r="BQZ92"/>
      <c r="BRA92"/>
      <c r="BRB92"/>
      <c r="BRC92"/>
      <c r="BRD92"/>
      <c r="BRE92"/>
      <c r="BRF92"/>
      <c r="BRG92"/>
      <c r="BRH92"/>
      <c r="BRI92"/>
      <c r="BRJ92"/>
      <c r="BRK92"/>
      <c r="BRL92"/>
      <c r="BRM92"/>
      <c r="BRN92"/>
      <c r="BRO92"/>
      <c r="BRP92"/>
      <c r="BRQ92"/>
      <c r="BRR92"/>
      <c r="BRS92"/>
      <c r="BRT92"/>
      <c r="BRU92"/>
      <c r="BRV92"/>
      <c r="BRW92"/>
      <c r="BRX92"/>
      <c r="BRY92"/>
      <c r="BRZ92"/>
      <c r="BSA92"/>
      <c r="BSB92"/>
      <c r="BSC92"/>
      <c r="BSD92"/>
      <c r="BSE92"/>
      <c r="BSF92"/>
      <c r="BSG92"/>
      <c r="BSH92"/>
      <c r="BSI92"/>
      <c r="BSJ92"/>
      <c r="BSK92"/>
      <c r="BSL92"/>
      <c r="BSM92"/>
      <c r="BSN92"/>
      <c r="BSO92"/>
      <c r="BSP92"/>
      <c r="BSQ92"/>
      <c r="BSR92"/>
      <c r="BSS92"/>
      <c r="BST92"/>
      <c r="BSU92"/>
      <c r="BSV92"/>
      <c r="BSW92"/>
      <c r="BSX92"/>
      <c r="BSY92"/>
      <c r="BSZ92"/>
      <c r="BTA92"/>
      <c r="BTB92"/>
      <c r="BTC92"/>
      <c r="BTD92"/>
      <c r="BTE92"/>
      <c r="BTF92"/>
      <c r="BTG92"/>
      <c r="BTH92"/>
      <c r="BTI92"/>
      <c r="BTJ92"/>
      <c r="BTK92"/>
      <c r="BTL92"/>
      <c r="BTM92"/>
      <c r="BTN92"/>
      <c r="BTO92"/>
      <c r="BTP92"/>
      <c r="BTQ92"/>
      <c r="BTR92"/>
      <c r="BTS92"/>
      <c r="BTT92"/>
      <c r="BTU92"/>
      <c r="BTV92"/>
      <c r="BTW92"/>
      <c r="BTX92"/>
      <c r="BTY92"/>
      <c r="BTZ92"/>
      <c r="BUA92"/>
      <c r="BUB92"/>
      <c r="BUC92"/>
      <c r="BUD92"/>
      <c r="BUE92"/>
      <c r="BUF92"/>
      <c r="BUG92"/>
      <c r="BUH92"/>
      <c r="BUI92"/>
      <c r="BUJ92"/>
      <c r="BUK92"/>
      <c r="BUL92"/>
      <c r="BUM92"/>
      <c r="BUN92"/>
      <c r="BUO92"/>
      <c r="BUP92"/>
      <c r="BUQ92"/>
      <c r="BUR92"/>
      <c r="BUS92"/>
      <c r="BUT92"/>
      <c r="BUU92"/>
      <c r="BUV92"/>
      <c r="BUW92"/>
      <c r="BUX92"/>
      <c r="BUY92"/>
      <c r="BUZ92"/>
      <c r="BVA92"/>
      <c r="BVB92"/>
      <c r="BVC92"/>
      <c r="BVD92"/>
      <c r="BVE92"/>
      <c r="BVF92"/>
      <c r="BVG92"/>
      <c r="BVH92"/>
      <c r="BVI92"/>
      <c r="BVJ92"/>
      <c r="BVK92"/>
      <c r="BVL92"/>
      <c r="BVM92"/>
      <c r="BVN92"/>
      <c r="BVO92"/>
      <c r="BVP92"/>
      <c r="BVQ92"/>
      <c r="BVR92"/>
      <c r="BVS92"/>
      <c r="BVT92"/>
      <c r="BVU92"/>
      <c r="BVV92"/>
      <c r="BVW92"/>
      <c r="BVX92"/>
      <c r="BVY92"/>
      <c r="BVZ92"/>
      <c r="BWA92"/>
      <c r="BWB92"/>
      <c r="BWC92"/>
      <c r="BWD92"/>
      <c r="BWE92"/>
      <c r="BWF92"/>
      <c r="BWG92"/>
      <c r="BWH92"/>
      <c r="BWI92"/>
      <c r="BWJ92"/>
      <c r="BWK92"/>
      <c r="BWL92"/>
      <c r="BWM92"/>
      <c r="BWN92"/>
      <c r="BWO92"/>
      <c r="BWP92"/>
      <c r="BWQ92"/>
      <c r="BWR92"/>
      <c r="BWS92"/>
      <c r="BWT92"/>
      <c r="BWU92"/>
      <c r="BWV92"/>
      <c r="BWW92"/>
      <c r="BWX92"/>
      <c r="BWY92"/>
      <c r="BWZ92"/>
      <c r="BXA92"/>
      <c r="BXB92"/>
      <c r="BXC92"/>
      <c r="BXD92"/>
      <c r="BXE92"/>
      <c r="BXF92"/>
      <c r="BXG92"/>
      <c r="BXH92"/>
      <c r="BXI92"/>
      <c r="BXJ92"/>
      <c r="BXK92"/>
      <c r="BXL92"/>
      <c r="BXM92"/>
      <c r="BXN92"/>
      <c r="BXO92"/>
      <c r="BXP92"/>
      <c r="BXQ92"/>
      <c r="BXR92"/>
      <c r="BXS92"/>
      <c r="BXT92"/>
      <c r="BXU92"/>
      <c r="BXV92"/>
      <c r="BXW92"/>
      <c r="BXX92"/>
      <c r="BXY92"/>
      <c r="BXZ92"/>
      <c r="BYA92"/>
      <c r="BYB92"/>
      <c r="BYC92"/>
      <c r="BYD92"/>
      <c r="BYE92"/>
      <c r="BYF92"/>
      <c r="BYG92"/>
      <c r="BYH92"/>
      <c r="BYI92"/>
      <c r="BYJ92"/>
      <c r="BYK92"/>
      <c r="BYL92"/>
      <c r="BYM92"/>
      <c r="BYN92"/>
      <c r="BYO92"/>
      <c r="BYP92"/>
      <c r="BYQ92"/>
      <c r="BYR92"/>
      <c r="BYS92"/>
      <c r="BYT92"/>
      <c r="BYU92"/>
      <c r="BYV92"/>
      <c r="BYW92"/>
      <c r="BYX92"/>
      <c r="BYY92"/>
      <c r="BYZ92"/>
      <c r="BZA92"/>
      <c r="BZB92"/>
      <c r="BZC92"/>
      <c r="BZD92"/>
      <c r="BZE92"/>
      <c r="BZF92"/>
      <c r="BZG92"/>
      <c r="BZH92"/>
      <c r="BZI92"/>
      <c r="BZJ92"/>
      <c r="BZK92"/>
      <c r="BZL92"/>
      <c r="BZM92"/>
      <c r="BZN92"/>
      <c r="BZO92"/>
      <c r="BZP92"/>
      <c r="BZQ92"/>
      <c r="BZR92"/>
      <c r="BZS92"/>
      <c r="BZT92"/>
      <c r="BZU92"/>
      <c r="BZV92"/>
      <c r="BZW92"/>
      <c r="BZX92"/>
      <c r="BZY92"/>
      <c r="BZZ92"/>
      <c r="CAA92"/>
      <c r="CAB92"/>
      <c r="CAC92"/>
      <c r="CAD92"/>
      <c r="CAE92"/>
      <c r="CAF92"/>
      <c r="CAG92"/>
      <c r="CAH92"/>
      <c r="CAI92"/>
      <c r="CAJ92"/>
      <c r="CAK92"/>
      <c r="CAL92"/>
      <c r="CAM92"/>
      <c r="CAN92"/>
      <c r="CAO92"/>
      <c r="CAP92"/>
      <c r="CAQ92"/>
      <c r="CAR92"/>
      <c r="CAS92"/>
      <c r="CAT92"/>
      <c r="CAU92"/>
      <c r="CAV92"/>
      <c r="CAW92"/>
      <c r="CAX92"/>
      <c r="CAY92"/>
      <c r="CAZ92"/>
      <c r="CBA92"/>
      <c r="CBB92"/>
      <c r="CBC92"/>
      <c r="CBD92"/>
      <c r="CBE92"/>
      <c r="CBF92"/>
      <c r="CBG92"/>
      <c r="CBH92"/>
      <c r="CBI92"/>
      <c r="CBJ92"/>
      <c r="CBK92"/>
      <c r="CBL92"/>
      <c r="CBM92"/>
      <c r="CBN92"/>
      <c r="CBO92"/>
      <c r="CBP92"/>
      <c r="CBQ92"/>
      <c r="CBR92"/>
      <c r="CBS92"/>
      <c r="CBT92"/>
      <c r="CBU92"/>
      <c r="CBV92"/>
      <c r="CBW92"/>
      <c r="CBX92"/>
      <c r="CBY92"/>
      <c r="CBZ92"/>
      <c r="CCA92"/>
      <c r="CCB92"/>
      <c r="CCC92"/>
      <c r="CCD92"/>
      <c r="CCE92"/>
      <c r="CCF92"/>
      <c r="CCG92"/>
      <c r="CCH92"/>
      <c r="CCI92"/>
      <c r="CCJ92"/>
      <c r="CCK92"/>
      <c r="CCL92"/>
      <c r="CCM92"/>
      <c r="CCN92"/>
      <c r="CCO92"/>
      <c r="CCP92"/>
      <c r="CCQ92"/>
      <c r="CCR92"/>
      <c r="CCS92"/>
      <c r="CCT92"/>
      <c r="CCU92"/>
      <c r="CCV92"/>
      <c r="CCW92"/>
      <c r="CCX92"/>
      <c r="CCY92"/>
      <c r="CCZ92"/>
      <c r="CDA92"/>
      <c r="CDB92"/>
      <c r="CDC92"/>
      <c r="CDD92"/>
      <c r="CDE92"/>
      <c r="CDF92"/>
      <c r="CDG92"/>
      <c r="CDH92"/>
      <c r="CDI92"/>
      <c r="CDJ92"/>
      <c r="CDK92"/>
      <c r="CDL92"/>
      <c r="CDM92"/>
      <c r="CDN92"/>
      <c r="CDO92"/>
      <c r="CDP92"/>
      <c r="CDQ92"/>
      <c r="CDR92"/>
      <c r="CDS92"/>
      <c r="CDT92"/>
      <c r="CDU92"/>
      <c r="CDV92"/>
      <c r="CDW92"/>
      <c r="CDX92"/>
      <c r="CDY92"/>
      <c r="CDZ92"/>
      <c r="CEA92"/>
      <c r="CEB92"/>
      <c r="CEC92"/>
      <c r="CED92"/>
      <c r="CEE92"/>
      <c r="CEF92"/>
      <c r="CEG92"/>
      <c r="CEH92"/>
      <c r="CEI92"/>
      <c r="CEJ92"/>
      <c r="CEK92"/>
      <c r="CEL92"/>
      <c r="CEM92"/>
      <c r="CEN92"/>
      <c r="CEO92"/>
      <c r="CEP92"/>
      <c r="CEQ92"/>
      <c r="CER92"/>
      <c r="CES92"/>
      <c r="CET92"/>
      <c r="CEU92"/>
      <c r="CEV92"/>
      <c r="CEW92"/>
      <c r="CEX92"/>
      <c r="CEY92"/>
      <c r="CEZ92"/>
      <c r="CFA92"/>
      <c r="CFB92"/>
      <c r="CFC92"/>
      <c r="CFD92"/>
      <c r="CFE92"/>
      <c r="CFF92"/>
      <c r="CFG92"/>
      <c r="CFH92"/>
      <c r="CFI92"/>
      <c r="CFJ92"/>
      <c r="CFK92"/>
      <c r="CFL92"/>
      <c r="CFM92"/>
      <c r="CFN92"/>
      <c r="CFO92"/>
      <c r="CFP92"/>
      <c r="CFQ92"/>
      <c r="CFR92"/>
      <c r="CFS92"/>
      <c r="CFT92"/>
      <c r="CFU92"/>
      <c r="CFV92"/>
      <c r="CFW92"/>
      <c r="CFX92"/>
      <c r="CFY92"/>
      <c r="CFZ92"/>
      <c r="CGA92"/>
      <c r="CGB92"/>
      <c r="CGC92"/>
      <c r="CGD92"/>
      <c r="CGE92"/>
      <c r="CGF92"/>
      <c r="CGG92"/>
      <c r="CGH92"/>
      <c r="CGI92"/>
      <c r="CGJ92"/>
      <c r="CGK92"/>
      <c r="CGL92"/>
      <c r="CGM92"/>
      <c r="CGN92"/>
      <c r="CGO92"/>
      <c r="CGP92"/>
      <c r="CGQ92"/>
      <c r="CGR92"/>
      <c r="CGS92"/>
      <c r="CGT92"/>
      <c r="CGU92"/>
      <c r="CGV92"/>
      <c r="CGW92"/>
      <c r="CGX92"/>
      <c r="CGY92"/>
      <c r="CGZ92"/>
      <c r="CHA92"/>
      <c r="CHB92"/>
      <c r="CHC92"/>
      <c r="CHD92"/>
      <c r="CHE92"/>
      <c r="CHF92"/>
      <c r="CHG92"/>
      <c r="CHH92"/>
      <c r="CHI92"/>
      <c r="CHJ92"/>
      <c r="CHK92"/>
      <c r="CHL92"/>
      <c r="CHM92"/>
      <c r="CHN92"/>
      <c r="CHO92"/>
      <c r="CHP92"/>
      <c r="CHQ92"/>
      <c r="CHR92"/>
      <c r="CHS92"/>
      <c r="CHT92"/>
      <c r="CHU92"/>
      <c r="CHV92"/>
      <c r="CHW92"/>
      <c r="CHX92"/>
      <c r="CHY92"/>
      <c r="CHZ92"/>
      <c r="CIA92"/>
      <c r="CIB92"/>
      <c r="CIC92"/>
      <c r="CID92"/>
      <c r="CIE92"/>
      <c r="CIF92"/>
      <c r="CIG92"/>
      <c r="CIH92"/>
      <c r="CII92"/>
      <c r="CIJ92"/>
      <c r="CIK92"/>
      <c r="CIL92"/>
      <c r="CIM92"/>
      <c r="CIN92"/>
      <c r="CIO92"/>
      <c r="CIP92"/>
      <c r="CIQ92"/>
      <c r="CIR92"/>
      <c r="CIS92"/>
      <c r="CIT92"/>
      <c r="CIU92"/>
      <c r="CIV92"/>
      <c r="CIW92"/>
      <c r="CIX92"/>
      <c r="CIY92"/>
      <c r="CIZ92"/>
      <c r="CJA92"/>
      <c r="CJB92"/>
      <c r="CJC92"/>
      <c r="CJD92"/>
      <c r="CJE92"/>
      <c r="CJF92"/>
      <c r="CJG92"/>
      <c r="CJH92"/>
      <c r="CJI92"/>
      <c r="CJJ92"/>
      <c r="CJK92"/>
      <c r="CJL92"/>
      <c r="CJM92"/>
      <c r="CJN92"/>
      <c r="CJO92"/>
      <c r="CJP92"/>
      <c r="CJQ92"/>
      <c r="CJR92"/>
      <c r="CJS92"/>
      <c r="CJT92"/>
      <c r="CJU92"/>
      <c r="CJV92"/>
      <c r="CJW92"/>
      <c r="CJX92"/>
      <c r="CJY92"/>
      <c r="CJZ92"/>
      <c r="CKA92"/>
      <c r="CKB92"/>
      <c r="CKC92"/>
      <c r="CKD92"/>
      <c r="CKE92"/>
      <c r="CKF92"/>
      <c r="CKG92"/>
      <c r="CKH92"/>
      <c r="CKI92"/>
      <c r="CKJ92"/>
      <c r="CKK92"/>
      <c r="CKL92"/>
      <c r="CKM92"/>
      <c r="CKN92"/>
      <c r="CKO92"/>
      <c r="CKP92"/>
      <c r="CKQ92"/>
      <c r="CKR92"/>
      <c r="CKS92"/>
      <c r="CKT92"/>
      <c r="CKU92"/>
      <c r="CKV92"/>
      <c r="CKW92"/>
      <c r="CKX92"/>
      <c r="CKY92"/>
      <c r="CKZ92"/>
      <c r="CLA92"/>
      <c r="CLB92"/>
      <c r="CLC92"/>
      <c r="CLD92"/>
      <c r="CLE92"/>
      <c r="CLF92"/>
      <c r="CLG92"/>
      <c r="CLH92"/>
      <c r="CLI92"/>
      <c r="CLJ92"/>
      <c r="CLK92"/>
      <c r="CLL92"/>
      <c r="CLM92"/>
      <c r="CLN92"/>
      <c r="CLO92"/>
      <c r="CLP92"/>
      <c r="CLQ92"/>
      <c r="CLR92"/>
      <c r="CLS92"/>
      <c r="CLT92"/>
      <c r="CLU92"/>
      <c r="CLV92"/>
      <c r="CLW92"/>
      <c r="CLX92"/>
      <c r="CLY92"/>
      <c r="CLZ92"/>
      <c r="CMA92"/>
      <c r="CMB92"/>
      <c r="CMC92"/>
      <c r="CMD92"/>
      <c r="CME92"/>
      <c r="CMF92"/>
      <c r="CMG92"/>
      <c r="CMH92"/>
      <c r="CMI92"/>
      <c r="CMJ92"/>
      <c r="CMK92"/>
      <c r="CML92"/>
      <c r="CMM92"/>
      <c r="CMN92"/>
      <c r="CMO92"/>
      <c r="CMP92"/>
      <c r="CMQ92"/>
      <c r="CMR92"/>
      <c r="CMS92"/>
      <c r="CMT92"/>
      <c r="CMU92"/>
      <c r="CMV92"/>
      <c r="CMW92"/>
      <c r="CMX92"/>
      <c r="CMY92"/>
      <c r="CMZ92"/>
      <c r="CNA92"/>
      <c r="CNB92"/>
      <c r="CNC92"/>
      <c r="CND92"/>
      <c r="CNE92"/>
      <c r="CNF92"/>
      <c r="CNG92"/>
      <c r="CNH92"/>
      <c r="CNI92"/>
      <c r="CNJ92"/>
      <c r="CNK92"/>
      <c r="CNL92"/>
      <c r="CNM92"/>
      <c r="CNN92"/>
      <c r="CNO92"/>
      <c r="CNP92"/>
      <c r="CNQ92"/>
      <c r="CNR92"/>
      <c r="CNS92"/>
      <c r="CNT92"/>
      <c r="CNU92"/>
      <c r="CNV92"/>
      <c r="CNW92"/>
      <c r="CNX92"/>
      <c r="CNY92"/>
      <c r="CNZ92"/>
      <c r="COA92"/>
      <c r="COB92"/>
      <c r="COC92"/>
      <c r="COD92"/>
      <c r="COE92"/>
      <c r="COF92"/>
      <c r="COG92"/>
      <c r="COH92"/>
      <c r="COI92"/>
      <c r="COJ92"/>
      <c r="COK92"/>
      <c r="COL92"/>
      <c r="COM92"/>
      <c r="CON92"/>
      <c r="COO92"/>
      <c r="COP92"/>
      <c r="COQ92"/>
      <c r="COR92"/>
      <c r="COS92"/>
      <c r="COT92"/>
      <c r="COU92"/>
      <c r="COV92"/>
      <c r="COW92"/>
      <c r="COX92"/>
      <c r="COY92"/>
      <c r="COZ92"/>
      <c r="CPA92"/>
      <c r="CPB92"/>
      <c r="CPC92"/>
      <c r="CPD92"/>
      <c r="CPE92"/>
      <c r="CPF92"/>
      <c r="CPG92"/>
      <c r="CPH92"/>
      <c r="CPI92"/>
      <c r="CPJ92"/>
      <c r="CPK92"/>
      <c r="CPL92"/>
      <c r="CPM92"/>
      <c r="CPN92"/>
      <c r="CPO92"/>
      <c r="CPP92"/>
      <c r="CPQ92"/>
      <c r="CPR92"/>
      <c r="CPS92"/>
      <c r="CPT92"/>
      <c r="CPU92"/>
      <c r="CPV92"/>
      <c r="CPW92"/>
      <c r="CPX92"/>
      <c r="CPY92"/>
      <c r="CPZ92"/>
      <c r="CQA92"/>
      <c r="CQB92"/>
      <c r="CQC92"/>
      <c r="CQD92"/>
      <c r="CQE92"/>
      <c r="CQF92"/>
      <c r="CQG92"/>
      <c r="CQH92"/>
      <c r="CQI92"/>
      <c r="CQJ92"/>
      <c r="CQK92"/>
      <c r="CQL92"/>
      <c r="CQM92"/>
      <c r="CQN92"/>
      <c r="CQO92"/>
      <c r="CQP92"/>
      <c r="CQQ92"/>
      <c r="CQR92"/>
      <c r="CQS92"/>
      <c r="CQT92"/>
      <c r="CQU92"/>
      <c r="CQV92"/>
      <c r="CQW92"/>
      <c r="CQX92"/>
      <c r="CQY92"/>
      <c r="CQZ92"/>
      <c r="CRA92"/>
      <c r="CRB92"/>
      <c r="CRC92"/>
      <c r="CRD92"/>
      <c r="CRE92"/>
      <c r="CRF92"/>
      <c r="CRG92"/>
      <c r="CRH92"/>
      <c r="CRI92"/>
      <c r="CRJ92"/>
      <c r="CRK92"/>
      <c r="CRL92"/>
      <c r="CRM92"/>
      <c r="CRN92"/>
      <c r="CRO92"/>
      <c r="CRP92"/>
      <c r="CRQ92"/>
      <c r="CRR92"/>
      <c r="CRS92"/>
      <c r="CRT92"/>
      <c r="CRU92"/>
      <c r="CRV92"/>
      <c r="CRW92"/>
      <c r="CRX92"/>
      <c r="CRY92"/>
      <c r="CRZ92"/>
      <c r="CSA92"/>
      <c r="CSB92"/>
      <c r="CSC92"/>
      <c r="CSD92"/>
      <c r="CSE92"/>
      <c r="CSF92"/>
      <c r="CSG92"/>
      <c r="CSH92"/>
      <c r="CSI92"/>
      <c r="CSJ92"/>
      <c r="CSK92"/>
      <c r="CSL92"/>
      <c r="CSM92"/>
      <c r="CSN92"/>
      <c r="CSO92"/>
      <c r="CSP92"/>
      <c r="CSQ92"/>
      <c r="CSR92"/>
      <c r="CSS92"/>
      <c r="CST92"/>
      <c r="CSU92"/>
      <c r="CSV92"/>
      <c r="CSW92"/>
      <c r="CSX92"/>
      <c r="CSY92"/>
      <c r="CSZ92"/>
      <c r="CTA92"/>
      <c r="CTB92"/>
      <c r="CTC92"/>
      <c r="CTD92"/>
      <c r="CTE92"/>
      <c r="CTF92"/>
      <c r="CTG92"/>
      <c r="CTH92"/>
      <c r="CTI92"/>
      <c r="CTJ92"/>
      <c r="CTK92"/>
      <c r="CTL92"/>
      <c r="CTM92"/>
      <c r="CTN92"/>
      <c r="CTO92"/>
      <c r="CTP92"/>
      <c r="CTQ92"/>
      <c r="CTR92"/>
      <c r="CTS92"/>
      <c r="CTT92"/>
      <c r="CTU92"/>
      <c r="CTV92"/>
      <c r="CTW92"/>
      <c r="CTX92"/>
      <c r="CTY92"/>
      <c r="CTZ92"/>
      <c r="CUA92"/>
      <c r="CUB92"/>
      <c r="CUC92"/>
      <c r="CUD92"/>
      <c r="CUE92"/>
      <c r="CUF92"/>
      <c r="CUG92"/>
      <c r="CUH92"/>
      <c r="CUI92"/>
      <c r="CUJ92"/>
      <c r="CUK92"/>
      <c r="CUL92"/>
      <c r="CUM92"/>
      <c r="CUN92"/>
      <c r="CUO92"/>
      <c r="CUP92"/>
      <c r="CUQ92"/>
      <c r="CUR92"/>
      <c r="CUS92"/>
      <c r="CUT92"/>
      <c r="CUU92"/>
      <c r="CUV92"/>
      <c r="CUW92"/>
      <c r="CUX92"/>
      <c r="CUY92"/>
      <c r="CUZ92"/>
      <c r="CVA92"/>
      <c r="CVB92"/>
      <c r="CVC92"/>
      <c r="CVD92"/>
      <c r="CVE92"/>
      <c r="CVF92"/>
      <c r="CVG92"/>
      <c r="CVH92"/>
      <c r="CVI92"/>
      <c r="CVJ92"/>
      <c r="CVK92"/>
      <c r="CVL92"/>
      <c r="CVM92"/>
      <c r="CVN92"/>
      <c r="CVO92"/>
      <c r="CVP92"/>
      <c r="CVQ92"/>
      <c r="CVR92"/>
      <c r="CVS92"/>
      <c r="CVT92"/>
      <c r="CVU92"/>
      <c r="CVV92"/>
      <c r="CVW92"/>
      <c r="CVX92"/>
      <c r="CVY92"/>
      <c r="CVZ92"/>
      <c r="CWA92"/>
      <c r="CWB92"/>
      <c r="CWC92"/>
      <c r="CWD92"/>
      <c r="CWE92"/>
      <c r="CWF92"/>
      <c r="CWG92"/>
      <c r="CWH92"/>
      <c r="CWI92"/>
      <c r="CWJ92"/>
      <c r="CWK92"/>
      <c r="CWL92"/>
      <c r="CWM92"/>
      <c r="CWN92"/>
      <c r="CWO92"/>
      <c r="CWP92"/>
      <c r="CWQ92"/>
      <c r="CWR92"/>
      <c r="CWS92"/>
      <c r="CWT92"/>
      <c r="CWU92"/>
      <c r="CWV92"/>
      <c r="CWW92"/>
      <c r="CWX92"/>
      <c r="CWY92"/>
      <c r="CWZ92"/>
      <c r="CXA92"/>
      <c r="CXB92"/>
      <c r="CXC92"/>
      <c r="CXD92"/>
      <c r="CXE92"/>
      <c r="CXF92"/>
      <c r="CXG92"/>
      <c r="CXH92"/>
      <c r="CXI92"/>
      <c r="CXJ92"/>
      <c r="CXK92"/>
      <c r="CXL92"/>
      <c r="CXM92"/>
      <c r="CXN92"/>
      <c r="CXO92"/>
      <c r="CXP92"/>
      <c r="CXQ92"/>
      <c r="CXR92"/>
      <c r="CXS92"/>
      <c r="CXT92"/>
      <c r="CXU92"/>
      <c r="CXV92"/>
      <c r="CXW92"/>
      <c r="CXX92"/>
      <c r="CXY92"/>
      <c r="CXZ92"/>
      <c r="CYA92"/>
      <c r="CYB92"/>
      <c r="CYC92"/>
      <c r="CYD92"/>
      <c r="CYE92"/>
      <c r="CYF92"/>
      <c r="CYG92"/>
      <c r="CYH92"/>
      <c r="CYI92"/>
      <c r="CYJ92"/>
      <c r="CYK92"/>
      <c r="CYL92"/>
      <c r="CYM92"/>
      <c r="CYN92"/>
      <c r="CYO92"/>
      <c r="CYP92"/>
      <c r="CYQ92"/>
      <c r="CYR92"/>
      <c r="CYS92"/>
      <c r="CYT92"/>
      <c r="CYU92"/>
      <c r="CYV92"/>
      <c r="CYW92"/>
      <c r="CYX92"/>
      <c r="CYY92"/>
      <c r="CYZ92"/>
      <c r="CZA92"/>
      <c r="CZB92"/>
      <c r="CZC92"/>
      <c r="CZD92"/>
      <c r="CZE92"/>
      <c r="CZF92"/>
      <c r="CZG92"/>
      <c r="CZH92"/>
      <c r="CZI92"/>
      <c r="CZJ92"/>
      <c r="CZK92"/>
      <c r="CZL92"/>
      <c r="CZM92"/>
      <c r="CZN92"/>
      <c r="CZO92"/>
      <c r="CZP92"/>
      <c r="CZQ92"/>
      <c r="CZR92"/>
      <c r="CZS92"/>
      <c r="CZT92"/>
      <c r="CZU92"/>
      <c r="CZV92"/>
      <c r="CZW92"/>
      <c r="CZX92"/>
      <c r="CZY92"/>
      <c r="CZZ92"/>
      <c r="DAA92"/>
      <c r="DAB92"/>
      <c r="DAC92"/>
      <c r="DAD92"/>
      <c r="DAE92"/>
      <c r="DAF92"/>
      <c r="DAG92"/>
      <c r="DAH92"/>
      <c r="DAI92"/>
      <c r="DAJ92"/>
      <c r="DAK92"/>
      <c r="DAL92"/>
      <c r="DAM92"/>
      <c r="DAN92"/>
      <c r="DAO92"/>
      <c r="DAP92"/>
      <c r="DAQ92"/>
      <c r="DAR92"/>
      <c r="DAS92"/>
      <c r="DAT92"/>
      <c r="DAU92"/>
      <c r="DAV92"/>
      <c r="DAW92"/>
      <c r="DAX92"/>
      <c r="DAY92"/>
      <c r="DAZ92"/>
      <c r="DBA92"/>
      <c r="DBB92"/>
      <c r="DBC92"/>
      <c r="DBD92"/>
      <c r="DBE92"/>
      <c r="DBF92"/>
      <c r="DBG92"/>
      <c r="DBH92"/>
      <c r="DBI92"/>
      <c r="DBJ92"/>
      <c r="DBK92"/>
      <c r="DBL92"/>
      <c r="DBM92"/>
      <c r="DBN92"/>
      <c r="DBO92"/>
      <c r="DBP92"/>
      <c r="DBQ92"/>
      <c r="DBR92"/>
      <c r="DBS92"/>
      <c r="DBT92"/>
      <c r="DBU92"/>
      <c r="DBV92"/>
      <c r="DBW92"/>
      <c r="DBX92"/>
      <c r="DBY92"/>
      <c r="DBZ92"/>
      <c r="DCA92"/>
      <c r="DCB92"/>
      <c r="DCC92"/>
      <c r="DCD92"/>
      <c r="DCE92"/>
      <c r="DCF92"/>
      <c r="DCG92"/>
      <c r="DCH92"/>
      <c r="DCI92"/>
      <c r="DCJ92"/>
      <c r="DCK92"/>
      <c r="DCL92"/>
      <c r="DCM92"/>
      <c r="DCN92"/>
      <c r="DCO92"/>
      <c r="DCP92"/>
      <c r="DCQ92"/>
      <c r="DCR92"/>
      <c r="DCS92"/>
      <c r="DCT92"/>
      <c r="DCU92"/>
      <c r="DCV92"/>
      <c r="DCW92"/>
      <c r="DCX92"/>
      <c r="DCY92"/>
      <c r="DCZ92"/>
      <c r="DDA92"/>
      <c r="DDB92"/>
      <c r="DDC92"/>
      <c r="DDD92"/>
      <c r="DDE92"/>
      <c r="DDF92"/>
      <c r="DDG92"/>
      <c r="DDH92"/>
      <c r="DDI92"/>
      <c r="DDJ92"/>
      <c r="DDK92"/>
      <c r="DDL92"/>
      <c r="DDM92"/>
      <c r="DDN92"/>
      <c r="DDO92"/>
      <c r="DDP92"/>
      <c r="DDQ92"/>
      <c r="DDR92"/>
      <c r="DDS92"/>
      <c r="DDT92"/>
      <c r="DDU92"/>
      <c r="DDV92"/>
      <c r="DDW92"/>
      <c r="DDX92"/>
      <c r="DDY92"/>
      <c r="DDZ92"/>
      <c r="DEA92"/>
      <c r="DEB92"/>
      <c r="DEC92"/>
      <c r="DED92"/>
      <c r="DEE92"/>
      <c r="DEF92"/>
      <c r="DEG92"/>
      <c r="DEH92"/>
      <c r="DEI92"/>
      <c r="DEJ92"/>
      <c r="DEK92"/>
      <c r="DEL92"/>
      <c r="DEM92"/>
      <c r="DEN92"/>
      <c r="DEO92"/>
      <c r="DEP92"/>
      <c r="DEQ92"/>
      <c r="DER92"/>
      <c r="DES92"/>
      <c r="DET92"/>
      <c r="DEU92"/>
      <c r="DEV92"/>
      <c r="DEW92"/>
      <c r="DEX92"/>
      <c r="DEY92"/>
      <c r="DEZ92"/>
      <c r="DFA92"/>
      <c r="DFB92"/>
      <c r="DFC92"/>
      <c r="DFD92"/>
      <c r="DFE92"/>
      <c r="DFF92"/>
      <c r="DFG92"/>
      <c r="DFH92"/>
      <c r="DFI92"/>
      <c r="DFJ92"/>
      <c r="DFK92"/>
      <c r="DFL92"/>
      <c r="DFM92"/>
      <c r="DFN92"/>
      <c r="DFO92"/>
      <c r="DFP92"/>
      <c r="DFQ92"/>
      <c r="DFR92"/>
      <c r="DFS92"/>
      <c r="DFT92"/>
      <c r="DFU92"/>
      <c r="DFV92"/>
      <c r="DFW92"/>
      <c r="DFX92"/>
      <c r="DFY92"/>
      <c r="DFZ92"/>
      <c r="DGA92"/>
      <c r="DGB92"/>
      <c r="DGC92"/>
      <c r="DGD92"/>
      <c r="DGE92"/>
      <c r="DGF92"/>
      <c r="DGG92"/>
      <c r="DGH92"/>
      <c r="DGI92"/>
      <c r="DGJ92"/>
      <c r="DGK92"/>
      <c r="DGL92"/>
      <c r="DGM92"/>
      <c r="DGN92"/>
      <c r="DGO92"/>
      <c r="DGP92"/>
      <c r="DGQ92"/>
      <c r="DGR92"/>
      <c r="DGS92"/>
      <c r="DGT92"/>
      <c r="DGU92"/>
      <c r="DGV92"/>
      <c r="DGW92"/>
      <c r="DGX92"/>
      <c r="DGY92"/>
      <c r="DGZ92"/>
      <c r="DHA92"/>
      <c r="DHB92"/>
      <c r="DHC92"/>
      <c r="DHD92"/>
      <c r="DHE92"/>
      <c r="DHF92"/>
      <c r="DHG92"/>
      <c r="DHH92"/>
      <c r="DHI92"/>
      <c r="DHJ92"/>
      <c r="DHK92"/>
      <c r="DHL92"/>
      <c r="DHM92"/>
      <c r="DHN92"/>
      <c r="DHO92"/>
      <c r="DHP92"/>
      <c r="DHQ92"/>
      <c r="DHR92"/>
      <c r="DHS92"/>
      <c r="DHT92"/>
      <c r="DHU92"/>
      <c r="DHV92"/>
      <c r="DHW92"/>
      <c r="DHX92"/>
      <c r="DHY92"/>
      <c r="DHZ92"/>
      <c r="DIA92"/>
      <c r="DIB92"/>
      <c r="DIC92"/>
      <c r="DID92"/>
      <c r="DIE92"/>
      <c r="DIF92"/>
      <c r="DIG92"/>
      <c r="DIH92"/>
      <c r="DII92"/>
      <c r="DIJ92"/>
      <c r="DIK92"/>
      <c r="DIL92"/>
      <c r="DIM92"/>
      <c r="DIN92"/>
      <c r="DIO92"/>
      <c r="DIP92"/>
      <c r="DIQ92"/>
      <c r="DIR92"/>
      <c r="DIS92"/>
      <c r="DIT92"/>
      <c r="DIU92"/>
      <c r="DIV92"/>
      <c r="DIW92"/>
      <c r="DIX92"/>
      <c r="DIY92"/>
      <c r="DIZ92"/>
      <c r="DJA92"/>
      <c r="DJB92"/>
      <c r="DJC92"/>
      <c r="DJD92"/>
      <c r="DJE92"/>
      <c r="DJF92"/>
      <c r="DJG92"/>
      <c r="DJH92"/>
      <c r="DJI92"/>
      <c r="DJJ92"/>
      <c r="DJK92"/>
      <c r="DJL92"/>
      <c r="DJM92"/>
      <c r="DJN92"/>
      <c r="DJO92"/>
      <c r="DJP92"/>
      <c r="DJQ92"/>
      <c r="DJR92"/>
      <c r="DJS92"/>
      <c r="DJT92"/>
      <c r="DJU92"/>
      <c r="DJV92"/>
      <c r="DJW92"/>
      <c r="DJX92"/>
      <c r="DJY92"/>
      <c r="DJZ92"/>
      <c r="DKA92"/>
      <c r="DKB92"/>
      <c r="DKC92"/>
      <c r="DKD92"/>
      <c r="DKE92"/>
      <c r="DKF92"/>
      <c r="DKG92"/>
      <c r="DKH92"/>
      <c r="DKI92"/>
      <c r="DKJ92"/>
      <c r="DKK92"/>
      <c r="DKL92"/>
      <c r="DKM92"/>
      <c r="DKN92"/>
      <c r="DKO92"/>
      <c r="DKP92"/>
      <c r="DKQ92"/>
      <c r="DKR92"/>
      <c r="DKS92"/>
      <c r="DKT92"/>
      <c r="DKU92"/>
      <c r="DKV92"/>
      <c r="DKW92"/>
      <c r="DKX92"/>
      <c r="DKY92"/>
      <c r="DKZ92"/>
      <c r="DLA92"/>
      <c r="DLB92"/>
      <c r="DLC92"/>
      <c r="DLD92"/>
      <c r="DLE92"/>
      <c r="DLF92"/>
      <c r="DLG92"/>
      <c r="DLH92"/>
      <c r="DLI92"/>
      <c r="DLJ92"/>
      <c r="DLK92"/>
      <c r="DLL92"/>
      <c r="DLM92"/>
      <c r="DLN92"/>
      <c r="DLO92"/>
      <c r="DLP92"/>
      <c r="DLQ92"/>
      <c r="DLR92"/>
      <c r="DLS92"/>
      <c r="DLT92"/>
      <c r="DLU92"/>
      <c r="DLV92"/>
      <c r="DLW92"/>
      <c r="DLX92"/>
      <c r="DLY92"/>
      <c r="DLZ92"/>
      <c r="DMA92"/>
      <c r="DMB92"/>
      <c r="DMC92"/>
      <c r="DMD92"/>
      <c r="DME92"/>
      <c r="DMF92"/>
      <c r="DMG92"/>
      <c r="DMH92"/>
      <c r="DMI92"/>
      <c r="DMJ92"/>
      <c r="DMK92"/>
      <c r="DML92"/>
      <c r="DMM92"/>
      <c r="DMN92"/>
      <c r="DMO92"/>
      <c r="DMP92"/>
      <c r="DMQ92"/>
      <c r="DMR92"/>
      <c r="DMS92"/>
      <c r="DMT92"/>
      <c r="DMU92"/>
      <c r="DMV92"/>
      <c r="DMW92"/>
      <c r="DMX92"/>
      <c r="DMY92"/>
      <c r="DMZ92"/>
      <c r="DNA92"/>
      <c r="DNB92"/>
      <c r="DNC92"/>
      <c r="DND92"/>
      <c r="DNE92"/>
      <c r="DNF92"/>
      <c r="DNG92"/>
      <c r="DNH92"/>
      <c r="DNI92"/>
      <c r="DNJ92"/>
      <c r="DNK92"/>
      <c r="DNL92"/>
      <c r="DNM92"/>
      <c r="DNN92"/>
      <c r="DNO92"/>
      <c r="DNP92"/>
      <c r="DNQ92"/>
      <c r="DNR92"/>
      <c r="DNS92"/>
      <c r="DNT92"/>
      <c r="DNU92"/>
      <c r="DNV92"/>
      <c r="DNW92"/>
      <c r="DNX92"/>
      <c r="DNY92"/>
      <c r="DNZ92"/>
      <c r="DOA92"/>
      <c r="DOB92"/>
      <c r="DOC92"/>
      <c r="DOD92"/>
      <c r="DOE92"/>
      <c r="DOF92"/>
      <c r="DOG92"/>
      <c r="DOH92"/>
      <c r="DOI92"/>
      <c r="DOJ92"/>
      <c r="DOK92"/>
      <c r="DOL92"/>
      <c r="DOM92"/>
      <c r="DON92"/>
      <c r="DOO92"/>
      <c r="DOP92"/>
      <c r="DOQ92"/>
      <c r="DOR92"/>
      <c r="DOS92"/>
      <c r="DOT92"/>
      <c r="DOU92"/>
      <c r="DOV92"/>
      <c r="DOW92"/>
      <c r="DOX92"/>
      <c r="DOY92"/>
      <c r="DOZ92"/>
      <c r="DPA92"/>
      <c r="DPB92"/>
      <c r="DPC92"/>
      <c r="DPD92"/>
      <c r="DPE92"/>
      <c r="DPF92"/>
      <c r="DPG92"/>
      <c r="DPH92"/>
      <c r="DPI92"/>
      <c r="DPJ92"/>
      <c r="DPK92"/>
      <c r="DPL92"/>
      <c r="DPM92"/>
      <c r="DPN92"/>
      <c r="DPO92"/>
      <c r="DPP92"/>
      <c r="DPQ92"/>
      <c r="DPR92"/>
      <c r="DPS92"/>
      <c r="DPT92"/>
      <c r="DPU92"/>
      <c r="DPV92"/>
      <c r="DPW92"/>
      <c r="DPX92"/>
      <c r="DPY92"/>
      <c r="DPZ92"/>
      <c r="DQA92"/>
      <c r="DQB92"/>
      <c r="DQC92"/>
      <c r="DQD92"/>
      <c r="DQE92"/>
      <c r="DQF92"/>
      <c r="DQG92"/>
      <c r="DQH92"/>
      <c r="DQI92"/>
      <c r="DQJ92"/>
      <c r="DQK92"/>
      <c r="DQL92"/>
      <c r="DQM92"/>
      <c r="DQN92"/>
      <c r="DQO92"/>
      <c r="DQP92"/>
      <c r="DQQ92"/>
      <c r="DQR92"/>
      <c r="DQS92"/>
      <c r="DQT92"/>
      <c r="DQU92"/>
      <c r="DQV92"/>
      <c r="DQW92"/>
      <c r="DQX92"/>
      <c r="DQY92"/>
      <c r="DQZ92"/>
      <c r="DRA92"/>
      <c r="DRB92"/>
      <c r="DRC92"/>
      <c r="DRD92"/>
      <c r="DRE92"/>
      <c r="DRF92"/>
      <c r="DRG92"/>
      <c r="DRH92"/>
      <c r="DRI92"/>
      <c r="DRJ92"/>
      <c r="DRK92"/>
      <c r="DRL92"/>
      <c r="DRM92"/>
      <c r="DRN92"/>
      <c r="DRO92"/>
      <c r="DRP92"/>
      <c r="DRQ92"/>
      <c r="DRR92"/>
      <c r="DRS92"/>
      <c r="DRT92"/>
      <c r="DRU92"/>
      <c r="DRV92"/>
      <c r="DRW92"/>
      <c r="DRX92"/>
      <c r="DRY92"/>
      <c r="DRZ92"/>
      <c r="DSA92"/>
      <c r="DSB92"/>
      <c r="DSC92"/>
      <c r="DSD92"/>
      <c r="DSE92"/>
      <c r="DSF92"/>
      <c r="DSG92"/>
      <c r="DSH92"/>
      <c r="DSI92"/>
      <c r="DSJ92"/>
      <c r="DSK92"/>
      <c r="DSL92"/>
      <c r="DSM92"/>
      <c r="DSN92"/>
      <c r="DSO92"/>
      <c r="DSP92"/>
      <c r="DSQ92"/>
      <c r="DSR92"/>
      <c r="DSS92"/>
      <c r="DST92"/>
      <c r="DSU92"/>
      <c r="DSV92"/>
      <c r="DSW92"/>
      <c r="DSX92"/>
      <c r="DSY92"/>
      <c r="DSZ92"/>
      <c r="DTA92"/>
      <c r="DTB92"/>
      <c r="DTC92"/>
      <c r="DTD92"/>
      <c r="DTE92"/>
      <c r="DTF92"/>
      <c r="DTG92"/>
      <c r="DTH92"/>
      <c r="DTI92"/>
      <c r="DTJ92"/>
      <c r="DTK92"/>
      <c r="DTL92"/>
      <c r="DTM92"/>
      <c r="DTN92"/>
      <c r="DTO92"/>
      <c r="DTP92"/>
      <c r="DTQ92"/>
      <c r="DTR92"/>
      <c r="DTS92"/>
      <c r="DTT92"/>
      <c r="DTU92"/>
      <c r="DTV92"/>
      <c r="DTW92"/>
      <c r="DTX92"/>
      <c r="DTY92"/>
      <c r="DTZ92"/>
      <c r="DUA92"/>
      <c r="DUB92"/>
      <c r="DUC92"/>
      <c r="DUD92"/>
      <c r="DUE92"/>
      <c r="DUF92"/>
      <c r="DUG92"/>
      <c r="DUH92"/>
      <c r="DUI92"/>
      <c r="DUJ92"/>
      <c r="DUK92"/>
      <c r="DUL92"/>
      <c r="DUM92"/>
      <c r="DUN92"/>
      <c r="DUO92"/>
      <c r="DUP92"/>
      <c r="DUQ92"/>
      <c r="DUR92"/>
      <c r="DUS92"/>
      <c r="DUT92"/>
      <c r="DUU92"/>
      <c r="DUV92"/>
      <c r="DUW92"/>
      <c r="DUX92"/>
      <c r="DUY92"/>
      <c r="DUZ92"/>
      <c r="DVA92"/>
      <c r="DVB92"/>
      <c r="DVC92"/>
      <c r="DVD92"/>
      <c r="DVE92"/>
      <c r="DVF92"/>
      <c r="DVG92"/>
      <c r="DVH92"/>
      <c r="DVI92"/>
      <c r="DVJ92"/>
      <c r="DVK92"/>
      <c r="DVL92"/>
      <c r="DVM92"/>
      <c r="DVN92"/>
      <c r="DVO92"/>
      <c r="DVP92"/>
      <c r="DVQ92"/>
      <c r="DVR92"/>
      <c r="DVS92"/>
      <c r="DVT92"/>
      <c r="DVU92"/>
      <c r="DVV92"/>
      <c r="DVW92"/>
      <c r="DVX92"/>
      <c r="DVY92"/>
      <c r="DVZ92"/>
      <c r="DWA92"/>
      <c r="DWB92"/>
      <c r="DWC92"/>
      <c r="DWD92"/>
      <c r="DWE92"/>
      <c r="DWF92"/>
      <c r="DWG92"/>
      <c r="DWH92"/>
      <c r="DWI92"/>
      <c r="DWJ92"/>
      <c r="DWK92"/>
      <c r="DWL92"/>
      <c r="DWM92"/>
      <c r="DWN92"/>
      <c r="DWO92"/>
      <c r="DWP92"/>
      <c r="DWQ92"/>
      <c r="DWR92"/>
      <c r="DWS92"/>
      <c r="DWT92"/>
      <c r="DWU92"/>
      <c r="DWV92"/>
      <c r="DWW92"/>
      <c r="DWX92"/>
      <c r="DWY92"/>
      <c r="DWZ92"/>
      <c r="DXA92"/>
      <c r="DXB92"/>
      <c r="DXC92"/>
      <c r="DXD92"/>
      <c r="DXE92"/>
      <c r="DXF92"/>
      <c r="DXG92"/>
      <c r="DXH92"/>
      <c r="DXI92"/>
      <c r="DXJ92"/>
      <c r="DXK92"/>
      <c r="DXL92"/>
      <c r="DXM92"/>
      <c r="DXN92"/>
      <c r="DXO92"/>
      <c r="DXP92"/>
      <c r="DXQ92"/>
      <c r="DXR92"/>
      <c r="DXS92"/>
      <c r="DXT92"/>
      <c r="DXU92"/>
      <c r="DXV92"/>
      <c r="DXW92"/>
      <c r="DXX92"/>
      <c r="DXY92"/>
      <c r="DXZ92"/>
      <c r="DYA92"/>
      <c r="DYB92"/>
      <c r="DYC92"/>
      <c r="DYD92"/>
      <c r="DYE92"/>
      <c r="DYF92"/>
      <c r="DYG92"/>
      <c r="DYH92"/>
      <c r="DYI92"/>
      <c r="DYJ92"/>
      <c r="DYK92"/>
      <c r="DYL92"/>
      <c r="DYM92"/>
      <c r="DYN92"/>
      <c r="DYO92"/>
      <c r="DYP92"/>
      <c r="DYQ92"/>
      <c r="DYR92"/>
      <c r="DYS92"/>
      <c r="DYT92"/>
      <c r="DYU92"/>
      <c r="DYV92"/>
      <c r="DYW92"/>
      <c r="DYX92"/>
      <c r="DYY92"/>
      <c r="DYZ92"/>
      <c r="DZA92"/>
      <c r="DZB92"/>
      <c r="DZC92"/>
      <c r="DZD92"/>
      <c r="DZE92"/>
      <c r="DZF92"/>
      <c r="DZG92"/>
      <c r="DZH92"/>
      <c r="DZI92"/>
      <c r="DZJ92"/>
      <c r="DZK92"/>
      <c r="DZL92"/>
      <c r="DZM92"/>
      <c r="DZN92"/>
      <c r="DZO92"/>
      <c r="DZP92"/>
      <c r="DZQ92"/>
      <c r="DZR92"/>
      <c r="DZS92"/>
      <c r="DZT92"/>
      <c r="DZU92"/>
      <c r="DZV92"/>
      <c r="DZW92"/>
      <c r="DZX92"/>
      <c r="DZY92"/>
      <c r="DZZ92"/>
      <c r="EAA92"/>
      <c r="EAB92"/>
      <c r="EAC92"/>
      <c r="EAD92"/>
      <c r="EAE92"/>
      <c r="EAF92"/>
      <c r="EAG92"/>
      <c r="EAH92"/>
      <c r="EAI92"/>
      <c r="EAJ92"/>
      <c r="EAK92"/>
      <c r="EAL92"/>
      <c r="EAM92"/>
      <c r="EAN92"/>
      <c r="EAO92"/>
      <c r="EAP92"/>
      <c r="EAQ92"/>
      <c r="EAR92"/>
      <c r="EAS92"/>
      <c r="EAT92"/>
      <c r="EAU92"/>
      <c r="EAV92"/>
      <c r="EAW92"/>
      <c r="EAX92"/>
      <c r="EAY92"/>
      <c r="EAZ92"/>
      <c r="EBA92"/>
      <c r="EBB92"/>
      <c r="EBC92"/>
      <c r="EBD92"/>
      <c r="EBE92"/>
      <c r="EBF92"/>
      <c r="EBG92"/>
      <c r="EBH92"/>
      <c r="EBI92"/>
      <c r="EBJ92"/>
      <c r="EBK92"/>
      <c r="EBL92"/>
      <c r="EBM92"/>
      <c r="EBN92"/>
      <c r="EBO92"/>
      <c r="EBP92"/>
      <c r="EBQ92"/>
      <c r="EBR92"/>
      <c r="EBS92"/>
      <c r="EBT92"/>
      <c r="EBU92"/>
      <c r="EBV92"/>
      <c r="EBW92"/>
      <c r="EBX92"/>
      <c r="EBY92"/>
      <c r="EBZ92"/>
      <c r="ECA92"/>
      <c r="ECB92"/>
      <c r="ECC92"/>
      <c r="ECD92"/>
      <c r="ECE92"/>
      <c r="ECF92"/>
      <c r="ECG92"/>
      <c r="ECH92"/>
      <c r="ECI92"/>
      <c r="ECJ92"/>
      <c r="ECK92"/>
      <c r="ECL92"/>
      <c r="ECM92"/>
      <c r="ECN92"/>
      <c r="ECO92"/>
      <c r="ECP92"/>
      <c r="ECQ92"/>
      <c r="ECR92"/>
      <c r="ECS92"/>
      <c r="ECT92"/>
      <c r="ECU92"/>
      <c r="ECV92"/>
      <c r="ECW92"/>
      <c r="ECX92"/>
      <c r="ECY92"/>
      <c r="ECZ92"/>
      <c r="EDA92"/>
      <c r="EDB92"/>
      <c r="EDC92"/>
      <c r="EDD92"/>
      <c r="EDE92"/>
      <c r="EDF92"/>
      <c r="EDG92"/>
      <c r="EDH92"/>
      <c r="EDI92"/>
      <c r="EDJ92"/>
      <c r="EDK92"/>
      <c r="EDL92"/>
      <c r="EDM92"/>
      <c r="EDN92"/>
      <c r="EDO92"/>
      <c r="EDP92"/>
      <c r="EDQ92"/>
      <c r="EDR92"/>
      <c r="EDS92"/>
      <c r="EDT92"/>
      <c r="EDU92"/>
      <c r="EDV92"/>
      <c r="EDW92"/>
      <c r="EDX92"/>
      <c r="EDY92"/>
      <c r="EDZ92"/>
      <c r="EEA92"/>
      <c r="EEB92"/>
      <c r="EEC92"/>
      <c r="EED92"/>
      <c r="EEE92"/>
      <c r="EEF92"/>
      <c r="EEG92"/>
      <c r="EEH92"/>
      <c r="EEI92"/>
      <c r="EEJ92"/>
      <c r="EEK92"/>
      <c r="EEL92"/>
      <c r="EEM92"/>
      <c r="EEN92"/>
      <c r="EEO92"/>
      <c r="EEP92"/>
      <c r="EEQ92"/>
      <c r="EER92"/>
      <c r="EES92"/>
      <c r="EET92"/>
      <c r="EEU92"/>
      <c r="EEV92"/>
      <c r="EEW92"/>
      <c r="EEX92"/>
      <c r="EEY92"/>
      <c r="EEZ92"/>
      <c r="EFA92"/>
      <c r="EFB92"/>
      <c r="EFC92"/>
      <c r="EFD92"/>
      <c r="EFE92"/>
      <c r="EFF92"/>
      <c r="EFG92"/>
      <c r="EFH92"/>
      <c r="EFI92"/>
      <c r="EFJ92"/>
      <c r="EFK92"/>
      <c r="EFL92"/>
      <c r="EFM92"/>
      <c r="EFN92"/>
      <c r="EFO92"/>
      <c r="EFP92"/>
      <c r="EFQ92"/>
      <c r="EFR92"/>
      <c r="EFS92"/>
      <c r="EFT92"/>
      <c r="EFU92"/>
      <c r="EFV92"/>
      <c r="EFW92"/>
      <c r="EFX92"/>
      <c r="EFY92"/>
      <c r="EFZ92"/>
      <c r="EGA92"/>
      <c r="EGB92"/>
      <c r="EGC92"/>
      <c r="EGD92"/>
      <c r="EGE92"/>
      <c r="EGF92"/>
      <c r="EGG92"/>
      <c r="EGH92"/>
      <c r="EGI92"/>
      <c r="EGJ92"/>
      <c r="EGK92"/>
      <c r="EGL92"/>
      <c r="EGM92"/>
      <c r="EGN92"/>
      <c r="EGO92"/>
      <c r="EGP92"/>
      <c r="EGQ92"/>
      <c r="EGR92"/>
      <c r="EGS92"/>
      <c r="EGT92"/>
      <c r="EGU92"/>
      <c r="EGV92"/>
      <c r="EGW92"/>
      <c r="EGX92"/>
      <c r="EGY92"/>
      <c r="EGZ92"/>
      <c r="EHA92"/>
      <c r="EHB92"/>
      <c r="EHC92"/>
      <c r="EHD92"/>
      <c r="EHE92"/>
      <c r="EHF92"/>
      <c r="EHG92"/>
      <c r="EHH92"/>
      <c r="EHI92"/>
      <c r="EHJ92"/>
      <c r="EHK92"/>
      <c r="EHL92"/>
      <c r="EHM92"/>
      <c r="EHN92"/>
      <c r="EHO92"/>
      <c r="EHP92"/>
      <c r="EHQ92"/>
      <c r="EHR92"/>
      <c r="EHS92"/>
      <c r="EHT92"/>
      <c r="EHU92"/>
      <c r="EHV92"/>
      <c r="EHW92"/>
      <c r="EHX92"/>
      <c r="EHY92"/>
      <c r="EHZ92"/>
      <c r="EIA92"/>
      <c r="EIB92"/>
      <c r="EIC92"/>
      <c r="EID92"/>
      <c r="EIE92"/>
      <c r="EIF92"/>
      <c r="EIG92"/>
      <c r="EIH92"/>
      <c r="EII92"/>
      <c r="EIJ92"/>
      <c r="EIK92"/>
      <c r="EIL92"/>
      <c r="EIM92"/>
      <c r="EIN92"/>
      <c r="EIO92"/>
      <c r="EIP92"/>
      <c r="EIQ92"/>
      <c r="EIR92"/>
      <c r="EIS92"/>
      <c r="EIT92"/>
      <c r="EIU92"/>
      <c r="EIV92"/>
      <c r="EIW92"/>
      <c r="EIX92"/>
      <c r="EIY92"/>
      <c r="EIZ92"/>
      <c r="EJA92"/>
      <c r="EJB92"/>
      <c r="EJC92"/>
      <c r="EJD92"/>
      <c r="EJE92"/>
      <c r="EJF92"/>
      <c r="EJG92"/>
      <c r="EJH92"/>
      <c r="EJI92"/>
      <c r="EJJ92"/>
      <c r="EJK92"/>
      <c r="EJL92"/>
      <c r="EJM92"/>
      <c r="EJN92"/>
      <c r="EJO92"/>
      <c r="EJP92"/>
      <c r="EJQ92"/>
      <c r="EJR92"/>
      <c r="EJS92"/>
      <c r="EJT92"/>
      <c r="EJU92"/>
      <c r="EJV92"/>
      <c r="EJW92"/>
      <c r="EJX92"/>
      <c r="EJY92"/>
      <c r="EJZ92"/>
      <c r="EKA92"/>
      <c r="EKB92"/>
      <c r="EKC92"/>
      <c r="EKD92"/>
      <c r="EKE92"/>
      <c r="EKF92"/>
      <c r="EKG92"/>
      <c r="EKH92"/>
      <c r="EKI92"/>
      <c r="EKJ92"/>
      <c r="EKK92"/>
      <c r="EKL92"/>
      <c r="EKM92"/>
      <c r="EKN92"/>
      <c r="EKO92"/>
      <c r="EKP92"/>
      <c r="EKQ92"/>
      <c r="EKR92"/>
      <c r="EKS92"/>
      <c r="EKT92"/>
      <c r="EKU92"/>
      <c r="EKV92"/>
      <c r="EKW92"/>
      <c r="EKX92"/>
      <c r="EKY92"/>
      <c r="EKZ92"/>
      <c r="ELA92"/>
      <c r="ELB92"/>
      <c r="ELC92"/>
      <c r="ELD92"/>
      <c r="ELE92"/>
      <c r="ELF92"/>
      <c r="ELG92"/>
      <c r="ELH92"/>
      <c r="ELI92"/>
      <c r="ELJ92"/>
      <c r="ELK92"/>
      <c r="ELL92"/>
      <c r="ELM92"/>
      <c r="ELN92"/>
      <c r="ELO92"/>
      <c r="ELP92"/>
      <c r="ELQ92"/>
      <c r="ELR92"/>
      <c r="ELS92"/>
      <c r="ELT92"/>
      <c r="ELU92"/>
      <c r="ELV92"/>
      <c r="ELW92"/>
      <c r="ELX92"/>
      <c r="ELY92"/>
      <c r="ELZ92"/>
      <c r="EMA92"/>
      <c r="EMB92"/>
      <c r="EMC92"/>
      <c r="EMD92"/>
      <c r="EME92"/>
      <c r="EMF92"/>
      <c r="EMG92"/>
      <c r="EMH92"/>
      <c r="EMI92"/>
      <c r="EMJ92"/>
      <c r="EMK92"/>
      <c r="EML92"/>
      <c r="EMM92"/>
    </row>
    <row r="93" spans="2:3731" hidden="1">
      <c r="B93" s="128"/>
      <c r="AI93" s="338"/>
      <c r="AJ93" s="339"/>
      <c r="AK93" s="340"/>
      <c r="AL93" s="22"/>
      <c r="AM93" s="22"/>
      <c r="AN93" s="22"/>
      <c r="AO93" s="22"/>
      <c r="AP93" s="22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  <c r="ALM93"/>
      <c r="ALN93"/>
      <c r="ALO93"/>
      <c r="ALP93"/>
      <c r="ALQ93"/>
      <c r="ALR93"/>
      <c r="ALS93"/>
      <c r="ALT93"/>
      <c r="ALU93"/>
      <c r="ALV93"/>
      <c r="ALW93"/>
      <c r="ALX93"/>
      <c r="ALY93"/>
      <c r="ALZ93"/>
      <c r="AMA93"/>
      <c r="AMB93"/>
      <c r="AMC93"/>
      <c r="AMD93"/>
      <c r="AME93"/>
      <c r="AMF93"/>
      <c r="AMG93"/>
      <c r="AMH93"/>
      <c r="AMI93"/>
      <c r="AMJ93"/>
      <c r="AMK93"/>
      <c r="AML93"/>
      <c r="AMM93"/>
      <c r="AMN93"/>
      <c r="AMO93"/>
      <c r="AMP93"/>
      <c r="AMQ93"/>
      <c r="AMR93"/>
      <c r="AMS93"/>
      <c r="AMT93"/>
      <c r="AMU93"/>
      <c r="AMV93"/>
      <c r="AMW93"/>
      <c r="AMX93"/>
      <c r="AMY93"/>
      <c r="AMZ93"/>
      <c r="ANA93"/>
      <c r="ANB93"/>
      <c r="ANC93"/>
      <c r="AND93"/>
      <c r="ANE93"/>
      <c r="ANF93"/>
      <c r="ANG93"/>
      <c r="ANH93"/>
      <c r="ANI93"/>
      <c r="ANJ93"/>
      <c r="ANK93"/>
      <c r="ANL93"/>
      <c r="ANM93"/>
      <c r="ANN93"/>
      <c r="ANO93"/>
      <c r="ANP93"/>
      <c r="ANQ93"/>
      <c r="ANR93"/>
      <c r="ANS93"/>
      <c r="ANT93"/>
      <c r="ANU93"/>
      <c r="ANV93"/>
      <c r="ANW93"/>
      <c r="ANX93"/>
      <c r="ANY93"/>
      <c r="ANZ93"/>
      <c r="AOA93"/>
      <c r="AOB93"/>
      <c r="AOC93"/>
      <c r="AOD93"/>
      <c r="AOE93"/>
      <c r="AOF93"/>
      <c r="AOG93"/>
      <c r="AOH93"/>
      <c r="AOI93"/>
      <c r="AOJ93"/>
      <c r="AOK93"/>
      <c r="AOL93"/>
      <c r="AOM93"/>
      <c r="AON93"/>
      <c r="AOO93"/>
      <c r="AOP93"/>
      <c r="AOQ93"/>
      <c r="AOR93"/>
      <c r="AOS93"/>
      <c r="AOT93"/>
      <c r="AOU93"/>
      <c r="AOV93"/>
      <c r="AOW93"/>
      <c r="AOX93"/>
      <c r="AOY93"/>
      <c r="AOZ93"/>
      <c r="APA93"/>
      <c r="APB93"/>
      <c r="APC93"/>
      <c r="APD93"/>
      <c r="APE93"/>
      <c r="APF93"/>
      <c r="APG93"/>
      <c r="APH93"/>
      <c r="API93"/>
      <c r="APJ93"/>
      <c r="APK93"/>
      <c r="APL93"/>
      <c r="APM93"/>
      <c r="APN93"/>
      <c r="APO93"/>
      <c r="APP93"/>
      <c r="APQ93"/>
      <c r="APR93"/>
      <c r="APS93"/>
      <c r="APT93"/>
      <c r="APU93"/>
      <c r="APV93"/>
      <c r="APW93"/>
      <c r="APX93"/>
      <c r="APY93"/>
      <c r="APZ93"/>
      <c r="AQA93"/>
      <c r="AQB93"/>
      <c r="AQC93"/>
      <c r="AQD93"/>
      <c r="AQE93"/>
      <c r="AQF93"/>
      <c r="AQG93"/>
      <c r="AQH93"/>
      <c r="AQI93"/>
      <c r="AQJ93"/>
      <c r="AQK93"/>
      <c r="AQL93"/>
      <c r="AQM93"/>
      <c r="AQN93"/>
      <c r="AQO93"/>
      <c r="AQP93"/>
      <c r="AQQ93"/>
      <c r="AQR93"/>
      <c r="AQS93"/>
      <c r="AQT93"/>
      <c r="AQU93"/>
      <c r="AQV93"/>
      <c r="AQW93"/>
      <c r="AQX93"/>
      <c r="AQY93"/>
      <c r="AQZ93"/>
      <c r="ARA93"/>
      <c r="ARB93"/>
      <c r="ARC93"/>
      <c r="ARD93"/>
      <c r="ARE93"/>
      <c r="ARF93"/>
      <c r="ARG93"/>
      <c r="ARH93"/>
      <c r="ARI93"/>
      <c r="ARJ93"/>
      <c r="ARK93"/>
      <c r="ARL93"/>
      <c r="ARM93"/>
      <c r="ARN93"/>
      <c r="ARO93"/>
      <c r="ARP93"/>
      <c r="ARQ93"/>
      <c r="ARR93"/>
      <c r="ARS93"/>
      <c r="ART93"/>
      <c r="ARU93"/>
      <c r="ARV93"/>
      <c r="ARW93"/>
      <c r="ARX93"/>
      <c r="ARY93"/>
      <c r="ARZ93"/>
      <c r="ASA93"/>
      <c r="ASB93"/>
      <c r="ASC93"/>
      <c r="ASD93"/>
      <c r="ASE93"/>
      <c r="ASF93"/>
      <c r="ASG93"/>
      <c r="ASH93"/>
      <c r="ASI93"/>
      <c r="ASJ93"/>
      <c r="ASK93"/>
      <c r="ASL93"/>
      <c r="ASM93"/>
      <c r="ASN93"/>
      <c r="ASO93"/>
      <c r="ASP93"/>
      <c r="ASQ93"/>
      <c r="ASR93"/>
      <c r="ASS93"/>
      <c r="AST93"/>
      <c r="ASU93"/>
      <c r="ASV93"/>
      <c r="ASW93"/>
      <c r="ASX93"/>
      <c r="ASY93"/>
      <c r="ASZ93"/>
      <c r="ATA93"/>
      <c r="ATB93"/>
      <c r="ATC93"/>
      <c r="ATD93"/>
      <c r="ATE93"/>
      <c r="ATF93"/>
      <c r="ATG93"/>
      <c r="ATH93"/>
      <c r="ATI93"/>
      <c r="ATJ93"/>
      <c r="ATK93"/>
      <c r="ATL93"/>
      <c r="ATM93"/>
      <c r="ATN93"/>
      <c r="ATO93"/>
      <c r="ATP93"/>
      <c r="ATQ93"/>
      <c r="ATR93"/>
      <c r="ATS93"/>
      <c r="ATT93"/>
      <c r="ATU93"/>
      <c r="ATV93"/>
      <c r="ATW93"/>
      <c r="ATX93"/>
      <c r="ATY93"/>
      <c r="ATZ93"/>
      <c r="AUA93"/>
      <c r="AUB93"/>
      <c r="AUC93"/>
      <c r="AUD93"/>
      <c r="AUE93"/>
      <c r="AUF93"/>
      <c r="AUG93"/>
      <c r="AUH93"/>
      <c r="AUI93"/>
      <c r="AUJ93"/>
      <c r="AUK93"/>
      <c r="AUL93"/>
      <c r="AUM93"/>
      <c r="AUN93"/>
      <c r="AUO93"/>
      <c r="AUP93"/>
      <c r="AUQ93"/>
      <c r="AUR93"/>
      <c r="AUS93"/>
      <c r="AUT93"/>
      <c r="AUU93"/>
      <c r="AUV93"/>
      <c r="AUW93"/>
      <c r="AUX93"/>
      <c r="AUY93"/>
      <c r="AUZ93"/>
      <c r="AVA93"/>
      <c r="AVB93"/>
      <c r="AVC93"/>
      <c r="AVD93"/>
      <c r="AVE93"/>
      <c r="AVF93"/>
      <c r="AVG93"/>
      <c r="AVH93"/>
      <c r="AVI93"/>
      <c r="AVJ93"/>
      <c r="AVK93"/>
      <c r="AVL93"/>
      <c r="AVM93"/>
      <c r="AVN93"/>
      <c r="AVO93"/>
      <c r="AVP93"/>
      <c r="AVQ93"/>
      <c r="AVR93"/>
      <c r="AVS93"/>
      <c r="AVT93"/>
      <c r="AVU93"/>
      <c r="AVV93"/>
      <c r="AVW93"/>
      <c r="AVX93"/>
      <c r="AVY93"/>
      <c r="AVZ93"/>
      <c r="AWA93"/>
      <c r="AWB93"/>
      <c r="AWC93"/>
      <c r="AWD93"/>
      <c r="AWE93"/>
      <c r="AWF93"/>
      <c r="AWG93"/>
      <c r="AWH93"/>
      <c r="AWI93"/>
      <c r="AWJ93"/>
      <c r="AWK93"/>
      <c r="AWL93"/>
      <c r="AWM93"/>
      <c r="AWN93"/>
      <c r="AWO93"/>
      <c r="AWP93"/>
      <c r="AWQ93"/>
      <c r="AWR93"/>
      <c r="AWS93"/>
      <c r="AWT93"/>
      <c r="AWU93"/>
      <c r="AWV93"/>
      <c r="AWW93"/>
      <c r="AWX93"/>
      <c r="AWY93"/>
      <c r="AWZ93"/>
      <c r="AXA93"/>
      <c r="AXB93"/>
      <c r="AXC93"/>
      <c r="AXD93"/>
      <c r="AXE93"/>
      <c r="AXF93"/>
      <c r="AXG93"/>
      <c r="AXH93"/>
      <c r="AXI93"/>
      <c r="AXJ93"/>
      <c r="AXK93"/>
      <c r="AXL93"/>
      <c r="AXM93"/>
      <c r="AXN93"/>
      <c r="AXO93"/>
      <c r="AXP93"/>
      <c r="AXQ93"/>
      <c r="AXR93"/>
      <c r="AXS93"/>
      <c r="AXT93"/>
      <c r="AXU93"/>
      <c r="AXV93"/>
      <c r="AXW93"/>
      <c r="AXX93"/>
      <c r="AXY93"/>
      <c r="AXZ93"/>
      <c r="AYA93"/>
      <c r="AYB93"/>
      <c r="AYC93"/>
      <c r="AYD93"/>
      <c r="AYE93"/>
      <c r="AYF93"/>
      <c r="AYG93"/>
      <c r="AYH93"/>
      <c r="AYI93"/>
      <c r="AYJ93"/>
      <c r="AYK93"/>
      <c r="AYL93"/>
      <c r="AYM93"/>
      <c r="AYN93"/>
      <c r="AYO93"/>
      <c r="AYP93"/>
      <c r="AYQ93"/>
      <c r="AYR93"/>
      <c r="AYS93"/>
      <c r="AYT93"/>
      <c r="AYU93"/>
      <c r="AYV93"/>
      <c r="AYW93"/>
      <c r="AYX93"/>
      <c r="AYY93"/>
      <c r="AYZ93"/>
      <c r="AZA93"/>
      <c r="AZB93"/>
      <c r="AZC93"/>
      <c r="AZD93"/>
      <c r="AZE93"/>
      <c r="AZF93"/>
      <c r="AZG93"/>
      <c r="AZH93"/>
      <c r="AZI93"/>
      <c r="AZJ93"/>
      <c r="AZK93"/>
      <c r="AZL93"/>
      <c r="AZM93"/>
      <c r="AZN93"/>
      <c r="AZO93"/>
      <c r="AZP93"/>
      <c r="AZQ93"/>
      <c r="AZR93"/>
      <c r="AZS93"/>
      <c r="AZT93"/>
      <c r="AZU93"/>
      <c r="AZV93"/>
      <c r="AZW93"/>
      <c r="AZX93"/>
      <c r="AZY93"/>
      <c r="AZZ93"/>
      <c r="BAA93"/>
      <c r="BAB93"/>
      <c r="BAC93"/>
      <c r="BAD93"/>
      <c r="BAE93"/>
      <c r="BAF93"/>
      <c r="BAG93"/>
      <c r="BAH93"/>
      <c r="BAI93"/>
      <c r="BAJ93"/>
      <c r="BAK93"/>
      <c r="BAL93"/>
      <c r="BAM93"/>
      <c r="BAN93"/>
      <c r="BAO93"/>
      <c r="BAP93"/>
      <c r="BAQ93"/>
      <c r="BAR93"/>
      <c r="BAS93"/>
      <c r="BAT93"/>
      <c r="BAU93"/>
      <c r="BAV93"/>
      <c r="BAW93"/>
      <c r="BAX93"/>
      <c r="BAY93"/>
      <c r="BAZ93"/>
      <c r="BBA93"/>
      <c r="BBB93"/>
      <c r="BBC93"/>
      <c r="BBD93"/>
      <c r="BBE93"/>
      <c r="BBF93"/>
      <c r="BBG93"/>
      <c r="BBH93"/>
      <c r="BBI93"/>
      <c r="BBJ93"/>
      <c r="BBK93"/>
      <c r="BBL93"/>
      <c r="BBM93"/>
      <c r="BBN93"/>
      <c r="BBO93"/>
      <c r="BBP93"/>
      <c r="BBQ93"/>
      <c r="BBR93"/>
      <c r="BBS93"/>
      <c r="BBT93"/>
      <c r="BBU93"/>
      <c r="BBV93"/>
      <c r="BBW93"/>
      <c r="BBX93"/>
      <c r="BBY93"/>
      <c r="BBZ93"/>
      <c r="BCA93"/>
      <c r="BCB93"/>
      <c r="BCC93"/>
      <c r="BCD93"/>
      <c r="BCE93"/>
      <c r="BCF93"/>
      <c r="BCG93"/>
      <c r="BCH93"/>
      <c r="BCI93"/>
      <c r="BCJ93"/>
      <c r="BCK93"/>
      <c r="BCL93"/>
      <c r="BCM93"/>
      <c r="BCN93"/>
      <c r="BCO93"/>
      <c r="BCP93"/>
      <c r="BCQ93"/>
      <c r="BCR93"/>
      <c r="BCS93"/>
      <c r="BCT93"/>
      <c r="BCU93"/>
      <c r="BCV93"/>
      <c r="BCW93"/>
      <c r="BCX93"/>
      <c r="BCY93"/>
      <c r="BCZ93"/>
      <c r="BDA93"/>
      <c r="BDB93"/>
      <c r="BDC93"/>
      <c r="BDD93"/>
      <c r="BDE93"/>
      <c r="BDF93"/>
      <c r="BDG93"/>
      <c r="BDH93"/>
      <c r="BDI93"/>
      <c r="BDJ93"/>
      <c r="BDK93"/>
      <c r="BDL93"/>
      <c r="BDM93"/>
      <c r="BDN93"/>
      <c r="BDO93"/>
      <c r="BDP93"/>
      <c r="BDQ93"/>
      <c r="BDR93"/>
      <c r="BDS93"/>
      <c r="BDT93"/>
      <c r="BDU93"/>
      <c r="BDV93"/>
      <c r="BDW93"/>
      <c r="BDX93"/>
      <c r="BDY93"/>
      <c r="BDZ93"/>
      <c r="BEA93"/>
      <c r="BEB93"/>
      <c r="BEC93"/>
      <c r="BED93"/>
      <c r="BEE93"/>
      <c r="BEF93"/>
      <c r="BEG93"/>
      <c r="BEH93"/>
      <c r="BEI93"/>
      <c r="BEJ93"/>
      <c r="BEK93"/>
      <c r="BEL93"/>
      <c r="BEM93"/>
      <c r="BEN93"/>
      <c r="BEO93"/>
      <c r="BEP93"/>
      <c r="BEQ93"/>
      <c r="BER93"/>
      <c r="BES93"/>
      <c r="BET93"/>
      <c r="BEU93"/>
      <c r="BEV93"/>
      <c r="BEW93"/>
      <c r="BEX93"/>
      <c r="BEY93"/>
      <c r="BEZ93"/>
      <c r="BFA93"/>
      <c r="BFB93"/>
      <c r="BFC93"/>
      <c r="BFD93"/>
      <c r="BFE93"/>
      <c r="BFF93"/>
      <c r="BFG93"/>
      <c r="BFH93"/>
      <c r="BFI93"/>
      <c r="BFJ93"/>
      <c r="BFK93"/>
      <c r="BFL93"/>
      <c r="BFM93"/>
      <c r="BFN93"/>
      <c r="BFO93"/>
      <c r="BFP93"/>
      <c r="BFQ93"/>
      <c r="BFR93"/>
      <c r="BFS93"/>
      <c r="BFT93"/>
      <c r="BFU93"/>
      <c r="BFV93"/>
      <c r="BFW93"/>
      <c r="BFX93"/>
      <c r="BFY93"/>
      <c r="BFZ93"/>
      <c r="BGA93"/>
      <c r="BGB93"/>
      <c r="BGC93"/>
      <c r="BGD93"/>
      <c r="BGE93"/>
      <c r="BGF93"/>
      <c r="BGG93"/>
      <c r="BGH93"/>
      <c r="BGI93"/>
      <c r="BGJ93"/>
      <c r="BGK93"/>
      <c r="BGL93"/>
      <c r="BGM93"/>
      <c r="BGN93"/>
      <c r="BGO93"/>
      <c r="BGP93"/>
      <c r="BGQ93"/>
      <c r="BGR93"/>
      <c r="BGS93"/>
      <c r="BGT93"/>
      <c r="BGU93"/>
      <c r="BGV93"/>
      <c r="BGW93"/>
      <c r="BGX93"/>
      <c r="BGY93"/>
      <c r="BGZ93"/>
      <c r="BHA93"/>
      <c r="BHB93"/>
      <c r="BHC93"/>
      <c r="BHD93"/>
      <c r="BHE93"/>
      <c r="BHF93"/>
      <c r="BHG93"/>
      <c r="BHH93"/>
      <c r="BHI93"/>
      <c r="BHJ93"/>
      <c r="BHK93"/>
      <c r="BHL93"/>
      <c r="BHM93"/>
      <c r="BHN93"/>
      <c r="BHO93"/>
      <c r="BHP93"/>
      <c r="BHQ93"/>
      <c r="BHR93"/>
      <c r="BHS93"/>
      <c r="BHT93"/>
      <c r="BHU93"/>
      <c r="BHV93"/>
      <c r="BHW93"/>
      <c r="BHX93"/>
      <c r="BHY93"/>
      <c r="BHZ93"/>
      <c r="BIA93"/>
      <c r="BIB93"/>
      <c r="BIC93"/>
      <c r="BID93"/>
      <c r="BIE93"/>
      <c r="BIF93"/>
      <c r="BIG93"/>
      <c r="BIH93"/>
      <c r="BII93"/>
      <c r="BIJ93"/>
      <c r="BIK93"/>
      <c r="BIL93"/>
      <c r="BIM93"/>
      <c r="BIN93"/>
      <c r="BIO93"/>
      <c r="BIP93"/>
      <c r="BIQ93"/>
      <c r="BIR93"/>
      <c r="BIS93"/>
      <c r="BIT93"/>
      <c r="BIU93"/>
      <c r="BIV93"/>
      <c r="BIW93"/>
      <c r="BIX93"/>
      <c r="BIY93"/>
      <c r="BIZ93"/>
      <c r="BJA93"/>
      <c r="BJB93"/>
      <c r="BJC93"/>
      <c r="BJD93"/>
      <c r="BJE93"/>
      <c r="BJF93"/>
      <c r="BJG93"/>
      <c r="BJH93"/>
      <c r="BJI93"/>
      <c r="BJJ93"/>
      <c r="BJK93"/>
      <c r="BJL93"/>
      <c r="BJM93"/>
      <c r="BJN93"/>
      <c r="BJO93"/>
      <c r="BJP93"/>
      <c r="BJQ93"/>
      <c r="BJR93"/>
      <c r="BJS93"/>
      <c r="BJT93"/>
      <c r="BJU93"/>
      <c r="BJV93"/>
      <c r="BJW93"/>
      <c r="BJX93"/>
      <c r="BJY93"/>
      <c r="BJZ93"/>
      <c r="BKA93"/>
      <c r="BKB93"/>
      <c r="BKC93"/>
      <c r="BKD93"/>
      <c r="BKE93"/>
      <c r="BKF93"/>
      <c r="BKG93"/>
      <c r="BKH93"/>
      <c r="BKI93"/>
      <c r="BKJ93"/>
      <c r="BKK93"/>
      <c r="BKL93"/>
      <c r="BKM93"/>
      <c r="BKN93"/>
      <c r="BKO93"/>
      <c r="BKP93"/>
      <c r="BKQ93"/>
      <c r="BKR93"/>
      <c r="BKS93"/>
      <c r="BKT93"/>
      <c r="BKU93"/>
      <c r="BKV93"/>
      <c r="BKW93"/>
      <c r="BKX93"/>
      <c r="BKY93"/>
      <c r="BKZ93"/>
      <c r="BLA93"/>
      <c r="BLB93"/>
      <c r="BLC93"/>
      <c r="BLD93"/>
      <c r="BLE93"/>
      <c r="BLF93"/>
      <c r="BLG93"/>
      <c r="BLH93"/>
      <c r="BLI93"/>
      <c r="BLJ93"/>
      <c r="BLK93"/>
      <c r="BLL93"/>
      <c r="BLM93"/>
      <c r="BLN93"/>
      <c r="BLO93"/>
      <c r="BLP93"/>
      <c r="BLQ93"/>
      <c r="BLR93"/>
      <c r="BLS93"/>
      <c r="BLT93"/>
      <c r="BLU93"/>
      <c r="BLV93"/>
      <c r="BLW93"/>
      <c r="BLX93"/>
      <c r="BLY93"/>
      <c r="BLZ93"/>
      <c r="BMA93"/>
      <c r="BMB93"/>
      <c r="BMC93"/>
      <c r="BMD93"/>
      <c r="BME93"/>
      <c r="BMF93"/>
      <c r="BMG93"/>
      <c r="BMH93"/>
      <c r="BMI93"/>
      <c r="BMJ93"/>
      <c r="BMK93"/>
      <c r="BML93"/>
      <c r="BMM93"/>
      <c r="BMN93"/>
      <c r="BMO93"/>
      <c r="BMP93"/>
      <c r="BMQ93"/>
      <c r="BMR93"/>
      <c r="BMS93"/>
      <c r="BMT93"/>
      <c r="BMU93"/>
      <c r="BMV93"/>
      <c r="BMW93"/>
      <c r="BMX93"/>
      <c r="BMY93"/>
      <c r="BMZ93"/>
      <c r="BNA93"/>
      <c r="BNB93"/>
      <c r="BNC93"/>
      <c r="BND93"/>
      <c r="BNE93"/>
      <c r="BNF93"/>
      <c r="BNG93"/>
      <c r="BNH93"/>
      <c r="BNI93"/>
      <c r="BNJ93"/>
      <c r="BNK93"/>
      <c r="BNL93"/>
      <c r="BNM93"/>
      <c r="BNN93"/>
      <c r="BNO93"/>
      <c r="BNP93"/>
      <c r="BNQ93"/>
      <c r="BNR93"/>
      <c r="BNS93"/>
      <c r="BNT93"/>
      <c r="BNU93"/>
      <c r="BNV93"/>
      <c r="BNW93"/>
      <c r="BNX93"/>
      <c r="BNY93"/>
      <c r="BNZ93"/>
      <c r="BOA93"/>
      <c r="BOB93"/>
      <c r="BOC93"/>
      <c r="BOD93"/>
      <c r="BOE93"/>
      <c r="BOF93"/>
      <c r="BOG93"/>
      <c r="BOH93"/>
      <c r="BOI93"/>
      <c r="BOJ93"/>
      <c r="BOK93"/>
      <c r="BOL93"/>
      <c r="BOM93"/>
      <c r="BON93"/>
      <c r="BOO93"/>
      <c r="BOP93"/>
      <c r="BOQ93"/>
      <c r="BOR93"/>
      <c r="BOS93"/>
      <c r="BOT93"/>
      <c r="BOU93"/>
      <c r="BOV93"/>
      <c r="BOW93"/>
      <c r="BOX93"/>
      <c r="BOY93"/>
      <c r="BOZ93"/>
      <c r="BPA93"/>
      <c r="BPB93"/>
      <c r="BPC93"/>
      <c r="BPD93"/>
      <c r="BPE93"/>
      <c r="BPF93"/>
      <c r="BPG93"/>
      <c r="BPH93"/>
      <c r="BPI93"/>
      <c r="BPJ93"/>
      <c r="BPK93"/>
      <c r="BPL93"/>
      <c r="BPM93"/>
      <c r="BPN93"/>
      <c r="BPO93"/>
      <c r="BPP93"/>
      <c r="BPQ93"/>
      <c r="BPR93"/>
      <c r="BPS93"/>
      <c r="BPT93"/>
      <c r="BPU93"/>
      <c r="BPV93"/>
      <c r="BPW93"/>
      <c r="BPX93"/>
      <c r="BPY93"/>
      <c r="BPZ93"/>
      <c r="BQA93"/>
      <c r="BQB93"/>
      <c r="BQC93"/>
      <c r="BQD93"/>
      <c r="BQE93"/>
      <c r="BQF93"/>
      <c r="BQG93"/>
      <c r="BQH93"/>
      <c r="BQI93"/>
      <c r="BQJ93"/>
      <c r="BQK93"/>
      <c r="BQL93"/>
      <c r="BQM93"/>
      <c r="BQN93"/>
      <c r="BQO93"/>
      <c r="BQP93"/>
      <c r="BQQ93"/>
      <c r="BQR93"/>
      <c r="BQS93"/>
      <c r="BQT93"/>
      <c r="BQU93"/>
      <c r="BQV93"/>
      <c r="BQW93"/>
      <c r="BQX93"/>
      <c r="BQY93"/>
      <c r="BQZ93"/>
      <c r="BRA93"/>
      <c r="BRB93"/>
      <c r="BRC93"/>
      <c r="BRD93"/>
      <c r="BRE93"/>
      <c r="BRF93"/>
      <c r="BRG93"/>
      <c r="BRH93"/>
      <c r="BRI93"/>
      <c r="BRJ93"/>
      <c r="BRK93"/>
      <c r="BRL93"/>
      <c r="BRM93"/>
      <c r="BRN93"/>
      <c r="BRO93"/>
      <c r="BRP93"/>
      <c r="BRQ93"/>
      <c r="BRR93"/>
      <c r="BRS93"/>
      <c r="BRT93"/>
      <c r="BRU93"/>
      <c r="BRV93"/>
      <c r="BRW93"/>
      <c r="BRX93"/>
      <c r="BRY93"/>
      <c r="BRZ93"/>
      <c r="BSA93"/>
      <c r="BSB93"/>
      <c r="BSC93"/>
      <c r="BSD93"/>
      <c r="BSE93"/>
      <c r="BSF93"/>
      <c r="BSG93"/>
      <c r="BSH93"/>
      <c r="BSI93"/>
      <c r="BSJ93"/>
      <c r="BSK93"/>
      <c r="BSL93"/>
      <c r="BSM93"/>
      <c r="BSN93"/>
      <c r="BSO93"/>
      <c r="BSP93"/>
      <c r="BSQ93"/>
      <c r="BSR93"/>
      <c r="BSS93"/>
      <c r="BST93"/>
      <c r="BSU93"/>
      <c r="BSV93"/>
      <c r="BSW93"/>
      <c r="BSX93"/>
      <c r="BSY93"/>
      <c r="BSZ93"/>
      <c r="BTA93"/>
      <c r="BTB93"/>
      <c r="BTC93"/>
      <c r="BTD93"/>
      <c r="BTE93"/>
      <c r="BTF93"/>
      <c r="BTG93"/>
      <c r="BTH93"/>
      <c r="BTI93"/>
      <c r="BTJ93"/>
      <c r="BTK93"/>
      <c r="BTL93"/>
      <c r="BTM93"/>
      <c r="BTN93"/>
      <c r="BTO93"/>
      <c r="BTP93"/>
      <c r="BTQ93"/>
      <c r="BTR93"/>
      <c r="BTS93"/>
      <c r="BTT93"/>
      <c r="BTU93"/>
      <c r="BTV93"/>
      <c r="BTW93"/>
      <c r="BTX93"/>
      <c r="BTY93"/>
      <c r="BTZ93"/>
      <c r="BUA93"/>
      <c r="BUB93"/>
      <c r="BUC93"/>
      <c r="BUD93"/>
      <c r="BUE93"/>
      <c r="BUF93"/>
      <c r="BUG93"/>
      <c r="BUH93"/>
      <c r="BUI93"/>
      <c r="BUJ93"/>
      <c r="BUK93"/>
      <c r="BUL93"/>
      <c r="BUM93"/>
      <c r="BUN93"/>
      <c r="BUO93"/>
      <c r="BUP93"/>
      <c r="BUQ93"/>
      <c r="BUR93"/>
      <c r="BUS93"/>
      <c r="BUT93"/>
      <c r="BUU93"/>
      <c r="BUV93"/>
      <c r="BUW93"/>
      <c r="BUX93"/>
      <c r="BUY93"/>
      <c r="BUZ93"/>
      <c r="BVA93"/>
      <c r="BVB93"/>
      <c r="BVC93"/>
      <c r="BVD93"/>
      <c r="BVE93"/>
      <c r="BVF93"/>
      <c r="BVG93"/>
      <c r="BVH93"/>
      <c r="BVI93"/>
      <c r="BVJ93"/>
      <c r="BVK93"/>
      <c r="BVL93"/>
      <c r="BVM93"/>
      <c r="BVN93"/>
      <c r="BVO93"/>
      <c r="BVP93"/>
      <c r="BVQ93"/>
      <c r="BVR93"/>
      <c r="BVS93"/>
      <c r="BVT93"/>
      <c r="BVU93"/>
      <c r="BVV93"/>
      <c r="BVW93"/>
      <c r="BVX93"/>
      <c r="BVY93"/>
      <c r="BVZ93"/>
      <c r="BWA93"/>
      <c r="BWB93"/>
      <c r="BWC93"/>
      <c r="BWD93"/>
      <c r="BWE93"/>
      <c r="BWF93"/>
      <c r="BWG93"/>
      <c r="BWH93"/>
      <c r="BWI93"/>
      <c r="BWJ93"/>
      <c r="BWK93"/>
      <c r="BWL93"/>
      <c r="BWM93"/>
      <c r="BWN93"/>
      <c r="BWO93"/>
      <c r="BWP93"/>
      <c r="BWQ93"/>
      <c r="BWR93"/>
      <c r="BWS93"/>
      <c r="BWT93"/>
      <c r="BWU93"/>
      <c r="BWV93"/>
      <c r="BWW93"/>
      <c r="BWX93"/>
      <c r="BWY93"/>
      <c r="BWZ93"/>
      <c r="BXA93"/>
      <c r="BXB93"/>
      <c r="BXC93"/>
      <c r="BXD93"/>
      <c r="BXE93"/>
      <c r="BXF93"/>
      <c r="BXG93"/>
      <c r="BXH93"/>
      <c r="BXI93"/>
      <c r="BXJ93"/>
      <c r="BXK93"/>
      <c r="BXL93"/>
      <c r="BXM93"/>
      <c r="BXN93"/>
      <c r="BXO93"/>
      <c r="BXP93"/>
      <c r="BXQ93"/>
      <c r="BXR93"/>
      <c r="BXS93"/>
      <c r="BXT93"/>
      <c r="BXU93"/>
      <c r="BXV93"/>
      <c r="BXW93"/>
      <c r="BXX93"/>
      <c r="BXY93"/>
      <c r="BXZ93"/>
      <c r="BYA93"/>
      <c r="BYB93"/>
      <c r="BYC93"/>
      <c r="BYD93"/>
      <c r="BYE93"/>
      <c r="BYF93"/>
      <c r="BYG93"/>
      <c r="BYH93"/>
      <c r="BYI93"/>
      <c r="BYJ93"/>
      <c r="BYK93"/>
      <c r="BYL93"/>
      <c r="BYM93"/>
      <c r="BYN93"/>
      <c r="BYO93"/>
      <c r="BYP93"/>
      <c r="BYQ93"/>
      <c r="BYR93"/>
      <c r="BYS93"/>
      <c r="BYT93"/>
      <c r="BYU93"/>
      <c r="BYV93"/>
      <c r="BYW93"/>
      <c r="BYX93"/>
      <c r="BYY93"/>
      <c r="BYZ93"/>
      <c r="BZA93"/>
      <c r="BZB93"/>
      <c r="BZC93"/>
      <c r="BZD93"/>
      <c r="BZE93"/>
      <c r="BZF93"/>
      <c r="BZG93"/>
      <c r="BZH93"/>
      <c r="BZI93"/>
      <c r="BZJ93"/>
      <c r="BZK93"/>
      <c r="BZL93"/>
      <c r="BZM93"/>
      <c r="BZN93"/>
      <c r="BZO93"/>
      <c r="BZP93"/>
      <c r="BZQ93"/>
      <c r="BZR93"/>
      <c r="BZS93"/>
      <c r="BZT93"/>
      <c r="BZU93"/>
      <c r="BZV93"/>
      <c r="BZW93"/>
      <c r="BZX93"/>
      <c r="BZY93"/>
      <c r="BZZ93"/>
      <c r="CAA93"/>
      <c r="CAB93"/>
      <c r="CAC93"/>
      <c r="CAD93"/>
      <c r="CAE93"/>
      <c r="CAF93"/>
      <c r="CAG93"/>
      <c r="CAH93"/>
      <c r="CAI93"/>
      <c r="CAJ93"/>
      <c r="CAK93"/>
      <c r="CAL93"/>
      <c r="CAM93"/>
      <c r="CAN93"/>
      <c r="CAO93"/>
      <c r="CAP93"/>
      <c r="CAQ93"/>
      <c r="CAR93"/>
      <c r="CAS93"/>
      <c r="CAT93"/>
      <c r="CAU93"/>
      <c r="CAV93"/>
      <c r="CAW93"/>
      <c r="CAX93"/>
      <c r="CAY93"/>
      <c r="CAZ93"/>
      <c r="CBA93"/>
      <c r="CBB93"/>
      <c r="CBC93"/>
      <c r="CBD93"/>
      <c r="CBE93"/>
      <c r="CBF93"/>
      <c r="CBG93"/>
      <c r="CBH93"/>
      <c r="CBI93"/>
      <c r="CBJ93"/>
      <c r="CBK93"/>
      <c r="CBL93"/>
      <c r="CBM93"/>
      <c r="CBN93"/>
      <c r="CBO93"/>
      <c r="CBP93"/>
      <c r="CBQ93"/>
      <c r="CBR93"/>
      <c r="CBS93"/>
      <c r="CBT93"/>
      <c r="CBU93"/>
      <c r="CBV93"/>
      <c r="CBW93"/>
      <c r="CBX93"/>
      <c r="CBY93"/>
      <c r="CBZ93"/>
      <c r="CCA93"/>
      <c r="CCB93"/>
      <c r="CCC93"/>
      <c r="CCD93"/>
      <c r="CCE93"/>
      <c r="CCF93"/>
      <c r="CCG93"/>
      <c r="CCH93"/>
      <c r="CCI93"/>
      <c r="CCJ93"/>
      <c r="CCK93"/>
      <c r="CCL93"/>
      <c r="CCM93"/>
      <c r="CCN93"/>
      <c r="CCO93"/>
      <c r="CCP93"/>
      <c r="CCQ93"/>
      <c r="CCR93"/>
      <c r="CCS93"/>
      <c r="CCT93"/>
      <c r="CCU93"/>
      <c r="CCV93"/>
      <c r="CCW93"/>
      <c r="CCX93"/>
      <c r="CCY93"/>
      <c r="CCZ93"/>
      <c r="CDA93"/>
      <c r="CDB93"/>
      <c r="CDC93"/>
      <c r="CDD93"/>
      <c r="CDE93"/>
      <c r="CDF93"/>
      <c r="CDG93"/>
      <c r="CDH93"/>
      <c r="CDI93"/>
      <c r="CDJ93"/>
      <c r="CDK93"/>
      <c r="CDL93"/>
      <c r="CDM93"/>
      <c r="CDN93"/>
      <c r="CDO93"/>
      <c r="CDP93"/>
      <c r="CDQ93"/>
      <c r="CDR93"/>
      <c r="CDS93"/>
      <c r="CDT93"/>
      <c r="CDU93"/>
      <c r="CDV93"/>
      <c r="CDW93"/>
      <c r="CDX93"/>
      <c r="CDY93"/>
      <c r="CDZ93"/>
      <c r="CEA93"/>
      <c r="CEB93"/>
      <c r="CEC93"/>
      <c r="CED93"/>
      <c r="CEE93"/>
      <c r="CEF93"/>
      <c r="CEG93"/>
      <c r="CEH93"/>
      <c r="CEI93"/>
      <c r="CEJ93"/>
      <c r="CEK93"/>
      <c r="CEL93"/>
      <c r="CEM93"/>
      <c r="CEN93"/>
      <c r="CEO93"/>
      <c r="CEP93"/>
      <c r="CEQ93"/>
      <c r="CER93"/>
      <c r="CES93"/>
      <c r="CET93"/>
      <c r="CEU93"/>
      <c r="CEV93"/>
      <c r="CEW93"/>
      <c r="CEX93"/>
      <c r="CEY93"/>
      <c r="CEZ93"/>
      <c r="CFA93"/>
      <c r="CFB93"/>
      <c r="CFC93"/>
      <c r="CFD93"/>
      <c r="CFE93"/>
      <c r="CFF93"/>
      <c r="CFG93"/>
      <c r="CFH93"/>
      <c r="CFI93"/>
      <c r="CFJ93"/>
      <c r="CFK93"/>
      <c r="CFL93"/>
      <c r="CFM93"/>
      <c r="CFN93"/>
      <c r="CFO93"/>
      <c r="CFP93"/>
      <c r="CFQ93"/>
      <c r="CFR93"/>
      <c r="CFS93"/>
      <c r="CFT93"/>
      <c r="CFU93"/>
      <c r="CFV93"/>
      <c r="CFW93"/>
      <c r="CFX93"/>
      <c r="CFY93"/>
      <c r="CFZ93"/>
      <c r="CGA93"/>
      <c r="CGB93"/>
      <c r="CGC93"/>
      <c r="CGD93"/>
      <c r="CGE93"/>
      <c r="CGF93"/>
      <c r="CGG93"/>
      <c r="CGH93"/>
      <c r="CGI93"/>
      <c r="CGJ93"/>
      <c r="CGK93"/>
      <c r="CGL93"/>
      <c r="CGM93"/>
      <c r="CGN93"/>
      <c r="CGO93"/>
      <c r="CGP93"/>
      <c r="CGQ93"/>
      <c r="CGR93"/>
      <c r="CGS93"/>
      <c r="CGT93"/>
      <c r="CGU93"/>
      <c r="CGV93"/>
      <c r="CGW93"/>
      <c r="CGX93"/>
      <c r="CGY93"/>
      <c r="CGZ93"/>
      <c r="CHA93"/>
      <c r="CHB93"/>
      <c r="CHC93"/>
      <c r="CHD93"/>
      <c r="CHE93"/>
      <c r="CHF93"/>
      <c r="CHG93"/>
      <c r="CHH93"/>
      <c r="CHI93"/>
      <c r="CHJ93"/>
      <c r="CHK93"/>
      <c r="CHL93"/>
      <c r="CHM93"/>
      <c r="CHN93"/>
      <c r="CHO93"/>
      <c r="CHP93"/>
      <c r="CHQ93"/>
      <c r="CHR93"/>
      <c r="CHS93"/>
      <c r="CHT93"/>
      <c r="CHU93"/>
      <c r="CHV93"/>
      <c r="CHW93"/>
      <c r="CHX93"/>
      <c r="CHY93"/>
      <c r="CHZ93"/>
      <c r="CIA93"/>
      <c r="CIB93"/>
      <c r="CIC93"/>
      <c r="CID93"/>
      <c r="CIE93"/>
      <c r="CIF93"/>
      <c r="CIG93"/>
      <c r="CIH93"/>
      <c r="CII93"/>
      <c r="CIJ93"/>
      <c r="CIK93"/>
      <c r="CIL93"/>
      <c r="CIM93"/>
      <c r="CIN93"/>
      <c r="CIO93"/>
      <c r="CIP93"/>
      <c r="CIQ93"/>
      <c r="CIR93"/>
      <c r="CIS93"/>
      <c r="CIT93"/>
      <c r="CIU93"/>
      <c r="CIV93"/>
      <c r="CIW93"/>
      <c r="CIX93"/>
      <c r="CIY93"/>
      <c r="CIZ93"/>
      <c r="CJA93"/>
      <c r="CJB93"/>
      <c r="CJC93"/>
      <c r="CJD93"/>
      <c r="CJE93"/>
      <c r="CJF93"/>
      <c r="CJG93"/>
      <c r="CJH93"/>
      <c r="CJI93"/>
      <c r="CJJ93"/>
      <c r="CJK93"/>
      <c r="CJL93"/>
      <c r="CJM93"/>
      <c r="CJN93"/>
      <c r="CJO93"/>
      <c r="CJP93"/>
      <c r="CJQ93"/>
      <c r="CJR93"/>
      <c r="CJS93"/>
      <c r="CJT93"/>
      <c r="CJU93"/>
      <c r="CJV93"/>
      <c r="CJW93"/>
      <c r="CJX93"/>
      <c r="CJY93"/>
      <c r="CJZ93"/>
      <c r="CKA93"/>
      <c r="CKB93"/>
      <c r="CKC93"/>
      <c r="CKD93"/>
      <c r="CKE93"/>
      <c r="CKF93"/>
      <c r="CKG93"/>
      <c r="CKH93"/>
      <c r="CKI93"/>
      <c r="CKJ93"/>
      <c r="CKK93"/>
      <c r="CKL93"/>
      <c r="CKM93"/>
      <c r="CKN93"/>
      <c r="CKO93"/>
      <c r="CKP93"/>
      <c r="CKQ93"/>
      <c r="CKR93"/>
      <c r="CKS93"/>
      <c r="CKT93"/>
      <c r="CKU93"/>
      <c r="CKV93"/>
      <c r="CKW93"/>
      <c r="CKX93"/>
      <c r="CKY93"/>
      <c r="CKZ93"/>
      <c r="CLA93"/>
      <c r="CLB93"/>
      <c r="CLC93"/>
      <c r="CLD93"/>
      <c r="CLE93"/>
      <c r="CLF93"/>
      <c r="CLG93"/>
      <c r="CLH93"/>
      <c r="CLI93"/>
      <c r="CLJ93"/>
      <c r="CLK93"/>
      <c r="CLL93"/>
      <c r="CLM93"/>
      <c r="CLN93"/>
      <c r="CLO93"/>
      <c r="CLP93"/>
      <c r="CLQ93"/>
      <c r="CLR93"/>
      <c r="CLS93"/>
      <c r="CLT93"/>
      <c r="CLU93"/>
      <c r="CLV93"/>
      <c r="CLW93"/>
      <c r="CLX93"/>
      <c r="CLY93"/>
      <c r="CLZ93"/>
      <c r="CMA93"/>
      <c r="CMB93"/>
      <c r="CMC93"/>
      <c r="CMD93"/>
      <c r="CME93"/>
      <c r="CMF93"/>
      <c r="CMG93"/>
      <c r="CMH93"/>
      <c r="CMI93"/>
      <c r="CMJ93"/>
      <c r="CMK93"/>
      <c r="CML93"/>
      <c r="CMM93"/>
      <c r="CMN93"/>
      <c r="CMO93"/>
      <c r="CMP93"/>
      <c r="CMQ93"/>
      <c r="CMR93"/>
      <c r="CMS93"/>
      <c r="CMT93"/>
      <c r="CMU93"/>
      <c r="CMV93"/>
      <c r="CMW93"/>
      <c r="CMX93"/>
      <c r="CMY93"/>
      <c r="CMZ93"/>
      <c r="CNA93"/>
      <c r="CNB93"/>
      <c r="CNC93"/>
      <c r="CND93"/>
      <c r="CNE93"/>
      <c r="CNF93"/>
      <c r="CNG93"/>
      <c r="CNH93"/>
      <c r="CNI93"/>
      <c r="CNJ93"/>
      <c r="CNK93"/>
      <c r="CNL93"/>
      <c r="CNM93"/>
      <c r="CNN93"/>
      <c r="CNO93"/>
      <c r="CNP93"/>
      <c r="CNQ93"/>
      <c r="CNR93"/>
      <c r="CNS93"/>
      <c r="CNT93"/>
      <c r="CNU93"/>
      <c r="CNV93"/>
      <c r="CNW93"/>
      <c r="CNX93"/>
      <c r="CNY93"/>
      <c r="CNZ93"/>
      <c r="COA93"/>
      <c r="COB93"/>
      <c r="COC93"/>
      <c r="COD93"/>
      <c r="COE93"/>
      <c r="COF93"/>
      <c r="COG93"/>
      <c r="COH93"/>
      <c r="COI93"/>
      <c r="COJ93"/>
      <c r="COK93"/>
      <c r="COL93"/>
      <c r="COM93"/>
      <c r="CON93"/>
      <c r="COO93"/>
      <c r="COP93"/>
      <c r="COQ93"/>
      <c r="COR93"/>
      <c r="COS93"/>
      <c r="COT93"/>
      <c r="COU93"/>
      <c r="COV93"/>
      <c r="COW93"/>
      <c r="COX93"/>
      <c r="COY93"/>
      <c r="COZ93"/>
      <c r="CPA93"/>
      <c r="CPB93"/>
      <c r="CPC93"/>
      <c r="CPD93"/>
      <c r="CPE93"/>
      <c r="CPF93"/>
      <c r="CPG93"/>
      <c r="CPH93"/>
      <c r="CPI93"/>
      <c r="CPJ93"/>
      <c r="CPK93"/>
      <c r="CPL93"/>
      <c r="CPM93"/>
      <c r="CPN93"/>
      <c r="CPO93"/>
      <c r="CPP93"/>
      <c r="CPQ93"/>
      <c r="CPR93"/>
      <c r="CPS93"/>
      <c r="CPT93"/>
      <c r="CPU93"/>
      <c r="CPV93"/>
      <c r="CPW93"/>
      <c r="CPX93"/>
      <c r="CPY93"/>
      <c r="CPZ93"/>
      <c r="CQA93"/>
      <c r="CQB93"/>
      <c r="CQC93"/>
      <c r="CQD93"/>
      <c r="CQE93"/>
      <c r="CQF93"/>
      <c r="CQG93"/>
      <c r="CQH93"/>
      <c r="CQI93"/>
      <c r="CQJ93"/>
      <c r="CQK93"/>
      <c r="CQL93"/>
      <c r="CQM93"/>
      <c r="CQN93"/>
      <c r="CQO93"/>
      <c r="CQP93"/>
      <c r="CQQ93"/>
      <c r="CQR93"/>
      <c r="CQS93"/>
      <c r="CQT93"/>
      <c r="CQU93"/>
      <c r="CQV93"/>
      <c r="CQW93"/>
      <c r="CQX93"/>
      <c r="CQY93"/>
      <c r="CQZ93"/>
      <c r="CRA93"/>
      <c r="CRB93"/>
      <c r="CRC93"/>
      <c r="CRD93"/>
      <c r="CRE93"/>
      <c r="CRF93"/>
      <c r="CRG93"/>
      <c r="CRH93"/>
      <c r="CRI93"/>
      <c r="CRJ93"/>
      <c r="CRK93"/>
      <c r="CRL93"/>
      <c r="CRM93"/>
      <c r="CRN93"/>
      <c r="CRO93"/>
      <c r="CRP93"/>
      <c r="CRQ93"/>
      <c r="CRR93"/>
      <c r="CRS93"/>
      <c r="CRT93"/>
      <c r="CRU93"/>
      <c r="CRV93"/>
      <c r="CRW93"/>
      <c r="CRX93"/>
      <c r="CRY93"/>
      <c r="CRZ93"/>
      <c r="CSA93"/>
      <c r="CSB93"/>
      <c r="CSC93"/>
      <c r="CSD93"/>
      <c r="CSE93"/>
      <c r="CSF93"/>
      <c r="CSG93"/>
      <c r="CSH93"/>
      <c r="CSI93"/>
      <c r="CSJ93"/>
      <c r="CSK93"/>
      <c r="CSL93"/>
      <c r="CSM93"/>
      <c r="CSN93"/>
      <c r="CSO93"/>
      <c r="CSP93"/>
      <c r="CSQ93"/>
      <c r="CSR93"/>
      <c r="CSS93"/>
      <c r="CST93"/>
      <c r="CSU93"/>
      <c r="CSV93"/>
      <c r="CSW93"/>
      <c r="CSX93"/>
      <c r="CSY93"/>
      <c r="CSZ93"/>
      <c r="CTA93"/>
      <c r="CTB93"/>
      <c r="CTC93"/>
      <c r="CTD93"/>
      <c r="CTE93"/>
      <c r="CTF93"/>
      <c r="CTG93"/>
      <c r="CTH93"/>
      <c r="CTI93"/>
      <c r="CTJ93"/>
      <c r="CTK93"/>
      <c r="CTL93"/>
      <c r="CTM93"/>
      <c r="CTN93"/>
      <c r="CTO93"/>
      <c r="CTP93"/>
      <c r="CTQ93"/>
      <c r="CTR93"/>
      <c r="CTS93"/>
      <c r="CTT93"/>
      <c r="CTU93"/>
      <c r="CTV93"/>
      <c r="CTW93"/>
      <c r="CTX93"/>
      <c r="CTY93"/>
      <c r="CTZ93"/>
      <c r="CUA93"/>
      <c r="CUB93"/>
      <c r="CUC93"/>
      <c r="CUD93"/>
      <c r="CUE93"/>
      <c r="CUF93"/>
      <c r="CUG93"/>
      <c r="CUH93"/>
      <c r="CUI93"/>
      <c r="CUJ93"/>
      <c r="CUK93"/>
      <c r="CUL93"/>
      <c r="CUM93"/>
      <c r="CUN93"/>
      <c r="CUO93"/>
      <c r="CUP93"/>
      <c r="CUQ93"/>
      <c r="CUR93"/>
      <c r="CUS93"/>
      <c r="CUT93"/>
      <c r="CUU93"/>
      <c r="CUV93"/>
      <c r="CUW93"/>
      <c r="CUX93"/>
      <c r="CUY93"/>
      <c r="CUZ93"/>
      <c r="CVA93"/>
      <c r="CVB93"/>
      <c r="CVC93"/>
      <c r="CVD93"/>
      <c r="CVE93"/>
      <c r="CVF93"/>
      <c r="CVG93"/>
      <c r="CVH93"/>
      <c r="CVI93"/>
      <c r="CVJ93"/>
      <c r="CVK93"/>
      <c r="CVL93"/>
      <c r="CVM93"/>
      <c r="CVN93"/>
      <c r="CVO93"/>
      <c r="CVP93"/>
      <c r="CVQ93"/>
      <c r="CVR93"/>
      <c r="CVS93"/>
      <c r="CVT93"/>
      <c r="CVU93"/>
      <c r="CVV93"/>
      <c r="CVW93"/>
      <c r="CVX93"/>
      <c r="CVY93"/>
      <c r="CVZ93"/>
      <c r="CWA93"/>
      <c r="CWB93"/>
      <c r="CWC93"/>
      <c r="CWD93"/>
      <c r="CWE93"/>
      <c r="CWF93"/>
      <c r="CWG93"/>
      <c r="CWH93"/>
      <c r="CWI93"/>
      <c r="CWJ93"/>
      <c r="CWK93"/>
      <c r="CWL93"/>
      <c r="CWM93"/>
      <c r="CWN93"/>
      <c r="CWO93"/>
      <c r="CWP93"/>
      <c r="CWQ93"/>
      <c r="CWR93"/>
      <c r="CWS93"/>
      <c r="CWT93"/>
      <c r="CWU93"/>
      <c r="CWV93"/>
      <c r="CWW93"/>
      <c r="CWX93"/>
      <c r="CWY93"/>
      <c r="CWZ93"/>
      <c r="CXA93"/>
      <c r="CXB93"/>
      <c r="CXC93"/>
      <c r="CXD93"/>
      <c r="CXE93"/>
      <c r="CXF93"/>
      <c r="CXG93"/>
      <c r="CXH93"/>
      <c r="CXI93"/>
      <c r="CXJ93"/>
      <c r="CXK93"/>
      <c r="CXL93"/>
      <c r="CXM93"/>
      <c r="CXN93"/>
      <c r="CXO93"/>
      <c r="CXP93"/>
      <c r="CXQ93"/>
      <c r="CXR93"/>
      <c r="CXS93"/>
      <c r="CXT93"/>
      <c r="CXU93"/>
      <c r="CXV93"/>
      <c r="CXW93"/>
      <c r="CXX93"/>
      <c r="CXY93"/>
      <c r="CXZ93"/>
      <c r="CYA93"/>
      <c r="CYB93"/>
      <c r="CYC93"/>
      <c r="CYD93"/>
      <c r="CYE93"/>
      <c r="CYF93"/>
      <c r="CYG93"/>
      <c r="CYH93"/>
      <c r="CYI93"/>
      <c r="CYJ93"/>
      <c r="CYK93"/>
      <c r="CYL93"/>
      <c r="CYM93"/>
      <c r="CYN93"/>
      <c r="CYO93"/>
      <c r="CYP93"/>
      <c r="CYQ93"/>
      <c r="CYR93"/>
      <c r="CYS93"/>
      <c r="CYT93"/>
      <c r="CYU93"/>
      <c r="CYV93"/>
      <c r="CYW93"/>
      <c r="CYX93"/>
      <c r="CYY93"/>
      <c r="CYZ93"/>
      <c r="CZA93"/>
      <c r="CZB93"/>
      <c r="CZC93"/>
      <c r="CZD93"/>
      <c r="CZE93"/>
      <c r="CZF93"/>
      <c r="CZG93"/>
      <c r="CZH93"/>
      <c r="CZI93"/>
      <c r="CZJ93"/>
      <c r="CZK93"/>
      <c r="CZL93"/>
      <c r="CZM93"/>
      <c r="CZN93"/>
      <c r="CZO93"/>
      <c r="CZP93"/>
      <c r="CZQ93"/>
      <c r="CZR93"/>
      <c r="CZS93"/>
      <c r="CZT93"/>
      <c r="CZU93"/>
      <c r="CZV93"/>
      <c r="CZW93"/>
      <c r="CZX93"/>
      <c r="CZY93"/>
      <c r="CZZ93"/>
      <c r="DAA93"/>
      <c r="DAB93"/>
      <c r="DAC93"/>
      <c r="DAD93"/>
      <c r="DAE93"/>
      <c r="DAF93"/>
      <c r="DAG93"/>
      <c r="DAH93"/>
      <c r="DAI93"/>
      <c r="DAJ93"/>
      <c r="DAK93"/>
      <c r="DAL93"/>
      <c r="DAM93"/>
      <c r="DAN93"/>
      <c r="DAO93"/>
      <c r="DAP93"/>
      <c r="DAQ93"/>
      <c r="DAR93"/>
      <c r="DAS93"/>
      <c r="DAT93"/>
      <c r="DAU93"/>
      <c r="DAV93"/>
      <c r="DAW93"/>
      <c r="DAX93"/>
      <c r="DAY93"/>
      <c r="DAZ93"/>
      <c r="DBA93"/>
      <c r="DBB93"/>
      <c r="DBC93"/>
      <c r="DBD93"/>
      <c r="DBE93"/>
      <c r="DBF93"/>
      <c r="DBG93"/>
      <c r="DBH93"/>
      <c r="DBI93"/>
      <c r="DBJ93"/>
      <c r="DBK93"/>
      <c r="DBL93"/>
      <c r="DBM93"/>
      <c r="DBN93"/>
      <c r="DBO93"/>
      <c r="DBP93"/>
      <c r="DBQ93"/>
      <c r="DBR93"/>
      <c r="DBS93"/>
      <c r="DBT93"/>
      <c r="DBU93"/>
      <c r="DBV93"/>
      <c r="DBW93"/>
      <c r="DBX93"/>
      <c r="DBY93"/>
      <c r="DBZ93"/>
      <c r="DCA93"/>
      <c r="DCB93"/>
      <c r="DCC93"/>
      <c r="DCD93"/>
      <c r="DCE93"/>
      <c r="DCF93"/>
      <c r="DCG93"/>
      <c r="DCH93"/>
      <c r="DCI93"/>
      <c r="DCJ93"/>
      <c r="DCK93"/>
      <c r="DCL93"/>
      <c r="DCM93"/>
      <c r="DCN93"/>
      <c r="DCO93"/>
      <c r="DCP93"/>
      <c r="DCQ93"/>
      <c r="DCR93"/>
      <c r="DCS93"/>
      <c r="DCT93"/>
      <c r="DCU93"/>
      <c r="DCV93"/>
      <c r="DCW93"/>
      <c r="DCX93"/>
      <c r="DCY93"/>
      <c r="DCZ93"/>
      <c r="DDA93"/>
      <c r="DDB93"/>
      <c r="DDC93"/>
      <c r="DDD93"/>
      <c r="DDE93"/>
      <c r="DDF93"/>
      <c r="DDG93"/>
      <c r="DDH93"/>
      <c r="DDI93"/>
      <c r="DDJ93"/>
      <c r="DDK93"/>
      <c r="DDL93"/>
      <c r="DDM93"/>
      <c r="DDN93"/>
      <c r="DDO93"/>
      <c r="DDP93"/>
      <c r="DDQ93"/>
      <c r="DDR93"/>
      <c r="DDS93"/>
      <c r="DDT93"/>
      <c r="DDU93"/>
      <c r="DDV93"/>
      <c r="DDW93"/>
      <c r="DDX93"/>
      <c r="DDY93"/>
      <c r="DDZ93"/>
      <c r="DEA93"/>
      <c r="DEB93"/>
      <c r="DEC93"/>
      <c r="DED93"/>
      <c r="DEE93"/>
      <c r="DEF93"/>
      <c r="DEG93"/>
      <c r="DEH93"/>
      <c r="DEI93"/>
      <c r="DEJ93"/>
      <c r="DEK93"/>
      <c r="DEL93"/>
      <c r="DEM93"/>
      <c r="DEN93"/>
      <c r="DEO93"/>
      <c r="DEP93"/>
      <c r="DEQ93"/>
      <c r="DER93"/>
      <c r="DES93"/>
      <c r="DET93"/>
      <c r="DEU93"/>
      <c r="DEV93"/>
      <c r="DEW93"/>
      <c r="DEX93"/>
      <c r="DEY93"/>
      <c r="DEZ93"/>
      <c r="DFA93"/>
      <c r="DFB93"/>
      <c r="DFC93"/>
      <c r="DFD93"/>
      <c r="DFE93"/>
      <c r="DFF93"/>
      <c r="DFG93"/>
      <c r="DFH93"/>
      <c r="DFI93"/>
      <c r="DFJ93"/>
      <c r="DFK93"/>
      <c r="DFL93"/>
      <c r="DFM93"/>
      <c r="DFN93"/>
      <c r="DFO93"/>
      <c r="DFP93"/>
      <c r="DFQ93"/>
      <c r="DFR93"/>
      <c r="DFS93"/>
      <c r="DFT93"/>
      <c r="DFU93"/>
      <c r="DFV93"/>
      <c r="DFW93"/>
      <c r="DFX93"/>
      <c r="DFY93"/>
      <c r="DFZ93"/>
      <c r="DGA93"/>
      <c r="DGB93"/>
      <c r="DGC93"/>
      <c r="DGD93"/>
      <c r="DGE93"/>
      <c r="DGF93"/>
      <c r="DGG93"/>
      <c r="DGH93"/>
      <c r="DGI93"/>
      <c r="DGJ93"/>
      <c r="DGK93"/>
      <c r="DGL93"/>
      <c r="DGM93"/>
      <c r="DGN93"/>
      <c r="DGO93"/>
      <c r="DGP93"/>
      <c r="DGQ93"/>
      <c r="DGR93"/>
      <c r="DGS93"/>
      <c r="DGT93"/>
      <c r="DGU93"/>
      <c r="DGV93"/>
      <c r="DGW93"/>
      <c r="DGX93"/>
      <c r="DGY93"/>
      <c r="DGZ93"/>
      <c r="DHA93"/>
      <c r="DHB93"/>
      <c r="DHC93"/>
      <c r="DHD93"/>
      <c r="DHE93"/>
      <c r="DHF93"/>
      <c r="DHG93"/>
      <c r="DHH93"/>
      <c r="DHI93"/>
      <c r="DHJ93"/>
      <c r="DHK93"/>
      <c r="DHL93"/>
      <c r="DHM93"/>
      <c r="DHN93"/>
      <c r="DHO93"/>
      <c r="DHP93"/>
      <c r="DHQ93"/>
      <c r="DHR93"/>
      <c r="DHS93"/>
      <c r="DHT93"/>
      <c r="DHU93"/>
      <c r="DHV93"/>
      <c r="DHW93"/>
      <c r="DHX93"/>
      <c r="DHY93"/>
      <c r="DHZ93"/>
      <c r="DIA93"/>
      <c r="DIB93"/>
      <c r="DIC93"/>
      <c r="DID93"/>
      <c r="DIE93"/>
      <c r="DIF93"/>
      <c r="DIG93"/>
      <c r="DIH93"/>
      <c r="DII93"/>
      <c r="DIJ93"/>
      <c r="DIK93"/>
      <c r="DIL93"/>
      <c r="DIM93"/>
      <c r="DIN93"/>
      <c r="DIO93"/>
      <c r="DIP93"/>
      <c r="DIQ93"/>
      <c r="DIR93"/>
      <c r="DIS93"/>
      <c r="DIT93"/>
      <c r="DIU93"/>
      <c r="DIV93"/>
      <c r="DIW93"/>
      <c r="DIX93"/>
      <c r="DIY93"/>
      <c r="DIZ93"/>
      <c r="DJA93"/>
      <c r="DJB93"/>
      <c r="DJC93"/>
      <c r="DJD93"/>
      <c r="DJE93"/>
      <c r="DJF93"/>
      <c r="DJG93"/>
      <c r="DJH93"/>
      <c r="DJI93"/>
      <c r="DJJ93"/>
      <c r="DJK93"/>
      <c r="DJL93"/>
      <c r="DJM93"/>
      <c r="DJN93"/>
      <c r="DJO93"/>
      <c r="DJP93"/>
      <c r="DJQ93"/>
      <c r="DJR93"/>
      <c r="DJS93"/>
      <c r="DJT93"/>
      <c r="DJU93"/>
      <c r="DJV93"/>
      <c r="DJW93"/>
      <c r="DJX93"/>
      <c r="DJY93"/>
      <c r="DJZ93"/>
      <c r="DKA93"/>
      <c r="DKB93"/>
      <c r="DKC93"/>
      <c r="DKD93"/>
      <c r="DKE93"/>
      <c r="DKF93"/>
      <c r="DKG93"/>
      <c r="DKH93"/>
      <c r="DKI93"/>
      <c r="DKJ93"/>
      <c r="DKK93"/>
      <c r="DKL93"/>
      <c r="DKM93"/>
      <c r="DKN93"/>
      <c r="DKO93"/>
      <c r="DKP93"/>
      <c r="DKQ93"/>
      <c r="DKR93"/>
      <c r="DKS93"/>
      <c r="DKT93"/>
      <c r="DKU93"/>
      <c r="DKV93"/>
      <c r="DKW93"/>
      <c r="DKX93"/>
      <c r="DKY93"/>
      <c r="DKZ93"/>
      <c r="DLA93"/>
      <c r="DLB93"/>
      <c r="DLC93"/>
      <c r="DLD93"/>
      <c r="DLE93"/>
      <c r="DLF93"/>
      <c r="DLG93"/>
      <c r="DLH93"/>
      <c r="DLI93"/>
      <c r="DLJ93"/>
      <c r="DLK93"/>
      <c r="DLL93"/>
      <c r="DLM93"/>
      <c r="DLN93"/>
      <c r="DLO93"/>
      <c r="DLP93"/>
      <c r="DLQ93"/>
      <c r="DLR93"/>
      <c r="DLS93"/>
      <c r="DLT93"/>
      <c r="DLU93"/>
      <c r="DLV93"/>
      <c r="DLW93"/>
      <c r="DLX93"/>
      <c r="DLY93"/>
      <c r="DLZ93"/>
      <c r="DMA93"/>
      <c r="DMB93"/>
      <c r="DMC93"/>
      <c r="DMD93"/>
      <c r="DME93"/>
      <c r="DMF93"/>
      <c r="DMG93"/>
      <c r="DMH93"/>
      <c r="DMI93"/>
      <c r="DMJ93"/>
      <c r="DMK93"/>
      <c r="DML93"/>
      <c r="DMM93"/>
      <c r="DMN93"/>
      <c r="DMO93"/>
      <c r="DMP93"/>
      <c r="DMQ93"/>
      <c r="DMR93"/>
      <c r="DMS93"/>
      <c r="DMT93"/>
      <c r="DMU93"/>
      <c r="DMV93"/>
      <c r="DMW93"/>
      <c r="DMX93"/>
      <c r="DMY93"/>
      <c r="DMZ93"/>
      <c r="DNA93"/>
      <c r="DNB93"/>
      <c r="DNC93"/>
      <c r="DND93"/>
      <c r="DNE93"/>
      <c r="DNF93"/>
      <c r="DNG93"/>
      <c r="DNH93"/>
      <c r="DNI93"/>
      <c r="DNJ93"/>
      <c r="DNK93"/>
      <c r="DNL93"/>
      <c r="DNM93"/>
      <c r="DNN93"/>
      <c r="DNO93"/>
      <c r="DNP93"/>
      <c r="DNQ93"/>
      <c r="DNR93"/>
      <c r="DNS93"/>
      <c r="DNT93"/>
      <c r="DNU93"/>
      <c r="DNV93"/>
      <c r="DNW93"/>
      <c r="DNX93"/>
      <c r="DNY93"/>
      <c r="DNZ93"/>
      <c r="DOA93"/>
      <c r="DOB93"/>
      <c r="DOC93"/>
      <c r="DOD93"/>
      <c r="DOE93"/>
      <c r="DOF93"/>
      <c r="DOG93"/>
      <c r="DOH93"/>
      <c r="DOI93"/>
      <c r="DOJ93"/>
      <c r="DOK93"/>
      <c r="DOL93"/>
      <c r="DOM93"/>
      <c r="DON93"/>
      <c r="DOO93"/>
      <c r="DOP93"/>
      <c r="DOQ93"/>
      <c r="DOR93"/>
      <c r="DOS93"/>
      <c r="DOT93"/>
      <c r="DOU93"/>
      <c r="DOV93"/>
      <c r="DOW93"/>
      <c r="DOX93"/>
      <c r="DOY93"/>
      <c r="DOZ93"/>
      <c r="DPA93"/>
      <c r="DPB93"/>
      <c r="DPC93"/>
      <c r="DPD93"/>
      <c r="DPE93"/>
      <c r="DPF93"/>
      <c r="DPG93"/>
      <c r="DPH93"/>
      <c r="DPI93"/>
      <c r="DPJ93"/>
      <c r="DPK93"/>
      <c r="DPL93"/>
      <c r="DPM93"/>
      <c r="DPN93"/>
      <c r="DPO93"/>
      <c r="DPP93"/>
      <c r="DPQ93"/>
      <c r="DPR93"/>
      <c r="DPS93"/>
      <c r="DPT93"/>
      <c r="DPU93"/>
      <c r="DPV93"/>
      <c r="DPW93"/>
      <c r="DPX93"/>
      <c r="DPY93"/>
      <c r="DPZ93"/>
      <c r="DQA93"/>
      <c r="DQB93"/>
      <c r="DQC93"/>
      <c r="DQD93"/>
      <c r="DQE93"/>
      <c r="DQF93"/>
      <c r="DQG93"/>
      <c r="DQH93"/>
      <c r="DQI93"/>
      <c r="DQJ93"/>
      <c r="DQK93"/>
      <c r="DQL93"/>
      <c r="DQM93"/>
      <c r="DQN93"/>
      <c r="DQO93"/>
      <c r="DQP93"/>
      <c r="DQQ93"/>
      <c r="DQR93"/>
      <c r="DQS93"/>
      <c r="DQT93"/>
      <c r="DQU93"/>
      <c r="DQV93"/>
      <c r="DQW93"/>
      <c r="DQX93"/>
      <c r="DQY93"/>
      <c r="DQZ93"/>
      <c r="DRA93"/>
      <c r="DRB93"/>
      <c r="DRC93"/>
      <c r="DRD93"/>
      <c r="DRE93"/>
      <c r="DRF93"/>
      <c r="DRG93"/>
      <c r="DRH93"/>
      <c r="DRI93"/>
      <c r="DRJ93"/>
      <c r="DRK93"/>
      <c r="DRL93"/>
      <c r="DRM93"/>
      <c r="DRN93"/>
      <c r="DRO93"/>
      <c r="DRP93"/>
      <c r="DRQ93"/>
      <c r="DRR93"/>
      <c r="DRS93"/>
      <c r="DRT93"/>
      <c r="DRU93"/>
      <c r="DRV93"/>
      <c r="DRW93"/>
      <c r="DRX93"/>
      <c r="DRY93"/>
      <c r="DRZ93"/>
      <c r="DSA93"/>
      <c r="DSB93"/>
      <c r="DSC93"/>
      <c r="DSD93"/>
      <c r="DSE93"/>
      <c r="DSF93"/>
      <c r="DSG93"/>
      <c r="DSH93"/>
      <c r="DSI93"/>
      <c r="DSJ93"/>
      <c r="DSK93"/>
      <c r="DSL93"/>
      <c r="DSM93"/>
      <c r="DSN93"/>
      <c r="DSO93"/>
      <c r="DSP93"/>
      <c r="DSQ93"/>
      <c r="DSR93"/>
      <c r="DSS93"/>
      <c r="DST93"/>
      <c r="DSU93"/>
      <c r="DSV93"/>
      <c r="DSW93"/>
      <c r="DSX93"/>
      <c r="DSY93"/>
      <c r="DSZ93"/>
      <c r="DTA93"/>
      <c r="DTB93"/>
      <c r="DTC93"/>
      <c r="DTD93"/>
      <c r="DTE93"/>
      <c r="DTF93"/>
      <c r="DTG93"/>
      <c r="DTH93"/>
      <c r="DTI93"/>
      <c r="DTJ93"/>
      <c r="DTK93"/>
      <c r="DTL93"/>
      <c r="DTM93"/>
      <c r="DTN93"/>
      <c r="DTO93"/>
      <c r="DTP93"/>
      <c r="DTQ93"/>
      <c r="DTR93"/>
      <c r="DTS93"/>
      <c r="DTT93"/>
      <c r="DTU93"/>
      <c r="DTV93"/>
      <c r="DTW93"/>
      <c r="DTX93"/>
      <c r="DTY93"/>
      <c r="DTZ93"/>
      <c r="DUA93"/>
      <c r="DUB93"/>
      <c r="DUC93"/>
      <c r="DUD93"/>
      <c r="DUE93"/>
      <c r="DUF93"/>
      <c r="DUG93"/>
      <c r="DUH93"/>
      <c r="DUI93"/>
      <c r="DUJ93"/>
      <c r="DUK93"/>
      <c r="DUL93"/>
      <c r="DUM93"/>
      <c r="DUN93"/>
      <c r="DUO93"/>
      <c r="DUP93"/>
      <c r="DUQ93"/>
      <c r="DUR93"/>
      <c r="DUS93"/>
      <c r="DUT93"/>
      <c r="DUU93"/>
      <c r="DUV93"/>
      <c r="DUW93"/>
      <c r="DUX93"/>
      <c r="DUY93"/>
      <c r="DUZ93"/>
      <c r="DVA93"/>
      <c r="DVB93"/>
      <c r="DVC93"/>
      <c r="DVD93"/>
      <c r="DVE93"/>
      <c r="DVF93"/>
      <c r="DVG93"/>
      <c r="DVH93"/>
      <c r="DVI93"/>
      <c r="DVJ93"/>
      <c r="DVK93"/>
      <c r="DVL93"/>
      <c r="DVM93"/>
      <c r="DVN93"/>
      <c r="DVO93"/>
      <c r="DVP93"/>
      <c r="DVQ93"/>
      <c r="DVR93"/>
      <c r="DVS93"/>
      <c r="DVT93"/>
      <c r="DVU93"/>
      <c r="DVV93"/>
      <c r="DVW93"/>
      <c r="DVX93"/>
      <c r="DVY93"/>
      <c r="DVZ93"/>
      <c r="DWA93"/>
      <c r="DWB93"/>
      <c r="DWC93"/>
      <c r="DWD93"/>
      <c r="DWE93"/>
      <c r="DWF93"/>
      <c r="DWG93"/>
      <c r="DWH93"/>
      <c r="DWI93"/>
      <c r="DWJ93"/>
      <c r="DWK93"/>
      <c r="DWL93"/>
      <c r="DWM93"/>
      <c r="DWN93"/>
      <c r="DWO93"/>
      <c r="DWP93"/>
      <c r="DWQ93"/>
      <c r="DWR93"/>
      <c r="DWS93"/>
      <c r="DWT93"/>
      <c r="DWU93"/>
      <c r="DWV93"/>
      <c r="DWW93"/>
      <c r="DWX93"/>
      <c r="DWY93"/>
      <c r="DWZ93"/>
      <c r="DXA93"/>
      <c r="DXB93"/>
      <c r="DXC93"/>
      <c r="DXD93"/>
      <c r="DXE93"/>
      <c r="DXF93"/>
      <c r="DXG93"/>
      <c r="DXH93"/>
      <c r="DXI93"/>
      <c r="DXJ93"/>
      <c r="DXK93"/>
      <c r="DXL93"/>
      <c r="DXM93"/>
      <c r="DXN93"/>
      <c r="DXO93"/>
      <c r="DXP93"/>
      <c r="DXQ93"/>
      <c r="DXR93"/>
      <c r="DXS93"/>
      <c r="DXT93"/>
      <c r="DXU93"/>
      <c r="DXV93"/>
      <c r="DXW93"/>
      <c r="DXX93"/>
      <c r="DXY93"/>
      <c r="DXZ93"/>
      <c r="DYA93"/>
      <c r="DYB93"/>
      <c r="DYC93"/>
      <c r="DYD93"/>
      <c r="DYE93"/>
      <c r="DYF93"/>
      <c r="DYG93"/>
      <c r="DYH93"/>
      <c r="DYI93"/>
      <c r="DYJ93"/>
      <c r="DYK93"/>
      <c r="DYL93"/>
      <c r="DYM93"/>
      <c r="DYN93"/>
      <c r="DYO93"/>
      <c r="DYP93"/>
      <c r="DYQ93"/>
      <c r="DYR93"/>
      <c r="DYS93"/>
      <c r="DYT93"/>
      <c r="DYU93"/>
      <c r="DYV93"/>
      <c r="DYW93"/>
      <c r="DYX93"/>
      <c r="DYY93"/>
      <c r="DYZ93"/>
      <c r="DZA93"/>
      <c r="DZB93"/>
      <c r="DZC93"/>
      <c r="DZD93"/>
      <c r="DZE93"/>
      <c r="DZF93"/>
      <c r="DZG93"/>
      <c r="DZH93"/>
      <c r="DZI93"/>
      <c r="DZJ93"/>
      <c r="DZK93"/>
      <c r="DZL93"/>
      <c r="DZM93"/>
      <c r="DZN93"/>
      <c r="DZO93"/>
      <c r="DZP93"/>
      <c r="DZQ93"/>
      <c r="DZR93"/>
      <c r="DZS93"/>
      <c r="DZT93"/>
      <c r="DZU93"/>
      <c r="DZV93"/>
      <c r="DZW93"/>
      <c r="DZX93"/>
      <c r="DZY93"/>
      <c r="DZZ93"/>
      <c r="EAA93"/>
      <c r="EAB93"/>
      <c r="EAC93"/>
      <c r="EAD93"/>
      <c r="EAE93"/>
      <c r="EAF93"/>
      <c r="EAG93"/>
      <c r="EAH93"/>
      <c r="EAI93"/>
      <c r="EAJ93"/>
      <c r="EAK93"/>
      <c r="EAL93"/>
      <c r="EAM93"/>
      <c r="EAN93"/>
      <c r="EAO93"/>
      <c r="EAP93"/>
      <c r="EAQ93"/>
      <c r="EAR93"/>
      <c r="EAS93"/>
      <c r="EAT93"/>
      <c r="EAU93"/>
      <c r="EAV93"/>
      <c r="EAW93"/>
      <c r="EAX93"/>
      <c r="EAY93"/>
      <c r="EAZ93"/>
      <c r="EBA93"/>
      <c r="EBB93"/>
      <c r="EBC93"/>
      <c r="EBD93"/>
      <c r="EBE93"/>
      <c r="EBF93"/>
      <c r="EBG93"/>
      <c r="EBH93"/>
      <c r="EBI93"/>
      <c r="EBJ93"/>
      <c r="EBK93"/>
      <c r="EBL93"/>
      <c r="EBM93"/>
      <c r="EBN93"/>
      <c r="EBO93"/>
      <c r="EBP93"/>
      <c r="EBQ93"/>
      <c r="EBR93"/>
      <c r="EBS93"/>
      <c r="EBT93"/>
      <c r="EBU93"/>
      <c r="EBV93"/>
      <c r="EBW93"/>
      <c r="EBX93"/>
      <c r="EBY93"/>
      <c r="EBZ93"/>
      <c r="ECA93"/>
      <c r="ECB93"/>
      <c r="ECC93"/>
      <c r="ECD93"/>
      <c r="ECE93"/>
      <c r="ECF93"/>
      <c r="ECG93"/>
      <c r="ECH93"/>
      <c r="ECI93"/>
      <c r="ECJ93"/>
      <c r="ECK93"/>
      <c r="ECL93"/>
      <c r="ECM93"/>
      <c r="ECN93"/>
      <c r="ECO93"/>
      <c r="ECP93"/>
      <c r="ECQ93"/>
      <c r="ECR93"/>
      <c r="ECS93"/>
      <c r="ECT93"/>
      <c r="ECU93"/>
      <c r="ECV93"/>
      <c r="ECW93"/>
      <c r="ECX93"/>
      <c r="ECY93"/>
      <c r="ECZ93"/>
      <c r="EDA93"/>
      <c r="EDB93"/>
      <c r="EDC93"/>
      <c r="EDD93"/>
      <c r="EDE93"/>
      <c r="EDF93"/>
      <c r="EDG93"/>
      <c r="EDH93"/>
      <c r="EDI93"/>
      <c r="EDJ93"/>
      <c r="EDK93"/>
      <c r="EDL93"/>
      <c r="EDM93"/>
      <c r="EDN93"/>
      <c r="EDO93"/>
      <c r="EDP93"/>
      <c r="EDQ93"/>
      <c r="EDR93"/>
      <c r="EDS93"/>
      <c r="EDT93"/>
      <c r="EDU93"/>
      <c r="EDV93"/>
      <c r="EDW93"/>
      <c r="EDX93"/>
      <c r="EDY93"/>
      <c r="EDZ93"/>
      <c r="EEA93"/>
      <c r="EEB93"/>
      <c r="EEC93"/>
      <c r="EED93"/>
      <c r="EEE93"/>
      <c r="EEF93"/>
      <c r="EEG93"/>
      <c r="EEH93"/>
      <c r="EEI93"/>
      <c r="EEJ93"/>
      <c r="EEK93"/>
      <c r="EEL93"/>
      <c r="EEM93"/>
      <c r="EEN93"/>
      <c r="EEO93"/>
      <c r="EEP93"/>
      <c r="EEQ93"/>
      <c r="EER93"/>
      <c r="EES93"/>
      <c r="EET93"/>
      <c r="EEU93"/>
      <c r="EEV93"/>
      <c r="EEW93"/>
      <c r="EEX93"/>
      <c r="EEY93"/>
      <c r="EEZ93"/>
      <c r="EFA93"/>
      <c r="EFB93"/>
      <c r="EFC93"/>
      <c r="EFD93"/>
      <c r="EFE93"/>
      <c r="EFF93"/>
      <c r="EFG93"/>
      <c r="EFH93"/>
      <c r="EFI93"/>
      <c r="EFJ93"/>
      <c r="EFK93"/>
      <c r="EFL93"/>
      <c r="EFM93"/>
      <c r="EFN93"/>
      <c r="EFO93"/>
      <c r="EFP93"/>
      <c r="EFQ93"/>
      <c r="EFR93"/>
      <c r="EFS93"/>
      <c r="EFT93"/>
      <c r="EFU93"/>
      <c r="EFV93"/>
      <c r="EFW93"/>
      <c r="EFX93"/>
      <c r="EFY93"/>
      <c r="EFZ93"/>
      <c r="EGA93"/>
      <c r="EGB93"/>
      <c r="EGC93"/>
      <c r="EGD93"/>
      <c r="EGE93"/>
      <c r="EGF93"/>
      <c r="EGG93"/>
      <c r="EGH93"/>
      <c r="EGI93"/>
      <c r="EGJ93"/>
      <c r="EGK93"/>
      <c r="EGL93"/>
      <c r="EGM93"/>
      <c r="EGN93"/>
      <c r="EGO93"/>
      <c r="EGP93"/>
      <c r="EGQ93"/>
      <c r="EGR93"/>
      <c r="EGS93"/>
      <c r="EGT93"/>
      <c r="EGU93"/>
      <c r="EGV93"/>
      <c r="EGW93"/>
      <c r="EGX93"/>
      <c r="EGY93"/>
      <c r="EGZ93"/>
      <c r="EHA93"/>
      <c r="EHB93"/>
      <c r="EHC93"/>
      <c r="EHD93"/>
      <c r="EHE93"/>
      <c r="EHF93"/>
      <c r="EHG93"/>
      <c r="EHH93"/>
      <c r="EHI93"/>
      <c r="EHJ93"/>
      <c r="EHK93"/>
      <c r="EHL93"/>
      <c r="EHM93"/>
      <c r="EHN93"/>
      <c r="EHO93"/>
      <c r="EHP93"/>
      <c r="EHQ93"/>
      <c r="EHR93"/>
      <c r="EHS93"/>
      <c r="EHT93"/>
      <c r="EHU93"/>
      <c r="EHV93"/>
      <c r="EHW93"/>
      <c r="EHX93"/>
      <c r="EHY93"/>
      <c r="EHZ93"/>
      <c r="EIA93"/>
      <c r="EIB93"/>
      <c r="EIC93"/>
      <c r="EID93"/>
      <c r="EIE93"/>
      <c r="EIF93"/>
      <c r="EIG93"/>
      <c r="EIH93"/>
      <c r="EII93"/>
      <c r="EIJ93"/>
      <c r="EIK93"/>
      <c r="EIL93"/>
      <c r="EIM93"/>
      <c r="EIN93"/>
      <c r="EIO93"/>
      <c r="EIP93"/>
      <c r="EIQ93"/>
      <c r="EIR93"/>
      <c r="EIS93"/>
      <c r="EIT93"/>
      <c r="EIU93"/>
      <c r="EIV93"/>
      <c r="EIW93"/>
      <c r="EIX93"/>
      <c r="EIY93"/>
      <c r="EIZ93"/>
      <c r="EJA93"/>
      <c r="EJB93"/>
      <c r="EJC93"/>
      <c r="EJD93"/>
      <c r="EJE93"/>
      <c r="EJF93"/>
      <c r="EJG93"/>
      <c r="EJH93"/>
      <c r="EJI93"/>
      <c r="EJJ93"/>
      <c r="EJK93"/>
      <c r="EJL93"/>
      <c r="EJM93"/>
      <c r="EJN93"/>
      <c r="EJO93"/>
      <c r="EJP93"/>
      <c r="EJQ93"/>
      <c r="EJR93"/>
      <c r="EJS93"/>
      <c r="EJT93"/>
      <c r="EJU93"/>
      <c r="EJV93"/>
      <c r="EJW93"/>
      <c r="EJX93"/>
      <c r="EJY93"/>
      <c r="EJZ93"/>
      <c r="EKA93"/>
      <c r="EKB93"/>
      <c r="EKC93"/>
      <c r="EKD93"/>
      <c r="EKE93"/>
      <c r="EKF93"/>
      <c r="EKG93"/>
      <c r="EKH93"/>
      <c r="EKI93"/>
      <c r="EKJ93"/>
      <c r="EKK93"/>
      <c r="EKL93"/>
      <c r="EKM93"/>
      <c r="EKN93"/>
      <c r="EKO93"/>
      <c r="EKP93"/>
      <c r="EKQ93"/>
      <c r="EKR93"/>
      <c r="EKS93"/>
      <c r="EKT93"/>
      <c r="EKU93"/>
      <c r="EKV93"/>
      <c r="EKW93"/>
      <c r="EKX93"/>
      <c r="EKY93"/>
      <c r="EKZ93"/>
      <c r="ELA93"/>
      <c r="ELB93"/>
      <c r="ELC93"/>
      <c r="ELD93"/>
      <c r="ELE93"/>
      <c r="ELF93"/>
      <c r="ELG93"/>
      <c r="ELH93"/>
      <c r="ELI93"/>
      <c r="ELJ93"/>
      <c r="ELK93"/>
      <c r="ELL93"/>
      <c r="ELM93"/>
      <c r="ELN93"/>
      <c r="ELO93"/>
      <c r="ELP93"/>
      <c r="ELQ93"/>
      <c r="ELR93"/>
      <c r="ELS93"/>
      <c r="ELT93"/>
      <c r="ELU93"/>
      <c r="ELV93"/>
      <c r="ELW93"/>
      <c r="ELX93"/>
      <c r="ELY93"/>
      <c r="ELZ93"/>
      <c r="EMA93"/>
      <c r="EMB93"/>
      <c r="EMC93"/>
      <c r="EMD93"/>
      <c r="EME93"/>
      <c r="EMF93"/>
      <c r="EMG93"/>
      <c r="EMH93"/>
      <c r="EMI93"/>
      <c r="EMJ93"/>
      <c r="EMK93"/>
      <c r="EML93"/>
      <c r="EMM93"/>
    </row>
    <row r="94" spans="2:3731" hidden="1">
      <c r="E94" s="54"/>
      <c r="F94" s="54"/>
      <c r="H94"/>
      <c r="I94"/>
      <c r="K94"/>
      <c r="L94"/>
      <c r="N94"/>
      <c r="O94"/>
      <c r="Q94"/>
      <c r="R94"/>
      <c r="T94"/>
      <c r="U94"/>
      <c r="W94"/>
      <c r="X94"/>
      <c r="Z94"/>
      <c r="AA94"/>
      <c r="AC94"/>
      <c r="AD94"/>
      <c r="AF94"/>
      <c r="AG94"/>
      <c r="AH94"/>
      <c r="AI94" s="338"/>
      <c r="AJ94" s="339"/>
      <c r="AK94" s="340"/>
      <c r="AL94" s="22"/>
      <c r="AM94" s="22"/>
      <c r="AN94" s="22"/>
      <c r="AO94" s="22"/>
      <c r="AP94" s="22" t="s">
        <v>169</v>
      </c>
      <c r="AQ94" t="s">
        <v>1282</v>
      </c>
      <c r="AR94" s="344"/>
      <c r="AS94" s="344"/>
      <c r="AT94" s="344"/>
      <c r="AU94" s="344"/>
      <c r="AV94" s="344"/>
      <c r="AW94" s="344"/>
      <c r="AX94" s="34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 s="341"/>
      <c r="CS94" s="342"/>
      <c r="CT94" s="343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  <c r="ALM94"/>
      <c r="ALN94"/>
      <c r="ALO94"/>
      <c r="ALP94"/>
      <c r="ALQ94"/>
      <c r="ALR94"/>
      <c r="ALS94"/>
      <c r="ALT94"/>
      <c r="ALU94"/>
      <c r="ALV94"/>
      <c r="ALW94"/>
      <c r="ALX94"/>
      <c r="ALY94"/>
      <c r="ALZ94"/>
      <c r="AMA94"/>
      <c r="AMB94"/>
      <c r="AMC94"/>
      <c r="AMD94"/>
      <c r="AME94"/>
      <c r="AMF94"/>
      <c r="AMG94"/>
      <c r="AMH94"/>
      <c r="AMI94"/>
      <c r="AMJ94"/>
      <c r="AMK94"/>
      <c r="AML94"/>
      <c r="AMM94"/>
      <c r="AMN94"/>
      <c r="AMO94"/>
      <c r="AMP94"/>
      <c r="AMQ94"/>
      <c r="AMR94"/>
      <c r="AMS94"/>
      <c r="AMT94"/>
      <c r="AMU94"/>
      <c r="AMV94"/>
      <c r="AMW94"/>
      <c r="AMX94"/>
      <c r="AMY94"/>
      <c r="AMZ94"/>
      <c r="ANA94"/>
      <c r="ANB94"/>
      <c r="ANC94"/>
      <c r="AND94"/>
      <c r="ANE94"/>
      <c r="ANF94"/>
      <c r="ANG94"/>
      <c r="ANH94"/>
      <c r="ANI94"/>
      <c r="ANJ94"/>
      <c r="ANK94"/>
      <c r="ANL94"/>
      <c r="ANM94"/>
      <c r="ANN94"/>
      <c r="ANO94"/>
      <c r="ANP94"/>
      <c r="ANQ94"/>
      <c r="ANR94"/>
      <c r="ANS94"/>
      <c r="ANT94"/>
      <c r="ANU94"/>
      <c r="ANV94"/>
      <c r="ANW94"/>
      <c r="ANX94"/>
      <c r="ANY94"/>
      <c r="ANZ94"/>
      <c r="AOA94"/>
      <c r="AOB94"/>
      <c r="AOC94"/>
      <c r="AOD94"/>
      <c r="AOE94"/>
      <c r="AOF94"/>
      <c r="AOG94"/>
      <c r="AOH94"/>
      <c r="AOI94"/>
      <c r="AOJ94"/>
      <c r="AOK94"/>
      <c r="AOL94"/>
      <c r="AOM94"/>
      <c r="AON94"/>
      <c r="AOO94"/>
      <c r="AOP94"/>
      <c r="AOQ94"/>
      <c r="AOR94"/>
      <c r="AOS94"/>
      <c r="AOT94"/>
      <c r="AOU94"/>
      <c r="AOV94"/>
      <c r="AOW94"/>
      <c r="AOX94"/>
      <c r="AOY94"/>
      <c r="AOZ94"/>
      <c r="APA94"/>
      <c r="APB94"/>
      <c r="APC94"/>
      <c r="APD94"/>
      <c r="APE94"/>
      <c r="APF94"/>
      <c r="APG94"/>
      <c r="APH94"/>
      <c r="API94"/>
      <c r="APJ94"/>
      <c r="APK94"/>
      <c r="APL94"/>
      <c r="APM94"/>
      <c r="APN94"/>
      <c r="APO94"/>
      <c r="APP94"/>
      <c r="APQ94"/>
      <c r="APR94"/>
      <c r="APS94"/>
      <c r="APT94"/>
      <c r="APU94"/>
      <c r="APV94"/>
      <c r="APW94"/>
      <c r="APX94"/>
      <c r="APY94"/>
      <c r="APZ94"/>
      <c r="AQA94"/>
      <c r="AQB94"/>
      <c r="AQC94"/>
      <c r="AQD94"/>
      <c r="AQE94"/>
      <c r="AQF94"/>
      <c r="AQG94"/>
      <c r="AQH94"/>
      <c r="AQI94"/>
      <c r="AQJ94"/>
      <c r="AQK94"/>
      <c r="AQL94"/>
      <c r="AQM94"/>
      <c r="AQN94"/>
      <c r="AQO94"/>
      <c r="AQP94"/>
      <c r="AQQ94"/>
      <c r="AQR94"/>
      <c r="AQS94"/>
      <c r="AQT94"/>
      <c r="AQU94"/>
      <c r="AQV94"/>
      <c r="AQW94"/>
      <c r="AQX94"/>
      <c r="AQY94"/>
      <c r="AQZ94"/>
      <c r="ARA94"/>
      <c r="ARB94"/>
      <c r="ARC94"/>
      <c r="ARD94"/>
      <c r="ARE94"/>
      <c r="ARF94"/>
      <c r="ARG94"/>
      <c r="ARH94"/>
      <c r="ARI94"/>
      <c r="ARJ94"/>
      <c r="ARK94"/>
      <c r="ARL94"/>
      <c r="ARM94"/>
      <c r="ARN94"/>
      <c r="ARO94"/>
      <c r="ARP94"/>
      <c r="ARQ94"/>
      <c r="ARR94"/>
      <c r="ARS94"/>
      <c r="ART94"/>
      <c r="ARU94"/>
      <c r="ARV94"/>
      <c r="ARW94"/>
      <c r="ARX94"/>
      <c r="ARY94"/>
      <c r="ARZ94"/>
      <c r="ASA94"/>
      <c r="ASB94"/>
      <c r="ASC94"/>
      <c r="ASD94"/>
      <c r="ASE94"/>
      <c r="ASF94"/>
      <c r="ASG94"/>
      <c r="ASH94"/>
      <c r="ASI94"/>
      <c r="ASJ94"/>
      <c r="ASK94"/>
      <c r="ASL94"/>
      <c r="ASM94"/>
      <c r="ASN94"/>
      <c r="ASO94"/>
      <c r="ASP94"/>
      <c r="ASQ94"/>
      <c r="ASR94"/>
      <c r="ASS94"/>
      <c r="AST94"/>
      <c r="ASU94"/>
      <c r="ASV94"/>
      <c r="ASW94"/>
      <c r="ASX94"/>
      <c r="ASY94"/>
      <c r="ASZ94"/>
      <c r="ATA94"/>
      <c r="ATB94"/>
      <c r="ATC94"/>
      <c r="ATD94"/>
      <c r="ATE94"/>
      <c r="ATF94"/>
      <c r="ATG94"/>
      <c r="ATH94"/>
      <c r="ATI94"/>
      <c r="ATJ94"/>
      <c r="ATK94"/>
      <c r="ATL94"/>
      <c r="ATM94"/>
      <c r="ATN94"/>
      <c r="ATO94"/>
      <c r="ATP94"/>
      <c r="ATQ94"/>
      <c r="ATR94"/>
      <c r="ATS94"/>
      <c r="ATT94"/>
      <c r="ATU94"/>
      <c r="ATV94"/>
      <c r="ATW94"/>
      <c r="ATX94"/>
      <c r="ATY94"/>
      <c r="ATZ94"/>
      <c r="AUA94"/>
      <c r="AUB94"/>
      <c r="AUC94"/>
      <c r="AUD94"/>
      <c r="AUE94"/>
      <c r="AUF94"/>
      <c r="AUG94"/>
      <c r="AUH94"/>
      <c r="AUI94"/>
      <c r="AUJ94"/>
      <c r="AUK94"/>
      <c r="AUL94"/>
      <c r="AUM94"/>
      <c r="AUN94"/>
      <c r="AUO94"/>
      <c r="AUP94"/>
      <c r="AUQ94"/>
      <c r="AUR94"/>
      <c r="AUS94"/>
      <c r="AUT94"/>
      <c r="AUU94"/>
      <c r="AUV94"/>
      <c r="AUW94"/>
      <c r="AUX94"/>
      <c r="AUY94"/>
      <c r="AUZ94"/>
      <c r="AVA94"/>
      <c r="AVB94"/>
      <c r="AVC94"/>
      <c r="AVD94"/>
      <c r="AVE94"/>
      <c r="AVF94"/>
      <c r="AVG94"/>
      <c r="AVH94"/>
      <c r="AVI94"/>
      <c r="AVJ94"/>
      <c r="AVK94"/>
      <c r="AVL94"/>
      <c r="AVM94"/>
      <c r="AVN94"/>
      <c r="AVO94"/>
      <c r="AVP94"/>
      <c r="AVQ94"/>
      <c r="AVR94"/>
      <c r="AVS94"/>
      <c r="AVT94"/>
      <c r="AVU94"/>
      <c r="AVV94"/>
      <c r="AVW94"/>
      <c r="AVX94"/>
      <c r="AVY94"/>
      <c r="AVZ94"/>
      <c r="AWA94"/>
      <c r="AWB94"/>
      <c r="AWC94"/>
      <c r="AWD94"/>
      <c r="AWE94"/>
      <c r="AWF94"/>
      <c r="AWG94"/>
      <c r="AWH94"/>
      <c r="AWI94"/>
      <c r="AWJ94"/>
      <c r="AWK94"/>
      <c r="AWL94"/>
      <c r="AWM94"/>
      <c r="AWN94"/>
      <c r="AWO94"/>
      <c r="AWP94"/>
      <c r="AWQ94"/>
      <c r="AWR94"/>
      <c r="AWS94"/>
      <c r="AWT94"/>
      <c r="AWU94"/>
      <c r="AWV94"/>
      <c r="AWW94"/>
      <c r="AWX94"/>
      <c r="AWY94"/>
      <c r="AWZ94"/>
      <c r="AXA94"/>
      <c r="AXB94"/>
      <c r="AXC94"/>
      <c r="AXD94"/>
      <c r="AXE94"/>
      <c r="AXF94"/>
      <c r="AXG94"/>
      <c r="AXH94"/>
      <c r="AXI94"/>
      <c r="AXJ94"/>
      <c r="AXK94"/>
      <c r="AXL94"/>
      <c r="AXM94"/>
      <c r="AXN94"/>
      <c r="AXO94"/>
      <c r="AXP94"/>
      <c r="AXQ94"/>
      <c r="AXR94"/>
      <c r="AXS94"/>
      <c r="AXT94"/>
      <c r="AXU94"/>
      <c r="AXV94"/>
      <c r="AXW94"/>
      <c r="AXX94"/>
      <c r="AXY94"/>
      <c r="AXZ94"/>
      <c r="AYA94"/>
      <c r="AYB94"/>
      <c r="AYC94"/>
      <c r="AYD94"/>
      <c r="AYE94"/>
      <c r="AYF94"/>
      <c r="AYG94"/>
      <c r="AYH94"/>
      <c r="AYI94"/>
      <c r="AYJ94"/>
      <c r="AYK94"/>
      <c r="AYL94"/>
      <c r="AYM94"/>
      <c r="AYN94"/>
      <c r="AYO94"/>
      <c r="AYP94"/>
      <c r="AYQ94"/>
      <c r="AYR94"/>
      <c r="AYS94"/>
      <c r="AYT94"/>
      <c r="AYU94"/>
      <c r="AYV94"/>
      <c r="AYW94"/>
      <c r="AYX94"/>
      <c r="AYY94"/>
      <c r="AYZ94"/>
      <c r="AZA94"/>
      <c r="AZB94"/>
      <c r="AZC94"/>
      <c r="AZD94"/>
      <c r="AZE94"/>
      <c r="AZF94"/>
      <c r="AZG94"/>
      <c r="AZH94"/>
      <c r="AZI94"/>
      <c r="AZJ94"/>
      <c r="AZK94"/>
      <c r="AZL94"/>
      <c r="AZM94"/>
      <c r="AZN94"/>
      <c r="AZO94"/>
      <c r="AZP94"/>
      <c r="AZQ94"/>
      <c r="AZR94"/>
      <c r="AZS94"/>
      <c r="AZT94"/>
      <c r="AZU94"/>
      <c r="AZV94"/>
      <c r="AZW94"/>
      <c r="AZX94"/>
      <c r="AZY94"/>
      <c r="AZZ94"/>
      <c r="BAA94"/>
      <c r="BAB94"/>
      <c r="BAC94"/>
      <c r="BAD94"/>
      <c r="BAE94"/>
      <c r="BAF94"/>
      <c r="BAG94"/>
      <c r="BAH94"/>
      <c r="BAI94"/>
      <c r="BAJ94"/>
      <c r="BAK94"/>
      <c r="BAL94"/>
      <c r="BAM94"/>
      <c r="BAN94"/>
      <c r="BAO94"/>
      <c r="BAP94"/>
      <c r="BAQ94"/>
      <c r="BAR94"/>
      <c r="BAS94"/>
      <c r="BAT94"/>
      <c r="BAU94"/>
      <c r="BAV94"/>
      <c r="BAW94"/>
      <c r="BAX94"/>
      <c r="BAY94"/>
      <c r="BAZ94"/>
      <c r="BBA94"/>
      <c r="BBB94"/>
      <c r="BBC94"/>
      <c r="BBD94"/>
      <c r="BBE94"/>
      <c r="BBF94"/>
      <c r="BBG94"/>
      <c r="BBH94"/>
      <c r="BBI94"/>
      <c r="BBJ94"/>
      <c r="BBK94"/>
      <c r="BBL94"/>
      <c r="BBM94"/>
      <c r="BBN94"/>
      <c r="BBO94"/>
      <c r="BBP94"/>
      <c r="BBQ94"/>
      <c r="BBR94"/>
      <c r="BBS94"/>
      <c r="BBT94"/>
      <c r="BBU94"/>
      <c r="BBV94"/>
      <c r="BBW94"/>
      <c r="BBX94"/>
      <c r="BBY94"/>
      <c r="BBZ94"/>
      <c r="BCA94"/>
      <c r="BCB94"/>
      <c r="BCC94"/>
      <c r="BCD94"/>
      <c r="BCE94"/>
      <c r="BCF94"/>
      <c r="BCG94"/>
      <c r="BCH94"/>
      <c r="BCI94"/>
      <c r="BCJ94"/>
      <c r="BCK94"/>
      <c r="BCL94"/>
      <c r="BCM94"/>
      <c r="BCN94"/>
      <c r="BCO94"/>
      <c r="BCP94"/>
      <c r="BCQ94"/>
      <c r="BCR94"/>
      <c r="BCS94"/>
      <c r="BCT94"/>
      <c r="BCU94"/>
      <c r="BCV94"/>
      <c r="BCW94"/>
      <c r="BCX94"/>
      <c r="BCY94"/>
      <c r="BCZ94"/>
      <c r="BDA94"/>
      <c r="BDB94"/>
      <c r="BDC94"/>
      <c r="BDD94"/>
      <c r="BDE94"/>
      <c r="BDF94"/>
      <c r="BDG94"/>
      <c r="BDH94"/>
      <c r="BDI94"/>
      <c r="BDJ94"/>
      <c r="BDK94"/>
      <c r="BDL94"/>
      <c r="BDM94"/>
      <c r="BDN94"/>
      <c r="BDO94"/>
      <c r="BDP94"/>
      <c r="BDQ94"/>
      <c r="BDR94"/>
      <c r="BDS94"/>
      <c r="BDT94"/>
      <c r="BDU94"/>
      <c r="BDV94"/>
      <c r="BDW94"/>
      <c r="BDX94"/>
      <c r="BDY94"/>
      <c r="BDZ94"/>
      <c r="BEA94"/>
      <c r="BEB94"/>
      <c r="BEC94"/>
      <c r="BED94"/>
      <c r="BEE94"/>
      <c r="BEF94"/>
      <c r="BEG94"/>
      <c r="BEH94"/>
      <c r="BEI94"/>
      <c r="BEJ94"/>
      <c r="BEK94"/>
      <c r="BEL94"/>
      <c r="BEM94"/>
      <c r="BEN94"/>
      <c r="BEO94"/>
      <c r="BEP94"/>
      <c r="BEQ94"/>
      <c r="BER94"/>
      <c r="BES94"/>
      <c r="BET94"/>
      <c r="BEU94"/>
      <c r="BEV94"/>
      <c r="BEW94"/>
      <c r="BEX94"/>
      <c r="BEY94"/>
      <c r="BEZ94"/>
      <c r="BFA94"/>
      <c r="BFB94"/>
      <c r="BFC94"/>
      <c r="BFD94"/>
      <c r="BFE94"/>
      <c r="BFF94"/>
      <c r="BFG94"/>
      <c r="BFH94"/>
      <c r="BFI94"/>
      <c r="BFJ94"/>
      <c r="BFK94"/>
      <c r="BFL94"/>
      <c r="BFM94"/>
      <c r="BFN94"/>
      <c r="BFO94"/>
      <c r="BFP94"/>
      <c r="BFQ94"/>
      <c r="BFR94"/>
      <c r="BFS94"/>
      <c r="BFT94"/>
      <c r="BFU94"/>
      <c r="BFV94"/>
      <c r="BFW94"/>
      <c r="BFX94"/>
      <c r="BFY94"/>
      <c r="BFZ94"/>
      <c r="BGA94"/>
      <c r="BGB94"/>
      <c r="BGC94"/>
      <c r="BGD94"/>
      <c r="BGE94"/>
      <c r="BGF94"/>
      <c r="BGG94"/>
      <c r="BGH94"/>
      <c r="BGI94"/>
      <c r="BGJ94"/>
      <c r="BGK94"/>
      <c r="BGL94"/>
      <c r="BGM94"/>
      <c r="BGN94"/>
      <c r="BGO94"/>
      <c r="BGP94"/>
      <c r="BGQ94"/>
      <c r="BGR94"/>
      <c r="BGS94"/>
      <c r="BGT94"/>
      <c r="BGU94"/>
      <c r="BGV94"/>
      <c r="BGW94"/>
      <c r="BGX94"/>
      <c r="BGY94"/>
      <c r="BGZ94"/>
      <c r="BHA94"/>
      <c r="BHB94"/>
      <c r="BHC94"/>
      <c r="BHD94"/>
      <c r="BHE94"/>
      <c r="BHF94"/>
      <c r="BHG94"/>
      <c r="BHH94"/>
      <c r="BHI94"/>
      <c r="BHJ94"/>
      <c r="BHK94"/>
      <c r="BHL94"/>
      <c r="BHM94"/>
      <c r="BHN94"/>
      <c r="BHO94"/>
      <c r="BHP94"/>
      <c r="BHQ94"/>
      <c r="BHR94"/>
      <c r="BHS94"/>
      <c r="BHT94"/>
      <c r="BHU94"/>
      <c r="BHV94"/>
      <c r="BHW94"/>
      <c r="BHX94"/>
      <c r="BHY94"/>
      <c r="BHZ94"/>
      <c r="BIA94"/>
      <c r="BIB94"/>
      <c r="BIC94"/>
      <c r="BID94"/>
      <c r="BIE94"/>
      <c r="BIF94"/>
      <c r="BIG94"/>
      <c r="BIH94"/>
      <c r="BII94"/>
      <c r="BIJ94"/>
      <c r="BIK94"/>
      <c r="BIL94"/>
      <c r="BIM94"/>
      <c r="BIN94"/>
      <c r="BIO94"/>
      <c r="BIP94"/>
      <c r="BIQ94"/>
      <c r="BIR94"/>
      <c r="BIS94"/>
      <c r="BIT94"/>
      <c r="BIU94"/>
      <c r="BIV94"/>
      <c r="BIW94"/>
      <c r="BIX94"/>
      <c r="BIY94"/>
      <c r="BIZ94"/>
      <c r="BJA94"/>
      <c r="BJB94"/>
      <c r="BJC94"/>
      <c r="BJD94"/>
      <c r="BJE94"/>
      <c r="BJF94"/>
      <c r="BJG94"/>
      <c r="BJH94"/>
      <c r="BJI94"/>
      <c r="BJJ94"/>
      <c r="BJK94"/>
      <c r="BJL94"/>
      <c r="BJM94"/>
      <c r="BJN94"/>
      <c r="BJO94"/>
      <c r="BJP94"/>
      <c r="BJQ94"/>
      <c r="BJR94"/>
      <c r="BJS94"/>
      <c r="BJT94"/>
      <c r="BJU94"/>
      <c r="BJV94"/>
      <c r="BJW94"/>
      <c r="BJX94"/>
      <c r="BJY94"/>
      <c r="BJZ94"/>
      <c r="BKA94"/>
      <c r="BKB94"/>
      <c r="BKC94"/>
      <c r="BKD94"/>
      <c r="BKE94"/>
      <c r="BKF94"/>
      <c r="BKG94"/>
      <c r="BKH94"/>
      <c r="BKI94"/>
      <c r="BKJ94"/>
      <c r="BKK94"/>
      <c r="BKL94"/>
      <c r="BKM94"/>
      <c r="BKN94"/>
      <c r="BKO94"/>
      <c r="BKP94"/>
      <c r="BKQ94"/>
      <c r="BKR94"/>
      <c r="BKS94"/>
      <c r="BKT94"/>
      <c r="BKU94"/>
      <c r="BKV94"/>
      <c r="BKW94"/>
      <c r="BKX94"/>
      <c r="BKY94"/>
      <c r="BKZ94"/>
      <c r="BLA94"/>
      <c r="BLB94"/>
      <c r="BLC94"/>
      <c r="BLD94"/>
      <c r="BLE94"/>
      <c r="BLF94"/>
      <c r="BLG94"/>
      <c r="BLH94"/>
      <c r="BLI94"/>
      <c r="BLJ94"/>
      <c r="BLK94"/>
      <c r="BLL94"/>
      <c r="BLM94"/>
      <c r="BLN94"/>
      <c r="BLO94"/>
      <c r="BLP94"/>
      <c r="BLQ94"/>
      <c r="BLR94"/>
      <c r="BLS94"/>
      <c r="BLT94"/>
      <c r="BLU94"/>
      <c r="BLV94"/>
      <c r="BLW94"/>
      <c r="BLX94"/>
      <c r="BLY94"/>
      <c r="BLZ94"/>
      <c r="BMA94"/>
      <c r="BMB94"/>
      <c r="BMC94"/>
      <c r="BMD94"/>
      <c r="BME94"/>
      <c r="BMF94"/>
      <c r="BMG94"/>
      <c r="BMH94"/>
      <c r="BMI94"/>
      <c r="BMJ94"/>
      <c r="BMK94"/>
      <c r="BML94"/>
      <c r="BMM94"/>
      <c r="BMN94"/>
      <c r="BMO94"/>
      <c r="BMP94"/>
      <c r="BMQ94"/>
      <c r="BMR94"/>
      <c r="BMS94"/>
      <c r="BMT94"/>
      <c r="BMU94"/>
      <c r="BMV94"/>
      <c r="BMW94"/>
      <c r="BMX94"/>
      <c r="BMY94"/>
      <c r="BMZ94"/>
      <c r="BNA94"/>
      <c r="BNB94"/>
      <c r="BNC94"/>
      <c r="BND94"/>
      <c r="BNE94"/>
      <c r="BNF94"/>
      <c r="BNG94"/>
      <c r="BNH94"/>
      <c r="BNI94"/>
      <c r="BNJ94"/>
      <c r="BNK94"/>
      <c r="BNL94"/>
      <c r="BNM94"/>
      <c r="BNN94"/>
      <c r="BNO94"/>
      <c r="BNP94"/>
      <c r="BNQ94"/>
      <c r="BNR94"/>
      <c r="BNS94"/>
      <c r="BNT94"/>
      <c r="BNU94"/>
      <c r="BNV94"/>
      <c r="BNW94"/>
      <c r="BNX94"/>
      <c r="BNY94"/>
      <c r="BNZ94"/>
      <c r="BOA94"/>
      <c r="BOB94"/>
      <c r="BOC94"/>
      <c r="BOD94"/>
      <c r="BOE94"/>
      <c r="BOF94"/>
      <c r="BOG94"/>
      <c r="BOH94"/>
      <c r="BOI94"/>
      <c r="BOJ94"/>
      <c r="BOK94"/>
      <c r="BOL94"/>
      <c r="BOM94"/>
      <c r="BON94"/>
      <c r="BOO94"/>
      <c r="BOP94"/>
      <c r="BOQ94"/>
      <c r="BOR94"/>
      <c r="BOS94"/>
      <c r="BOT94"/>
      <c r="BOU94"/>
      <c r="BOV94"/>
      <c r="BOW94"/>
      <c r="BOX94"/>
      <c r="BOY94"/>
      <c r="BOZ94"/>
      <c r="BPA94"/>
      <c r="BPB94"/>
      <c r="BPC94"/>
      <c r="BPD94"/>
      <c r="BPE94"/>
      <c r="BPF94"/>
      <c r="BPG94"/>
      <c r="BPH94"/>
      <c r="BPI94"/>
      <c r="BPJ94"/>
      <c r="BPK94"/>
      <c r="BPL94"/>
      <c r="BPM94"/>
      <c r="BPN94"/>
      <c r="BPO94"/>
      <c r="BPP94"/>
      <c r="BPQ94"/>
      <c r="BPR94"/>
      <c r="BPS94"/>
      <c r="BPT94"/>
      <c r="BPU94"/>
      <c r="BPV94"/>
      <c r="BPW94"/>
      <c r="BPX94"/>
      <c r="BPY94"/>
      <c r="BPZ94"/>
      <c r="BQA94"/>
      <c r="BQB94"/>
      <c r="BQC94"/>
      <c r="BQD94"/>
      <c r="BQE94"/>
      <c r="BQF94"/>
      <c r="BQG94"/>
      <c r="BQH94"/>
      <c r="BQI94"/>
      <c r="BQJ94"/>
      <c r="BQK94"/>
      <c r="BQL94"/>
      <c r="BQM94"/>
      <c r="BQN94"/>
      <c r="BQO94"/>
      <c r="BQP94"/>
      <c r="BQQ94"/>
      <c r="BQR94"/>
      <c r="BQS94"/>
      <c r="BQT94"/>
      <c r="BQU94"/>
      <c r="BQV94"/>
      <c r="BQW94"/>
      <c r="BQX94"/>
      <c r="BQY94"/>
      <c r="BQZ94"/>
      <c r="BRA94"/>
      <c r="BRB94"/>
      <c r="BRC94"/>
      <c r="BRD94"/>
      <c r="BRE94"/>
      <c r="BRF94"/>
      <c r="BRG94"/>
      <c r="BRH94"/>
      <c r="BRI94"/>
      <c r="BRJ94"/>
      <c r="BRK94"/>
      <c r="BRL94"/>
      <c r="BRM94"/>
      <c r="BRN94"/>
      <c r="BRO94"/>
      <c r="BRP94"/>
      <c r="BRQ94"/>
      <c r="BRR94"/>
      <c r="BRS94"/>
      <c r="BRT94"/>
      <c r="BRU94"/>
      <c r="BRV94"/>
      <c r="BRW94"/>
      <c r="BRX94"/>
      <c r="BRY94"/>
      <c r="BRZ94"/>
      <c r="BSA94"/>
      <c r="BSB94"/>
      <c r="BSC94"/>
      <c r="BSD94"/>
      <c r="BSE94"/>
      <c r="BSF94"/>
      <c r="BSG94"/>
      <c r="BSH94"/>
      <c r="BSI94"/>
      <c r="BSJ94"/>
      <c r="BSK94"/>
      <c r="BSL94"/>
      <c r="BSM94"/>
      <c r="BSN94"/>
      <c r="BSO94"/>
      <c r="BSP94"/>
      <c r="BSQ94"/>
      <c r="BSR94"/>
      <c r="BSS94"/>
      <c r="BST94"/>
      <c r="BSU94"/>
      <c r="BSV94"/>
      <c r="BSW94"/>
      <c r="BSX94"/>
      <c r="BSY94"/>
      <c r="BSZ94"/>
      <c r="BTA94"/>
      <c r="BTB94"/>
      <c r="BTC94"/>
      <c r="BTD94"/>
      <c r="BTE94"/>
      <c r="BTF94"/>
      <c r="BTG94"/>
      <c r="BTH94"/>
      <c r="BTI94"/>
      <c r="BTJ94"/>
      <c r="BTK94"/>
      <c r="BTL94"/>
      <c r="BTM94"/>
      <c r="BTN94"/>
      <c r="BTO94"/>
      <c r="BTP94"/>
      <c r="BTQ94"/>
      <c r="BTR94"/>
      <c r="BTS94"/>
      <c r="BTT94"/>
      <c r="BTU94"/>
      <c r="BTV94"/>
      <c r="BTW94"/>
      <c r="BTX94"/>
      <c r="BTY94"/>
      <c r="BTZ94"/>
      <c r="BUA94"/>
      <c r="BUB94"/>
      <c r="BUC94"/>
      <c r="BUD94"/>
      <c r="BUE94"/>
      <c r="BUF94"/>
      <c r="BUG94"/>
      <c r="BUH94"/>
      <c r="BUI94"/>
      <c r="BUJ94"/>
      <c r="BUK94"/>
      <c r="BUL94"/>
      <c r="BUM94"/>
      <c r="BUN94"/>
      <c r="BUO94"/>
      <c r="BUP94"/>
      <c r="BUQ94"/>
      <c r="BUR94"/>
      <c r="BUS94"/>
      <c r="BUT94"/>
      <c r="BUU94"/>
      <c r="BUV94"/>
      <c r="BUW94"/>
      <c r="BUX94"/>
      <c r="BUY94"/>
      <c r="BUZ94"/>
      <c r="BVA94"/>
      <c r="BVB94"/>
      <c r="BVC94"/>
      <c r="BVD94"/>
      <c r="BVE94"/>
      <c r="BVF94"/>
      <c r="BVG94"/>
      <c r="BVH94"/>
      <c r="BVI94"/>
      <c r="BVJ94"/>
      <c r="BVK94"/>
      <c r="BVL94"/>
      <c r="BVM94"/>
      <c r="BVN94"/>
      <c r="BVO94"/>
      <c r="BVP94"/>
      <c r="BVQ94"/>
      <c r="BVR94"/>
      <c r="BVS94"/>
      <c r="BVT94"/>
      <c r="BVU94"/>
      <c r="BVV94"/>
      <c r="BVW94"/>
      <c r="BVX94"/>
      <c r="BVY94"/>
      <c r="BVZ94"/>
      <c r="BWA94"/>
      <c r="BWB94"/>
      <c r="BWC94"/>
      <c r="BWD94"/>
      <c r="BWE94"/>
      <c r="BWF94"/>
      <c r="BWG94"/>
      <c r="BWH94"/>
      <c r="BWI94"/>
      <c r="BWJ94"/>
      <c r="BWK94"/>
      <c r="BWL94"/>
      <c r="BWM94"/>
      <c r="BWN94"/>
      <c r="BWO94"/>
      <c r="BWP94"/>
      <c r="BWQ94"/>
      <c r="BWR94"/>
      <c r="BWS94"/>
      <c r="BWT94"/>
      <c r="BWU94"/>
      <c r="BWV94"/>
      <c r="BWW94"/>
      <c r="BWX94"/>
      <c r="BWY94"/>
      <c r="BWZ94"/>
      <c r="BXA94"/>
      <c r="BXB94"/>
      <c r="BXC94"/>
      <c r="BXD94"/>
      <c r="BXE94"/>
      <c r="BXF94"/>
      <c r="BXG94"/>
      <c r="BXH94"/>
      <c r="BXI94"/>
      <c r="BXJ94"/>
      <c r="BXK94"/>
      <c r="BXL94"/>
      <c r="BXM94"/>
      <c r="BXN94"/>
      <c r="BXO94"/>
      <c r="BXP94"/>
      <c r="BXQ94"/>
      <c r="BXR94"/>
      <c r="BXS94"/>
      <c r="BXT94"/>
      <c r="BXU94"/>
      <c r="BXV94"/>
      <c r="BXW94"/>
      <c r="BXX94"/>
      <c r="BXY94"/>
      <c r="BXZ94"/>
      <c r="BYA94"/>
      <c r="BYB94"/>
      <c r="BYC94"/>
      <c r="BYD94"/>
      <c r="BYE94"/>
      <c r="BYF94"/>
      <c r="BYG94"/>
      <c r="BYH94"/>
      <c r="BYI94"/>
      <c r="BYJ94"/>
      <c r="BYK94"/>
      <c r="BYL94"/>
      <c r="BYM94"/>
      <c r="BYN94"/>
      <c r="BYO94"/>
      <c r="BYP94"/>
      <c r="BYQ94"/>
      <c r="BYR94"/>
      <c r="BYS94"/>
      <c r="BYT94"/>
      <c r="BYU94"/>
      <c r="BYV94"/>
      <c r="BYW94"/>
      <c r="BYX94"/>
      <c r="BYY94"/>
      <c r="BYZ94"/>
      <c r="BZA94"/>
      <c r="BZB94"/>
      <c r="BZC94"/>
      <c r="BZD94"/>
      <c r="BZE94"/>
      <c r="BZF94"/>
      <c r="BZG94"/>
      <c r="BZH94"/>
      <c r="BZI94"/>
      <c r="BZJ94"/>
      <c r="BZK94"/>
      <c r="BZL94"/>
      <c r="BZM94"/>
      <c r="BZN94"/>
      <c r="BZO94"/>
      <c r="BZP94"/>
      <c r="BZQ94"/>
      <c r="BZR94"/>
      <c r="BZS94"/>
      <c r="BZT94"/>
      <c r="BZU94"/>
      <c r="BZV94"/>
      <c r="BZW94"/>
      <c r="BZX94"/>
      <c r="BZY94"/>
      <c r="BZZ94"/>
      <c r="CAA94"/>
      <c r="CAB94"/>
      <c r="CAC94"/>
      <c r="CAD94"/>
      <c r="CAE94"/>
      <c r="CAF94"/>
      <c r="CAG94"/>
      <c r="CAH94"/>
      <c r="CAI94"/>
      <c r="CAJ94"/>
      <c r="CAK94"/>
      <c r="CAL94"/>
      <c r="CAM94"/>
      <c r="CAN94"/>
      <c r="CAO94"/>
      <c r="CAP94"/>
      <c r="CAQ94"/>
      <c r="CAR94"/>
      <c r="CAS94"/>
      <c r="CAT94"/>
      <c r="CAU94"/>
      <c r="CAV94"/>
      <c r="CAW94"/>
      <c r="CAX94"/>
      <c r="CAY94"/>
      <c r="CAZ94"/>
      <c r="CBA94"/>
      <c r="CBB94"/>
      <c r="CBC94"/>
      <c r="CBD94"/>
      <c r="CBE94"/>
      <c r="CBF94"/>
      <c r="CBG94"/>
      <c r="CBH94"/>
      <c r="CBI94"/>
      <c r="CBJ94"/>
      <c r="CBK94"/>
      <c r="CBL94"/>
      <c r="CBM94"/>
      <c r="CBN94"/>
      <c r="CBO94"/>
      <c r="CBP94"/>
      <c r="CBQ94"/>
      <c r="CBR94"/>
      <c r="CBS94"/>
      <c r="CBT94"/>
      <c r="CBU94"/>
      <c r="CBV94"/>
      <c r="CBW94"/>
      <c r="CBX94"/>
      <c r="CBY94"/>
      <c r="CBZ94"/>
      <c r="CCA94"/>
      <c r="CCB94"/>
      <c r="CCC94"/>
      <c r="CCD94"/>
      <c r="CCE94"/>
      <c r="CCF94"/>
      <c r="CCG94"/>
      <c r="CCH94"/>
      <c r="CCI94"/>
      <c r="CCJ94"/>
      <c r="CCK94"/>
      <c r="CCL94"/>
      <c r="CCM94"/>
      <c r="CCN94"/>
      <c r="CCO94"/>
      <c r="CCP94"/>
      <c r="CCQ94"/>
      <c r="CCR94"/>
      <c r="CCS94"/>
      <c r="CCT94"/>
      <c r="CCU94"/>
      <c r="CCV94"/>
      <c r="CCW94"/>
      <c r="CCX94"/>
      <c r="CCY94"/>
      <c r="CCZ94"/>
      <c r="CDA94"/>
      <c r="CDB94"/>
      <c r="CDC94"/>
      <c r="CDD94"/>
      <c r="CDE94"/>
      <c r="CDF94"/>
      <c r="CDG94"/>
      <c r="CDH94"/>
      <c r="CDI94"/>
      <c r="CDJ94"/>
      <c r="CDK94"/>
      <c r="CDL94"/>
      <c r="CDM94"/>
      <c r="CDN94"/>
      <c r="CDO94"/>
      <c r="CDP94"/>
      <c r="CDQ94"/>
      <c r="CDR94"/>
      <c r="CDS94"/>
      <c r="CDT94"/>
      <c r="CDU94"/>
      <c r="CDV94"/>
      <c r="CDW94"/>
      <c r="CDX94"/>
      <c r="CDY94"/>
      <c r="CDZ94"/>
      <c r="CEA94"/>
      <c r="CEB94"/>
      <c r="CEC94"/>
      <c r="CED94"/>
      <c r="CEE94"/>
      <c r="CEF94"/>
      <c r="CEG94"/>
      <c r="CEH94"/>
      <c r="CEI94"/>
      <c r="CEJ94"/>
      <c r="CEK94"/>
      <c r="CEL94"/>
      <c r="CEM94"/>
      <c r="CEN94"/>
      <c r="CEO94"/>
      <c r="CEP94"/>
      <c r="CEQ94"/>
      <c r="CER94"/>
      <c r="CES94"/>
      <c r="CET94"/>
      <c r="CEU94"/>
      <c r="CEV94"/>
      <c r="CEW94"/>
      <c r="CEX94"/>
      <c r="CEY94"/>
      <c r="CEZ94"/>
      <c r="CFA94"/>
      <c r="CFB94"/>
      <c r="CFC94"/>
      <c r="CFD94"/>
      <c r="CFE94"/>
      <c r="CFF94"/>
      <c r="CFG94"/>
      <c r="CFH94"/>
      <c r="CFI94"/>
      <c r="CFJ94"/>
      <c r="CFK94"/>
      <c r="CFL94"/>
      <c r="CFM94"/>
      <c r="CFN94"/>
      <c r="CFO94"/>
      <c r="CFP94"/>
      <c r="CFQ94"/>
      <c r="CFR94"/>
      <c r="CFS94"/>
      <c r="CFT94"/>
      <c r="CFU94"/>
      <c r="CFV94"/>
      <c r="CFW94"/>
      <c r="CFX94"/>
      <c r="CFY94"/>
      <c r="CFZ94"/>
      <c r="CGA94"/>
      <c r="CGB94"/>
      <c r="CGC94"/>
      <c r="CGD94"/>
      <c r="CGE94"/>
      <c r="CGF94"/>
      <c r="CGG94"/>
      <c r="CGH94"/>
      <c r="CGI94"/>
      <c r="CGJ94"/>
      <c r="CGK94"/>
      <c r="CGL94"/>
      <c r="CGM94"/>
      <c r="CGN94"/>
      <c r="CGO94"/>
      <c r="CGP94"/>
      <c r="CGQ94"/>
      <c r="CGR94"/>
      <c r="CGS94"/>
      <c r="CGT94"/>
      <c r="CGU94"/>
      <c r="CGV94"/>
      <c r="CGW94"/>
      <c r="CGX94"/>
      <c r="CGY94"/>
      <c r="CGZ94"/>
      <c r="CHA94"/>
      <c r="CHB94"/>
      <c r="CHC94"/>
      <c r="CHD94"/>
      <c r="CHE94"/>
      <c r="CHF94"/>
      <c r="CHG94"/>
      <c r="CHH94"/>
      <c r="CHI94"/>
      <c r="CHJ94"/>
      <c r="CHK94"/>
      <c r="CHL94"/>
      <c r="CHM94"/>
      <c r="CHN94"/>
      <c r="CHO94"/>
      <c r="CHP94"/>
      <c r="CHQ94"/>
      <c r="CHR94"/>
      <c r="CHS94"/>
      <c r="CHT94"/>
      <c r="CHU94"/>
      <c r="CHV94"/>
      <c r="CHW94"/>
      <c r="CHX94"/>
      <c r="CHY94"/>
      <c r="CHZ94"/>
      <c r="CIA94"/>
      <c r="CIB94"/>
      <c r="CIC94"/>
      <c r="CID94"/>
      <c r="CIE94"/>
      <c r="CIF94"/>
      <c r="CIG94"/>
      <c r="CIH94"/>
      <c r="CII94"/>
      <c r="CIJ94"/>
      <c r="CIK94"/>
      <c r="CIL94"/>
      <c r="CIM94"/>
      <c r="CIN94"/>
      <c r="CIO94"/>
      <c r="CIP94"/>
      <c r="CIQ94"/>
      <c r="CIR94"/>
      <c r="CIS94"/>
      <c r="CIT94"/>
      <c r="CIU94"/>
      <c r="CIV94"/>
      <c r="CIW94"/>
      <c r="CIX94"/>
      <c r="CIY94"/>
      <c r="CIZ94"/>
      <c r="CJA94"/>
      <c r="CJB94"/>
      <c r="CJC94"/>
      <c r="CJD94"/>
      <c r="CJE94"/>
      <c r="CJF94"/>
      <c r="CJG94"/>
      <c r="CJH94"/>
      <c r="CJI94"/>
      <c r="CJJ94"/>
      <c r="CJK94"/>
      <c r="CJL94"/>
      <c r="CJM94"/>
      <c r="CJN94"/>
      <c r="CJO94"/>
      <c r="CJP94"/>
      <c r="CJQ94"/>
      <c r="CJR94"/>
      <c r="CJS94"/>
      <c r="CJT94"/>
      <c r="CJU94"/>
      <c r="CJV94"/>
      <c r="CJW94"/>
      <c r="CJX94"/>
      <c r="CJY94"/>
      <c r="CJZ94"/>
      <c r="CKA94"/>
      <c r="CKB94"/>
      <c r="CKC94"/>
      <c r="CKD94"/>
      <c r="CKE94"/>
      <c r="CKF94"/>
      <c r="CKG94"/>
      <c r="CKH94"/>
      <c r="CKI94"/>
      <c r="CKJ94"/>
      <c r="CKK94"/>
      <c r="CKL94"/>
      <c r="CKM94"/>
      <c r="CKN94"/>
      <c r="CKO94"/>
      <c r="CKP94"/>
      <c r="CKQ94"/>
      <c r="CKR94"/>
      <c r="CKS94"/>
      <c r="CKT94"/>
      <c r="CKU94"/>
      <c r="CKV94"/>
      <c r="CKW94"/>
      <c r="CKX94"/>
      <c r="CKY94"/>
      <c r="CKZ94"/>
      <c r="CLA94"/>
      <c r="CLB94"/>
      <c r="CLC94"/>
      <c r="CLD94"/>
      <c r="CLE94"/>
      <c r="CLF94"/>
      <c r="CLG94"/>
      <c r="CLH94"/>
      <c r="CLI94"/>
      <c r="CLJ94"/>
      <c r="CLK94"/>
      <c r="CLL94"/>
      <c r="CLM94"/>
      <c r="CLN94"/>
      <c r="CLO94"/>
      <c r="CLP94"/>
      <c r="CLQ94"/>
      <c r="CLR94"/>
      <c r="CLS94"/>
      <c r="CLT94"/>
      <c r="CLU94"/>
      <c r="CLV94"/>
      <c r="CLW94"/>
      <c r="CLX94"/>
      <c r="CLY94"/>
      <c r="CLZ94"/>
      <c r="CMA94"/>
      <c r="CMB94"/>
      <c r="CMC94"/>
      <c r="CMD94"/>
      <c r="CME94"/>
      <c r="CMF94"/>
      <c r="CMG94"/>
      <c r="CMH94"/>
      <c r="CMI94"/>
      <c r="CMJ94"/>
      <c r="CMK94"/>
      <c r="CML94"/>
      <c r="CMM94"/>
      <c r="CMN94"/>
      <c r="CMO94"/>
      <c r="CMP94"/>
      <c r="CMQ94"/>
      <c r="CMR94"/>
      <c r="CMS94"/>
      <c r="CMT94"/>
      <c r="CMU94"/>
      <c r="CMV94"/>
      <c r="CMW94"/>
      <c r="CMX94"/>
      <c r="CMY94"/>
      <c r="CMZ94"/>
      <c r="CNA94"/>
      <c r="CNB94"/>
      <c r="CNC94"/>
      <c r="CND94"/>
      <c r="CNE94"/>
      <c r="CNF94"/>
      <c r="CNG94"/>
      <c r="CNH94"/>
      <c r="CNI94"/>
      <c r="CNJ94"/>
      <c r="CNK94"/>
      <c r="CNL94"/>
      <c r="CNM94"/>
      <c r="CNN94"/>
      <c r="CNO94"/>
      <c r="CNP94"/>
      <c r="CNQ94"/>
      <c r="CNR94"/>
      <c r="CNS94"/>
      <c r="CNT94"/>
      <c r="CNU94"/>
      <c r="CNV94"/>
      <c r="CNW94"/>
      <c r="CNX94"/>
      <c r="CNY94"/>
      <c r="CNZ94"/>
      <c r="COA94"/>
      <c r="COB94"/>
      <c r="COC94"/>
      <c r="COD94"/>
      <c r="COE94"/>
      <c r="COF94"/>
      <c r="COG94"/>
      <c r="COH94"/>
      <c r="COI94"/>
      <c r="COJ94"/>
      <c r="COK94"/>
      <c r="COL94"/>
      <c r="COM94"/>
      <c r="CON94"/>
      <c r="COO94"/>
      <c r="COP94"/>
      <c r="COQ94"/>
      <c r="COR94"/>
      <c r="COS94"/>
      <c r="COT94"/>
      <c r="COU94"/>
      <c r="COV94"/>
      <c r="COW94"/>
      <c r="COX94"/>
      <c r="COY94"/>
      <c r="COZ94"/>
      <c r="CPA94"/>
      <c r="CPB94"/>
      <c r="CPC94"/>
      <c r="CPD94"/>
      <c r="CPE94"/>
      <c r="CPF94"/>
      <c r="CPG94"/>
      <c r="CPH94"/>
      <c r="CPI94"/>
      <c r="CPJ94"/>
      <c r="CPK94"/>
      <c r="CPL94"/>
      <c r="CPM94"/>
      <c r="CPN94"/>
      <c r="CPO94"/>
      <c r="CPP94"/>
      <c r="CPQ94"/>
      <c r="CPR94"/>
      <c r="CPS94"/>
      <c r="CPT94"/>
      <c r="CPU94"/>
      <c r="CPV94"/>
      <c r="CPW94"/>
      <c r="CPX94"/>
      <c r="CPY94"/>
      <c r="CPZ94"/>
      <c r="CQA94"/>
      <c r="CQB94"/>
      <c r="CQC94"/>
      <c r="CQD94"/>
      <c r="CQE94"/>
      <c r="CQF94"/>
      <c r="CQG94"/>
      <c r="CQH94"/>
      <c r="CQI94"/>
      <c r="CQJ94"/>
      <c r="CQK94"/>
      <c r="CQL94"/>
      <c r="CQM94"/>
      <c r="CQN94"/>
      <c r="CQO94"/>
      <c r="CQP94"/>
      <c r="CQQ94"/>
      <c r="CQR94"/>
      <c r="CQS94"/>
      <c r="CQT94"/>
      <c r="CQU94"/>
      <c r="CQV94"/>
      <c r="CQW94"/>
      <c r="CQX94"/>
      <c r="CQY94"/>
      <c r="CQZ94"/>
      <c r="CRA94"/>
      <c r="CRB94"/>
      <c r="CRC94"/>
      <c r="CRD94"/>
      <c r="CRE94"/>
      <c r="CRF94"/>
      <c r="CRG94"/>
      <c r="CRH94"/>
      <c r="CRI94"/>
      <c r="CRJ94"/>
      <c r="CRK94"/>
      <c r="CRL94"/>
      <c r="CRM94"/>
      <c r="CRN94"/>
      <c r="CRO94"/>
      <c r="CRP94"/>
      <c r="CRQ94"/>
      <c r="CRR94"/>
      <c r="CRS94"/>
      <c r="CRT94"/>
      <c r="CRU94"/>
      <c r="CRV94"/>
      <c r="CRW94"/>
      <c r="CRX94"/>
      <c r="CRY94"/>
      <c r="CRZ94"/>
      <c r="CSA94"/>
      <c r="CSB94"/>
      <c r="CSC94"/>
      <c r="CSD94"/>
      <c r="CSE94"/>
      <c r="CSF94"/>
      <c r="CSG94"/>
      <c r="CSH94"/>
      <c r="CSI94"/>
      <c r="CSJ94"/>
      <c r="CSK94"/>
      <c r="CSL94"/>
      <c r="CSM94"/>
      <c r="CSN94"/>
      <c r="CSO94"/>
      <c r="CSP94"/>
      <c r="CSQ94"/>
      <c r="CSR94"/>
      <c r="CSS94"/>
      <c r="CST94"/>
      <c r="CSU94"/>
      <c r="CSV94"/>
      <c r="CSW94"/>
      <c r="CSX94"/>
      <c r="CSY94"/>
      <c r="CSZ94"/>
      <c r="CTA94"/>
      <c r="CTB94"/>
      <c r="CTC94"/>
      <c r="CTD94"/>
      <c r="CTE94"/>
      <c r="CTF94"/>
      <c r="CTG94"/>
      <c r="CTH94"/>
      <c r="CTI94"/>
      <c r="CTJ94"/>
      <c r="CTK94"/>
      <c r="CTL94"/>
      <c r="CTM94"/>
      <c r="CTN94"/>
      <c r="CTO94"/>
      <c r="CTP94"/>
      <c r="CTQ94"/>
      <c r="CTR94"/>
      <c r="CTS94"/>
      <c r="CTT94"/>
      <c r="CTU94"/>
      <c r="CTV94"/>
      <c r="CTW94"/>
      <c r="CTX94"/>
      <c r="CTY94"/>
      <c r="CTZ94"/>
      <c r="CUA94"/>
      <c r="CUB94"/>
      <c r="CUC94"/>
      <c r="CUD94"/>
      <c r="CUE94"/>
      <c r="CUF94"/>
      <c r="CUG94"/>
      <c r="CUH94"/>
      <c r="CUI94"/>
      <c r="CUJ94"/>
      <c r="CUK94"/>
      <c r="CUL94"/>
      <c r="CUM94"/>
      <c r="CUN94"/>
      <c r="CUO94"/>
      <c r="CUP94"/>
      <c r="CUQ94"/>
      <c r="CUR94"/>
      <c r="CUS94"/>
      <c r="CUT94"/>
      <c r="CUU94"/>
      <c r="CUV94"/>
      <c r="CUW94"/>
      <c r="CUX94"/>
      <c r="CUY94"/>
      <c r="CUZ94"/>
      <c r="CVA94"/>
      <c r="CVB94"/>
      <c r="CVC94"/>
      <c r="CVD94"/>
      <c r="CVE94"/>
      <c r="CVF94"/>
      <c r="CVG94"/>
      <c r="CVH94"/>
      <c r="CVI94"/>
      <c r="CVJ94"/>
      <c r="CVK94"/>
      <c r="CVL94"/>
      <c r="CVM94"/>
      <c r="CVN94"/>
      <c r="CVO94"/>
      <c r="CVP94"/>
      <c r="CVQ94"/>
      <c r="CVR94"/>
      <c r="CVS94"/>
      <c r="CVT94"/>
      <c r="CVU94"/>
      <c r="CVV94"/>
      <c r="CVW94"/>
      <c r="CVX94"/>
      <c r="CVY94"/>
      <c r="CVZ94"/>
      <c r="CWA94"/>
      <c r="CWB94"/>
      <c r="CWC94"/>
      <c r="CWD94"/>
      <c r="CWE94"/>
      <c r="CWF94"/>
      <c r="CWG94"/>
      <c r="CWH94"/>
      <c r="CWI94"/>
      <c r="CWJ94"/>
      <c r="CWK94"/>
      <c r="CWL94"/>
      <c r="CWM94"/>
      <c r="CWN94"/>
      <c r="CWO94"/>
      <c r="CWP94"/>
      <c r="CWQ94"/>
      <c r="CWR94"/>
      <c r="CWS94"/>
      <c r="CWT94"/>
      <c r="CWU94"/>
      <c r="CWV94"/>
      <c r="CWW94"/>
      <c r="CWX94"/>
      <c r="CWY94"/>
      <c r="CWZ94"/>
      <c r="CXA94"/>
      <c r="CXB94"/>
      <c r="CXC94"/>
      <c r="CXD94"/>
      <c r="CXE94"/>
      <c r="CXF94"/>
      <c r="CXG94"/>
      <c r="CXH94"/>
      <c r="CXI94"/>
      <c r="CXJ94"/>
      <c r="CXK94"/>
      <c r="CXL94"/>
      <c r="CXM94"/>
      <c r="CXN94"/>
      <c r="CXO94"/>
      <c r="CXP94"/>
      <c r="CXQ94"/>
      <c r="CXR94"/>
      <c r="CXS94"/>
      <c r="CXT94"/>
      <c r="CXU94"/>
      <c r="CXV94"/>
      <c r="CXW94"/>
      <c r="CXX94"/>
      <c r="CXY94"/>
      <c r="CXZ94"/>
      <c r="CYA94"/>
      <c r="CYB94"/>
      <c r="CYC94"/>
      <c r="CYD94"/>
      <c r="CYE94"/>
      <c r="CYF94"/>
      <c r="CYG94"/>
      <c r="CYH94"/>
      <c r="CYI94"/>
      <c r="CYJ94"/>
      <c r="CYK94"/>
      <c r="CYL94"/>
      <c r="CYM94"/>
      <c r="CYN94"/>
      <c r="CYO94"/>
      <c r="CYP94"/>
      <c r="CYQ94"/>
      <c r="CYR94"/>
      <c r="CYS94"/>
      <c r="CYT94"/>
      <c r="CYU94"/>
      <c r="CYV94"/>
      <c r="CYW94"/>
      <c r="CYX94"/>
      <c r="CYY94"/>
      <c r="CYZ94"/>
      <c r="CZA94"/>
      <c r="CZB94"/>
      <c r="CZC94"/>
      <c r="CZD94"/>
      <c r="CZE94"/>
      <c r="CZF94"/>
      <c r="CZG94"/>
      <c r="CZH94"/>
      <c r="CZI94"/>
      <c r="CZJ94"/>
      <c r="CZK94"/>
      <c r="CZL94"/>
      <c r="CZM94"/>
      <c r="CZN94"/>
      <c r="CZO94"/>
      <c r="CZP94"/>
      <c r="CZQ94"/>
      <c r="CZR94"/>
      <c r="CZS94"/>
      <c r="CZT94"/>
      <c r="CZU94"/>
      <c r="CZV94"/>
      <c r="CZW94"/>
      <c r="CZX94"/>
      <c r="CZY94"/>
      <c r="CZZ94"/>
      <c r="DAA94"/>
      <c r="DAB94"/>
      <c r="DAC94"/>
      <c r="DAD94"/>
      <c r="DAE94"/>
      <c r="DAF94"/>
      <c r="DAG94"/>
      <c r="DAH94"/>
      <c r="DAI94"/>
      <c r="DAJ94"/>
      <c r="DAK94"/>
      <c r="DAL94"/>
      <c r="DAM94"/>
      <c r="DAN94"/>
      <c r="DAO94"/>
      <c r="DAP94"/>
      <c r="DAQ94"/>
      <c r="DAR94"/>
      <c r="DAS94"/>
      <c r="DAT94"/>
      <c r="DAU94"/>
      <c r="DAV94"/>
      <c r="DAW94"/>
      <c r="DAX94"/>
      <c r="DAY94"/>
      <c r="DAZ94"/>
      <c r="DBA94"/>
      <c r="DBB94"/>
      <c r="DBC94"/>
      <c r="DBD94"/>
      <c r="DBE94"/>
      <c r="DBF94"/>
      <c r="DBG94"/>
      <c r="DBH94"/>
      <c r="DBI94"/>
      <c r="DBJ94"/>
      <c r="DBK94"/>
      <c r="DBL94"/>
      <c r="DBM94"/>
      <c r="DBN94"/>
      <c r="DBO94"/>
      <c r="DBP94"/>
      <c r="DBQ94"/>
      <c r="DBR94"/>
      <c r="DBS94"/>
      <c r="DBT94"/>
      <c r="DBU94"/>
      <c r="DBV94"/>
      <c r="DBW94"/>
      <c r="DBX94"/>
      <c r="DBY94"/>
      <c r="DBZ94"/>
      <c r="DCA94"/>
      <c r="DCB94"/>
      <c r="DCC94"/>
      <c r="DCD94"/>
      <c r="DCE94"/>
      <c r="DCF94"/>
      <c r="DCG94"/>
      <c r="DCH94"/>
      <c r="DCI94"/>
      <c r="DCJ94"/>
      <c r="DCK94"/>
      <c r="DCL94"/>
      <c r="DCM94"/>
      <c r="DCN94"/>
      <c r="DCO94"/>
      <c r="DCP94"/>
      <c r="DCQ94"/>
      <c r="DCR94"/>
      <c r="DCS94"/>
      <c r="DCT94"/>
      <c r="DCU94"/>
      <c r="DCV94"/>
      <c r="DCW94"/>
      <c r="DCX94"/>
      <c r="DCY94"/>
      <c r="DCZ94"/>
      <c r="DDA94"/>
      <c r="DDB94"/>
      <c r="DDC94"/>
      <c r="DDD94"/>
      <c r="DDE94"/>
      <c r="DDF94"/>
      <c r="DDG94"/>
      <c r="DDH94"/>
      <c r="DDI94"/>
      <c r="DDJ94"/>
      <c r="DDK94"/>
      <c r="DDL94"/>
      <c r="DDM94"/>
      <c r="DDN94"/>
      <c r="DDO94"/>
      <c r="DDP94"/>
      <c r="DDQ94"/>
      <c r="DDR94"/>
      <c r="DDS94"/>
      <c r="DDT94"/>
      <c r="DDU94"/>
      <c r="DDV94"/>
      <c r="DDW94"/>
      <c r="DDX94"/>
      <c r="DDY94"/>
      <c r="DDZ94"/>
      <c r="DEA94"/>
      <c r="DEB94"/>
      <c r="DEC94"/>
      <c r="DED94"/>
      <c r="DEE94"/>
      <c r="DEF94"/>
      <c r="DEG94"/>
      <c r="DEH94"/>
      <c r="DEI94"/>
      <c r="DEJ94"/>
      <c r="DEK94"/>
      <c r="DEL94"/>
      <c r="DEM94"/>
      <c r="DEN94"/>
      <c r="DEO94"/>
      <c r="DEP94"/>
      <c r="DEQ94"/>
      <c r="DER94"/>
      <c r="DES94"/>
      <c r="DET94"/>
      <c r="DEU94"/>
      <c r="DEV94"/>
      <c r="DEW94"/>
      <c r="DEX94"/>
      <c r="DEY94"/>
      <c r="DEZ94"/>
      <c r="DFA94"/>
      <c r="DFB94"/>
      <c r="DFC94"/>
      <c r="DFD94"/>
      <c r="DFE94"/>
      <c r="DFF94"/>
      <c r="DFG94"/>
      <c r="DFH94"/>
      <c r="DFI94"/>
      <c r="DFJ94"/>
      <c r="DFK94"/>
      <c r="DFL94"/>
      <c r="DFM94"/>
      <c r="DFN94"/>
      <c r="DFO94"/>
      <c r="DFP94"/>
      <c r="DFQ94"/>
      <c r="DFR94"/>
      <c r="DFS94"/>
      <c r="DFT94"/>
      <c r="DFU94"/>
      <c r="DFV94"/>
      <c r="DFW94"/>
      <c r="DFX94"/>
      <c r="DFY94"/>
      <c r="DFZ94"/>
      <c r="DGA94"/>
      <c r="DGB94"/>
      <c r="DGC94"/>
      <c r="DGD94"/>
      <c r="DGE94"/>
      <c r="DGF94"/>
      <c r="DGG94"/>
      <c r="DGH94"/>
      <c r="DGI94"/>
      <c r="DGJ94"/>
      <c r="DGK94"/>
      <c r="DGL94"/>
      <c r="DGM94"/>
      <c r="DGN94"/>
      <c r="DGO94"/>
      <c r="DGP94"/>
      <c r="DGQ94"/>
      <c r="DGR94"/>
      <c r="DGS94"/>
      <c r="DGT94"/>
      <c r="DGU94"/>
      <c r="DGV94"/>
      <c r="DGW94"/>
      <c r="DGX94"/>
      <c r="DGY94"/>
      <c r="DGZ94"/>
      <c r="DHA94"/>
      <c r="DHB94"/>
      <c r="DHC94"/>
      <c r="DHD94"/>
      <c r="DHE94"/>
      <c r="DHF94"/>
      <c r="DHG94"/>
      <c r="DHH94"/>
      <c r="DHI94"/>
      <c r="DHJ94"/>
      <c r="DHK94"/>
      <c r="DHL94"/>
      <c r="DHM94"/>
      <c r="DHN94"/>
      <c r="DHO94"/>
      <c r="DHP94"/>
      <c r="DHQ94"/>
      <c r="DHR94"/>
      <c r="DHS94"/>
      <c r="DHT94"/>
      <c r="DHU94"/>
      <c r="DHV94"/>
      <c r="DHW94"/>
      <c r="DHX94"/>
      <c r="DHY94"/>
      <c r="DHZ94"/>
      <c r="DIA94"/>
      <c r="DIB94"/>
      <c r="DIC94"/>
      <c r="DID94"/>
      <c r="DIE94"/>
      <c r="DIF94"/>
      <c r="DIG94"/>
      <c r="DIH94"/>
      <c r="DII94"/>
      <c r="DIJ94"/>
      <c r="DIK94"/>
      <c r="DIL94"/>
      <c r="DIM94"/>
      <c r="DIN94"/>
      <c r="DIO94"/>
      <c r="DIP94"/>
      <c r="DIQ94"/>
      <c r="DIR94"/>
      <c r="DIS94"/>
      <c r="DIT94"/>
      <c r="DIU94"/>
      <c r="DIV94"/>
      <c r="DIW94"/>
      <c r="DIX94"/>
      <c r="DIY94"/>
      <c r="DIZ94"/>
      <c r="DJA94"/>
      <c r="DJB94"/>
      <c r="DJC94"/>
      <c r="DJD94"/>
      <c r="DJE94"/>
      <c r="DJF94"/>
      <c r="DJG94"/>
      <c r="DJH94"/>
      <c r="DJI94"/>
      <c r="DJJ94"/>
      <c r="DJK94"/>
      <c r="DJL94"/>
      <c r="DJM94"/>
      <c r="DJN94"/>
      <c r="DJO94"/>
      <c r="DJP94"/>
      <c r="DJQ94"/>
      <c r="DJR94"/>
      <c r="DJS94"/>
      <c r="DJT94"/>
      <c r="DJU94"/>
      <c r="DJV94"/>
      <c r="DJW94"/>
      <c r="DJX94"/>
      <c r="DJY94"/>
      <c r="DJZ94"/>
      <c r="DKA94"/>
      <c r="DKB94"/>
      <c r="DKC94"/>
      <c r="DKD94"/>
      <c r="DKE94"/>
      <c r="DKF94"/>
      <c r="DKG94"/>
      <c r="DKH94"/>
      <c r="DKI94"/>
      <c r="DKJ94"/>
      <c r="DKK94"/>
      <c r="DKL94"/>
      <c r="DKM94"/>
      <c r="DKN94"/>
      <c r="DKO94"/>
      <c r="DKP94"/>
      <c r="DKQ94"/>
      <c r="DKR94"/>
      <c r="DKS94"/>
      <c r="DKT94"/>
      <c r="DKU94"/>
      <c r="DKV94"/>
      <c r="DKW94"/>
      <c r="DKX94"/>
      <c r="DKY94"/>
      <c r="DKZ94"/>
      <c r="DLA94"/>
      <c r="DLB94"/>
      <c r="DLC94"/>
      <c r="DLD94"/>
      <c r="DLE94"/>
      <c r="DLF94"/>
      <c r="DLG94"/>
      <c r="DLH94"/>
      <c r="DLI94"/>
      <c r="DLJ94"/>
      <c r="DLK94"/>
      <c r="DLL94"/>
      <c r="DLM94"/>
      <c r="DLN94"/>
      <c r="DLO94"/>
      <c r="DLP94"/>
      <c r="DLQ94"/>
      <c r="DLR94"/>
      <c r="DLS94"/>
      <c r="DLT94"/>
      <c r="DLU94"/>
      <c r="DLV94"/>
      <c r="DLW94"/>
      <c r="DLX94"/>
      <c r="DLY94"/>
      <c r="DLZ94"/>
      <c r="DMA94"/>
      <c r="DMB94"/>
      <c r="DMC94"/>
      <c r="DMD94"/>
      <c r="DME94"/>
      <c r="DMF94"/>
      <c r="DMG94"/>
      <c r="DMH94"/>
      <c r="DMI94"/>
      <c r="DMJ94"/>
      <c r="DMK94"/>
      <c r="DML94"/>
      <c r="DMM94"/>
      <c r="DMN94"/>
      <c r="DMO94"/>
      <c r="DMP94"/>
      <c r="DMQ94"/>
      <c r="DMR94"/>
      <c r="DMS94"/>
      <c r="DMT94"/>
      <c r="DMU94"/>
      <c r="DMV94"/>
      <c r="DMW94"/>
      <c r="DMX94"/>
      <c r="DMY94"/>
      <c r="DMZ94"/>
      <c r="DNA94"/>
      <c r="DNB94"/>
      <c r="DNC94"/>
      <c r="DND94"/>
      <c r="DNE94"/>
      <c r="DNF94"/>
      <c r="DNG94"/>
      <c r="DNH94"/>
      <c r="DNI94"/>
      <c r="DNJ94"/>
      <c r="DNK94"/>
      <c r="DNL94"/>
      <c r="DNM94"/>
      <c r="DNN94"/>
      <c r="DNO94"/>
      <c r="DNP94"/>
      <c r="DNQ94"/>
      <c r="DNR94"/>
      <c r="DNS94"/>
      <c r="DNT94"/>
      <c r="DNU94"/>
      <c r="DNV94"/>
      <c r="DNW94"/>
      <c r="DNX94"/>
      <c r="DNY94"/>
      <c r="DNZ94"/>
      <c r="DOA94"/>
      <c r="DOB94"/>
      <c r="DOC94"/>
      <c r="DOD94"/>
      <c r="DOE94"/>
      <c r="DOF94"/>
      <c r="DOG94"/>
      <c r="DOH94"/>
      <c r="DOI94"/>
      <c r="DOJ94"/>
      <c r="DOK94"/>
      <c r="DOL94"/>
      <c r="DOM94"/>
      <c r="DON94"/>
      <c r="DOO94"/>
      <c r="DOP94"/>
      <c r="DOQ94"/>
      <c r="DOR94"/>
      <c r="DOS94"/>
      <c r="DOT94"/>
      <c r="DOU94"/>
      <c r="DOV94"/>
      <c r="DOW94"/>
      <c r="DOX94"/>
      <c r="DOY94"/>
      <c r="DOZ94"/>
      <c r="DPA94"/>
      <c r="DPB94"/>
      <c r="DPC94"/>
      <c r="DPD94"/>
      <c r="DPE94"/>
      <c r="DPF94"/>
      <c r="DPG94"/>
      <c r="DPH94"/>
      <c r="DPI94"/>
      <c r="DPJ94"/>
      <c r="DPK94"/>
      <c r="DPL94"/>
      <c r="DPM94"/>
      <c r="DPN94"/>
      <c r="DPO94"/>
      <c r="DPP94"/>
      <c r="DPQ94"/>
      <c r="DPR94"/>
      <c r="DPS94"/>
      <c r="DPT94"/>
      <c r="DPU94"/>
      <c r="DPV94"/>
      <c r="DPW94"/>
      <c r="DPX94"/>
      <c r="DPY94"/>
      <c r="DPZ94"/>
      <c r="DQA94"/>
      <c r="DQB94"/>
      <c r="DQC94"/>
      <c r="DQD94"/>
      <c r="DQE94"/>
      <c r="DQF94"/>
      <c r="DQG94"/>
      <c r="DQH94"/>
      <c r="DQI94"/>
      <c r="DQJ94"/>
      <c r="DQK94"/>
      <c r="DQL94"/>
      <c r="DQM94"/>
      <c r="DQN94"/>
      <c r="DQO94"/>
      <c r="DQP94"/>
      <c r="DQQ94"/>
      <c r="DQR94"/>
      <c r="DQS94"/>
      <c r="DQT94"/>
      <c r="DQU94"/>
      <c r="DQV94"/>
      <c r="DQW94"/>
      <c r="DQX94"/>
      <c r="DQY94"/>
      <c r="DQZ94"/>
      <c r="DRA94"/>
      <c r="DRB94"/>
      <c r="DRC94"/>
      <c r="DRD94"/>
      <c r="DRE94"/>
      <c r="DRF94"/>
      <c r="DRG94"/>
      <c r="DRH94"/>
      <c r="DRI94"/>
      <c r="DRJ94"/>
      <c r="DRK94"/>
      <c r="DRL94"/>
      <c r="DRM94"/>
      <c r="DRN94"/>
      <c r="DRO94"/>
      <c r="DRP94"/>
      <c r="DRQ94"/>
      <c r="DRR94"/>
      <c r="DRS94"/>
      <c r="DRT94"/>
      <c r="DRU94"/>
      <c r="DRV94"/>
      <c r="DRW94"/>
      <c r="DRX94"/>
      <c r="DRY94"/>
      <c r="DRZ94"/>
      <c r="DSA94"/>
      <c r="DSB94"/>
      <c r="DSC94"/>
      <c r="DSD94"/>
      <c r="DSE94"/>
      <c r="DSF94"/>
      <c r="DSG94"/>
      <c r="DSH94"/>
      <c r="DSI94"/>
      <c r="DSJ94"/>
      <c r="DSK94"/>
      <c r="DSL94"/>
      <c r="DSM94"/>
      <c r="DSN94"/>
      <c r="DSO94"/>
      <c r="DSP94"/>
      <c r="DSQ94"/>
      <c r="DSR94"/>
      <c r="DSS94"/>
      <c r="DST94"/>
      <c r="DSU94"/>
      <c r="DSV94"/>
      <c r="DSW94"/>
      <c r="DSX94"/>
      <c r="DSY94"/>
      <c r="DSZ94"/>
      <c r="DTA94"/>
      <c r="DTB94"/>
      <c r="DTC94"/>
      <c r="DTD94"/>
      <c r="DTE94"/>
      <c r="DTF94"/>
      <c r="DTG94"/>
      <c r="DTH94"/>
      <c r="DTI94"/>
      <c r="DTJ94"/>
      <c r="DTK94"/>
      <c r="DTL94"/>
      <c r="DTM94"/>
      <c r="DTN94"/>
      <c r="DTO94"/>
      <c r="DTP94"/>
      <c r="DTQ94"/>
      <c r="DTR94"/>
      <c r="DTS94"/>
      <c r="DTT94"/>
      <c r="DTU94"/>
      <c r="DTV94"/>
      <c r="DTW94"/>
      <c r="DTX94"/>
      <c r="DTY94"/>
      <c r="DTZ94"/>
      <c r="DUA94"/>
      <c r="DUB94"/>
      <c r="DUC94"/>
      <c r="DUD94"/>
      <c r="DUE94"/>
      <c r="DUF94"/>
      <c r="DUG94"/>
      <c r="DUH94"/>
      <c r="DUI94"/>
      <c r="DUJ94"/>
      <c r="DUK94"/>
      <c r="DUL94"/>
      <c r="DUM94"/>
      <c r="DUN94"/>
      <c r="DUO94"/>
      <c r="DUP94"/>
      <c r="DUQ94"/>
      <c r="DUR94"/>
      <c r="DUS94"/>
      <c r="DUT94"/>
      <c r="DUU94"/>
      <c r="DUV94"/>
      <c r="DUW94"/>
      <c r="DUX94"/>
      <c r="DUY94"/>
      <c r="DUZ94"/>
      <c r="DVA94"/>
      <c r="DVB94"/>
      <c r="DVC94"/>
      <c r="DVD94"/>
      <c r="DVE94"/>
      <c r="DVF94"/>
      <c r="DVG94"/>
      <c r="DVH94"/>
      <c r="DVI94"/>
      <c r="DVJ94"/>
      <c r="DVK94"/>
      <c r="DVL94"/>
      <c r="DVM94"/>
      <c r="DVN94"/>
      <c r="DVO94"/>
      <c r="DVP94"/>
      <c r="DVQ94"/>
      <c r="DVR94"/>
      <c r="DVS94"/>
      <c r="DVT94"/>
      <c r="DVU94"/>
      <c r="DVV94"/>
      <c r="DVW94"/>
      <c r="DVX94"/>
      <c r="DVY94"/>
      <c r="DVZ94"/>
      <c r="DWA94"/>
      <c r="DWB94"/>
      <c r="DWC94"/>
      <c r="DWD94"/>
      <c r="DWE94"/>
      <c r="DWF94"/>
      <c r="DWG94"/>
      <c r="DWH94"/>
      <c r="DWI94"/>
      <c r="DWJ94"/>
      <c r="DWK94"/>
      <c r="DWL94"/>
      <c r="DWM94"/>
      <c r="DWN94"/>
      <c r="DWO94"/>
      <c r="DWP94"/>
      <c r="DWQ94"/>
      <c r="DWR94"/>
      <c r="DWS94"/>
      <c r="DWT94"/>
      <c r="DWU94"/>
      <c r="DWV94"/>
      <c r="DWW94"/>
      <c r="DWX94"/>
      <c r="DWY94"/>
      <c r="DWZ94"/>
      <c r="DXA94"/>
      <c r="DXB94"/>
      <c r="DXC94"/>
      <c r="DXD94"/>
      <c r="DXE94"/>
      <c r="DXF94"/>
      <c r="DXG94"/>
      <c r="DXH94"/>
      <c r="DXI94"/>
      <c r="DXJ94"/>
      <c r="DXK94"/>
      <c r="DXL94"/>
      <c r="DXM94"/>
      <c r="DXN94"/>
      <c r="DXO94"/>
      <c r="DXP94"/>
      <c r="DXQ94"/>
      <c r="DXR94"/>
      <c r="DXS94"/>
      <c r="DXT94"/>
      <c r="DXU94"/>
      <c r="DXV94"/>
      <c r="DXW94"/>
      <c r="DXX94"/>
      <c r="DXY94"/>
      <c r="DXZ94"/>
      <c r="DYA94"/>
      <c r="DYB94"/>
      <c r="DYC94"/>
      <c r="DYD94"/>
      <c r="DYE94"/>
      <c r="DYF94"/>
      <c r="DYG94"/>
      <c r="DYH94"/>
      <c r="DYI94"/>
      <c r="DYJ94"/>
      <c r="DYK94"/>
      <c r="DYL94"/>
      <c r="DYM94"/>
      <c r="DYN94"/>
      <c r="DYO94"/>
      <c r="DYP94"/>
      <c r="DYQ94"/>
      <c r="DYR94"/>
      <c r="DYS94"/>
      <c r="DYT94"/>
      <c r="DYU94"/>
      <c r="DYV94"/>
      <c r="DYW94"/>
      <c r="DYX94"/>
      <c r="DYY94"/>
      <c r="DYZ94"/>
      <c r="DZA94"/>
      <c r="DZB94"/>
      <c r="DZC94"/>
      <c r="DZD94"/>
      <c r="DZE94"/>
      <c r="DZF94"/>
      <c r="DZG94"/>
      <c r="DZH94"/>
      <c r="DZI94"/>
      <c r="DZJ94"/>
      <c r="DZK94"/>
      <c r="DZL94"/>
      <c r="DZM94"/>
      <c r="DZN94"/>
      <c r="DZO94"/>
      <c r="DZP94"/>
      <c r="DZQ94"/>
      <c r="DZR94"/>
      <c r="DZS94"/>
      <c r="DZT94"/>
      <c r="DZU94"/>
      <c r="DZV94"/>
      <c r="DZW94"/>
      <c r="DZX94"/>
      <c r="DZY94"/>
      <c r="DZZ94"/>
      <c r="EAA94"/>
      <c r="EAB94"/>
      <c r="EAC94"/>
      <c r="EAD94"/>
      <c r="EAE94"/>
      <c r="EAF94"/>
      <c r="EAG94"/>
      <c r="EAH94"/>
      <c r="EAI94"/>
      <c r="EAJ94"/>
      <c r="EAK94"/>
      <c r="EAL94"/>
      <c r="EAM94"/>
      <c r="EAN94"/>
      <c r="EAO94"/>
      <c r="EAP94"/>
      <c r="EAQ94"/>
      <c r="EAR94"/>
      <c r="EAS94"/>
      <c r="EAT94"/>
      <c r="EAU94"/>
      <c r="EAV94"/>
      <c r="EAW94"/>
      <c r="EAX94"/>
      <c r="EAY94"/>
      <c r="EAZ94"/>
      <c r="EBA94"/>
      <c r="EBB94"/>
      <c r="EBC94"/>
      <c r="EBD94"/>
      <c r="EBE94"/>
      <c r="EBF94"/>
      <c r="EBG94"/>
      <c r="EBH94"/>
      <c r="EBI94"/>
      <c r="EBJ94"/>
      <c r="EBK94"/>
      <c r="EBL94"/>
      <c r="EBM94"/>
      <c r="EBN94"/>
      <c r="EBO94"/>
      <c r="EBP94"/>
      <c r="EBQ94"/>
      <c r="EBR94"/>
      <c r="EBS94"/>
      <c r="EBT94"/>
      <c r="EBU94"/>
      <c r="EBV94"/>
      <c r="EBW94"/>
      <c r="EBX94"/>
      <c r="EBY94"/>
      <c r="EBZ94"/>
      <c r="ECA94"/>
      <c r="ECB94"/>
      <c r="ECC94"/>
      <c r="ECD94"/>
      <c r="ECE94"/>
      <c r="ECF94"/>
      <c r="ECG94"/>
      <c r="ECH94"/>
      <c r="ECI94"/>
      <c r="ECJ94"/>
      <c r="ECK94"/>
      <c r="ECL94"/>
      <c r="ECM94"/>
      <c r="ECN94"/>
      <c r="ECO94"/>
      <c r="ECP94"/>
      <c r="ECQ94"/>
      <c r="ECR94"/>
      <c r="ECS94"/>
      <c r="ECT94"/>
      <c r="ECU94"/>
      <c r="ECV94"/>
      <c r="ECW94"/>
      <c r="ECX94"/>
      <c r="ECY94"/>
      <c r="ECZ94"/>
      <c r="EDA94"/>
      <c r="EDB94"/>
      <c r="EDC94"/>
      <c r="EDD94"/>
      <c r="EDE94"/>
      <c r="EDF94"/>
      <c r="EDG94"/>
      <c r="EDH94"/>
      <c r="EDI94"/>
      <c r="EDJ94"/>
      <c r="EDK94"/>
      <c r="EDL94"/>
      <c r="EDM94"/>
      <c r="EDN94"/>
      <c r="EDO94"/>
      <c r="EDP94"/>
      <c r="EDQ94"/>
      <c r="EDR94"/>
      <c r="EDS94"/>
      <c r="EDT94"/>
      <c r="EDU94"/>
      <c r="EDV94"/>
      <c r="EDW94"/>
      <c r="EDX94"/>
      <c r="EDY94"/>
      <c r="EDZ94"/>
      <c r="EEA94"/>
      <c r="EEB94"/>
      <c r="EEC94"/>
      <c r="EED94"/>
      <c r="EEE94"/>
      <c r="EEF94"/>
      <c r="EEG94"/>
      <c r="EEH94"/>
      <c r="EEI94"/>
      <c r="EEJ94"/>
      <c r="EEK94"/>
      <c r="EEL94"/>
      <c r="EEM94"/>
      <c r="EEN94"/>
      <c r="EEO94"/>
      <c r="EEP94"/>
      <c r="EEQ94"/>
      <c r="EER94"/>
      <c r="EES94"/>
      <c r="EET94"/>
      <c r="EEU94"/>
      <c r="EEV94"/>
      <c r="EEW94"/>
      <c r="EEX94"/>
      <c r="EEY94"/>
      <c r="EEZ94"/>
      <c r="EFA94"/>
      <c r="EFB94"/>
      <c r="EFC94"/>
      <c r="EFD94"/>
      <c r="EFE94"/>
      <c r="EFF94"/>
      <c r="EFG94"/>
      <c r="EFH94"/>
      <c r="EFI94"/>
      <c r="EFJ94"/>
      <c r="EFK94"/>
      <c r="EFL94"/>
      <c r="EFM94"/>
      <c r="EFN94"/>
      <c r="EFO94"/>
      <c r="EFP94"/>
      <c r="EFQ94"/>
      <c r="EFR94"/>
      <c r="EFS94"/>
      <c r="EFT94"/>
      <c r="EFU94"/>
      <c r="EFV94"/>
      <c r="EFW94"/>
      <c r="EFX94"/>
      <c r="EFY94"/>
      <c r="EFZ94"/>
      <c r="EGA94"/>
      <c r="EGB94"/>
      <c r="EGC94"/>
      <c r="EGD94"/>
      <c r="EGE94"/>
      <c r="EGF94"/>
      <c r="EGG94"/>
      <c r="EGH94"/>
      <c r="EGI94"/>
      <c r="EGJ94"/>
      <c r="EGK94"/>
      <c r="EGL94"/>
      <c r="EGM94"/>
      <c r="EGN94"/>
      <c r="EGO94"/>
      <c r="EGP94"/>
      <c r="EGQ94"/>
      <c r="EGR94"/>
      <c r="EGS94"/>
      <c r="EGT94"/>
      <c r="EGU94"/>
      <c r="EGV94"/>
      <c r="EGW94"/>
      <c r="EGX94"/>
      <c r="EGY94"/>
      <c r="EGZ94"/>
      <c r="EHA94"/>
      <c r="EHB94"/>
      <c r="EHC94"/>
      <c r="EHD94"/>
      <c r="EHE94"/>
      <c r="EHF94"/>
      <c r="EHG94"/>
      <c r="EHH94"/>
      <c r="EHI94"/>
      <c r="EHJ94"/>
      <c r="EHK94"/>
      <c r="EHL94"/>
      <c r="EHM94"/>
      <c r="EHN94"/>
      <c r="EHO94"/>
      <c r="EHP94"/>
      <c r="EHQ94"/>
      <c r="EHR94"/>
      <c r="EHS94"/>
      <c r="EHT94"/>
      <c r="EHU94"/>
      <c r="EHV94"/>
      <c r="EHW94"/>
      <c r="EHX94"/>
      <c r="EHY94"/>
      <c r="EHZ94"/>
      <c r="EIA94"/>
      <c r="EIB94"/>
      <c r="EIC94"/>
      <c r="EID94"/>
      <c r="EIE94"/>
      <c r="EIF94"/>
      <c r="EIG94"/>
      <c r="EIH94"/>
      <c r="EII94"/>
      <c r="EIJ94"/>
      <c r="EIK94"/>
      <c r="EIL94"/>
      <c r="EIM94"/>
      <c r="EIN94"/>
      <c r="EIO94"/>
      <c r="EIP94"/>
      <c r="EIQ94"/>
      <c r="EIR94"/>
      <c r="EIS94"/>
      <c r="EIT94"/>
      <c r="EIU94"/>
      <c r="EIV94"/>
      <c r="EIW94"/>
      <c r="EIX94"/>
      <c r="EIY94"/>
      <c r="EIZ94"/>
      <c r="EJA94"/>
      <c r="EJB94"/>
      <c r="EJC94"/>
      <c r="EJD94"/>
      <c r="EJE94"/>
      <c r="EJF94"/>
      <c r="EJG94"/>
      <c r="EJH94"/>
      <c r="EJI94"/>
      <c r="EJJ94"/>
      <c r="EJK94"/>
      <c r="EJL94"/>
      <c r="EJM94"/>
      <c r="EJN94"/>
      <c r="EJO94"/>
      <c r="EJP94"/>
      <c r="EJQ94"/>
      <c r="EJR94"/>
      <c r="EJS94"/>
      <c r="EJT94"/>
      <c r="EJU94"/>
      <c r="EJV94"/>
      <c r="EJW94"/>
      <c r="EJX94"/>
      <c r="EJY94"/>
      <c r="EJZ94"/>
      <c r="EKA94"/>
      <c r="EKB94"/>
      <c r="EKC94"/>
      <c r="EKD94"/>
      <c r="EKE94"/>
      <c r="EKF94"/>
      <c r="EKG94"/>
      <c r="EKH94"/>
      <c r="EKI94"/>
      <c r="EKJ94"/>
      <c r="EKK94"/>
      <c r="EKL94"/>
      <c r="EKM94"/>
      <c r="EKN94"/>
      <c r="EKO94"/>
      <c r="EKP94"/>
      <c r="EKQ94"/>
      <c r="EKR94"/>
      <c r="EKS94"/>
      <c r="EKT94"/>
      <c r="EKU94"/>
      <c r="EKV94"/>
      <c r="EKW94"/>
      <c r="EKX94"/>
      <c r="EKY94"/>
      <c r="EKZ94"/>
      <c r="ELA94"/>
      <c r="ELB94"/>
      <c r="ELC94"/>
      <c r="ELD94"/>
      <c r="ELE94"/>
      <c r="ELF94"/>
      <c r="ELG94"/>
      <c r="ELH94"/>
      <c r="ELI94"/>
      <c r="ELJ94"/>
      <c r="ELK94"/>
      <c r="ELL94"/>
      <c r="ELM94"/>
      <c r="ELN94"/>
      <c r="ELO94"/>
      <c r="ELP94"/>
      <c r="ELQ94"/>
      <c r="ELR94"/>
      <c r="ELS94"/>
      <c r="ELT94"/>
      <c r="ELU94"/>
      <c r="ELV94"/>
      <c r="ELW94"/>
      <c r="ELX94"/>
      <c r="ELY94"/>
      <c r="ELZ94"/>
      <c r="EMA94"/>
      <c r="EMB94"/>
      <c r="EMC94"/>
      <c r="EMD94"/>
      <c r="EME94"/>
      <c r="EMF94"/>
      <c r="EMG94"/>
      <c r="EMH94"/>
      <c r="EMI94"/>
      <c r="EMJ94"/>
      <c r="EMK94"/>
      <c r="EML94"/>
      <c r="EMM94"/>
    </row>
    <row r="95" spans="2:3731" hidden="1" outlineLevel="1">
      <c r="E95" s="54"/>
      <c r="F95" s="54"/>
      <c r="H95"/>
      <c r="I95"/>
      <c r="K95"/>
      <c r="L95"/>
      <c r="N95"/>
      <c r="O95"/>
      <c r="Q95"/>
      <c r="R95"/>
      <c r="T95"/>
      <c r="U95"/>
      <c r="W95"/>
      <c r="X95"/>
      <c r="AF95"/>
      <c r="AG95"/>
      <c r="AH95"/>
      <c r="AI95" s="338"/>
      <c r="AJ95" s="339"/>
      <c r="AK95" s="340"/>
      <c r="AL95" s="22"/>
      <c r="AM95" s="22"/>
      <c r="AN95" s="22"/>
      <c r="AO95" s="22"/>
      <c r="AP95" s="22" t="s">
        <v>130</v>
      </c>
      <c r="AQ95" t="s">
        <v>168</v>
      </c>
      <c r="AR95" t="s">
        <v>1284</v>
      </c>
      <c r="AS95" t="s">
        <v>1285</v>
      </c>
      <c r="AT95" t="s">
        <v>1286</v>
      </c>
      <c r="AU95" t="s">
        <v>1174</v>
      </c>
      <c r="AV95" t="s">
        <v>1173</v>
      </c>
      <c r="AW95" t="s">
        <v>1287</v>
      </c>
      <c r="AX95" t="s">
        <v>1283</v>
      </c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 s="345"/>
      <c r="CS95" s="346"/>
      <c r="CT95" s="347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  <c r="ALM95"/>
      <c r="ALN95"/>
      <c r="ALO95"/>
      <c r="ALP95"/>
      <c r="ALQ95"/>
      <c r="ALR95"/>
      <c r="ALS95"/>
      <c r="ALT95"/>
      <c r="ALU95"/>
      <c r="ALV95"/>
      <c r="ALW95"/>
      <c r="ALX95"/>
      <c r="ALY95"/>
      <c r="ALZ95"/>
      <c r="AMA95"/>
      <c r="AMB95"/>
      <c r="AMC95"/>
      <c r="AMD95"/>
      <c r="AME95"/>
      <c r="AMF95"/>
      <c r="AMG95"/>
      <c r="AMH95"/>
      <c r="AMI95"/>
      <c r="AMJ95"/>
      <c r="AMK95"/>
      <c r="AML95"/>
      <c r="AMM95"/>
      <c r="AMN95"/>
      <c r="AMO95"/>
      <c r="AMP95"/>
      <c r="AMQ95"/>
      <c r="AMR95"/>
      <c r="AMS95"/>
      <c r="AMT95"/>
      <c r="AMU95"/>
      <c r="AMV95"/>
      <c r="AMW95"/>
      <c r="AMX95"/>
      <c r="AMY95"/>
      <c r="AMZ95"/>
      <c r="ANA95"/>
      <c r="ANB95"/>
      <c r="ANC95"/>
      <c r="AND95"/>
      <c r="ANE95"/>
      <c r="ANF95"/>
      <c r="ANG95"/>
      <c r="ANH95"/>
      <c r="ANI95"/>
      <c r="ANJ95"/>
      <c r="ANK95"/>
      <c r="ANL95"/>
      <c r="ANM95"/>
      <c r="ANN95"/>
      <c r="ANO95"/>
      <c r="ANP95"/>
      <c r="ANQ95"/>
      <c r="ANR95"/>
      <c r="ANS95"/>
      <c r="ANT95"/>
      <c r="ANU95"/>
      <c r="ANV95"/>
      <c r="ANW95"/>
      <c r="ANX95"/>
      <c r="ANY95"/>
      <c r="ANZ95"/>
      <c r="AOA95"/>
      <c r="AOB95"/>
      <c r="AOC95"/>
      <c r="AOD95"/>
      <c r="AOE95"/>
      <c r="AOF95"/>
      <c r="AOG95"/>
      <c r="AOH95"/>
      <c r="AOI95"/>
      <c r="AOJ95"/>
      <c r="AOK95"/>
      <c r="AOL95"/>
      <c r="AOM95"/>
      <c r="AON95"/>
      <c r="AOO95"/>
      <c r="AOP95"/>
      <c r="AOQ95"/>
      <c r="AOR95"/>
      <c r="AOS95"/>
      <c r="AOT95"/>
      <c r="AOU95"/>
      <c r="AOV95"/>
      <c r="AOW95"/>
      <c r="AOX95"/>
      <c r="AOY95"/>
      <c r="AOZ95"/>
      <c r="APA95"/>
      <c r="APB95"/>
      <c r="APC95"/>
      <c r="APD95"/>
      <c r="APE95"/>
      <c r="APF95"/>
      <c r="APG95"/>
      <c r="APH95"/>
      <c r="API95"/>
      <c r="APJ95"/>
      <c r="APK95"/>
      <c r="APL95"/>
      <c r="APM95"/>
      <c r="APN95"/>
      <c r="APO95"/>
      <c r="APP95"/>
      <c r="APQ95"/>
      <c r="APR95"/>
      <c r="APS95"/>
      <c r="APT95"/>
      <c r="APU95"/>
      <c r="APV95"/>
      <c r="APW95"/>
      <c r="APX95"/>
      <c r="APY95"/>
      <c r="APZ95"/>
      <c r="AQA95"/>
      <c r="AQB95"/>
      <c r="AQC95"/>
      <c r="AQD95"/>
      <c r="AQE95"/>
      <c r="AQF95"/>
      <c r="AQG95"/>
      <c r="AQH95"/>
      <c r="AQI95"/>
      <c r="AQJ95"/>
      <c r="AQK95"/>
      <c r="AQL95"/>
      <c r="AQM95"/>
      <c r="AQN95"/>
      <c r="AQO95"/>
      <c r="AQP95"/>
      <c r="AQQ95"/>
      <c r="AQR95"/>
      <c r="AQS95"/>
      <c r="AQT95"/>
      <c r="AQU95"/>
      <c r="AQV95"/>
      <c r="AQW95"/>
      <c r="AQX95"/>
      <c r="AQY95"/>
      <c r="AQZ95"/>
      <c r="ARA95"/>
      <c r="ARB95"/>
      <c r="ARC95"/>
      <c r="ARD95"/>
      <c r="ARE95"/>
      <c r="ARF95"/>
      <c r="ARG95"/>
      <c r="ARH95"/>
      <c r="ARI95"/>
      <c r="ARJ95"/>
      <c r="ARK95"/>
      <c r="ARL95"/>
      <c r="ARM95"/>
      <c r="ARN95"/>
      <c r="ARO95"/>
      <c r="ARP95"/>
      <c r="ARQ95"/>
      <c r="ARR95"/>
      <c r="ARS95"/>
      <c r="ART95"/>
      <c r="ARU95"/>
      <c r="ARV95"/>
      <c r="ARW95"/>
      <c r="ARX95"/>
      <c r="ARY95"/>
      <c r="ARZ95"/>
      <c r="ASA95"/>
      <c r="ASB95"/>
      <c r="ASC95"/>
      <c r="ASD95"/>
      <c r="ASE95"/>
      <c r="ASF95"/>
      <c r="ASG95"/>
      <c r="ASH95"/>
      <c r="ASI95"/>
      <c r="ASJ95"/>
      <c r="ASK95"/>
      <c r="ASL95"/>
      <c r="ASM95"/>
      <c r="ASN95"/>
      <c r="ASO95"/>
      <c r="ASP95"/>
      <c r="ASQ95"/>
      <c r="ASR95"/>
      <c r="ASS95"/>
      <c r="AST95"/>
      <c r="ASU95"/>
      <c r="ASV95"/>
      <c r="ASW95"/>
      <c r="ASX95"/>
      <c r="ASY95"/>
      <c r="ASZ95"/>
      <c r="ATA95"/>
      <c r="ATB95"/>
      <c r="ATC95"/>
      <c r="ATD95"/>
      <c r="ATE95"/>
      <c r="ATF95"/>
      <c r="ATG95"/>
      <c r="ATH95"/>
      <c r="ATI95"/>
      <c r="ATJ95"/>
      <c r="ATK95"/>
      <c r="ATL95"/>
      <c r="ATM95"/>
      <c r="ATN95"/>
      <c r="ATO95"/>
      <c r="ATP95"/>
      <c r="ATQ95"/>
      <c r="ATR95"/>
      <c r="ATS95"/>
      <c r="ATT95"/>
      <c r="ATU95"/>
      <c r="ATV95"/>
      <c r="ATW95"/>
      <c r="ATX95"/>
      <c r="ATY95"/>
      <c r="ATZ95"/>
      <c r="AUA95"/>
      <c r="AUB95"/>
      <c r="AUC95"/>
      <c r="AUD95"/>
      <c r="AUE95"/>
      <c r="AUF95"/>
      <c r="AUG95"/>
      <c r="AUH95"/>
      <c r="AUI95"/>
      <c r="AUJ95"/>
      <c r="AUK95"/>
      <c r="AUL95"/>
      <c r="AUM95"/>
      <c r="AUN95"/>
      <c r="AUO95"/>
      <c r="AUP95"/>
      <c r="AUQ95"/>
      <c r="AUR95"/>
      <c r="AUS95"/>
      <c r="AUT95"/>
      <c r="AUU95"/>
      <c r="AUV95"/>
      <c r="AUW95"/>
      <c r="AUX95"/>
      <c r="AUY95"/>
      <c r="AUZ95"/>
      <c r="AVA95"/>
      <c r="AVB95"/>
      <c r="AVC95"/>
      <c r="AVD95"/>
      <c r="AVE95"/>
      <c r="AVF95"/>
      <c r="AVG95"/>
      <c r="AVH95"/>
      <c r="AVI95"/>
      <c r="AVJ95"/>
      <c r="AVK95"/>
      <c r="AVL95"/>
      <c r="AVM95"/>
      <c r="AVN95"/>
      <c r="AVO95"/>
      <c r="AVP95"/>
      <c r="AVQ95"/>
      <c r="AVR95"/>
      <c r="AVS95"/>
      <c r="AVT95"/>
      <c r="AVU95"/>
      <c r="AVV95"/>
      <c r="AVW95"/>
      <c r="AVX95"/>
      <c r="AVY95"/>
      <c r="AVZ95"/>
      <c r="AWA95"/>
      <c r="AWB95"/>
      <c r="AWC95"/>
      <c r="AWD95"/>
      <c r="AWE95"/>
      <c r="AWF95"/>
      <c r="AWG95"/>
      <c r="AWH95"/>
      <c r="AWI95"/>
      <c r="AWJ95"/>
      <c r="AWK95"/>
      <c r="AWL95"/>
      <c r="AWM95"/>
      <c r="AWN95"/>
      <c r="AWO95"/>
      <c r="AWP95"/>
      <c r="AWQ95"/>
      <c r="AWR95"/>
      <c r="AWS95"/>
      <c r="AWT95"/>
      <c r="AWU95"/>
      <c r="AWV95"/>
      <c r="AWW95"/>
      <c r="AWX95"/>
      <c r="AWY95"/>
      <c r="AWZ95"/>
      <c r="AXA95"/>
      <c r="AXB95"/>
      <c r="AXC95"/>
      <c r="AXD95"/>
      <c r="AXE95"/>
      <c r="AXF95"/>
      <c r="AXG95"/>
      <c r="AXH95"/>
      <c r="AXI95"/>
      <c r="AXJ95"/>
      <c r="AXK95"/>
      <c r="AXL95"/>
      <c r="AXM95"/>
      <c r="AXN95"/>
      <c r="AXO95"/>
      <c r="AXP95"/>
      <c r="AXQ95"/>
      <c r="AXR95"/>
      <c r="AXS95"/>
      <c r="AXT95"/>
      <c r="AXU95"/>
      <c r="AXV95"/>
      <c r="AXW95"/>
      <c r="AXX95"/>
      <c r="AXY95"/>
      <c r="AXZ95"/>
      <c r="AYA95"/>
      <c r="AYB95"/>
      <c r="AYC95"/>
      <c r="AYD95"/>
      <c r="AYE95"/>
      <c r="AYF95"/>
      <c r="AYG95"/>
      <c r="AYH95"/>
      <c r="AYI95"/>
      <c r="AYJ95"/>
      <c r="AYK95"/>
      <c r="AYL95"/>
      <c r="AYM95"/>
      <c r="AYN95"/>
      <c r="AYO95"/>
      <c r="AYP95"/>
      <c r="AYQ95"/>
      <c r="AYR95"/>
      <c r="AYS95"/>
      <c r="AYT95"/>
      <c r="AYU95"/>
      <c r="AYV95"/>
      <c r="AYW95"/>
      <c r="AYX95"/>
      <c r="AYY95"/>
      <c r="AYZ95"/>
      <c r="AZA95"/>
      <c r="AZB95"/>
      <c r="AZC95"/>
      <c r="AZD95"/>
      <c r="AZE95"/>
      <c r="AZF95"/>
      <c r="AZG95"/>
      <c r="AZH95"/>
      <c r="AZI95"/>
      <c r="AZJ95"/>
      <c r="AZK95"/>
      <c r="AZL95"/>
      <c r="AZM95"/>
      <c r="AZN95"/>
      <c r="AZO95"/>
      <c r="AZP95"/>
      <c r="AZQ95"/>
      <c r="AZR95"/>
      <c r="AZS95"/>
      <c r="AZT95"/>
      <c r="AZU95"/>
      <c r="AZV95"/>
      <c r="AZW95"/>
      <c r="AZX95"/>
      <c r="AZY95"/>
      <c r="AZZ95"/>
      <c r="BAA95"/>
      <c r="BAB95"/>
      <c r="BAC95"/>
      <c r="BAD95"/>
      <c r="BAE95"/>
      <c r="BAF95"/>
      <c r="BAG95"/>
      <c r="BAH95"/>
      <c r="BAI95"/>
      <c r="BAJ95"/>
      <c r="BAK95"/>
      <c r="BAL95"/>
      <c r="BAM95"/>
      <c r="BAN95"/>
      <c r="BAO95"/>
      <c r="BAP95"/>
      <c r="BAQ95"/>
      <c r="BAR95"/>
      <c r="BAS95"/>
      <c r="BAT95"/>
      <c r="BAU95"/>
      <c r="BAV95"/>
      <c r="BAW95"/>
      <c r="BAX95"/>
      <c r="BAY95"/>
      <c r="BAZ95"/>
      <c r="BBA95"/>
      <c r="BBB95"/>
      <c r="BBC95"/>
      <c r="BBD95"/>
      <c r="BBE95"/>
      <c r="BBF95"/>
      <c r="BBG95"/>
      <c r="BBH95"/>
      <c r="BBI95"/>
      <c r="BBJ95"/>
      <c r="BBK95"/>
      <c r="BBL95"/>
      <c r="BBM95"/>
      <c r="BBN95"/>
      <c r="BBO95"/>
      <c r="BBP95"/>
      <c r="BBQ95"/>
      <c r="BBR95"/>
      <c r="BBS95"/>
      <c r="BBT95"/>
      <c r="BBU95"/>
      <c r="BBV95"/>
      <c r="BBW95"/>
      <c r="BBX95"/>
      <c r="BBY95"/>
      <c r="BBZ95"/>
      <c r="BCA95"/>
      <c r="BCB95"/>
      <c r="BCC95"/>
      <c r="BCD95"/>
      <c r="BCE95"/>
      <c r="BCF95"/>
      <c r="BCG95"/>
      <c r="BCH95"/>
      <c r="BCI95"/>
      <c r="BCJ95"/>
      <c r="BCK95"/>
      <c r="BCL95"/>
      <c r="BCM95"/>
      <c r="BCN95"/>
      <c r="BCO95"/>
      <c r="BCP95"/>
      <c r="BCQ95"/>
      <c r="BCR95"/>
      <c r="BCS95"/>
      <c r="BCT95"/>
      <c r="BCU95"/>
      <c r="BCV95"/>
      <c r="BCW95"/>
      <c r="BCX95"/>
      <c r="BCY95"/>
      <c r="BCZ95"/>
      <c r="BDA95"/>
      <c r="BDB95"/>
      <c r="BDC95"/>
      <c r="BDD95"/>
      <c r="BDE95"/>
      <c r="BDF95"/>
      <c r="BDG95"/>
      <c r="BDH95"/>
      <c r="BDI95"/>
      <c r="BDJ95"/>
      <c r="BDK95"/>
      <c r="BDL95"/>
      <c r="BDM95"/>
      <c r="BDN95"/>
      <c r="BDO95"/>
      <c r="BDP95"/>
      <c r="BDQ95"/>
      <c r="BDR95"/>
      <c r="BDS95"/>
      <c r="BDT95"/>
      <c r="BDU95"/>
      <c r="BDV95"/>
      <c r="BDW95"/>
      <c r="BDX95"/>
      <c r="BDY95"/>
      <c r="BDZ95"/>
      <c r="BEA95"/>
      <c r="BEB95"/>
      <c r="BEC95"/>
      <c r="BED95"/>
      <c r="BEE95"/>
      <c r="BEF95"/>
      <c r="BEG95"/>
      <c r="BEH95"/>
      <c r="BEI95"/>
      <c r="BEJ95"/>
      <c r="BEK95"/>
      <c r="BEL95"/>
      <c r="BEM95"/>
      <c r="BEN95"/>
      <c r="BEO95"/>
      <c r="BEP95"/>
      <c r="BEQ95"/>
      <c r="BER95"/>
      <c r="BES95"/>
      <c r="BET95"/>
      <c r="BEU95"/>
      <c r="BEV95"/>
      <c r="BEW95"/>
      <c r="BEX95"/>
      <c r="BEY95"/>
      <c r="BEZ95"/>
      <c r="BFA95"/>
      <c r="BFB95"/>
      <c r="BFC95"/>
      <c r="BFD95"/>
      <c r="BFE95"/>
      <c r="BFF95"/>
      <c r="BFG95"/>
      <c r="BFH95"/>
      <c r="BFI95"/>
      <c r="BFJ95"/>
      <c r="BFK95"/>
      <c r="BFL95"/>
      <c r="BFM95"/>
      <c r="BFN95"/>
      <c r="BFO95"/>
      <c r="BFP95"/>
      <c r="BFQ95"/>
      <c r="BFR95"/>
      <c r="BFS95"/>
      <c r="BFT95"/>
      <c r="BFU95"/>
      <c r="BFV95"/>
      <c r="BFW95"/>
      <c r="BFX95"/>
      <c r="BFY95"/>
      <c r="BFZ95"/>
      <c r="BGA95"/>
      <c r="BGB95"/>
      <c r="BGC95"/>
      <c r="BGD95"/>
      <c r="BGE95"/>
      <c r="BGF95"/>
      <c r="BGG95"/>
      <c r="BGH95"/>
      <c r="BGI95"/>
      <c r="BGJ95"/>
      <c r="BGK95"/>
      <c r="BGL95"/>
      <c r="BGM95"/>
      <c r="BGN95"/>
      <c r="BGO95"/>
      <c r="BGP95"/>
      <c r="BGQ95"/>
      <c r="BGR95"/>
      <c r="BGS95"/>
      <c r="BGT95"/>
      <c r="BGU95"/>
      <c r="BGV95"/>
      <c r="BGW95"/>
      <c r="BGX95"/>
      <c r="BGY95"/>
      <c r="BGZ95"/>
      <c r="BHA95"/>
      <c r="BHB95"/>
      <c r="BHC95"/>
      <c r="BHD95"/>
      <c r="BHE95"/>
      <c r="BHF95"/>
      <c r="BHG95"/>
      <c r="BHH95"/>
      <c r="BHI95"/>
      <c r="BHJ95"/>
      <c r="BHK95"/>
      <c r="BHL95"/>
      <c r="BHM95"/>
      <c r="BHN95"/>
      <c r="BHO95"/>
      <c r="BHP95"/>
      <c r="BHQ95"/>
      <c r="BHR95"/>
      <c r="BHS95"/>
      <c r="BHT95"/>
      <c r="BHU95"/>
      <c r="BHV95"/>
      <c r="BHW95"/>
      <c r="BHX95"/>
      <c r="BHY95"/>
      <c r="BHZ95"/>
      <c r="BIA95"/>
      <c r="BIB95"/>
      <c r="BIC95"/>
      <c r="BID95"/>
      <c r="BIE95"/>
      <c r="BIF95"/>
      <c r="BIG95"/>
      <c r="BIH95"/>
      <c r="BII95"/>
      <c r="BIJ95"/>
      <c r="BIK95"/>
      <c r="BIL95"/>
      <c r="BIM95"/>
      <c r="BIN95"/>
      <c r="BIO95"/>
      <c r="BIP95"/>
      <c r="BIQ95"/>
      <c r="BIR95"/>
      <c r="BIS95"/>
      <c r="BIT95"/>
      <c r="BIU95"/>
      <c r="BIV95"/>
      <c r="BIW95"/>
      <c r="BIX95"/>
      <c r="BIY95"/>
      <c r="BIZ95"/>
      <c r="BJA95"/>
      <c r="BJB95"/>
      <c r="BJC95"/>
      <c r="BJD95"/>
      <c r="BJE95"/>
      <c r="BJF95"/>
      <c r="BJG95"/>
      <c r="BJH95"/>
      <c r="BJI95"/>
      <c r="BJJ95"/>
      <c r="BJK95"/>
      <c r="BJL95"/>
      <c r="BJM95"/>
      <c r="BJN95"/>
      <c r="BJO95"/>
      <c r="BJP95"/>
      <c r="BJQ95"/>
      <c r="BJR95"/>
      <c r="BJS95"/>
      <c r="BJT95"/>
      <c r="BJU95"/>
      <c r="BJV95"/>
      <c r="BJW95"/>
      <c r="BJX95"/>
      <c r="BJY95"/>
      <c r="BJZ95"/>
      <c r="BKA95"/>
      <c r="BKB95"/>
      <c r="BKC95"/>
      <c r="BKD95"/>
      <c r="BKE95"/>
      <c r="BKF95"/>
      <c r="BKG95"/>
      <c r="BKH95"/>
      <c r="BKI95"/>
      <c r="BKJ95"/>
      <c r="BKK95"/>
      <c r="BKL95"/>
      <c r="BKM95"/>
      <c r="BKN95"/>
      <c r="BKO95"/>
      <c r="BKP95"/>
      <c r="BKQ95"/>
      <c r="BKR95"/>
      <c r="BKS95"/>
      <c r="BKT95"/>
      <c r="BKU95"/>
      <c r="BKV95"/>
      <c r="BKW95"/>
      <c r="BKX95"/>
      <c r="BKY95"/>
      <c r="BKZ95"/>
      <c r="BLA95"/>
      <c r="BLB95"/>
      <c r="BLC95"/>
      <c r="BLD95"/>
      <c r="BLE95"/>
      <c r="BLF95"/>
      <c r="BLG95"/>
      <c r="BLH95"/>
      <c r="BLI95"/>
      <c r="BLJ95"/>
      <c r="BLK95"/>
      <c r="BLL95"/>
      <c r="BLM95"/>
      <c r="BLN95"/>
      <c r="BLO95"/>
      <c r="BLP95"/>
      <c r="BLQ95"/>
      <c r="BLR95"/>
      <c r="BLS95"/>
      <c r="BLT95"/>
      <c r="BLU95"/>
      <c r="BLV95"/>
      <c r="BLW95"/>
      <c r="BLX95"/>
      <c r="BLY95"/>
      <c r="BLZ95"/>
      <c r="BMA95"/>
      <c r="BMB95"/>
      <c r="BMC95"/>
      <c r="BMD95"/>
      <c r="BME95"/>
      <c r="BMF95"/>
      <c r="BMG95"/>
      <c r="BMH95"/>
      <c r="BMI95"/>
      <c r="BMJ95"/>
      <c r="BMK95"/>
      <c r="BML95"/>
      <c r="BMM95"/>
      <c r="BMN95"/>
      <c r="BMO95"/>
      <c r="BMP95"/>
      <c r="BMQ95"/>
      <c r="BMR95"/>
      <c r="BMS95"/>
      <c r="BMT95"/>
      <c r="BMU95"/>
      <c r="BMV95"/>
      <c r="BMW95"/>
      <c r="BMX95"/>
      <c r="BMY95"/>
      <c r="BMZ95"/>
      <c r="BNA95"/>
      <c r="BNB95"/>
      <c r="BNC95"/>
      <c r="BND95"/>
      <c r="BNE95"/>
      <c r="BNF95"/>
      <c r="BNG95"/>
      <c r="BNH95"/>
      <c r="BNI95"/>
      <c r="BNJ95"/>
      <c r="BNK95"/>
      <c r="BNL95"/>
      <c r="BNM95"/>
      <c r="BNN95"/>
      <c r="BNO95"/>
      <c r="BNP95"/>
      <c r="BNQ95"/>
      <c r="BNR95"/>
      <c r="BNS95"/>
      <c r="BNT95"/>
      <c r="BNU95"/>
      <c r="BNV95"/>
      <c r="BNW95"/>
      <c r="BNX95"/>
      <c r="BNY95"/>
      <c r="BNZ95"/>
      <c r="BOA95"/>
      <c r="BOB95"/>
      <c r="BOC95"/>
      <c r="BOD95"/>
      <c r="BOE95"/>
      <c r="BOF95"/>
      <c r="BOG95"/>
      <c r="BOH95"/>
      <c r="BOI95"/>
      <c r="BOJ95"/>
      <c r="BOK95"/>
      <c r="BOL95"/>
      <c r="BOM95"/>
      <c r="BON95"/>
      <c r="BOO95"/>
      <c r="BOP95"/>
      <c r="BOQ95"/>
      <c r="BOR95"/>
      <c r="BOS95"/>
      <c r="BOT95"/>
      <c r="BOU95"/>
      <c r="BOV95"/>
      <c r="BOW95"/>
      <c r="BOX95"/>
      <c r="BOY95"/>
      <c r="BOZ95"/>
      <c r="BPA95"/>
      <c r="BPB95"/>
      <c r="BPC95"/>
      <c r="BPD95"/>
      <c r="BPE95"/>
      <c r="BPF95"/>
      <c r="BPG95"/>
      <c r="BPH95"/>
      <c r="BPI95"/>
      <c r="BPJ95"/>
      <c r="BPK95"/>
      <c r="BPL95"/>
      <c r="BPM95"/>
      <c r="BPN95"/>
      <c r="BPO95"/>
      <c r="BPP95"/>
      <c r="BPQ95"/>
      <c r="BPR95"/>
      <c r="BPS95"/>
      <c r="BPT95"/>
      <c r="BPU95"/>
      <c r="BPV95"/>
      <c r="BPW95"/>
      <c r="BPX95"/>
      <c r="BPY95"/>
      <c r="BPZ95"/>
      <c r="BQA95"/>
      <c r="BQB95"/>
      <c r="BQC95"/>
      <c r="BQD95"/>
      <c r="BQE95"/>
      <c r="BQF95"/>
      <c r="BQG95"/>
      <c r="BQH95"/>
      <c r="BQI95"/>
      <c r="BQJ95"/>
      <c r="BQK95"/>
      <c r="BQL95"/>
      <c r="BQM95"/>
      <c r="BQN95"/>
      <c r="BQO95"/>
      <c r="BQP95"/>
      <c r="BQQ95"/>
      <c r="BQR95"/>
      <c r="BQS95"/>
      <c r="BQT95"/>
      <c r="BQU95"/>
      <c r="BQV95"/>
      <c r="BQW95"/>
      <c r="BQX95"/>
      <c r="BQY95"/>
      <c r="BQZ95"/>
      <c r="BRA95"/>
      <c r="BRB95"/>
      <c r="BRC95"/>
      <c r="BRD95"/>
      <c r="BRE95"/>
      <c r="BRF95"/>
      <c r="BRG95"/>
      <c r="BRH95"/>
      <c r="BRI95"/>
      <c r="BRJ95"/>
      <c r="BRK95"/>
      <c r="BRL95"/>
      <c r="BRM95"/>
      <c r="BRN95"/>
      <c r="BRO95"/>
      <c r="BRP95"/>
      <c r="BRQ95"/>
      <c r="BRR95"/>
      <c r="BRS95"/>
      <c r="BRT95"/>
      <c r="BRU95"/>
      <c r="BRV95"/>
      <c r="BRW95"/>
      <c r="BRX95"/>
      <c r="BRY95"/>
      <c r="BRZ95"/>
      <c r="BSA95"/>
      <c r="BSB95"/>
      <c r="BSC95"/>
      <c r="BSD95"/>
      <c r="BSE95"/>
      <c r="BSF95"/>
      <c r="BSG95"/>
      <c r="BSH95"/>
      <c r="BSI95"/>
      <c r="BSJ95"/>
      <c r="BSK95"/>
      <c r="BSL95"/>
      <c r="BSM95"/>
      <c r="BSN95"/>
      <c r="BSO95"/>
      <c r="BSP95"/>
      <c r="BSQ95"/>
      <c r="BSR95"/>
      <c r="BSS95"/>
      <c r="BST95"/>
      <c r="BSU95"/>
      <c r="BSV95"/>
      <c r="BSW95"/>
      <c r="BSX95"/>
      <c r="BSY95"/>
      <c r="BSZ95"/>
      <c r="BTA95"/>
      <c r="BTB95"/>
      <c r="BTC95"/>
      <c r="BTD95"/>
      <c r="BTE95"/>
      <c r="BTF95"/>
      <c r="BTG95"/>
      <c r="BTH95"/>
      <c r="BTI95"/>
      <c r="BTJ95"/>
      <c r="BTK95"/>
      <c r="BTL95"/>
      <c r="BTM95"/>
      <c r="BTN95"/>
      <c r="BTO95"/>
      <c r="BTP95"/>
      <c r="BTQ95"/>
      <c r="BTR95"/>
      <c r="BTS95"/>
      <c r="BTT95"/>
      <c r="BTU95"/>
      <c r="BTV95"/>
      <c r="BTW95"/>
      <c r="BTX95"/>
      <c r="BTY95"/>
      <c r="BTZ95"/>
      <c r="BUA95"/>
      <c r="BUB95"/>
      <c r="BUC95"/>
      <c r="BUD95"/>
      <c r="BUE95"/>
      <c r="BUF95"/>
      <c r="BUG95"/>
      <c r="BUH95"/>
      <c r="BUI95"/>
      <c r="BUJ95"/>
      <c r="BUK95"/>
      <c r="BUL95"/>
      <c r="BUM95"/>
      <c r="BUN95"/>
      <c r="BUO95"/>
      <c r="BUP95"/>
      <c r="BUQ95"/>
      <c r="BUR95"/>
      <c r="BUS95"/>
      <c r="BUT95"/>
      <c r="BUU95"/>
      <c r="BUV95"/>
      <c r="BUW95"/>
      <c r="BUX95"/>
      <c r="BUY95"/>
      <c r="BUZ95"/>
      <c r="BVA95"/>
      <c r="BVB95"/>
      <c r="BVC95"/>
      <c r="BVD95"/>
      <c r="BVE95"/>
      <c r="BVF95"/>
      <c r="BVG95"/>
      <c r="BVH95"/>
      <c r="BVI95"/>
      <c r="BVJ95"/>
      <c r="BVK95"/>
      <c r="BVL95"/>
      <c r="BVM95"/>
      <c r="BVN95"/>
      <c r="BVO95"/>
      <c r="BVP95"/>
      <c r="BVQ95"/>
      <c r="BVR95"/>
      <c r="BVS95"/>
      <c r="BVT95"/>
      <c r="BVU95"/>
      <c r="BVV95"/>
      <c r="BVW95"/>
      <c r="BVX95"/>
      <c r="BVY95"/>
      <c r="BVZ95"/>
      <c r="BWA95"/>
      <c r="BWB95"/>
      <c r="BWC95"/>
      <c r="BWD95"/>
      <c r="BWE95"/>
      <c r="BWF95"/>
      <c r="BWG95"/>
      <c r="BWH95"/>
      <c r="BWI95"/>
      <c r="BWJ95"/>
      <c r="BWK95"/>
      <c r="BWL95"/>
      <c r="BWM95"/>
      <c r="BWN95"/>
      <c r="BWO95"/>
      <c r="BWP95"/>
      <c r="BWQ95"/>
      <c r="BWR95"/>
      <c r="BWS95"/>
      <c r="BWT95"/>
      <c r="BWU95"/>
      <c r="BWV95"/>
      <c r="BWW95"/>
      <c r="BWX95"/>
      <c r="BWY95"/>
      <c r="BWZ95"/>
      <c r="BXA95"/>
      <c r="BXB95"/>
      <c r="BXC95"/>
      <c r="BXD95"/>
      <c r="BXE95"/>
      <c r="BXF95"/>
      <c r="BXG95"/>
      <c r="BXH95"/>
      <c r="BXI95"/>
      <c r="BXJ95"/>
      <c r="BXK95"/>
      <c r="BXL95"/>
      <c r="BXM95"/>
      <c r="BXN95"/>
      <c r="BXO95"/>
      <c r="BXP95"/>
      <c r="BXQ95"/>
      <c r="BXR95"/>
      <c r="BXS95"/>
      <c r="BXT95"/>
      <c r="BXU95"/>
      <c r="BXV95"/>
      <c r="BXW95"/>
      <c r="BXX95"/>
      <c r="BXY95"/>
      <c r="BXZ95"/>
      <c r="BYA95"/>
      <c r="BYB95"/>
      <c r="BYC95"/>
      <c r="BYD95"/>
      <c r="BYE95"/>
      <c r="BYF95"/>
      <c r="BYG95"/>
      <c r="BYH95"/>
      <c r="BYI95"/>
      <c r="BYJ95"/>
      <c r="BYK95"/>
      <c r="BYL95"/>
      <c r="BYM95"/>
      <c r="BYN95"/>
      <c r="BYO95"/>
      <c r="BYP95"/>
      <c r="BYQ95"/>
      <c r="BYR95"/>
      <c r="BYS95"/>
      <c r="BYT95"/>
      <c r="BYU95"/>
      <c r="BYV95"/>
      <c r="BYW95"/>
      <c r="BYX95"/>
      <c r="BYY95"/>
      <c r="BYZ95"/>
      <c r="BZA95"/>
      <c r="BZB95"/>
      <c r="BZC95"/>
      <c r="BZD95"/>
      <c r="BZE95"/>
      <c r="BZF95"/>
      <c r="BZG95"/>
      <c r="BZH95"/>
      <c r="BZI95"/>
      <c r="BZJ95"/>
      <c r="BZK95"/>
      <c r="BZL95"/>
      <c r="BZM95"/>
      <c r="BZN95"/>
      <c r="BZO95"/>
      <c r="BZP95"/>
      <c r="BZQ95"/>
      <c r="BZR95"/>
      <c r="BZS95"/>
      <c r="BZT95"/>
      <c r="BZU95"/>
      <c r="BZV95"/>
      <c r="BZW95"/>
      <c r="BZX95"/>
      <c r="BZY95"/>
      <c r="BZZ95"/>
      <c r="CAA95"/>
      <c r="CAB95"/>
      <c r="CAC95"/>
      <c r="CAD95"/>
      <c r="CAE95"/>
      <c r="CAF95"/>
      <c r="CAG95"/>
      <c r="CAH95"/>
      <c r="CAI95"/>
      <c r="CAJ95"/>
      <c r="CAK95"/>
      <c r="CAL95"/>
      <c r="CAM95"/>
      <c r="CAN95"/>
      <c r="CAO95"/>
      <c r="CAP95"/>
      <c r="CAQ95"/>
      <c r="CAR95"/>
      <c r="CAS95"/>
      <c r="CAT95"/>
      <c r="CAU95"/>
      <c r="CAV95"/>
      <c r="CAW95"/>
      <c r="CAX95"/>
      <c r="CAY95"/>
      <c r="CAZ95"/>
      <c r="CBA95"/>
      <c r="CBB95"/>
      <c r="CBC95"/>
      <c r="CBD95"/>
      <c r="CBE95"/>
      <c r="CBF95"/>
      <c r="CBG95"/>
      <c r="CBH95"/>
      <c r="CBI95"/>
      <c r="CBJ95"/>
      <c r="CBK95"/>
      <c r="CBL95"/>
      <c r="CBM95"/>
      <c r="CBN95"/>
      <c r="CBO95"/>
      <c r="CBP95"/>
      <c r="CBQ95"/>
      <c r="CBR95"/>
      <c r="CBS95"/>
      <c r="CBT95"/>
      <c r="CBU95"/>
      <c r="CBV95"/>
      <c r="CBW95"/>
      <c r="CBX95"/>
      <c r="CBY95"/>
      <c r="CBZ95"/>
      <c r="CCA95"/>
      <c r="CCB95"/>
      <c r="CCC95"/>
      <c r="CCD95"/>
      <c r="CCE95"/>
      <c r="CCF95"/>
      <c r="CCG95"/>
      <c r="CCH95"/>
      <c r="CCI95"/>
      <c r="CCJ95"/>
      <c r="CCK95"/>
      <c r="CCL95"/>
      <c r="CCM95"/>
      <c r="CCN95"/>
      <c r="CCO95"/>
      <c r="CCP95"/>
      <c r="CCQ95"/>
      <c r="CCR95"/>
      <c r="CCS95"/>
      <c r="CCT95"/>
      <c r="CCU95"/>
      <c r="CCV95"/>
      <c r="CCW95"/>
      <c r="CCX95"/>
      <c r="CCY95"/>
      <c r="CCZ95"/>
      <c r="CDA95"/>
      <c r="CDB95"/>
      <c r="CDC95"/>
      <c r="CDD95"/>
      <c r="CDE95"/>
      <c r="CDF95"/>
      <c r="CDG95"/>
      <c r="CDH95"/>
      <c r="CDI95"/>
      <c r="CDJ95"/>
      <c r="CDK95"/>
      <c r="CDL95"/>
      <c r="CDM95"/>
      <c r="CDN95"/>
      <c r="CDO95"/>
      <c r="CDP95"/>
      <c r="CDQ95"/>
      <c r="CDR95"/>
      <c r="CDS95"/>
      <c r="CDT95"/>
      <c r="CDU95"/>
      <c r="CDV95"/>
      <c r="CDW95"/>
      <c r="CDX95"/>
      <c r="CDY95"/>
      <c r="CDZ95"/>
      <c r="CEA95"/>
      <c r="CEB95"/>
      <c r="CEC95"/>
      <c r="CED95"/>
      <c r="CEE95"/>
      <c r="CEF95"/>
      <c r="CEG95"/>
      <c r="CEH95"/>
      <c r="CEI95"/>
      <c r="CEJ95"/>
      <c r="CEK95"/>
      <c r="CEL95"/>
      <c r="CEM95"/>
      <c r="CEN95"/>
      <c r="CEO95"/>
      <c r="CEP95"/>
      <c r="CEQ95"/>
      <c r="CER95"/>
      <c r="CES95"/>
      <c r="CET95"/>
      <c r="CEU95"/>
      <c r="CEV95"/>
      <c r="CEW95"/>
      <c r="CEX95"/>
      <c r="CEY95"/>
      <c r="CEZ95"/>
      <c r="CFA95"/>
      <c r="CFB95"/>
      <c r="CFC95"/>
      <c r="CFD95"/>
      <c r="CFE95"/>
      <c r="CFF95"/>
      <c r="CFG95"/>
      <c r="CFH95"/>
      <c r="CFI95"/>
      <c r="CFJ95"/>
      <c r="CFK95"/>
      <c r="CFL95"/>
      <c r="CFM95"/>
      <c r="CFN95"/>
      <c r="CFO95"/>
      <c r="CFP95"/>
      <c r="CFQ95"/>
      <c r="CFR95"/>
      <c r="CFS95"/>
      <c r="CFT95"/>
      <c r="CFU95"/>
      <c r="CFV95"/>
      <c r="CFW95"/>
      <c r="CFX95"/>
      <c r="CFY95"/>
      <c r="CFZ95"/>
      <c r="CGA95"/>
      <c r="CGB95"/>
      <c r="CGC95"/>
      <c r="CGD95"/>
      <c r="CGE95"/>
      <c r="CGF95"/>
      <c r="CGG95"/>
      <c r="CGH95"/>
      <c r="CGI95"/>
      <c r="CGJ95"/>
      <c r="CGK95"/>
      <c r="CGL95"/>
      <c r="CGM95"/>
      <c r="CGN95"/>
      <c r="CGO95"/>
      <c r="CGP95"/>
      <c r="CGQ95"/>
      <c r="CGR95"/>
      <c r="CGS95"/>
      <c r="CGT95"/>
      <c r="CGU95"/>
      <c r="CGV95"/>
      <c r="CGW95"/>
      <c r="CGX95"/>
      <c r="CGY95"/>
      <c r="CGZ95"/>
      <c r="CHA95"/>
      <c r="CHB95"/>
      <c r="CHC95"/>
      <c r="CHD95"/>
      <c r="CHE95"/>
      <c r="CHF95"/>
      <c r="CHG95"/>
      <c r="CHH95"/>
      <c r="CHI95"/>
      <c r="CHJ95"/>
      <c r="CHK95"/>
      <c r="CHL95"/>
      <c r="CHM95"/>
      <c r="CHN95"/>
      <c r="CHO95"/>
      <c r="CHP95"/>
      <c r="CHQ95"/>
      <c r="CHR95"/>
      <c r="CHS95"/>
      <c r="CHT95"/>
      <c r="CHU95"/>
      <c r="CHV95"/>
      <c r="CHW95"/>
      <c r="CHX95"/>
      <c r="CHY95"/>
      <c r="CHZ95"/>
      <c r="CIA95"/>
      <c r="CIB95"/>
      <c r="CIC95"/>
      <c r="CID95"/>
      <c r="CIE95"/>
      <c r="CIF95"/>
      <c r="CIG95"/>
      <c r="CIH95"/>
      <c r="CII95"/>
      <c r="CIJ95"/>
      <c r="CIK95"/>
      <c r="CIL95"/>
      <c r="CIM95"/>
      <c r="CIN95"/>
      <c r="CIO95"/>
      <c r="CIP95"/>
      <c r="CIQ95"/>
      <c r="CIR95"/>
      <c r="CIS95"/>
      <c r="CIT95"/>
      <c r="CIU95"/>
      <c r="CIV95"/>
      <c r="CIW95"/>
      <c r="CIX95"/>
      <c r="CIY95"/>
      <c r="CIZ95"/>
      <c r="CJA95"/>
      <c r="CJB95"/>
      <c r="CJC95"/>
      <c r="CJD95"/>
      <c r="CJE95"/>
      <c r="CJF95"/>
      <c r="CJG95"/>
      <c r="CJH95"/>
      <c r="CJI95"/>
      <c r="CJJ95"/>
      <c r="CJK95"/>
      <c r="CJL95"/>
      <c r="CJM95"/>
      <c r="CJN95"/>
      <c r="CJO95"/>
      <c r="CJP95"/>
      <c r="CJQ95"/>
      <c r="CJR95"/>
      <c r="CJS95"/>
      <c r="CJT95"/>
      <c r="CJU95"/>
      <c r="CJV95"/>
      <c r="CJW95"/>
      <c r="CJX95"/>
      <c r="CJY95"/>
      <c r="CJZ95"/>
      <c r="CKA95"/>
      <c r="CKB95"/>
      <c r="CKC95"/>
      <c r="CKD95"/>
      <c r="CKE95"/>
      <c r="CKF95"/>
      <c r="CKG95"/>
      <c r="CKH95"/>
      <c r="CKI95"/>
      <c r="CKJ95"/>
      <c r="CKK95"/>
      <c r="CKL95"/>
      <c r="CKM95"/>
      <c r="CKN95"/>
      <c r="CKO95"/>
      <c r="CKP95"/>
      <c r="CKQ95"/>
      <c r="CKR95"/>
      <c r="CKS95"/>
      <c r="CKT95"/>
      <c r="CKU95"/>
      <c r="CKV95"/>
      <c r="CKW95"/>
      <c r="CKX95"/>
      <c r="CKY95"/>
      <c r="CKZ95"/>
      <c r="CLA95"/>
      <c r="CLB95"/>
      <c r="CLC95"/>
      <c r="CLD95"/>
      <c r="CLE95"/>
      <c r="CLF95"/>
      <c r="CLG95"/>
      <c r="CLH95"/>
      <c r="CLI95"/>
      <c r="CLJ95"/>
      <c r="CLK95"/>
      <c r="CLL95"/>
      <c r="CLM95"/>
      <c r="CLN95"/>
      <c r="CLO95"/>
      <c r="CLP95"/>
      <c r="CLQ95"/>
      <c r="CLR95"/>
      <c r="CLS95"/>
      <c r="CLT95"/>
      <c r="CLU95"/>
      <c r="CLV95"/>
      <c r="CLW95"/>
      <c r="CLX95"/>
      <c r="CLY95"/>
      <c r="CLZ95"/>
      <c r="CMA95"/>
      <c r="CMB95"/>
      <c r="CMC95"/>
      <c r="CMD95"/>
      <c r="CME95"/>
      <c r="CMF95"/>
      <c r="CMG95"/>
      <c r="CMH95"/>
      <c r="CMI95"/>
      <c r="CMJ95"/>
      <c r="CMK95"/>
      <c r="CML95"/>
      <c r="CMM95"/>
      <c r="CMN95"/>
      <c r="CMO95"/>
      <c r="CMP95"/>
      <c r="CMQ95"/>
      <c r="CMR95"/>
      <c r="CMS95"/>
      <c r="CMT95"/>
      <c r="CMU95"/>
      <c r="CMV95"/>
      <c r="CMW95"/>
      <c r="CMX95"/>
      <c r="CMY95"/>
      <c r="CMZ95"/>
      <c r="CNA95"/>
      <c r="CNB95"/>
      <c r="CNC95"/>
      <c r="CND95"/>
      <c r="CNE95"/>
      <c r="CNF95"/>
      <c r="CNG95"/>
      <c r="CNH95"/>
      <c r="CNI95"/>
      <c r="CNJ95"/>
      <c r="CNK95"/>
      <c r="CNL95"/>
      <c r="CNM95"/>
      <c r="CNN95"/>
      <c r="CNO95"/>
      <c r="CNP95"/>
      <c r="CNQ95"/>
      <c r="CNR95"/>
      <c r="CNS95"/>
      <c r="CNT95"/>
      <c r="CNU95"/>
      <c r="CNV95"/>
      <c r="CNW95"/>
      <c r="CNX95"/>
      <c r="CNY95"/>
      <c r="CNZ95"/>
      <c r="COA95"/>
      <c r="COB95"/>
      <c r="COC95"/>
      <c r="COD95"/>
      <c r="COE95"/>
      <c r="COF95"/>
      <c r="COG95"/>
      <c r="COH95"/>
      <c r="COI95"/>
      <c r="COJ95"/>
      <c r="COK95"/>
      <c r="COL95"/>
      <c r="COM95"/>
      <c r="CON95"/>
      <c r="COO95"/>
      <c r="COP95"/>
      <c r="COQ95"/>
      <c r="COR95"/>
      <c r="COS95"/>
      <c r="COT95"/>
      <c r="COU95"/>
      <c r="COV95"/>
      <c r="COW95"/>
      <c r="COX95"/>
      <c r="COY95"/>
      <c r="COZ95"/>
      <c r="CPA95"/>
      <c r="CPB95"/>
      <c r="CPC95"/>
      <c r="CPD95"/>
      <c r="CPE95"/>
      <c r="CPF95"/>
      <c r="CPG95"/>
      <c r="CPH95"/>
      <c r="CPI95"/>
      <c r="CPJ95"/>
      <c r="CPK95"/>
      <c r="CPL95"/>
      <c r="CPM95"/>
      <c r="CPN95"/>
      <c r="CPO95"/>
      <c r="CPP95"/>
      <c r="CPQ95"/>
      <c r="CPR95"/>
      <c r="CPS95"/>
      <c r="CPT95"/>
      <c r="CPU95"/>
      <c r="CPV95"/>
      <c r="CPW95"/>
      <c r="CPX95"/>
      <c r="CPY95"/>
      <c r="CPZ95"/>
      <c r="CQA95"/>
      <c r="CQB95"/>
      <c r="CQC95"/>
      <c r="CQD95"/>
      <c r="CQE95"/>
      <c r="CQF95"/>
      <c r="CQG95"/>
      <c r="CQH95"/>
      <c r="CQI95"/>
      <c r="CQJ95"/>
      <c r="CQK95"/>
      <c r="CQL95"/>
      <c r="CQM95"/>
      <c r="CQN95"/>
      <c r="CQO95"/>
      <c r="CQP95"/>
      <c r="CQQ95"/>
      <c r="CQR95"/>
      <c r="CQS95"/>
      <c r="CQT95"/>
      <c r="CQU95"/>
      <c r="CQV95"/>
      <c r="CQW95"/>
      <c r="CQX95"/>
      <c r="CQY95"/>
      <c r="CQZ95"/>
      <c r="CRA95"/>
      <c r="CRB95"/>
      <c r="CRC95"/>
      <c r="CRD95"/>
      <c r="CRE95"/>
      <c r="CRF95"/>
      <c r="CRG95"/>
      <c r="CRH95"/>
      <c r="CRI95"/>
      <c r="CRJ95"/>
      <c r="CRK95"/>
      <c r="CRL95"/>
      <c r="CRM95"/>
      <c r="CRN95"/>
      <c r="CRO95"/>
      <c r="CRP95"/>
      <c r="CRQ95"/>
      <c r="CRR95"/>
      <c r="CRS95"/>
      <c r="CRT95"/>
      <c r="CRU95"/>
      <c r="CRV95"/>
      <c r="CRW95"/>
      <c r="CRX95"/>
      <c r="CRY95"/>
      <c r="CRZ95"/>
      <c r="CSA95"/>
      <c r="CSB95"/>
      <c r="CSC95"/>
      <c r="CSD95"/>
      <c r="CSE95"/>
      <c r="CSF95"/>
      <c r="CSG95"/>
      <c r="CSH95"/>
      <c r="CSI95"/>
      <c r="CSJ95"/>
      <c r="CSK95"/>
      <c r="CSL95"/>
      <c r="CSM95"/>
      <c r="CSN95"/>
      <c r="CSO95"/>
      <c r="CSP95"/>
      <c r="CSQ95"/>
      <c r="CSR95"/>
      <c r="CSS95"/>
      <c r="CST95"/>
      <c r="CSU95"/>
      <c r="CSV95"/>
      <c r="CSW95"/>
      <c r="CSX95"/>
      <c r="CSY95"/>
      <c r="CSZ95"/>
      <c r="CTA95"/>
      <c r="CTB95"/>
      <c r="CTC95"/>
      <c r="CTD95"/>
      <c r="CTE95"/>
      <c r="CTF95"/>
      <c r="CTG95"/>
      <c r="CTH95"/>
      <c r="CTI95"/>
      <c r="CTJ95"/>
      <c r="CTK95"/>
      <c r="CTL95"/>
      <c r="CTM95"/>
      <c r="CTN95"/>
      <c r="CTO95"/>
      <c r="CTP95"/>
      <c r="CTQ95"/>
      <c r="CTR95"/>
      <c r="CTS95"/>
      <c r="CTT95"/>
      <c r="CTU95"/>
      <c r="CTV95"/>
      <c r="CTW95"/>
      <c r="CTX95"/>
      <c r="CTY95"/>
      <c r="CTZ95"/>
      <c r="CUA95"/>
      <c r="CUB95"/>
      <c r="CUC95"/>
      <c r="CUD95"/>
      <c r="CUE95"/>
      <c r="CUF95"/>
      <c r="CUG95"/>
      <c r="CUH95"/>
      <c r="CUI95"/>
      <c r="CUJ95"/>
      <c r="CUK95"/>
      <c r="CUL95"/>
      <c r="CUM95"/>
      <c r="CUN95"/>
      <c r="CUO95"/>
      <c r="CUP95"/>
      <c r="CUQ95"/>
      <c r="CUR95"/>
      <c r="CUS95"/>
      <c r="CUT95"/>
      <c r="CUU95"/>
      <c r="CUV95"/>
      <c r="CUW95"/>
      <c r="CUX95"/>
      <c r="CUY95"/>
      <c r="CUZ95"/>
      <c r="CVA95"/>
      <c r="CVB95"/>
      <c r="CVC95"/>
      <c r="CVD95"/>
      <c r="CVE95"/>
      <c r="CVF95"/>
      <c r="CVG95"/>
      <c r="CVH95"/>
      <c r="CVI95"/>
      <c r="CVJ95"/>
      <c r="CVK95"/>
      <c r="CVL95"/>
      <c r="CVM95"/>
      <c r="CVN95"/>
      <c r="CVO95"/>
      <c r="CVP95"/>
      <c r="CVQ95"/>
      <c r="CVR95"/>
      <c r="CVS95"/>
      <c r="CVT95"/>
      <c r="CVU95"/>
      <c r="CVV95"/>
      <c r="CVW95"/>
      <c r="CVX95"/>
      <c r="CVY95"/>
      <c r="CVZ95"/>
      <c r="CWA95"/>
      <c r="CWB95"/>
      <c r="CWC95"/>
      <c r="CWD95"/>
      <c r="CWE95"/>
      <c r="CWF95"/>
      <c r="CWG95"/>
      <c r="CWH95"/>
      <c r="CWI95"/>
      <c r="CWJ95"/>
      <c r="CWK95"/>
      <c r="CWL95"/>
      <c r="CWM95"/>
      <c r="CWN95"/>
      <c r="CWO95"/>
      <c r="CWP95"/>
      <c r="CWQ95"/>
      <c r="CWR95"/>
      <c r="CWS95"/>
      <c r="CWT95"/>
      <c r="CWU95"/>
      <c r="CWV95"/>
      <c r="CWW95"/>
      <c r="CWX95"/>
      <c r="CWY95"/>
      <c r="CWZ95"/>
      <c r="CXA95"/>
      <c r="CXB95"/>
      <c r="CXC95"/>
      <c r="CXD95"/>
      <c r="CXE95"/>
      <c r="CXF95"/>
      <c r="CXG95"/>
      <c r="CXH95"/>
      <c r="CXI95"/>
      <c r="CXJ95"/>
      <c r="CXK95"/>
      <c r="CXL95"/>
      <c r="CXM95"/>
      <c r="CXN95"/>
      <c r="CXO95"/>
      <c r="CXP95"/>
      <c r="CXQ95"/>
      <c r="CXR95"/>
      <c r="CXS95"/>
      <c r="CXT95"/>
      <c r="CXU95"/>
      <c r="CXV95"/>
      <c r="CXW95"/>
      <c r="CXX95"/>
      <c r="CXY95"/>
      <c r="CXZ95"/>
      <c r="CYA95"/>
      <c r="CYB95"/>
      <c r="CYC95"/>
      <c r="CYD95"/>
      <c r="CYE95"/>
      <c r="CYF95"/>
      <c r="CYG95"/>
      <c r="CYH95"/>
      <c r="CYI95"/>
      <c r="CYJ95"/>
      <c r="CYK95"/>
      <c r="CYL95"/>
      <c r="CYM95"/>
      <c r="CYN95"/>
      <c r="CYO95"/>
      <c r="CYP95"/>
      <c r="CYQ95"/>
      <c r="CYR95"/>
      <c r="CYS95"/>
      <c r="CYT95"/>
      <c r="CYU95"/>
      <c r="CYV95"/>
      <c r="CYW95"/>
      <c r="CYX95"/>
      <c r="CYY95"/>
      <c r="CYZ95"/>
      <c r="CZA95"/>
      <c r="CZB95"/>
      <c r="CZC95"/>
      <c r="CZD95"/>
      <c r="CZE95"/>
      <c r="CZF95"/>
      <c r="CZG95"/>
      <c r="CZH95"/>
      <c r="CZI95"/>
      <c r="CZJ95"/>
      <c r="CZK95"/>
      <c r="CZL95"/>
      <c r="CZM95"/>
      <c r="CZN95"/>
      <c r="CZO95"/>
      <c r="CZP95"/>
      <c r="CZQ95"/>
      <c r="CZR95"/>
      <c r="CZS95"/>
      <c r="CZT95"/>
      <c r="CZU95"/>
      <c r="CZV95"/>
      <c r="CZW95"/>
      <c r="CZX95"/>
      <c r="CZY95"/>
      <c r="CZZ95"/>
      <c r="DAA95"/>
      <c r="DAB95"/>
      <c r="DAC95"/>
      <c r="DAD95"/>
      <c r="DAE95"/>
      <c r="DAF95"/>
      <c r="DAG95"/>
      <c r="DAH95"/>
      <c r="DAI95"/>
      <c r="DAJ95"/>
      <c r="DAK95"/>
      <c r="DAL95"/>
      <c r="DAM95"/>
      <c r="DAN95"/>
      <c r="DAO95"/>
      <c r="DAP95"/>
      <c r="DAQ95"/>
      <c r="DAR95"/>
      <c r="DAS95"/>
      <c r="DAT95"/>
      <c r="DAU95"/>
      <c r="DAV95"/>
      <c r="DAW95"/>
      <c r="DAX95"/>
      <c r="DAY95"/>
      <c r="DAZ95"/>
      <c r="DBA95"/>
      <c r="DBB95"/>
      <c r="DBC95"/>
      <c r="DBD95"/>
      <c r="DBE95"/>
      <c r="DBF95"/>
      <c r="DBG95"/>
      <c r="DBH95"/>
      <c r="DBI95"/>
      <c r="DBJ95"/>
      <c r="DBK95"/>
      <c r="DBL95"/>
      <c r="DBM95"/>
      <c r="DBN95"/>
      <c r="DBO95"/>
      <c r="DBP95"/>
      <c r="DBQ95"/>
      <c r="DBR95"/>
      <c r="DBS95"/>
      <c r="DBT95"/>
      <c r="DBU95"/>
      <c r="DBV95"/>
      <c r="DBW95"/>
      <c r="DBX95"/>
      <c r="DBY95"/>
      <c r="DBZ95"/>
      <c r="DCA95"/>
      <c r="DCB95"/>
      <c r="DCC95"/>
      <c r="DCD95"/>
      <c r="DCE95"/>
      <c r="DCF95"/>
      <c r="DCG95"/>
      <c r="DCH95"/>
      <c r="DCI95"/>
      <c r="DCJ95"/>
      <c r="DCK95"/>
      <c r="DCL95"/>
      <c r="DCM95"/>
      <c r="DCN95"/>
      <c r="DCO95"/>
      <c r="DCP95"/>
      <c r="DCQ95"/>
      <c r="DCR95"/>
      <c r="DCS95"/>
      <c r="DCT95"/>
      <c r="DCU95"/>
      <c r="DCV95"/>
      <c r="DCW95"/>
      <c r="DCX95"/>
      <c r="DCY95"/>
      <c r="DCZ95"/>
      <c r="DDA95"/>
      <c r="DDB95"/>
      <c r="DDC95"/>
      <c r="DDD95"/>
      <c r="DDE95"/>
      <c r="DDF95"/>
      <c r="DDG95"/>
      <c r="DDH95"/>
      <c r="DDI95"/>
      <c r="DDJ95"/>
      <c r="DDK95"/>
      <c r="DDL95"/>
      <c r="DDM95"/>
      <c r="DDN95"/>
      <c r="DDO95"/>
      <c r="DDP95"/>
      <c r="DDQ95"/>
      <c r="DDR95"/>
      <c r="DDS95"/>
      <c r="DDT95"/>
      <c r="DDU95"/>
      <c r="DDV95"/>
      <c r="DDW95"/>
      <c r="DDX95"/>
      <c r="DDY95"/>
      <c r="DDZ95"/>
      <c r="DEA95"/>
      <c r="DEB95"/>
      <c r="DEC95"/>
      <c r="DED95"/>
      <c r="DEE95"/>
      <c r="DEF95"/>
      <c r="DEG95"/>
      <c r="DEH95"/>
      <c r="DEI95"/>
      <c r="DEJ95"/>
      <c r="DEK95"/>
      <c r="DEL95"/>
      <c r="DEM95"/>
      <c r="DEN95"/>
      <c r="DEO95"/>
      <c r="DEP95"/>
      <c r="DEQ95"/>
      <c r="DER95"/>
      <c r="DES95"/>
      <c r="DET95"/>
      <c r="DEU95"/>
      <c r="DEV95"/>
      <c r="DEW95"/>
      <c r="DEX95"/>
      <c r="DEY95"/>
      <c r="DEZ95"/>
      <c r="DFA95"/>
      <c r="DFB95"/>
      <c r="DFC95"/>
      <c r="DFD95"/>
      <c r="DFE95"/>
      <c r="DFF95"/>
      <c r="DFG95"/>
      <c r="DFH95"/>
      <c r="DFI95"/>
      <c r="DFJ95"/>
      <c r="DFK95"/>
      <c r="DFL95"/>
      <c r="DFM95"/>
      <c r="DFN95"/>
      <c r="DFO95"/>
      <c r="DFP95"/>
      <c r="DFQ95"/>
      <c r="DFR95"/>
      <c r="DFS95"/>
      <c r="DFT95"/>
      <c r="DFU95"/>
      <c r="DFV95"/>
      <c r="DFW95"/>
      <c r="DFX95"/>
      <c r="DFY95"/>
      <c r="DFZ95"/>
      <c r="DGA95"/>
      <c r="DGB95"/>
      <c r="DGC95"/>
      <c r="DGD95"/>
      <c r="DGE95"/>
      <c r="DGF95"/>
      <c r="DGG95"/>
      <c r="DGH95"/>
      <c r="DGI95"/>
      <c r="DGJ95"/>
      <c r="DGK95"/>
      <c r="DGL95"/>
      <c r="DGM95"/>
      <c r="DGN95"/>
      <c r="DGO95"/>
      <c r="DGP95"/>
      <c r="DGQ95"/>
      <c r="DGR95"/>
      <c r="DGS95"/>
      <c r="DGT95"/>
      <c r="DGU95"/>
      <c r="DGV95"/>
      <c r="DGW95"/>
      <c r="DGX95"/>
      <c r="DGY95"/>
      <c r="DGZ95"/>
      <c r="DHA95"/>
      <c r="DHB95"/>
      <c r="DHC95"/>
      <c r="DHD95"/>
      <c r="DHE95"/>
      <c r="DHF95"/>
      <c r="DHG95"/>
      <c r="DHH95"/>
      <c r="DHI95"/>
      <c r="DHJ95"/>
      <c r="DHK95"/>
      <c r="DHL95"/>
      <c r="DHM95"/>
      <c r="DHN95"/>
      <c r="DHO95"/>
      <c r="DHP95"/>
      <c r="DHQ95"/>
      <c r="DHR95"/>
      <c r="DHS95"/>
      <c r="DHT95"/>
      <c r="DHU95"/>
      <c r="DHV95"/>
      <c r="DHW95"/>
      <c r="DHX95"/>
      <c r="DHY95"/>
      <c r="DHZ95"/>
      <c r="DIA95"/>
      <c r="DIB95"/>
      <c r="DIC95"/>
      <c r="DID95"/>
      <c r="DIE95"/>
      <c r="DIF95"/>
      <c r="DIG95"/>
      <c r="DIH95"/>
      <c r="DII95"/>
      <c r="DIJ95"/>
      <c r="DIK95"/>
      <c r="DIL95"/>
      <c r="DIM95"/>
      <c r="DIN95"/>
      <c r="DIO95"/>
      <c r="DIP95"/>
      <c r="DIQ95"/>
      <c r="DIR95"/>
      <c r="DIS95"/>
      <c r="DIT95"/>
      <c r="DIU95"/>
      <c r="DIV95"/>
      <c r="DIW95"/>
      <c r="DIX95"/>
      <c r="DIY95"/>
      <c r="DIZ95"/>
      <c r="DJA95"/>
      <c r="DJB95"/>
      <c r="DJC95"/>
      <c r="DJD95"/>
      <c r="DJE95"/>
      <c r="DJF95"/>
      <c r="DJG95"/>
      <c r="DJH95"/>
      <c r="DJI95"/>
      <c r="DJJ95"/>
      <c r="DJK95"/>
      <c r="DJL95"/>
      <c r="DJM95"/>
      <c r="DJN95"/>
      <c r="DJO95"/>
      <c r="DJP95"/>
      <c r="DJQ95"/>
      <c r="DJR95"/>
      <c r="DJS95"/>
      <c r="DJT95"/>
      <c r="DJU95"/>
      <c r="DJV95"/>
      <c r="DJW95"/>
      <c r="DJX95"/>
      <c r="DJY95"/>
      <c r="DJZ95"/>
      <c r="DKA95"/>
      <c r="DKB95"/>
      <c r="DKC95"/>
      <c r="DKD95"/>
      <c r="DKE95"/>
      <c r="DKF95"/>
      <c r="DKG95"/>
      <c r="DKH95"/>
      <c r="DKI95"/>
      <c r="DKJ95"/>
      <c r="DKK95"/>
      <c r="DKL95"/>
      <c r="DKM95"/>
      <c r="DKN95"/>
      <c r="DKO95"/>
      <c r="DKP95"/>
      <c r="DKQ95"/>
      <c r="DKR95"/>
      <c r="DKS95"/>
      <c r="DKT95"/>
      <c r="DKU95"/>
      <c r="DKV95"/>
      <c r="DKW95"/>
      <c r="DKX95"/>
      <c r="DKY95"/>
      <c r="DKZ95"/>
      <c r="DLA95"/>
      <c r="DLB95"/>
      <c r="DLC95"/>
      <c r="DLD95"/>
      <c r="DLE95"/>
      <c r="DLF95"/>
      <c r="DLG95"/>
      <c r="DLH95"/>
      <c r="DLI95"/>
      <c r="DLJ95"/>
      <c r="DLK95"/>
      <c r="DLL95"/>
      <c r="DLM95"/>
      <c r="DLN95"/>
      <c r="DLO95"/>
      <c r="DLP95"/>
      <c r="DLQ95"/>
      <c r="DLR95"/>
      <c r="DLS95"/>
      <c r="DLT95"/>
      <c r="DLU95"/>
      <c r="DLV95"/>
      <c r="DLW95"/>
      <c r="DLX95"/>
      <c r="DLY95"/>
      <c r="DLZ95"/>
      <c r="DMA95"/>
      <c r="DMB95"/>
      <c r="DMC95"/>
      <c r="DMD95"/>
      <c r="DME95"/>
      <c r="DMF95"/>
      <c r="DMG95"/>
      <c r="DMH95"/>
      <c r="DMI95"/>
      <c r="DMJ95"/>
      <c r="DMK95"/>
      <c r="DML95"/>
      <c r="DMM95"/>
      <c r="DMN95"/>
      <c r="DMO95"/>
      <c r="DMP95"/>
      <c r="DMQ95"/>
      <c r="DMR95"/>
      <c r="DMS95"/>
      <c r="DMT95"/>
      <c r="DMU95"/>
      <c r="DMV95"/>
      <c r="DMW95"/>
      <c r="DMX95"/>
      <c r="DMY95"/>
      <c r="DMZ95"/>
      <c r="DNA95"/>
      <c r="DNB95"/>
      <c r="DNC95"/>
      <c r="DND95"/>
      <c r="DNE95"/>
      <c r="DNF95"/>
      <c r="DNG95"/>
      <c r="DNH95"/>
      <c r="DNI95"/>
      <c r="DNJ95"/>
      <c r="DNK95"/>
      <c r="DNL95"/>
      <c r="DNM95"/>
      <c r="DNN95"/>
      <c r="DNO95"/>
      <c r="DNP95"/>
      <c r="DNQ95"/>
      <c r="DNR95"/>
      <c r="DNS95"/>
      <c r="DNT95"/>
      <c r="DNU95"/>
      <c r="DNV95"/>
      <c r="DNW95"/>
      <c r="DNX95"/>
      <c r="DNY95"/>
      <c r="DNZ95"/>
      <c r="DOA95"/>
      <c r="DOB95"/>
      <c r="DOC95"/>
      <c r="DOD95"/>
      <c r="DOE95"/>
      <c r="DOF95"/>
      <c r="DOG95"/>
      <c r="DOH95"/>
      <c r="DOI95"/>
      <c r="DOJ95"/>
      <c r="DOK95"/>
      <c r="DOL95"/>
      <c r="DOM95"/>
      <c r="DON95"/>
      <c r="DOO95"/>
      <c r="DOP95"/>
      <c r="DOQ95"/>
      <c r="DOR95"/>
      <c r="DOS95"/>
      <c r="DOT95"/>
      <c r="DOU95"/>
      <c r="DOV95"/>
      <c r="DOW95"/>
      <c r="DOX95"/>
      <c r="DOY95"/>
      <c r="DOZ95"/>
      <c r="DPA95"/>
      <c r="DPB95"/>
      <c r="DPC95"/>
      <c r="DPD95"/>
      <c r="DPE95"/>
      <c r="DPF95"/>
      <c r="DPG95"/>
      <c r="DPH95"/>
      <c r="DPI95"/>
      <c r="DPJ95"/>
      <c r="DPK95"/>
      <c r="DPL95"/>
      <c r="DPM95"/>
      <c r="DPN95"/>
      <c r="DPO95"/>
      <c r="DPP95"/>
      <c r="DPQ95"/>
      <c r="DPR95"/>
      <c r="DPS95"/>
      <c r="DPT95"/>
      <c r="DPU95"/>
      <c r="DPV95"/>
      <c r="DPW95"/>
      <c r="DPX95"/>
      <c r="DPY95"/>
      <c r="DPZ95"/>
      <c r="DQA95"/>
      <c r="DQB95"/>
      <c r="DQC95"/>
      <c r="DQD95"/>
      <c r="DQE95"/>
      <c r="DQF95"/>
      <c r="DQG95"/>
      <c r="DQH95"/>
      <c r="DQI95"/>
      <c r="DQJ95"/>
      <c r="DQK95"/>
      <c r="DQL95"/>
      <c r="DQM95"/>
      <c r="DQN95"/>
      <c r="DQO95"/>
      <c r="DQP95"/>
      <c r="DQQ95"/>
      <c r="DQR95"/>
      <c r="DQS95"/>
      <c r="DQT95"/>
      <c r="DQU95"/>
      <c r="DQV95"/>
      <c r="DQW95"/>
      <c r="DQX95"/>
      <c r="DQY95"/>
      <c r="DQZ95"/>
      <c r="DRA95"/>
      <c r="DRB95"/>
      <c r="DRC95"/>
      <c r="DRD95"/>
      <c r="DRE95"/>
      <c r="DRF95"/>
      <c r="DRG95"/>
      <c r="DRH95"/>
      <c r="DRI95"/>
      <c r="DRJ95"/>
      <c r="DRK95"/>
      <c r="DRL95"/>
      <c r="DRM95"/>
      <c r="DRN95"/>
      <c r="DRO95"/>
      <c r="DRP95"/>
      <c r="DRQ95"/>
      <c r="DRR95"/>
      <c r="DRS95"/>
      <c r="DRT95"/>
      <c r="DRU95"/>
      <c r="DRV95"/>
      <c r="DRW95"/>
      <c r="DRX95"/>
      <c r="DRY95"/>
      <c r="DRZ95"/>
      <c r="DSA95"/>
      <c r="DSB95"/>
      <c r="DSC95"/>
      <c r="DSD95"/>
      <c r="DSE95"/>
      <c r="DSF95"/>
      <c r="DSG95"/>
      <c r="DSH95"/>
      <c r="DSI95"/>
      <c r="DSJ95"/>
      <c r="DSK95"/>
      <c r="DSL95"/>
      <c r="DSM95"/>
      <c r="DSN95"/>
      <c r="DSO95"/>
      <c r="DSP95"/>
      <c r="DSQ95"/>
      <c r="DSR95"/>
      <c r="DSS95"/>
      <c r="DST95"/>
      <c r="DSU95"/>
      <c r="DSV95"/>
      <c r="DSW95"/>
      <c r="DSX95"/>
      <c r="DSY95"/>
      <c r="DSZ95"/>
      <c r="DTA95"/>
      <c r="DTB95"/>
      <c r="DTC95"/>
      <c r="DTD95"/>
      <c r="DTE95"/>
      <c r="DTF95"/>
      <c r="DTG95"/>
      <c r="DTH95"/>
      <c r="DTI95"/>
      <c r="DTJ95"/>
      <c r="DTK95"/>
      <c r="DTL95"/>
      <c r="DTM95"/>
      <c r="DTN95"/>
      <c r="DTO95"/>
      <c r="DTP95"/>
      <c r="DTQ95"/>
      <c r="DTR95"/>
      <c r="DTS95"/>
      <c r="DTT95"/>
      <c r="DTU95"/>
      <c r="DTV95"/>
      <c r="DTW95"/>
      <c r="DTX95"/>
      <c r="DTY95"/>
      <c r="DTZ95"/>
      <c r="DUA95"/>
      <c r="DUB95"/>
      <c r="DUC95"/>
      <c r="DUD95"/>
      <c r="DUE95"/>
      <c r="DUF95"/>
      <c r="DUG95"/>
      <c r="DUH95"/>
      <c r="DUI95"/>
      <c r="DUJ95"/>
      <c r="DUK95"/>
      <c r="DUL95"/>
      <c r="DUM95"/>
      <c r="DUN95"/>
      <c r="DUO95"/>
      <c r="DUP95"/>
      <c r="DUQ95"/>
      <c r="DUR95"/>
      <c r="DUS95"/>
      <c r="DUT95"/>
      <c r="DUU95"/>
      <c r="DUV95"/>
      <c r="DUW95"/>
      <c r="DUX95"/>
      <c r="DUY95"/>
      <c r="DUZ95"/>
      <c r="DVA95"/>
      <c r="DVB95"/>
      <c r="DVC95"/>
      <c r="DVD95"/>
      <c r="DVE95"/>
      <c r="DVF95"/>
      <c r="DVG95"/>
      <c r="DVH95"/>
      <c r="DVI95"/>
      <c r="DVJ95"/>
      <c r="DVK95"/>
      <c r="DVL95"/>
      <c r="DVM95"/>
      <c r="DVN95"/>
      <c r="DVO95"/>
      <c r="DVP95"/>
      <c r="DVQ95"/>
      <c r="DVR95"/>
      <c r="DVS95"/>
      <c r="DVT95"/>
      <c r="DVU95"/>
      <c r="DVV95"/>
      <c r="DVW95"/>
      <c r="DVX95"/>
      <c r="DVY95"/>
      <c r="DVZ95"/>
      <c r="DWA95"/>
      <c r="DWB95"/>
      <c r="DWC95"/>
      <c r="DWD95"/>
      <c r="DWE95"/>
      <c r="DWF95"/>
      <c r="DWG95"/>
      <c r="DWH95"/>
      <c r="DWI95"/>
      <c r="DWJ95"/>
      <c r="DWK95"/>
      <c r="DWL95"/>
      <c r="DWM95"/>
      <c r="DWN95"/>
      <c r="DWO95"/>
      <c r="DWP95"/>
      <c r="DWQ95"/>
      <c r="DWR95"/>
      <c r="DWS95"/>
      <c r="DWT95"/>
      <c r="DWU95"/>
      <c r="DWV95"/>
      <c r="DWW95"/>
      <c r="DWX95"/>
      <c r="DWY95"/>
      <c r="DWZ95"/>
      <c r="DXA95"/>
      <c r="DXB95"/>
      <c r="DXC95"/>
      <c r="DXD95"/>
      <c r="DXE95"/>
      <c r="DXF95"/>
      <c r="DXG95"/>
      <c r="DXH95"/>
      <c r="DXI95"/>
      <c r="DXJ95"/>
      <c r="DXK95"/>
      <c r="DXL95"/>
      <c r="DXM95"/>
      <c r="DXN95"/>
      <c r="DXO95"/>
      <c r="DXP95"/>
      <c r="DXQ95"/>
      <c r="DXR95"/>
      <c r="DXS95"/>
      <c r="DXT95"/>
      <c r="DXU95"/>
      <c r="DXV95"/>
      <c r="DXW95"/>
      <c r="DXX95"/>
      <c r="DXY95"/>
      <c r="DXZ95"/>
      <c r="DYA95"/>
      <c r="DYB95"/>
      <c r="DYC95"/>
      <c r="DYD95"/>
      <c r="DYE95"/>
      <c r="DYF95"/>
      <c r="DYG95"/>
      <c r="DYH95"/>
      <c r="DYI95"/>
      <c r="DYJ95"/>
      <c r="DYK95"/>
      <c r="DYL95"/>
      <c r="DYM95"/>
      <c r="DYN95"/>
      <c r="DYO95"/>
      <c r="DYP95"/>
      <c r="DYQ95"/>
      <c r="DYR95"/>
      <c r="DYS95"/>
      <c r="DYT95"/>
      <c r="DYU95"/>
      <c r="DYV95"/>
      <c r="DYW95"/>
      <c r="DYX95"/>
      <c r="DYY95"/>
      <c r="DYZ95"/>
      <c r="DZA95"/>
      <c r="DZB95"/>
      <c r="DZC95"/>
      <c r="DZD95"/>
      <c r="DZE95"/>
      <c r="DZF95"/>
      <c r="DZG95"/>
      <c r="DZH95"/>
      <c r="DZI95"/>
      <c r="DZJ95"/>
      <c r="DZK95"/>
      <c r="DZL95"/>
      <c r="DZM95"/>
      <c r="DZN95"/>
      <c r="DZO95"/>
      <c r="DZP95"/>
      <c r="DZQ95"/>
      <c r="DZR95"/>
      <c r="DZS95"/>
      <c r="DZT95"/>
      <c r="DZU95"/>
      <c r="DZV95"/>
      <c r="DZW95"/>
      <c r="DZX95"/>
      <c r="DZY95"/>
      <c r="DZZ95"/>
      <c r="EAA95"/>
      <c r="EAB95"/>
      <c r="EAC95"/>
      <c r="EAD95"/>
      <c r="EAE95"/>
      <c r="EAF95"/>
      <c r="EAG95"/>
      <c r="EAH95"/>
      <c r="EAI95"/>
      <c r="EAJ95"/>
      <c r="EAK95"/>
      <c r="EAL95"/>
      <c r="EAM95"/>
      <c r="EAN95"/>
      <c r="EAO95"/>
      <c r="EAP95"/>
      <c r="EAQ95"/>
      <c r="EAR95"/>
      <c r="EAS95"/>
      <c r="EAT95"/>
      <c r="EAU95"/>
      <c r="EAV95"/>
      <c r="EAW95"/>
      <c r="EAX95"/>
      <c r="EAY95"/>
      <c r="EAZ95"/>
      <c r="EBA95"/>
      <c r="EBB95"/>
      <c r="EBC95"/>
      <c r="EBD95"/>
      <c r="EBE95"/>
      <c r="EBF95"/>
      <c r="EBG95"/>
      <c r="EBH95"/>
      <c r="EBI95"/>
      <c r="EBJ95"/>
      <c r="EBK95"/>
      <c r="EBL95"/>
      <c r="EBM95"/>
      <c r="EBN95"/>
      <c r="EBO95"/>
      <c r="EBP95"/>
      <c r="EBQ95"/>
      <c r="EBR95"/>
      <c r="EBS95"/>
      <c r="EBT95"/>
      <c r="EBU95"/>
      <c r="EBV95"/>
      <c r="EBW95"/>
      <c r="EBX95"/>
      <c r="EBY95"/>
      <c r="EBZ95"/>
      <c r="ECA95"/>
      <c r="ECB95"/>
      <c r="ECC95"/>
      <c r="ECD95"/>
      <c r="ECE95"/>
      <c r="ECF95"/>
      <c r="ECG95"/>
      <c r="ECH95"/>
      <c r="ECI95"/>
      <c r="ECJ95"/>
      <c r="ECK95"/>
      <c r="ECL95"/>
      <c r="ECM95"/>
      <c r="ECN95"/>
      <c r="ECO95"/>
      <c r="ECP95"/>
      <c r="ECQ95"/>
      <c r="ECR95"/>
      <c r="ECS95"/>
      <c r="ECT95"/>
      <c r="ECU95"/>
      <c r="ECV95"/>
      <c r="ECW95"/>
      <c r="ECX95"/>
      <c r="ECY95"/>
      <c r="ECZ95"/>
      <c r="EDA95"/>
      <c r="EDB95"/>
      <c r="EDC95"/>
      <c r="EDD95"/>
      <c r="EDE95"/>
      <c r="EDF95"/>
      <c r="EDG95"/>
      <c r="EDH95"/>
      <c r="EDI95"/>
      <c r="EDJ95"/>
      <c r="EDK95"/>
      <c r="EDL95"/>
      <c r="EDM95"/>
      <c r="EDN95"/>
      <c r="EDO95"/>
      <c r="EDP95"/>
      <c r="EDQ95"/>
      <c r="EDR95"/>
      <c r="EDS95"/>
      <c r="EDT95"/>
      <c r="EDU95"/>
      <c r="EDV95"/>
      <c r="EDW95"/>
      <c r="EDX95"/>
      <c r="EDY95"/>
      <c r="EDZ95"/>
      <c r="EEA95"/>
      <c r="EEB95"/>
      <c r="EEC95"/>
      <c r="EED95"/>
      <c r="EEE95"/>
      <c r="EEF95"/>
      <c r="EEG95"/>
      <c r="EEH95"/>
      <c r="EEI95"/>
      <c r="EEJ95"/>
      <c r="EEK95"/>
      <c r="EEL95"/>
      <c r="EEM95"/>
      <c r="EEN95"/>
      <c r="EEO95"/>
      <c r="EEP95"/>
      <c r="EEQ95"/>
      <c r="EER95"/>
      <c r="EES95"/>
      <c r="EET95"/>
      <c r="EEU95"/>
      <c r="EEV95"/>
      <c r="EEW95"/>
      <c r="EEX95"/>
      <c r="EEY95"/>
      <c r="EEZ95"/>
      <c r="EFA95"/>
      <c r="EFB95"/>
      <c r="EFC95"/>
      <c r="EFD95"/>
      <c r="EFE95"/>
      <c r="EFF95"/>
      <c r="EFG95"/>
      <c r="EFH95"/>
      <c r="EFI95"/>
      <c r="EFJ95"/>
      <c r="EFK95"/>
      <c r="EFL95"/>
      <c r="EFM95"/>
      <c r="EFN95"/>
      <c r="EFO95"/>
      <c r="EFP95"/>
      <c r="EFQ95"/>
      <c r="EFR95"/>
      <c r="EFS95"/>
      <c r="EFT95"/>
      <c r="EFU95"/>
      <c r="EFV95"/>
      <c r="EFW95"/>
      <c r="EFX95"/>
      <c r="EFY95"/>
      <c r="EFZ95"/>
      <c r="EGA95"/>
      <c r="EGB95"/>
      <c r="EGC95"/>
      <c r="EGD95"/>
      <c r="EGE95"/>
      <c r="EGF95"/>
      <c r="EGG95"/>
      <c r="EGH95"/>
      <c r="EGI95"/>
      <c r="EGJ95"/>
      <c r="EGK95"/>
      <c r="EGL95"/>
      <c r="EGM95"/>
      <c r="EGN95"/>
      <c r="EGO95"/>
      <c r="EGP95"/>
      <c r="EGQ95"/>
      <c r="EGR95"/>
      <c r="EGS95"/>
      <c r="EGT95"/>
      <c r="EGU95"/>
      <c r="EGV95"/>
      <c r="EGW95"/>
      <c r="EGX95"/>
      <c r="EGY95"/>
      <c r="EGZ95"/>
      <c r="EHA95"/>
      <c r="EHB95"/>
      <c r="EHC95"/>
      <c r="EHD95"/>
      <c r="EHE95"/>
      <c r="EHF95"/>
      <c r="EHG95"/>
      <c r="EHH95"/>
      <c r="EHI95"/>
      <c r="EHJ95"/>
      <c r="EHK95"/>
      <c r="EHL95"/>
      <c r="EHM95"/>
      <c r="EHN95"/>
      <c r="EHO95"/>
      <c r="EHP95"/>
      <c r="EHQ95"/>
      <c r="EHR95"/>
      <c r="EHS95"/>
      <c r="EHT95"/>
      <c r="EHU95"/>
      <c r="EHV95"/>
      <c r="EHW95"/>
      <c r="EHX95"/>
      <c r="EHY95"/>
      <c r="EHZ95"/>
      <c r="EIA95"/>
      <c r="EIB95"/>
      <c r="EIC95"/>
      <c r="EID95"/>
      <c r="EIE95"/>
      <c r="EIF95"/>
      <c r="EIG95"/>
      <c r="EIH95"/>
      <c r="EII95"/>
      <c r="EIJ95"/>
      <c r="EIK95"/>
      <c r="EIL95"/>
      <c r="EIM95"/>
      <c r="EIN95"/>
      <c r="EIO95"/>
      <c r="EIP95"/>
      <c r="EIQ95"/>
      <c r="EIR95"/>
      <c r="EIS95"/>
      <c r="EIT95"/>
      <c r="EIU95"/>
      <c r="EIV95"/>
      <c r="EIW95"/>
      <c r="EIX95"/>
      <c r="EIY95"/>
      <c r="EIZ95"/>
      <c r="EJA95"/>
      <c r="EJB95"/>
      <c r="EJC95"/>
      <c r="EJD95"/>
      <c r="EJE95"/>
      <c r="EJF95"/>
      <c r="EJG95"/>
      <c r="EJH95"/>
      <c r="EJI95"/>
      <c r="EJJ95"/>
      <c r="EJK95"/>
      <c r="EJL95"/>
      <c r="EJM95"/>
      <c r="EJN95"/>
      <c r="EJO95"/>
      <c r="EJP95"/>
      <c r="EJQ95"/>
      <c r="EJR95"/>
      <c r="EJS95"/>
      <c r="EJT95"/>
      <c r="EJU95"/>
      <c r="EJV95"/>
      <c r="EJW95"/>
      <c r="EJX95"/>
      <c r="EJY95"/>
      <c r="EJZ95"/>
      <c r="EKA95"/>
      <c r="EKB95"/>
      <c r="EKC95"/>
      <c r="EKD95"/>
      <c r="EKE95"/>
      <c r="EKF95"/>
      <c r="EKG95"/>
      <c r="EKH95"/>
      <c r="EKI95"/>
      <c r="EKJ95"/>
      <c r="EKK95"/>
      <c r="EKL95"/>
      <c r="EKM95"/>
      <c r="EKN95"/>
      <c r="EKO95"/>
      <c r="EKP95"/>
      <c r="EKQ95"/>
      <c r="EKR95"/>
      <c r="EKS95"/>
      <c r="EKT95"/>
      <c r="EKU95"/>
      <c r="EKV95"/>
      <c r="EKW95"/>
      <c r="EKX95"/>
      <c r="EKY95"/>
      <c r="EKZ95"/>
      <c r="ELA95"/>
      <c r="ELB95"/>
      <c r="ELC95"/>
      <c r="ELD95"/>
      <c r="ELE95"/>
      <c r="ELF95"/>
      <c r="ELG95"/>
      <c r="ELH95"/>
      <c r="ELI95"/>
      <c r="ELJ95"/>
      <c r="ELK95"/>
      <c r="ELL95"/>
      <c r="ELM95"/>
      <c r="ELN95"/>
      <c r="ELO95"/>
      <c r="ELP95"/>
      <c r="ELQ95"/>
      <c r="ELR95"/>
      <c r="ELS95"/>
      <c r="ELT95"/>
      <c r="ELU95"/>
      <c r="ELV95"/>
      <c r="ELW95"/>
      <c r="ELX95"/>
      <c r="ELY95"/>
      <c r="ELZ95"/>
      <c r="EMA95"/>
      <c r="EMB95"/>
      <c r="EMC95"/>
      <c r="EMD95"/>
      <c r="EME95"/>
      <c r="EMF95"/>
      <c r="EMG95"/>
      <c r="EMH95"/>
      <c r="EMI95"/>
      <c r="EMJ95"/>
      <c r="EMK95"/>
      <c r="EML95"/>
      <c r="EMM95"/>
    </row>
    <row r="96" spans="2:3731" hidden="1" outlineLevel="1">
      <c r="E96" s="54"/>
      <c r="F96" s="54"/>
      <c r="H96"/>
      <c r="I96"/>
      <c r="K96"/>
      <c r="L96"/>
      <c r="N96"/>
      <c r="O96"/>
      <c r="Q96"/>
      <c r="R96"/>
      <c r="T96"/>
      <c r="U96"/>
      <c r="W96"/>
      <c r="X96"/>
      <c r="AF96"/>
      <c r="AG96"/>
      <c r="AH96"/>
      <c r="AI96" s="338"/>
      <c r="AJ96" s="339"/>
      <c r="AK96" s="340"/>
      <c r="AL96" s="22"/>
      <c r="AM96" s="22"/>
      <c r="AN96" s="22"/>
      <c r="AO96" s="22"/>
      <c r="AP96" s="52" t="s">
        <v>1104</v>
      </c>
      <c r="AQ96" s="348"/>
      <c r="AR96" s="348"/>
      <c r="AS96" s="348">
        <v>-47908.349999999991</v>
      </c>
      <c r="AT96" s="348">
        <v>-52742.05</v>
      </c>
      <c r="AU96" s="348"/>
      <c r="AV96" s="348"/>
      <c r="AW96" s="349"/>
      <c r="AX96" s="349">
        <v>-100650.4</v>
      </c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 s="345"/>
      <c r="CS96" s="346"/>
      <c r="CT96" s="347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  <c r="ALL96"/>
      <c r="ALM96"/>
      <c r="ALN96"/>
      <c r="ALO96"/>
      <c r="ALP96"/>
      <c r="ALQ96"/>
      <c r="ALR96"/>
      <c r="ALS96"/>
      <c r="ALT96"/>
      <c r="ALU96"/>
      <c r="ALV96"/>
      <c r="ALW96"/>
      <c r="ALX96"/>
      <c r="ALY96"/>
      <c r="ALZ96"/>
      <c r="AMA96"/>
      <c r="AMB96"/>
      <c r="AMC96"/>
      <c r="AMD96"/>
      <c r="AME96"/>
      <c r="AMF96"/>
      <c r="AMG96"/>
      <c r="AMH96"/>
      <c r="AMI96"/>
      <c r="AMJ96"/>
      <c r="AMK96"/>
      <c r="AML96"/>
      <c r="AMM96"/>
      <c r="AMN96"/>
      <c r="AMO96"/>
      <c r="AMP96"/>
      <c r="AMQ96"/>
      <c r="AMR96"/>
      <c r="AMS96"/>
      <c r="AMT96"/>
      <c r="AMU96"/>
      <c r="AMV96"/>
      <c r="AMW96"/>
      <c r="AMX96"/>
      <c r="AMY96"/>
      <c r="AMZ96"/>
      <c r="ANA96"/>
      <c r="ANB96"/>
      <c r="ANC96"/>
      <c r="AND96"/>
      <c r="ANE96"/>
      <c r="ANF96"/>
      <c r="ANG96"/>
      <c r="ANH96"/>
      <c r="ANI96"/>
      <c r="ANJ96"/>
      <c r="ANK96"/>
      <c r="ANL96"/>
      <c r="ANM96"/>
      <c r="ANN96"/>
      <c r="ANO96"/>
      <c r="ANP96"/>
      <c r="ANQ96"/>
      <c r="ANR96"/>
      <c r="ANS96"/>
      <c r="ANT96"/>
      <c r="ANU96"/>
      <c r="ANV96"/>
      <c r="ANW96"/>
      <c r="ANX96"/>
      <c r="ANY96"/>
      <c r="ANZ96"/>
      <c r="AOA96"/>
      <c r="AOB96"/>
      <c r="AOC96"/>
      <c r="AOD96"/>
      <c r="AOE96"/>
      <c r="AOF96"/>
      <c r="AOG96"/>
      <c r="AOH96"/>
      <c r="AOI96"/>
      <c r="AOJ96"/>
      <c r="AOK96"/>
      <c r="AOL96"/>
      <c r="AOM96"/>
      <c r="AON96"/>
      <c r="AOO96"/>
      <c r="AOP96"/>
      <c r="AOQ96"/>
      <c r="AOR96"/>
      <c r="AOS96"/>
      <c r="AOT96"/>
      <c r="AOU96"/>
      <c r="AOV96"/>
      <c r="AOW96"/>
      <c r="AOX96"/>
      <c r="AOY96"/>
      <c r="AOZ96"/>
      <c r="APA96"/>
      <c r="APB96"/>
      <c r="APC96"/>
      <c r="APD96"/>
      <c r="APE96"/>
      <c r="APF96"/>
      <c r="APG96"/>
      <c r="APH96"/>
      <c r="API96"/>
      <c r="APJ96"/>
      <c r="APK96"/>
      <c r="APL96"/>
      <c r="APM96"/>
      <c r="APN96"/>
      <c r="APO96"/>
      <c r="APP96"/>
      <c r="APQ96"/>
      <c r="APR96"/>
      <c r="APS96"/>
      <c r="APT96"/>
      <c r="APU96"/>
      <c r="APV96"/>
      <c r="APW96"/>
      <c r="APX96"/>
      <c r="APY96"/>
      <c r="APZ96"/>
      <c r="AQA96"/>
      <c r="AQB96"/>
      <c r="AQC96"/>
      <c r="AQD96"/>
      <c r="AQE96"/>
      <c r="AQF96"/>
      <c r="AQG96"/>
      <c r="AQH96"/>
      <c r="AQI96"/>
      <c r="AQJ96"/>
      <c r="AQK96"/>
      <c r="AQL96"/>
      <c r="AQM96"/>
      <c r="AQN96"/>
      <c r="AQO96"/>
      <c r="AQP96"/>
      <c r="AQQ96"/>
      <c r="AQR96"/>
      <c r="AQS96"/>
      <c r="AQT96"/>
      <c r="AQU96"/>
      <c r="AQV96"/>
      <c r="AQW96"/>
      <c r="AQX96"/>
      <c r="AQY96"/>
      <c r="AQZ96"/>
      <c r="ARA96"/>
      <c r="ARB96"/>
      <c r="ARC96"/>
      <c r="ARD96"/>
      <c r="ARE96"/>
      <c r="ARF96"/>
      <c r="ARG96"/>
      <c r="ARH96"/>
      <c r="ARI96"/>
      <c r="ARJ96"/>
      <c r="ARK96"/>
      <c r="ARL96"/>
      <c r="ARM96"/>
      <c r="ARN96"/>
      <c r="ARO96"/>
      <c r="ARP96"/>
      <c r="ARQ96"/>
      <c r="ARR96"/>
      <c r="ARS96"/>
      <c r="ART96"/>
      <c r="ARU96"/>
      <c r="ARV96"/>
      <c r="ARW96"/>
      <c r="ARX96"/>
      <c r="ARY96"/>
      <c r="ARZ96"/>
      <c r="ASA96"/>
      <c r="ASB96"/>
      <c r="ASC96"/>
      <c r="ASD96"/>
      <c r="ASE96"/>
      <c r="ASF96"/>
      <c r="ASG96"/>
      <c r="ASH96"/>
      <c r="ASI96"/>
      <c r="ASJ96"/>
      <c r="ASK96"/>
      <c r="ASL96"/>
      <c r="ASM96"/>
      <c r="ASN96"/>
      <c r="ASO96"/>
      <c r="ASP96"/>
      <c r="ASQ96"/>
      <c r="ASR96"/>
      <c r="ASS96"/>
      <c r="AST96"/>
      <c r="ASU96"/>
      <c r="ASV96"/>
      <c r="ASW96"/>
      <c r="ASX96"/>
      <c r="ASY96"/>
      <c r="ASZ96"/>
      <c r="ATA96"/>
      <c r="ATB96"/>
      <c r="ATC96"/>
      <c r="ATD96"/>
      <c r="ATE96"/>
      <c r="ATF96"/>
      <c r="ATG96"/>
      <c r="ATH96"/>
      <c r="ATI96"/>
      <c r="ATJ96"/>
      <c r="ATK96"/>
      <c r="ATL96"/>
      <c r="ATM96"/>
      <c r="ATN96"/>
      <c r="ATO96"/>
      <c r="ATP96"/>
      <c r="ATQ96"/>
      <c r="ATR96"/>
      <c r="ATS96"/>
      <c r="ATT96"/>
      <c r="ATU96"/>
      <c r="ATV96"/>
      <c r="ATW96"/>
      <c r="ATX96"/>
      <c r="ATY96"/>
      <c r="ATZ96"/>
      <c r="AUA96"/>
      <c r="AUB96"/>
      <c r="AUC96"/>
      <c r="AUD96"/>
      <c r="AUE96"/>
      <c r="AUF96"/>
      <c r="AUG96"/>
      <c r="AUH96"/>
      <c r="AUI96"/>
      <c r="AUJ96"/>
      <c r="AUK96"/>
      <c r="AUL96"/>
      <c r="AUM96"/>
      <c r="AUN96"/>
      <c r="AUO96"/>
      <c r="AUP96"/>
      <c r="AUQ96"/>
      <c r="AUR96"/>
      <c r="AUS96"/>
      <c r="AUT96"/>
      <c r="AUU96"/>
      <c r="AUV96"/>
      <c r="AUW96"/>
      <c r="AUX96"/>
      <c r="AUY96"/>
      <c r="AUZ96"/>
      <c r="AVA96"/>
      <c r="AVB96"/>
      <c r="AVC96"/>
      <c r="AVD96"/>
      <c r="AVE96"/>
      <c r="AVF96"/>
      <c r="AVG96"/>
      <c r="AVH96"/>
      <c r="AVI96"/>
      <c r="AVJ96"/>
      <c r="AVK96"/>
      <c r="AVL96"/>
      <c r="AVM96"/>
      <c r="AVN96"/>
      <c r="AVO96"/>
      <c r="AVP96"/>
      <c r="AVQ96"/>
      <c r="AVR96"/>
      <c r="AVS96"/>
      <c r="AVT96"/>
      <c r="AVU96"/>
      <c r="AVV96"/>
      <c r="AVW96"/>
      <c r="AVX96"/>
      <c r="AVY96"/>
      <c r="AVZ96"/>
      <c r="AWA96"/>
      <c r="AWB96"/>
      <c r="AWC96"/>
      <c r="AWD96"/>
      <c r="AWE96"/>
      <c r="AWF96"/>
      <c r="AWG96"/>
      <c r="AWH96"/>
      <c r="AWI96"/>
      <c r="AWJ96"/>
      <c r="AWK96"/>
      <c r="AWL96"/>
      <c r="AWM96"/>
      <c r="AWN96"/>
      <c r="AWO96"/>
      <c r="AWP96"/>
      <c r="AWQ96"/>
      <c r="AWR96"/>
      <c r="AWS96"/>
      <c r="AWT96"/>
      <c r="AWU96"/>
      <c r="AWV96"/>
      <c r="AWW96"/>
      <c r="AWX96"/>
      <c r="AWY96"/>
      <c r="AWZ96"/>
      <c r="AXA96"/>
      <c r="AXB96"/>
      <c r="AXC96"/>
      <c r="AXD96"/>
      <c r="AXE96"/>
      <c r="AXF96"/>
      <c r="AXG96"/>
      <c r="AXH96"/>
      <c r="AXI96"/>
      <c r="AXJ96"/>
      <c r="AXK96"/>
      <c r="AXL96"/>
      <c r="AXM96"/>
      <c r="AXN96"/>
      <c r="AXO96"/>
      <c r="AXP96"/>
      <c r="AXQ96"/>
      <c r="AXR96"/>
      <c r="AXS96"/>
      <c r="AXT96"/>
      <c r="AXU96"/>
      <c r="AXV96"/>
      <c r="AXW96"/>
      <c r="AXX96"/>
      <c r="AXY96"/>
      <c r="AXZ96"/>
      <c r="AYA96"/>
      <c r="AYB96"/>
      <c r="AYC96"/>
      <c r="AYD96"/>
      <c r="AYE96"/>
      <c r="AYF96"/>
      <c r="AYG96"/>
      <c r="AYH96"/>
      <c r="AYI96"/>
      <c r="AYJ96"/>
      <c r="AYK96"/>
      <c r="AYL96"/>
      <c r="AYM96"/>
      <c r="AYN96"/>
      <c r="AYO96"/>
      <c r="AYP96"/>
      <c r="AYQ96"/>
      <c r="AYR96"/>
      <c r="AYS96"/>
      <c r="AYT96"/>
      <c r="AYU96"/>
      <c r="AYV96"/>
      <c r="AYW96"/>
      <c r="AYX96"/>
      <c r="AYY96"/>
      <c r="AYZ96"/>
      <c r="AZA96"/>
      <c r="AZB96"/>
      <c r="AZC96"/>
      <c r="AZD96"/>
      <c r="AZE96"/>
      <c r="AZF96"/>
      <c r="AZG96"/>
      <c r="AZH96"/>
      <c r="AZI96"/>
      <c r="AZJ96"/>
      <c r="AZK96"/>
      <c r="AZL96"/>
      <c r="AZM96"/>
      <c r="AZN96"/>
      <c r="AZO96"/>
      <c r="AZP96"/>
      <c r="AZQ96"/>
      <c r="AZR96"/>
      <c r="AZS96"/>
      <c r="AZT96"/>
      <c r="AZU96"/>
      <c r="AZV96"/>
      <c r="AZW96"/>
      <c r="AZX96"/>
      <c r="AZY96"/>
      <c r="AZZ96"/>
      <c r="BAA96"/>
      <c r="BAB96"/>
      <c r="BAC96"/>
      <c r="BAD96"/>
      <c r="BAE96"/>
      <c r="BAF96"/>
      <c r="BAG96"/>
      <c r="BAH96"/>
      <c r="BAI96"/>
      <c r="BAJ96"/>
      <c r="BAK96"/>
      <c r="BAL96"/>
      <c r="BAM96"/>
      <c r="BAN96"/>
      <c r="BAO96"/>
      <c r="BAP96"/>
      <c r="BAQ96"/>
      <c r="BAR96"/>
      <c r="BAS96"/>
      <c r="BAT96"/>
      <c r="BAU96"/>
      <c r="BAV96"/>
      <c r="BAW96"/>
      <c r="BAX96"/>
      <c r="BAY96"/>
      <c r="BAZ96"/>
      <c r="BBA96"/>
      <c r="BBB96"/>
      <c r="BBC96"/>
      <c r="BBD96"/>
      <c r="BBE96"/>
      <c r="BBF96"/>
      <c r="BBG96"/>
      <c r="BBH96"/>
      <c r="BBI96"/>
      <c r="BBJ96"/>
      <c r="BBK96"/>
      <c r="BBL96"/>
      <c r="BBM96"/>
      <c r="BBN96"/>
      <c r="BBO96"/>
      <c r="BBP96"/>
      <c r="BBQ96"/>
      <c r="BBR96"/>
      <c r="BBS96"/>
      <c r="BBT96"/>
      <c r="BBU96"/>
      <c r="BBV96"/>
      <c r="BBW96"/>
      <c r="BBX96"/>
      <c r="BBY96"/>
      <c r="BBZ96"/>
      <c r="BCA96"/>
      <c r="BCB96"/>
      <c r="BCC96"/>
      <c r="BCD96"/>
      <c r="BCE96"/>
      <c r="BCF96"/>
      <c r="BCG96"/>
      <c r="BCH96"/>
      <c r="BCI96"/>
      <c r="BCJ96"/>
      <c r="BCK96"/>
      <c r="BCL96"/>
      <c r="BCM96"/>
      <c r="BCN96"/>
      <c r="BCO96"/>
      <c r="BCP96"/>
      <c r="BCQ96"/>
      <c r="BCR96"/>
      <c r="BCS96"/>
      <c r="BCT96"/>
      <c r="BCU96"/>
      <c r="BCV96"/>
      <c r="BCW96"/>
      <c r="BCX96"/>
      <c r="BCY96"/>
      <c r="BCZ96"/>
      <c r="BDA96"/>
      <c r="BDB96"/>
      <c r="BDC96"/>
      <c r="BDD96"/>
      <c r="BDE96"/>
      <c r="BDF96"/>
      <c r="BDG96"/>
      <c r="BDH96"/>
      <c r="BDI96"/>
      <c r="BDJ96"/>
      <c r="BDK96"/>
      <c r="BDL96"/>
      <c r="BDM96"/>
      <c r="BDN96"/>
      <c r="BDO96"/>
      <c r="BDP96"/>
      <c r="BDQ96"/>
      <c r="BDR96"/>
      <c r="BDS96"/>
      <c r="BDT96"/>
      <c r="BDU96"/>
      <c r="BDV96"/>
      <c r="BDW96"/>
      <c r="BDX96"/>
      <c r="BDY96"/>
      <c r="BDZ96"/>
      <c r="BEA96"/>
      <c r="BEB96"/>
      <c r="BEC96"/>
      <c r="BED96"/>
      <c r="BEE96"/>
      <c r="BEF96"/>
      <c r="BEG96"/>
      <c r="BEH96"/>
      <c r="BEI96"/>
      <c r="BEJ96"/>
      <c r="BEK96"/>
      <c r="BEL96"/>
      <c r="BEM96"/>
      <c r="BEN96"/>
      <c r="BEO96"/>
      <c r="BEP96"/>
      <c r="BEQ96"/>
      <c r="BER96"/>
      <c r="BES96"/>
      <c r="BET96"/>
      <c r="BEU96"/>
      <c r="BEV96"/>
      <c r="BEW96"/>
      <c r="BEX96"/>
      <c r="BEY96"/>
      <c r="BEZ96"/>
      <c r="BFA96"/>
      <c r="BFB96"/>
      <c r="BFC96"/>
      <c r="BFD96"/>
      <c r="BFE96"/>
      <c r="BFF96"/>
      <c r="BFG96"/>
      <c r="BFH96"/>
      <c r="BFI96"/>
      <c r="BFJ96"/>
      <c r="BFK96"/>
      <c r="BFL96"/>
      <c r="BFM96"/>
      <c r="BFN96"/>
      <c r="BFO96"/>
      <c r="BFP96"/>
      <c r="BFQ96"/>
      <c r="BFR96"/>
      <c r="BFS96"/>
      <c r="BFT96"/>
      <c r="BFU96"/>
      <c r="BFV96"/>
      <c r="BFW96"/>
      <c r="BFX96"/>
      <c r="BFY96"/>
      <c r="BFZ96"/>
      <c r="BGA96"/>
      <c r="BGB96"/>
      <c r="BGC96"/>
      <c r="BGD96"/>
      <c r="BGE96"/>
      <c r="BGF96"/>
      <c r="BGG96"/>
      <c r="BGH96"/>
      <c r="BGI96"/>
      <c r="BGJ96"/>
      <c r="BGK96"/>
      <c r="BGL96"/>
      <c r="BGM96"/>
      <c r="BGN96"/>
      <c r="BGO96"/>
      <c r="BGP96"/>
      <c r="BGQ96"/>
      <c r="BGR96"/>
      <c r="BGS96"/>
      <c r="BGT96"/>
      <c r="BGU96"/>
      <c r="BGV96"/>
      <c r="BGW96"/>
      <c r="BGX96"/>
      <c r="BGY96"/>
      <c r="BGZ96"/>
      <c r="BHA96"/>
      <c r="BHB96"/>
      <c r="BHC96"/>
      <c r="BHD96"/>
      <c r="BHE96"/>
      <c r="BHF96"/>
      <c r="BHG96"/>
      <c r="BHH96"/>
      <c r="BHI96"/>
      <c r="BHJ96"/>
      <c r="BHK96"/>
      <c r="BHL96"/>
      <c r="BHM96"/>
      <c r="BHN96"/>
      <c r="BHO96"/>
      <c r="BHP96"/>
      <c r="BHQ96"/>
      <c r="BHR96"/>
      <c r="BHS96"/>
      <c r="BHT96"/>
      <c r="BHU96"/>
      <c r="BHV96"/>
      <c r="BHW96"/>
      <c r="BHX96"/>
      <c r="BHY96"/>
      <c r="BHZ96"/>
      <c r="BIA96"/>
      <c r="BIB96"/>
      <c r="BIC96"/>
      <c r="BID96"/>
      <c r="BIE96"/>
      <c r="BIF96"/>
      <c r="BIG96"/>
      <c r="BIH96"/>
      <c r="BII96"/>
      <c r="BIJ96"/>
      <c r="BIK96"/>
      <c r="BIL96"/>
      <c r="BIM96"/>
      <c r="BIN96"/>
      <c r="BIO96"/>
      <c r="BIP96"/>
      <c r="BIQ96"/>
      <c r="BIR96"/>
      <c r="BIS96"/>
      <c r="BIT96"/>
      <c r="BIU96"/>
      <c r="BIV96"/>
      <c r="BIW96"/>
      <c r="BIX96"/>
      <c r="BIY96"/>
      <c r="BIZ96"/>
      <c r="BJA96"/>
      <c r="BJB96"/>
      <c r="BJC96"/>
      <c r="BJD96"/>
      <c r="BJE96"/>
      <c r="BJF96"/>
      <c r="BJG96"/>
      <c r="BJH96"/>
      <c r="BJI96"/>
      <c r="BJJ96"/>
      <c r="BJK96"/>
      <c r="BJL96"/>
      <c r="BJM96"/>
      <c r="BJN96"/>
      <c r="BJO96"/>
      <c r="BJP96"/>
      <c r="BJQ96"/>
      <c r="BJR96"/>
      <c r="BJS96"/>
      <c r="BJT96"/>
      <c r="BJU96"/>
      <c r="BJV96"/>
      <c r="BJW96"/>
      <c r="BJX96"/>
      <c r="BJY96"/>
      <c r="BJZ96"/>
      <c r="BKA96"/>
      <c r="BKB96"/>
      <c r="BKC96"/>
      <c r="BKD96"/>
      <c r="BKE96"/>
      <c r="BKF96"/>
      <c r="BKG96"/>
      <c r="BKH96"/>
      <c r="BKI96"/>
      <c r="BKJ96"/>
      <c r="BKK96"/>
      <c r="BKL96"/>
      <c r="BKM96"/>
      <c r="BKN96"/>
      <c r="BKO96"/>
      <c r="BKP96"/>
      <c r="BKQ96"/>
      <c r="BKR96"/>
      <c r="BKS96"/>
      <c r="BKT96"/>
      <c r="BKU96"/>
      <c r="BKV96"/>
      <c r="BKW96"/>
      <c r="BKX96"/>
      <c r="BKY96"/>
      <c r="BKZ96"/>
      <c r="BLA96"/>
      <c r="BLB96"/>
      <c r="BLC96"/>
      <c r="BLD96"/>
      <c r="BLE96"/>
      <c r="BLF96"/>
      <c r="BLG96"/>
      <c r="BLH96"/>
      <c r="BLI96"/>
      <c r="BLJ96"/>
      <c r="BLK96"/>
      <c r="BLL96"/>
      <c r="BLM96"/>
      <c r="BLN96"/>
      <c r="BLO96"/>
      <c r="BLP96"/>
      <c r="BLQ96"/>
      <c r="BLR96"/>
      <c r="BLS96"/>
      <c r="BLT96"/>
      <c r="BLU96"/>
      <c r="BLV96"/>
      <c r="BLW96"/>
      <c r="BLX96"/>
      <c r="BLY96"/>
      <c r="BLZ96"/>
      <c r="BMA96"/>
      <c r="BMB96"/>
      <c r="BMC96"/>
      <c r="BMD96"/>
      <c r="BME96"/>
      <c r="BMF96"/>
      <c r="BMG96"/>
      <c r="BMH96"/>
      <c r="BMI96"/>
      <c r="BMJ96"/>
      <c r="BMK96"/>
      <c r="BML96"/>
      <c r="BMM96"/>
      <c r="BMN96"/>
      <c r="BMO96"/>
      <c r="BMP96"/>
      <c r="BMQ96"/>
      <c r="BMR96"/>
      <c r="BMS96"/>
      <c r="BMT96"/>
      <c r="BMU96"/>
      <c r="BMV96"/>
      <c r="BMW96"/>
      <c r="BMX96"/>
      <c r="BMY96"/>
      <c r="BMZ96"/>
      <c r="BNA96"/>
      <c r="BNB96"/>
      <c r="BNC96"/>
      <c r="BND96"/>
      <c r="BNE96"/>
      <c r="BNF96"/>
      <c r="BNG96"/>
      <c r="BNH96"/>
      <c r="BNI96"/>
      <c r="BNJ96"/>
      <c r="BNK96"/>
      <c r="BNL96"/>
      <c r="BNM96"/>
      <c r="BNN96"/>
      <c r="BNO96"/>
      <c r="BNP96"/>
      <c r="BNQ96"/>
      <c r="BNR96"/>
      <c r="BNS96"/>
      <c r="BNT96"/>
      <c r="BNU96"/>
      <c r="BNV96"/>
      <c r="BNW96"/>
      <c r="BNX96"/>
      <c r="BNY96"/>
      <c r="BNZ96"/>
      <c r="BOA96"/>
      <c r="BOB96"/>
      <c r="BOC96"/>
      <c r="BOD96"/>
      <c r="BOE96"/>
      <c r="BOF96"/>
      <c r="BOG96"/>
      <c r="BOH96"/>
      <c r="BOI96"/>
      <c r="BOJ96"/>
      <c r="BOK96"/>
      <c r="BOL96"/>
      <c r="BOM96"/>
      <c r="BON96"/>
      <c r="BOO96"/>
      <c r="BOP96"/>
      <c r="BOQ96"/>
      <c r="BOR96"/>
      <c r="BOS96"/>
      <c r="BOT96"/>
      <c r="BOU96"/>
      <c r="BOV96"/>
      <c r="BOW96"/>
      <c r="BOX96"/>
      <c r="BOY96"/>
      <c r="BOZ96"/>
      <c r="BPA96"/>
      <c r="BPB96"/>
      <c r="BPC96"/>
      <c r="BPD96"/>
      <c r="BPE96"/>
      <c r="BPF96"/>
      <c r="BPG96"/>
      <c r="BPH96"/>
      <c r="BPI96"/>
      <c r="BPJ96"/>
      <c r="BPK96"/>
      <c r="BPL96"/>
      <c r="BPM96"/>
      <c r="BPN96"/>
      <c r="BPO96"/>
      <c r="BPP96"/>
      <c r="BPQ96"/>
      <c r="BPR96"/>
      <c r="BPS96"/>
      <c r="BPT96"/>
      <c r="BPU96"/>
      <c r="BPV96"/>
      <c r="BPW96"/>
      <c r="BPX96"/>
      <c r="BPY96"/>
      <c r="BPZ96"/>
      <c r="BQA96"/>
      <c r="BQB96"/>
      <c r="BQC96"/>
      <c r="BQD96"/>
      <c r="BQE96"/>
      <c r="BQF96"/>
      <c r="BQG96"/>
      <c r="BQH96"/>
      <c r="BQI96"/>
      <c r="BQJ96"/>
      <c r="BQK96"/>
      <c r="BQL96"/>
      <c r="BQM96"/>
      <c r="BQN96"/>
      <c r="BQO96"/>
      <c r="BQP96"/>
      <c r="BQQ96"/>
      <c r="BQR96"/>
      <c r="BQS96"/>
      <c r="BQT96"/>
      <c r="BQU96"/>
      <c r="BQV96"/>
      <c r="BQW96"/>
      <c r="BQX96"/>
      <c r="BQY96"/>
      <c r="BQZ96"/>
      <c r="BRA96"/>
      <c r="BRB96"/>
      <c r="BRC96"/>
      <c r="BRD96"/>
      <c r="BRE96"/>
      <c r="BRF96"/>
      <c r="BRG96"/>
      <c r="BRH96"/>
      <c r="BRI96"/>
      <c r="BRJ96"/>
      <c r="BRK96"/>
      <c r="BRL96"/>
      <c r="BRM96"/>
      <c r="BRN96"/>
      <c r="BRO96"/>
      <c r="BRP96"/>
      <c r="BRQ96"/>
      <c r="BRR96"/>
      <c r="BRS96"/>
      <c r="BRT96"/>
      <c r="BRU96"/>
      <c r="BRV96"/>
      <c r="BRW96"/>
      <c r="BRX96"/>
      <c r="BRY96"/>
      <c r="BRZ96"/>
      <c r="BSA96"/>
      <c r="BSB96"/>
      <c r="BSC96"/>
      <c r="BSD96"/>
      <c r="BSE96"/>
      <c r="BSF96"/>
      <c r="BSG96"/>
      <c r="BSH96"/>
      <c r="BSI96"/>
      <c r="BSJ96"/>
      <c r="BSK96"/>
      <c r="BSL96"/>
      <c r="BSM96"/>
      <c r="BSN96"/>
      <c r="BSO96"/>
      <c r="BSP96"/>
      <c r="BSQ96"/>
      <c r="BSR96"/>
      <c r="BSS96"/>
      <c r="BST96"/>
      <c r="BSU96"/>
      <c r="BSV96"/>
      <c r="BSW96"/>
      <c r="BSX96"/>
      <c r="BSY96"/>
      <c r="BSZ96"/>
      <c r="BTA96"/>
      <c r="BTB96"/>
      <c r="BTC96"/>
      <c r="BTD96"/>
      <c r="BTE96"/>
      <c r="BTF96"/>
      <c r="BTG96"/>
      <c r="BTH96"/>
      <c r="BTI96"/>
      <c r="BTJ96"/>
      <c r="BTK96"/>
      <c r="BTL96"/>
      <c r="BTM96"/>
      <c r="BTN96"/>
      <c r="BTO96"/>
      <c r="BTP96"/>
      <c r="BTQ96"/>
      <c r="BTR96"/>
      <c r="BTS96"/>
      <c r="BTT96"/>
      <c r="BTU96"/>
      <c r="BTV96"/>
      <c r="BTW96"/>
      <c r="BTX96"/>
      <c r="BTY96"/>
      <c r="BTZ96"/>
      <c r="BUA96"/>
      <c r="BUB96"/>
      <c r="BUC96"/>
      <c r="BUD96"/>
      <c r="BUE96"/>
      <c r="BUF96"/>
      <c r="BUG96"/>
      <c r="BUH96"/>
      <c r="BUI96"/>
      <c r="BUJ96"/>
      <c r="BUK96"/>
      <c r="BUL96"/>
      <c r="BUM96"/>
      <c r="BUN96"/>
      <c r="BUO96"/>
      <c r="BUP96"/>
      <c r="BUQ96"/>
      <c r="BUR96"/>
      <c r="BUS96"/>
      <c r="BUT96"/>
      <c r="BUU96"/>
      <c r="BUV96"/>
      <c r="BUW96"/>
      <c r="BUX96"/>
      <c r="BUY96"/>
      <c r="BUZ96"/>
      <c r="BVA96"/>
      <c r="BVB96"/>
      <c r="BVC96"/>
      <c r="BVD96"/>
      <c r="BVE96"/>
      <c r="BVF96"/>
      <c r="BVG96"/>
      <c r="BVH96"/>
      <c r="BVI96"/>
      <c r="BVJ96"/>
      <c r="BVK96"/>
      <c r="BVL96"/>
      <c r="BVM96"/>
      <c r="BVN96"/>
      <c r="BVO96"/>
      <c r="BVP96"/>
      <c r="BVQ96"/>
      <c r="BVR96"/>
      <c r="BVS96"/>
      <c r="BVT96"/>
      <c r="BVU96"/>
      <c r="BVV96"/>
      <c r="BVW96"/>
      <c r="BVX96"/>
      <c r="BVY96"/>
      <c r="BVZ96"/>
      <c r="BWA96"/>
      <c r="BWB96"/>
      <c r="BWC96"/>
      <c r="BWD96"/>
      <c r="BWE96"/>
      <c r="BWF96"/>
      <c r="BWG96"/>
      <c r="BWH96"/>
      <c r="BWI96"/>
      <c r="BWJ96"/>
      <c r="BWK96"/>
      <c r="BWL96"/>
      <c r="BWM96"/>
      <c r="BWN96"/>
      <c r="BWO96"/>
      <c r="BWP96"/>
      <c r="BWQ96"/>
      <c r="BWR96"/>
      <c r="BWS96"/>
      <c r="BWT96"/>
      <c r="BWU96"/>
      <c r="BWV96"/>
      <c r="BWW96"/>
      <c r="BWX96"/>
      <c r="BWY96"/>
      <c r="BWZ96"/>
      <c r="BXA96"/>
      <c r="BXB96"/>
      <c r="BXC96"/>
      <c r="BXD96"/>
      <c r="BXE96"/>
      <c r="BXF96"/>
      <c r="BXG96"/>
      <c r="BXH96"/>
      <c r="BXI96"/>
      <c r="BXJ96"/>
      <c r="BXK96"/>
      <c r="BXL96"/>
      <c r="BXM96"/>
      <c r="BXN96"/>
      <c r="BXO96"/>
      <c r="BXP96"/>
      <c r="BXQ96"/>
      <c r="BXR96"/>
      <c r="BXS96"/>
      <c r="BXT96"/>
      <c r="BXU96"/>
      <c r="BXV96"/>
      <c r="BXW96"/>
      <c r="BXX96"/>
      <c r="BXY96"/>
      <c r="BXZ96"/>
      <c r="BYA96"/>
      <c r="BYB96"/>
      <c r="BYC96"/>
      <c r="BYD96"/>
      <c r="BYE96"/>
      <c r="BYF96"/>
      <c r="BYG96"/>
      <c r="BYH96"/>
      <c r="BYI96"/>
      <c r="BYJ96"/>
      <c r="BYK96"/>
      <c r="BYL96"/>
      <c r="BYM96"/>
      <c r="BYN96"/>
      <c r="BYO96"/>
      <c r="BYP96"/>
      <c r="BYQ96"/>
      <c r="BYR96"/>
      <c r="BYS96"/>
      <c r="BYT96"/>
      <c r="BYU96"/>
      <c r="BYV96"/>
      <c r="BYW96"/>
      <c r="BYX96"/>
      <c r="BYY96"/>
      <c r="BYZ96"/>
      <c r="BZA96"/>
      <c r="BZB96"/>
      <c r="BZC96"/>
      <c r="BZD96"/>
      <c r="BZE96"/>
      <c r="BZF96"/>
      <c r="BZG96"/>
      <c r="BZH96"/>
      <c r="BZI96"/>
      <c r="BZJ96"/>
      <c r="BZK96"/>
      <c r="BZL96"/>
      <c r="BZM96"/>
      <c r="BZN96"/>
      <c r="BZO96"/>
      <c r="BZP96"/>
      <c r="BZQ96"/>
      <c r="BZR96"/>
      <c r="BZS96"/>
      <c r="BZT96"/>
      <c r="BZU96"/>
      <c r="BZV96"/>
      <c r="BZW96"/>
      <c r="BZX96"/>
      <c r="BZY96"/>
      <c r="BZZ96"/>
      <c r="CAA96"/>
      <c r="CAB96"/>
      <c r="CAC96"/>
      <c r="CAD96"/>
      <c r="CAE96"/>
      <c r="CAF96"/>
      <c r="CAG96"/>
      <c r="CAH96"/>
      <c r="CAI96"/>
      <c r="CAJ96"/>
      <c r="CAK96"/>
      <c r="CAL96"/>
      <c r="CAM96"/>
      <c r="CAN96"/>
      <c r="CAO96"/>
      <c r="CAP96"/>
      <c r="CAQ96"/>
      <c r="CAR96"/>
      <c r="CAS96"/>
      <c r="CAT96"/>
      <c r="CAU96"/>
      <c r="CAV96"/>
      <c r="CAW96"/>
      <c r="CAX96"/>
      <c r="CAY96"/>
      <c r="CAZ96"/>
      <c r="CBA96"/>
      <c r="CBB96"/>
      <c r="CBC96"/>
      <c r="CBD96"/>
      <c r="CBE96"/>
      <c r="CBF96"/>
      <c r="CBG96"/>
      <c r="CBH96"/>
      <c r="CBI96"/>
      <c r="CBJ96"/>
      <c r="CBK96"/>
      <c r="CBL96"/>
      <c r="CBM96"/>
      <c r="CBN96"/>
      <c r="CBO96"/>
      <c r="CBP96"/>
      <c r="CBQ96"/>
      <c r="CBR96"/>
      <c r="CBS96"/>
      <c r="CBT96"/>
      <c r="CBU96"/>
      <c r="CBV96"/>
      <c r="CBW96"/>
      <c r="CBX96"/>
      <c r="CBY96"/>
      <c r="CBZ96"/>
      <c r="CCA96"/>
      <c r="CCB96"/>
      <c r="CCC96"/>
      <c r="CCD96"/>
      <c r="CCE96"/>
      <c r="CCF96"/>
      <c r="CCG96"/>
      <c r="CCH96"/>
      <c r="CCI96"/>
      <c r="CCJ96"/>
      <c r="CCK96"/>
      <c r="CCL96"/>
      <c r="CCM96"/>
      <c r="CCN96"/>
      <c r="CCO96"/>
      <c r="CCP96"/>
      <c r="CCQ96"/>
      <c r="CCR96"/>
      <c r="CCS96"/>
      <c r="CCT96"/>
      <c r="CCU96"/>
      <c r="CCV96"/>
      <c r="CCW96"/>
      <c r="CCX96"/>
      <c r="CCY96"/>
      <c r="CCZ96"/>
      <c r="CDA96"/>
      <c r="CDB96"/>
      <c r="CDC96"/>
      <c r="CDD96"/>
      <c r="CDE96"/>
      <c r="CDF96"/>
      <c r="CDG96"/>
      <c r="CDH96"/>
      <c r="CDI96"/>
      <c r="CDJ96"/>
      <c r="CDK96"/>
      <c r="CDL96"/>
      <c r="CDM96"/>
      <c r="CDN96"/>
      <c r="CDO96"/>
      <c r="CDP96"/>
      <c r="CDQ96"/>
      <c r="CDR96"/>
      <c r="CDS96"/>
      <c r="CDT96"/>
      <c r="CDU96"/>
      <c r="CDV96"/>
      <c r="CDW96"/>
      <c r="CDX96"/>
      <c r="CDY96"/>
      <c r="CDZ96"/>
      <c r="CEA96"/>
      <c r="CEB96"/>
      <c r="CEC96"/>
      <c r="CED96"/>
      <c r="CEE96"/>
      <c r="CEF96"/>
      <c r="CEG96"/>
      <c r="CEH96"/>
      <c r="CEI96"/>
      <c r="CEJ96"/>
      <c r="CEK96"/>
      <c r="CEL96"/>
      <c r="CEM96"/>
      <c r="CEN96"/>
      <c r="CEO96"/>
      <c r="CEP96"/>
      <c r="CEQ96"/>
      <c r="CER96"/>
      <c r="CES96"/>
      <c r="CET96"/>
      <c r="CEU96"/>
      <c r="CEV96"/>
      <c r="CEW96"/>
      <c r="CEX96"/>
      <c r="CEY96"/>
      <c r="CEZ96"/>
      <c r="CFA96"/>
      <c r="CFB96"/>
      <c r="CFC96"/>
      <c r="CFD96"/>
      <c r="CFE96"/>
      <c r="CFF96"/>
      <c r="CFG96"/>
      <c r="CFH96"/>
      <c r="CFI96"/>
      <c r="CFJ96"/>
      <c r="CFK96"/>
      <c r="CFL96"/>
      <c r="CFM96"/>
      <c r="CFN96"/>
      <c r="CFO96"/>
      <c r="CFP96"/>
      <c r="CFQ96"/>
      <c r="CFR96"/>
      <c r="CFS96"/>
      <c r="CFT96"/>
      <c r="CFU96"/>
      <c r="CFV96"/>
      <c r="CFW96"/>
      <c r="CFX96"/>
      <c r="CFY96"/>
      <c r="CFZ96"/>
      <c r="CGA96"/>
      <c r="CGB96"/>
      <c r="CGC96"/>
      <c r="CGD96"/>
      <c r="CGE96"/>
      <c r="CGF96"/>
      <c r="CGG96"/>
      <c r="CGH96"/>
      <c r="CGI96"/>
      <c r="CGJ96"/>
      <c r="CGK96"/>
      <c r="CGL96"/>
      <c r="CGM96"/>
      <c r="CGN96"/>
      <c r="CGO96"/>
      <c r="CGP96"/>
      <c r="CGQ96"/>
      <c r="CGR96"/>
      <c r="CGS96"/>
      <c r="CGT96"/>
      <c r="CGU96"/>
      <c r="CGV96"/>
      <c r="CGW96"/>
      <c r="CGX96"/>
      <c r="CGY96"/>
      <c r="CGZ96"/>
      <c r="CHA96"/>
      <c r="CHB96"/>
      <c r="CHC96"/>
      <c r="CHD96"/>
      <c r="CHE96"/>
      <c r="CHF96"/>
      <c r="CHG96"/>
      <c r="CHH96"/>
      <c r="CHI96"/>
      <c r="CHJ96"/>
      <c r="CHK96"/>
      <c r="CHL96"/>
      <c r="CHM96"/>
      <c r="CHN96"/>
      <c r="CHO96"/>
      <c r="CHP96"/>
      <c r="CHQ96"/>
      <c r="CHR96"/>
      <c r="CHS96"/>
      <c r="CHT96"/>
      <c r="CHU96"/>
      <c r="CHV96"/>
      <c r="CHW96"/>
      <c r="CHX96"/>
      <c r="CHY96"/>
      <c r="CHZ96"/>
      <c r="CIA96"/>
      <c r="CIB96"/>
      <c r="CIC96"/>
      <c r="CID96"/>
      <c r="CIE96"/>
      <c r="CIF96"/>
      <c r="CIG96"/>
      <c r="CIH96"/>
      <c r="CII96"/>
      <c r="CIJ96"/>
      <c r="CIK96"/>
      <c r="CIL96"/>
      <c r="CIM96"/>
      <c r="CIN96"/>
      <c r="CIO96"/>
      <c r="CIP96"/>
      <c r="CIQ96"/>
      <c r="CIR96"/>
      <c r="CIS96"/>
      <c r="CIT96"/>
      <c r="CIU96"/>
      <c r="CIV96"/>
      <c r="CIW96"/>
      <c r="CIX96"/>
      <c r="CIY96"/>
      <c r="CIZ96"/>
      <c r="CJA96"/>
      <c r="CJB96"/>
      <c r="CJC96"/>
      <c r="CJD96"/>
      <c r="CJE96"/>
      <c r="CJF96"/>
      <c r="CJG96"/>
      <c r="CJH96"/>
      <c r="CJI96"/>
      <c r="CJJ96"/>
      <c r="CJK96"/>
      <c r="CJL96"/>
      <c r="CJM96"/>
      <c r="CJN96"/>
      <c r="CJO96"/>
      <c r="CJP96"/>
      <c r="CJQ96"/>
      <c r="CJR96"/>
      <c r="CJS96"/>
      <c r="CJT96"/>
      <c r="CJU96"/>
      <c r="CJV96"/>
      <c r="CJW96"/>
      <c r="CJX96"/>
      <c r="CJY96"/>
      <c r="CJZ96"/>
      <c r="CKA96"/>
      <c r="CKB96"/>
      <c r="CKC96"/>
      <c r="CKD96"/>
      <c r="CKE96"/>
      <c r="CKF96"/>
      <c r="CKG96"/>
      <c r="CKH96"/>
      <c r="CKI96"/>
      <c r="CKJ96"/>
      <c r="CKK96"/>
      <c r="CKL96"/>
      <c r="CKM96"/>
      <c r="CKN96"/>
      <c r="CKO96"/>
      <c r="CKP96"/>
      <c r="CKQ96"/>
      <c r="CKR96"/>
      <c r="CKS96"/>
      <c r="CKT96"/>
      <c r="CKU96"/>
      <c r="CKV96"/>
      <c r="CKW96"/>
      <c r="CKX96"/>
      <c r="CKY96"/>
      <c r="CKZ96"/>
      <c r="CLA96"/>
      <c r="CLB96"/>
      <c r="CLC96"/>
      <c r="CLD96"/>
      <c r="CLE96"/>
      <c r="CLF96"/>
      <c r="CLG96"/>
      <c r="CLH96"/>
      <c r="CLI96"/>
      <c r="CLJ96"/>
      <c r="CLK96"/>
      <c r="CLL96"/>
      <c r="CLM96"/>
      <c r="CLN96"/>
      <c r="CLO96"/>
      <c r="CLP96"/>
      <c r="CLQ96"/>
      <c r="CLR96"/>
      <c r="CLS96"/>
      <c r="CLT96"/>
      <c r="CLU96"/>
      <c r="CLV96"/>
      <c r="CLW96"/>
      <c r="CLX96"/>
      <c r="CLY96"/>
      <c r="CLZ96"/>
      <c r="CMA96"/>
      <c r="CMB96"/>
      <c r="CMC96"/>
      <c r="CMD96"/>
      <c r="CME96"/>
      <c r="CMF96"/>
      <c r="CMG96"/>
      <c r="CMH96"/>
      <c r="CMI96"/>
      <c r="CMJ96"/>
      <c r="CMK96"/>
      <c r="CML96"/>
      <c r="CMM96"/>
      <c r="CMN96"/>
      <c r="CMO96"/>
      <c r="CMP96"/>
      <c r="CMQ96"/>
      <c r="CMR96"/>
      <c r="CMS96"/>
      <c r="CMT96"/>
      <c r="CMU96"/>
      <c r="CMV96"/>
      <c r="CMW96"/>
      <c r="CMX96"/>
      <c r="CMY96"/>
      <c r="CMZ96"/>
      <c r="CNA96"/>
      <c r="CNB96"/>
      <c r="CNC96"/>
      <c r="CND96"/>
      <c r="CNE96"/>
      <c r="CNF96"/>
      <c r="CNG96"/>
      <c r="CNH96"/>
      <c r="CNI96"/>
      <c r="CNJ96"/>
      <c r="CNK96"/>
      <c r="CNL96"/>
      <c r="CNM96"/>
      <c r="CNN96"/>
      <c r="CNO96"/>
      <c r="CNP96"/>
      <c r="CNQ96"/>
      <c r="CNR96"/>
      <c r="CNS96"/>
      <c r="CNT96"/>
      <c r="CNU96"/>
      <c r="CNV96"/>
      <c r="CNW96"/>
      <c r="CNX96"/>
      <c r="CNY96"/>
      <c r="CNZ96"/>
      <c r="COA96"/>
      <c r="COB96"/>
      <c r="COC96"/>
      <c r="COD96"/>
      <c r="COE96"/>
      <c r="COF96"/>
      <c r="COG96"/>
      <c r="COH96"/>
      <c r="COI96"/>
      <c r="COJ96"/>
      <c r="COK96"/>
      <c r="COL96"/>
      <c r="COM96"/>
      <c r="CON96"/>
      <c r="COO96"/>
      <c r="COP96"/>
      <c r="COQ96"/>
      <c r="COR96"/>
      <c r="COS96"/>
      <c r="COT96"/>
      <c r="COU96"/>
      <c r="COV96"/>
      <c r="COW96"/>
      <c r="COX96"/>
      <c r="COY96"/>
      <c r="COZ96"/>
      <c r="CPA96"/>
      <c r="CPB96"/>
      <c r="CPC96"/>
      <c r="CPD96"/>
      <c r="CPE96"/>
      <c r="CPF96"/>
      <c r="CPG96"/>
      <c r="CPH96"/>
      <c r="CPI96"/>
      <c r="CPJ96"/>
      <c r="CPK96"/>
      <c r="CPL96"/>
      <c r="CPM96"/>
      <c r="CPN96"/>
      <c r="CPO96"/>
      <c r="CPP96"/>
      <c r="CPQ96"/>
      <c r="CPR96"/>
      <c r="CPS96"/>
      <c r="CPT96"/>
      <c r="CPU96"/>
      <c r="CPV96"/>
      <c r="CPW96"/>
      <c r="CPX96"/>
      <c r="CPY96"/>
      <c r="CPZ96"/>
      <c r="CQA96"/>
      <c r="CQB96"/>
      <c r="CQC96"/>
      <c r="CQD96"/>
      <c r="CQE96"/>
      <c r="CQF96"/>
      <c r="CQG96"/>
      <c r="CQH96"/>
      <c r="CQI96"/>
      <c r="CQJ96"/>
      <c r="CQK96"/>
      <c r="CQL96"/>
      <c r="CQM96"/>
      <c r="CQN96"/>
      <c r="CQO96"/>
      <c r="CQP96"/>
      <c r="CQQ96"/>
      <c r="CQR96"/>
      <c r="CQS96"/>
      <c r="CQT96"/>
      <c r="CQU96"/>
      <c r="CQV96"/>
      <c r="CQW96"/>
      <c r="CQX96"/>
      <c r="CQY96"/>
      <c r="CQZ96"/>
      <c r="CRA96"/>
      <c r="CRB96"/>
      <c r="CRC96"/>
      <c r="CRD96"/>
      <c r="CRE96"/>
      <c r="CRF96"/>
      <c r="CRG96"/>
      <c r="CRH96"/>
      <c r="CRI96"/>
      <c r="CRJ96"/>
      <c r="CRK96"/>
      <c r="CRL96"/>
      <c r="CRM96"/>
      <c r="CRN96"/>
      <c r="CRO96"/>
      <c r="CRP96"/>
      <c r="CRQ96"/>
      <c r="CRR96"/>
      <c r="CRS96"/>
      <c r="CRT96"/>
      <c r="CRU96"/>
      <c r="CRV96"/>
      <c r="CRW96"/>
      <c r="CRX96"/>
      <c r="CRY96"/>
      <c r="CRZ96"/>
      <c r="CSA96"/>
      <c r="CSB96"/>
      <c r="CSC96"/>
      <c r="CSD96"/>
      <c r="CSE96"/>
      <c r="CSF96"/>
      <c r="CSG96"/>
      <c r="CSH96"/>
      <c r="CSI96"/>
      <c r="CSJ96"/>
      <c r="CSK96"/>
      <c r="CSL96"/>
      <c r="CSM96"/>
      <c r="CSN96"/>
      <c r="CSO96"/>
      <c r="CSP96"/>
      <c r="CSQ96"/>
      <c r="CSR96"/>
      <c r="CSS96"/>
      <c r="CST96"/>
      <c r="CSU96"/>
      <c r="CSV96"/>
      <c r="CSW96"/>
      <c r="CSX96"/>
      <c r="CSY96"/>
      <c r="CSZ96"/>
      <c r="CTA96"/>
      <c r="CTB96"/>
      <c r="CTC96"/>
      <c r="CTD96"/>
      <c r="CTE96"/>
      <c r="CTF96"/>
      <c r="CTG96"/>
      <c r="CTH96"/>
      <c r="CTI96"/>
      <c r="CTJ96"/>
      <c r="CTK96"/>
      <c r="CTL96"/>
      <c r="CTM96"/>
      <c r="CTN96"/>
      <c r="CTO96"/>
      <c r="CTP96"/>
      <c r="CTQ96"/>
      <c r="CTR96"/>
      <c r="CTS96"/>
      <c r="CTT96"/>
      <c r="CTU96"/>
      <c r="CTV96"/>
      <c r="CTW96"/>
      <c r="CTX96"/>
      <c r="CTY96"/>
      <c r="CTZ96"/>
      <c r="CUA96"/>
      <c r="CUB96"/>
      <c r="CUC96"/>
      <c r="CUD96"/>
      <c r="CUE96"/>
      <c r="CUF96"/>
      <c r="CUG96"/>
      <c r="CUH96"/>
      <c r="CUI96"/>
      <c r="CUJ96"/>
      <c r="CUK96"/>
      <c r="CUL96"/>
      <c r="CUM96"/>
      <c r="CUN96"/>
      <c r="CUO96"/>
      <c r="CUP96"/>
      <c r="CUQ96"/>
      <c r="CUR96"/>
      <c r="CUS96"/>
      <c r="CUT96"/>
      <c r="CUU96"/>
      <c r="CUV96"/>
      <c r="CUW96"/>
      <c r="CUX96"/>
      <c r="CUY96"/>
      <c r="CUZ96"/>
      <c r="CVA96"/>
      <c r="CVB96"/>
      <c r="CVC96"/>
      <c r="CVD96"/>
      <c r="CVE96"/>
      <c r="CVF96"/>
      <c r="CVG96"/>
      <c r="CVH96"/>
      <c r="CVI96"/>
      <c r="CVJ96"/>
      <c r="CVK96"/>
      <c r="CVL96"/>
      <c r="CVM96"/>
      <c r="CVN96"/>
      <c r="CVO96"/>
      <c r="CVP96"/>
      <c r="CVQ96"/>
      <c r="CVR96"/>
      <c r="CVS96"/>
      <c r="CVT96"/>
      <c r="CVU96"/>
      <c r="CVV96"/>
      <c r="CVW96"/>
      <c r="CVX96"/>
      <c r="CVY96"/>
      <c r="CVZ96"/>
      <c r="CWA96"/>
      <c r="CWB96"/>
      <c r="CWC96"/>
      <c r="CWD96"/>
      <c r="CWE96"/>
      <c r="CWF96"/>
      <c r="CWG96"/>
      <c r="CWH96"/>
      <c r="CWI96"/>
      <c r="CWJ96"/>
      <c r="CWK96"/>
      <c r="CWL96"/>
      <c r="CWM96"/>
      <c r="CWN96"/>
      <c r="CWO96"/>
      <c r="CWP96"/>
      <c r="CWQ96"/>
      <c r="CWR96"/>
      <c r="CWS96"/>
      <c r="CWT96"/>
      <c r="CWU96"/>
      <c r="CWV96"/>
      <c r="CWW96"/>
      <c r="CWX96"/>
      <c r="CWY96"/>
      <c r="CWZ96"/>
      <c r="CXA96"/>
      <c r="CXB96"/>
      <c r="CXC96"/>
      <c r="CXD96"/>
      <c r="CXE96"/>
      <c r="CXF96"/>
      <c r="CXG96"/>
      <c r="CXH96"/>
      <c r="CXI96"/>
      <c r="CXJ96"/>
      <c r="CXK96"/>
      <c r="CXL96"/>
      <c r="CXM96"/>
      <c r="CXN96"/>
      <c r="CXO96"/>
      <c r="CXP96"/>
      <c r="CXQ96"/>
      <c r="CXR96"/>
      <c r="CXS96"/>
      <c r="CXT96"/>
      <c r="CXU96"/>
      <c r="CXV96"/>
      <c r="CXW96"/>
      <c r="CXX96"/>
      <c r="CXY96"/>
      <c r="CXZ96"/>
      <c r="CYA96"/>
      <c r="CYB96"/>
      <c r="CYC96"/>
      <c r="CYD96"/>
      <c r="CYE96"/>
      <c r="CYF96"/>
      <c r="CYG96"/>
      <c r="CYH96"/>
      <c r="CYI96"/>
      <c r="CYJ96"/>
      <c r="CYK96"/>
      <c r="CYL96"/>
      <c r="CYM96"/>
      <c r="CYN96"/>
      <c r="CYO96"/>
      <c r="CYP96"/>
      <c r="CYQ96"/>
      <c r="CYR96"/>
      <c r="CYS96"/>
      <c r="CYT96"/>
      <c r="CYU96"/>
      <c r="CYV96"/>
      <c r="CYW96"/>
      <c r="CYX96"/>
      <c r="CYY96"/>
      <c r="CYZ96"/>
      <c r="CZA96"/>
      <c r="CZB96"/>
      <c r="CZC96"/>
      <c r="CZD96"/>
      <c r="CZE96"/>
      <c r="CZF96"/>
      <c r="CZG96"/>
      <c r="CZH96"/>
      <c r="CZI96"/>
      <c r="CZJ96"/>
      <c r="CZK96"/>
      <c r="CZL96"/>
      <c r="CZM96"/>
      <c r="CZN96"/>
      <c r="CZO96"/>
      <c r="CZP96"/>
      <c r="CZQ96"/>
      <c r="CZR96"/>
      <c r="CZS96"/>
      <c r="CZT96"/>
      <c r="CZU96"/>
      <c r="CZV96"/>
      <c r="CZW96"/>
      <c r="CZX96"/>
      <c r="CZY96"/>
      <c r="CZZ96"/>
      <c r="DAA96"/>
      <c r="DAB96"/>
      <c r="DAC96"/>
      <c r="DAD96"/>
      <c r="DAE96"/>
      <c r="DAF96"/>
      <c r="DAG96"/>
      <c r="DAH96"/>
      <c r="DAI96"/>
      <c r="DAJ96"/>
      <c r="DAK96"/>
      <c r="DAL96"/>
      <c r="DAM96"/>
      <c r="DAN96"/>
      <c r="DAO96"/>
      <c r="DAP96"/>
      <c r="DAQ96"/>
      <c r="DAR96"/>
      <c r="DAS96"/>
      <c r="DAT96"/>
      <c r="DAU96"/>
      <c r="DAV96"/>
      <c r="DAW96"/>
      <c r="DAX96"/>
      <c r="DAY96"/>
      <c r="DAZ96"/>
      <c r="DBA96"/>
      <c r="DBB96"/>
      <c r="DBC96"/>
      <c r="DBD96"/>
      <c r="DBE96"/>
      <c r="DBF96"/>
      <c r="DBG96"/>
      <c r="DBH96"/>
      <c r="DBI96"/>
      <c r="DBJ96"/>
      <c r="DBK96"/>
      <c r="DBL96"/>
      <c r="DBM96"/>
      <c r="DBN96"/>
      <c r="DBO96"/>
      <c r="DBP96"/>
      <c r="DBQ96"/>
      <c r="DBR96"/>
      <c r="DBS96"/>
      <c r="DBT96"/>
      <c r="DBU96"/>
      <c r="DBV96"/>
      <c r="DBW96"/>
      <c r="DBX96"/>
      <c r="DBY96"/>
      <c r="DBZ96"/>
      <c r="DCA96"/>
      <c r="DCB96"/>
      <c r="DCC96"/>
      <c r="DCD96"/>
      <c r="DCE96"/>
      <c r="DCF96"/>
      <c r="DCG96"/>
      <c r="DCH96"/>
      <c r="DCI96"/>
      <c r="DCJ96"/>
      <c r="DCK96"/>
      <c r="DCL96"/>
      <c r="DCM96"/>
      <c r="DCN96"/>
      <c r="DCO96"/>
      <c r="DCP96"/>
      <c r="DCQ96"/>
      <c r="DCR96"/>
      <c r="DCS96"/>
      <c r="DCT96"/>
      <c r="DCU96"/>
      <c r="DCV96"/>
      <c r="DCW96"/>
      <c r="DCX96"/>
      <c r="DCY96"/>
      <c r="DCZ96"/>
      <c r="DDA96"/>
      <c r="DDB96"/>
      <c r="DDC96"/>
      <c r="DDD96"/>
      <c r="DDE96"/>
      <c r="DDF96"/>
      <c r="DDG96"/>
      <c r="DDH96"/>
      <c r="DDI96"/>
      <c r="DDJ96"/>
      <c r="DDK96"/>
      <c r="DDL96"/>
      <c r="DDM96"/>
      <c r="DDN96"/>
      <c r="DDO96"/>
      <c r="DDP96"/>
      <c r="DDQ96"/>
      <c r="DDR96"/>
      <c r="DDS96"/>
      <c r="DDT96"/>
      <c r="DDU96"/>
      <c r="DDV96"/>
      <c r="DDW96"/>
      <c r="DDX96"/>
      <c r="DDY96"/>
      <c r="DDZ96"/>
      <c r="DEA96"/>
      <c r="DEB96"/>
      <c r="DEC96"/>
      <c r="DED96"/>
      <c r="DEE96"/>
      <c r="DEF96"/>
      <c r="DEG96"/>
      <c r="DEH96"/>
      <c r="DEI96"/>
      <c r="DEJ96"/>
      <c r="DEK96"/>
      <c r="DEL96"/>
      <c r="DEM96"/>
      <c r="DEN96"/>
      <c r="DEO96"/>
      <c r="DEP96"/>
      <c r="DEQ96"/>
      <c r="DER96"/>
      <c r="DES96"/>
      <c r="DET96"/>
      <c r="DEU96"/>
      <c r="DEV96"/>
      <c r="DEW96"/>
      <c r="DEX96"/>
      <c r="DEY96"/>
      <c r="DEZ96"/>
      <c r="DFA96"/>
      <c r="DFB96"/>
      <c r="DFC96"/>
      <c r="DFD96"/>
      <c r="DFE96"/>
      <c r="DFF96"/>
      <c r="DFG96"/>
      <c r="DFH96"/>
      <c r="DFI96"/>
      <c r="DFJ96"/>
      <c r="DFK96"/>
      <c r="DFL96"/>
      <c r="DFM96"/>
      <c r="DFN96"/>
      <c r="DFO96"/>
      <c r="DFP96"/>
      <c r="DFQ96"/>
      <c r="DFR96"/>
      <c r="DFS96"/>
      <c r="DFT96"/>
      <c r="DFU96"/>
      <c r="DFV96"/>
      <c r="DFW96"/>
      <c r="DFX96"/>
      <c r="DFY96"/>
      <c r="DFZ96"/>
      <c r="DGA96"/>
      <c r="DGB96"/>
      <c r="DGC96"/>
      <c r="DGD96"/>
      <c r="DGE96"/>
      <c r="DGF96"/>
      <c r="DGG96"/>
      <c r="DGH96"/>
      <c r="DGI96"/>
      <c r="DGJ96"/>
      <c r="DGK96"/>
      <c r="DGL96"/>
      <c r="DGM96"/>
      <c r="DGN96"/>
      <c r="DGO96"/>
      <c r="DGP96"/>
      <c r="DGQ96"/>
      <c r="DGR96"/>
      <c r="DGS96"/>
      <c r="DGT96"/>
      <c r="DGU96"/>
      <c r="DGV96"/>
      <c r="DGW96"/>
      <c r="DGX96"/>
      <c r="DGY96"/>
      <c r="DGZ96"/>
      <c r="DHA96"/>
      <c r="DHB96"/>
      <c r="DHC96"/>
      <c r="DHD96"/>
      <c r="DHE96"/>
      <c r="DHF96"/>
      <c r="DHG96"/>
      <c r="DHH96"/>
      <c r="DHI96"/>
      <c r="DHJ96"/>
      <c r="DHK96"/>
      <c r="DHL96"/>
      <c r="DHM96"/>
      <c r="DHN96"/>
      <c r="DHO96"/>
      <c r="DHP96"/>
      <c r="DHQ96"/>
      <c r="DHR96"/>
      <c r="DHS96"/>
      <c r="DHT96"/>
      <c r="DHU96"/>
      <c r="DHV96"/>
      <c r="DHW96"/>
      <c r="DHX96"/>
      <c r="DHY96"/>
      <c r="DHZ96"/>
      <c r="DIA96"/>
      <c r="DIB96"/>
      <c r="DIC96"/>
      <c r="DID96"/>
      <c r="DIE96"/>
      <c r="DIF96"/>
      <c r="DIG96"/>
      <c r="DIH96"/>
      <c r="DII96"/>
      <c r="DIJ96"/>
      <c r="DIK96"/>
      <c r="DIL96"/>
      <c r="DIM96"/>
      <c r="DIN96"/>
      <c r="DIO96"/>
      <c r="DIP96"/>
      <c r="DIQ96"/>
      <c r="DIR96"/>
      <c r="DIS96"/>
      <c r="DIT96"/>
      <c r="DIU96"/>
      <c r="DIV96"/>
      <c r="DIW96"/>
      <c r="DIX96"/>
      <c r="DIY96"/>
      <c r="DIZ96"/>
      <c r="DJA96"/>
      <c r="DJB96"/>
      <c r="DJC96"/>
      <c r="DJD96"/>
      <c r="DJE96"/>
      <c r="DJF96"/>
      <c r="DJG96"/>
      <c r="DJH96"/>
      <c r="DJI96"/>
      <c r="DJJ96"/>
      <c r="DJK96"/>
      <c r="DJL96"/>
      <c r="DJM96"/>
      <c r="DJN96"/>
      <c r="DJO96"/>
      <c r="DJP96"/>
      <c r="DJQ96"/>
      <c r="DJR96"/>
      <c r="DJS96"/>
      <c r="DJT96"/>
      <c r="DJU96"/>
      <c r="DJV96"/>
      <c r="DJW96"/>
      <c r="DJX96"/>
      <c r="DJY96"/>
      <c r="DJZ96"/>
      <c r="DKA96"/>
      <c r="DKB96"/>
      <c r="DKC96"/>
      <c r="DKD96"/>
      <c r="DKE96"/>
      <c r="DKF96"/>
      <c r="DKG96"/>
      <c r="DKH96"/>
      <c r="DKI96"/>
      <c r="DKJ96"/>
      <c r="DKK96"/>
      <c r="DKL96"/>
      <c r="DKM96"/>
      <c r="DKN96"/>
      <c r="DKO96"/>
      <c r="DKP96"/>
      <c r="DKQ96"/>
      <c r="DKR96"/>
      <c r="DKS96"/>
      <c r="DKT96"/>
      <c r="DKU96"/>
      <c r="DKV96"/>
      <c r="DKW96"/>
      <c r="DKX96"/>
      <c r="DKY96"/>
      <c r="DKZ96"/>
      <c r="DLA96"/>
      <c r="DLB96"/>
      <c r="DLC96"/>
      <c r="DLD96"/>
      <c r="DLE96"/>
      <c r="DLF96"/>
      <c r="DLG96"/>
      <c r="DLH96"/>
      <c r="DLI96"/>
      <c r="DLJ96"/>
      <c r="DLK96"/>
      <c r="DLL96"/>
      <c r="DLM96"/>
      <c r="DLN96"/>
      <c r="DLO96"/>
      <c r="DLP96"/>
      <c r="DLQ96"/>
      <c r="DLR96"/>
      <c r="DLS96"/>
      <c r="DLT96"/>
      <c r="DLU96"/>
      <c r="DLV96"/>
      <c r="DLW96"/>
      <c r="DLX96"/>
      <c r="DLY96"/>
      <c r="DLZ96"/>
      <c r="DMA96"/>
      <c r="DMB96"/>
      <c r="DMC96"/>
      <c r="DMD96"/>
      <c r="DME96"/>
      <c r="DMF96"/>
      <c r="DMG96"/>
      <c r="DMH96"/>
      <c r="DMI96"/>
      <c r="DMJ96"/>
      <c r="DMK96"/>
      <c r="DML96"/>
      <c r="DMM96"/>
      <c r="DMN96"/>
      <c r="DMO96"/>
      <c r="DMP96"/>
      <c r="DMQ96"/>
      <c r="DMR96"/>
      <c r="DMS96"/>
      <c r="DMT96"/>
      <c r="DMU96"/>
      <c r="DMV96"/>
      <c r="DMW96"/>
      <c r="DMX96"/>
      <c r="DMY96"/>
      <c r="DMZ96"/>
      <c r="DNA96"/>
      <c r="DNB96"/>
      <c r="DNC96"/>
      <c r="DND96"/>
      <c r="DNE96"/>
      <c r="DNF96"/>
      <c r="DNG96"/>
      <c r="DNH96"/>
      <c r="DNI96"/>
      <c r="DNJ96"/>
      <c r="DNK96"/>
      <c r="DNL96"/>
      <c r="DNM96"/>
      <c r="DNN96"/>
      <c r="DNO96"/>
      <c r="DNP96"/>
      <c r="DNQ96"/>
      <c r="DNR96"/>
      <c r="DNS96"/>
      <c r="DNT96"/>
      <c r="DNU96"/>
      <c r="DNV96"/>
      <c r="DNW96"/>
      <c r="DNX96"/>
      <c r="DNY96"/>
      <c r="DNZ96"/>
      <c r="DOA96"/>
      <c r="DOB96"/>
      <c r="DOC96"/>
      <c r="DOD96"/>
      <c r="DOE96"/>
      <c r="DOF96"/>
      <c r="DOG96"/>
      <c r="DOH96"/>
      <c r="DOI96"/>
      <c r="DOJ96"/>
      <c r="DOK96"/>
      <c r="DOL96"/>
      <c r="DOM96"/>
      <c r="DON96"/>
      <c r="DOO96"/>
      <c r="DOP96"/>
      <c r="DOQ96"/>
      <c r="DOR96"/>
      <c r="DOS96"/>
      <c r="DOT96"/>
      <c r="DOU96"/>
      <c r="DOV96"/>
      <c r="DOW96"/>
      <c r="DOX96"/>
      <c r="DOY96"/>
      <c r="DOZ96"/>
      <c r="DPA96"/>
      <c r="DPB96"/>
      <c r="DPC96"/>
      <c r="DPD96"/>
      <c r="DPE96"/>
      <c r="DPF96"/>
      <c r="DPG96"/>
      <c r="DPH96"/>
      <c r="DPI96"/>
      <c r="DPJ96"/>
      <c r="DPK96"/>
      <c r="DPL96"/>
      <c r="DPM96"/>
      <c r="DPN96"/>
      <c r="DPO96"/>
      <c r="DPP96"/>
      <c r="DPQ96"/>
      <c r="DPR96"/>
      <c r="DPS96"/>
      <c r="DPT96"/>
      <c r="DPU96"/>
      <c r="DPV96"/>
      <c r="DPW96"/>
      <c r="DPX96"/>
      <c r="DPY96"/>
      <c r="DPZ96"/>
      <c r="DQA96"/>
      <c r="DQB96"/>
      <c r="DQC96"/>
      <c r="DQD96"/>
      <c r="DQE96"/>
      <c r="DQF96"/>
      <c r="DQG96"/>
      <c r="DQH96"/>
      <c r="DQI96"/>
      <c r="DQJ96"/>
      <c r="DQK96"/>
      <c r="DQL96"/>
      <c r="DQM96"/>
      <c r="DQN96"/>
      <c r="DQO96"/>
      <c r="DQP96"/>
      <c r="DQQ96"/>
      <c r="DQR96"/>
      <c r="DQS96"/>
      <c r="DQT96"/>
      <c r="DQU96"/>
      <c r="DQV96"/>
      <c r="DQW96"/>
      <c r="DQX96"/>
      <c r="DQY96"/>
      <c r="DQZ96"/>
      <c r="DRA96"/>
      <c r="DRB96"/>
      <c r="DRC96"/>
      <c r="DRD96"/>
      <c r="DRE96"/>
      <c r="DRF96"/>
      <c r="DRG96"/>
      <c r="DRH96"/>
      <c r="DRI96"/>
      <c r="DRJ96"/>
      <c r="DRK96"/>
      <c r="DRL96"/>
      <c r="DRM96"/>
      <c r="DRN96"/>
      <c r="DRO96"/>
      <c r="DRP96"/>
      <c r="DRQ96"/>
      <c r="DRR96"/>
      <c r="DRS96"/>
      <c r="DRT96"/>
      <c r="DRU96"/>
      <c r="DRV96"/>
      <c r="DRW96"/>
      <c r="DRX96"/>
      <c r="DRY96"/>
      <c r="DRZ96"/>
      <c r="DSA96"/>
      <c r="DSB96"/>
      <c r="DSC96"/>
      <c r="DSD96"/>
      <c r="DSE96"/>
      <c r="DSF96"/>
      <c r="DSG96"/>
      <c r="DSH96"/>
      <c r="DSI96"/>
      <c r="DSJ96"/>
      <c r="DSK96"/>
      <c r="DSL96"/>
      <c r="DSM96"/>
      <c r="DSN96"/>
      <c r="DSO96"/>
      <c r="DSP96"/>
      <c r="DSQ96"/>
      <c r="DSR96"/>
      <c r="DSS96"/>
      <c r="DST96"/>
      <c r="DSU96"/>
      <c r="DSV96"/>
      <c r="DSW96"/>
      <c r="DSX96"/>
      <c r="DSY96"/>
      <c r="DSZ96"/>
      <c r="DTA96"/>
      <c r="DTB96"/>
      <c r="DTC96"/>
      <c r="DTD96"/>
      <c r="DTE96"/>
      <c r="DTF96"/>
      <c r="DTG96"/>
      <c r="DTH96"/>
      <c r="DTI96"/>
      <c r="DTJ96"/>
      <c r="DTK96"/>
      <c r="DTL96"/>
      <c r="DTM96"/>
      <c r="DTN96"/>
      <c r="DTO96"/>
      <c r="DTP96"/>
      <c r="DTQ96"/>
      <c r="DTR96"/>
      <c r="DTS96"/>
      <c r="DTT96"/>
      <c r="DTU96"/>
      <c r="DTV96"/>
      <c r="DTW96"/>
      <c r="DTX96"/>
      <c r="DTY96"/>
      <c r="DTZ96"/>
      <c r="DUA96"/>
      <c r="DUB96"/>
      <c r="DUC96"/>
      <c r="DUD96"/>
      <c r="DUE96"/>
      <c r="DUF96"/>
      <c r="DUG96"/>
      <c r="DUH96"/>
      <c r="DUI96"/>
      <c r="DUJ96"/>
      <c r="DUK96"/>
      <c r="DUL96"/>
      <c r="DUM96"/>
      <c r="DUN96"/>
      <c r="DUO96"/>
      <c r="DUP96"/>
      <c r="DUQ96"/>
      <c r="DUR96"/>
      <c r="DUS96"/>
      <c r="DUT96"/>
      <c r="DUU96"/>
      <c r="DUV96"/>
      <c r="DUW96"/>
      <c r="DUX96"/>
      <c r="DUY96"/>
      <c r="DUZ96"/>
      <c r="DVA96"/>
      <c r="DVB96"/>
      <c r="DVC96"/>
      <c r="DVD96"/>
      <c r="DVE96"/>
      <c r="DVF96"/>
      <c r="DVG96"/>
      <c r="DVH96"/>
      <c r="DVI96"/>
      <c r="DVJ96"/>
      <c r="DVK96"/>
      <c r="DVL96"/>
      <c r="DVM96"/>
      <c r="DVN96"/>
      <c r="DVO96"/>
      <c r="DVP96"/>
      <c r="DVQ96"/>
      <c r="DVR96"/>
      <c r="DVS96"/>
      <c r="DVT96"/>
      <c r="DVU96"/>
      <c r="DVV96"/>
      <c r="DVW96"/>
      <c r="DVX96"/>
      <c r="DVY96"/>
      <c r="DVZ96"/>
      <c r="DWA96"/>
      <c r="DWB96"/>
      <c r="DWC96"/>
      <c r="DWD96"/>
      <c r="DWE96"/>
      <c r="DWF96"/>
      <c r="DWG96"/>
      <c r="DWH96"/>
      <c r="DWI96"/>
      <c r="DWJ96"/>
      <c r="DWK96"/>
      <c r="DWL96"/>
      <c r="DWM96"/>
      <c r="DWN96"/>
      <c r="DWO96"/>
      <c r="DWP96"/>
      <c r="DWQ96"/>
      <c r="DWR96"/>
      <c r="DWS96"/>
      <c r="DWT96"/>
      <c r="DWU96"/>
      <c r="DWV96"/>
      <c r="DWW96"/>
      <c r="DWX96"/>
      <c r="DWY96"/>
      <c r="DWZ96"/>
      <c r="DXA96"/>
      <c r="DXB96"/>
      <c r="DXC96"/>
      <c r="DXD96"/>
      <c r="DXE96"/>
      <c r="DXF96"/>
      <c r="DXG96"/>
      <c r="DXH96"/>
      <c r="DXI96"/>
      <c r="DXJ96"/>
      <c r="DXK96"/>
      <c r="DXL96"/>
      <c r="DXM96"/>
      <c r="DXN96"/>
      <c r="DXO96"/>
      <c r="DXP96"/>
      <c r="DXQ96"/>
      <c r="DXR96"/>
      <c r="DXS96"/>
      <c r="DXT96"/>
      <c r="DXU96"/>
      <c r="DXV96"/>
      <c r="DXW96"/>
      <c r="DXX96"/>
      <c r="DXY96"/>
      <c r="DXZ96"/>
      <c r="DYA96"/>
      <c r="DYB96"/>
      <c r="DYC96"/>
      <c r="DYD96"/>
      <c r="DYE96"/>
      <c r="DYF96"/>
      <c r="DYG96"/>
      <c r="DYH96"/>
      <c r="DYI96"/>
      <c r="DYJ96"/>
      <c r="DYK96"/>
      <c r="DYL96"/>
      <c r="DYM96"/>
      <c r="DYN96"/>
      <c r="DYO96"/>
      <c r="DYP96"/>
      <c r="DYQ96"/>
      <c r="DYR96"/>
      <c r="DYS96"/>
      <c r="DYT96"/>
      <c r="DYU96"/>
      <c r="DYV96"/>
      <c r="DYW96"/>
      <c r="DYX96"/>
      <c r="DYY96"/>
      <c r="DYZ96"/>
      <c r="DZA96"/>
      <c r="DZB96"/>
      <c r="DZC96"/>
      <c r="DZD96"/>
      <c r="DZE96"/>
      <c r="DZF96"/>
      <c r="DZG96"/>
      <c r="DZH96"/>
      <c r="DZI96"/>
      <c r="DZJ96"/>
      <c r="DZK96"/>
      <c r="DZL96"/>
      <c r="DZM96"/>
      <c r="DZN96"/>
      <c r="DZO96"/>
      <c r="DZP96"/>
      <c r="DZQ96"/>
      <c r="DZR96"/>
      <c r="DZS96"/>
      <c r="DZT96"/>
      <c r="DZU96"/>
      <c r="DZV96"/>
      <c r="DZW96"/>
      <c r="DZX96"/>
      <c r="DZY96"/>
      <c r="DZZ96"/>
      <c r="EAA96"/>
      <c r="EAB96"/>
      <c r="EAC96"/>
      <c r="EAD96"/>
      <c r="EAE96"/>
      <c r="EAF96"/>
      <c r="EAG96"/>
      <c r="EAH96"/>
      <c r="EAI96"/>
      <c r="EAJ96"/>
      <c r="EAK96"/>
      <c r="EAL96"/>
      <c r="EAM96"/>
      <c r="EAN96"/>
      <c r="EAO96"/>
      <c r="EAP96"/>
      <c r="EAQ96"/>
      <c r="EAR96"/>
      <c r="EAS96"/>
      <c r="EAT96"/>
      <c r="EAU96"/>
      <c r="EAV96"/>
      <c r="EAW96"/>
      <c r="EAX96"/>
      <c r="EAY96"/>
      <c r="EAZ96"/>
      <c r="EBA96"/>
      <c r="EBB96"/>
      <c r="EBC96"/>
      <c r="EBD96"/>
      <c r="EBE96"/>
      <c r="EBF96"/>
      <c r="EBG96"/>
      <c r="EBH96"/>
      <c r="EBI96"/>
      <c r="EBJ96"/>
      <c r="EBK96"/>
      <c r="EBL96"/>
      <c r="EBM96"/>
      <c r="EBN96"/>
      <c r="EBO96"/>
      <c r="EBP96"/>
      <c r="EBQ96"/>
      <c r="EBR96"/>
      <c r="EBS96"/>
      <c r="EBT96"/>
      <c r="EBU96"/>
      <c r="EBV96"/>
      <c r="EBW96"/>
      <c r="EBX96"/>
      <c r="EBY96"/>
      <c r="EBZ96"/>
      <c r="ECA96"/>
      <c r="ECB96"/>
      <c r="ECC96"/>
      <c r="ECD96"/>
      <c r="ECE96"/>
      <c r="ECF96"/>
      <c r="ECG96"/>
      <c r="ECH96"/>
      <c r="ECI96"/>
      <c r="ECJ96"/>
      <c r="ECK96"/>
      <c r="ECL96"/>
      <c r="ECM96"/>
      <c r="ECN96"/>
      <c r="ECO96"/>
      <c r="ECP96"/>
      <c r="ECQ96"/>
      <c r="ECR96"/>
      <c r="ECS96"/>
      <c r="ECT96"/>
      <c r="ECU96"/>
      <c r="ECV96"/>
      <c r="ECW96"/>
      <c r="ECX96"/>
      <c r="ECY96"/>
      <c r="ECZ96"/>
      <c r="EDA96"/>
      <c r="EDB96"/>
      <c r="EDC96"/>
      <c r="EDD96"/>
      <c r="EDE96"/>
      <c r="EDF96"/>
      <c r="EDG96"/>
      <c r="EDH96"/>
      <c r="EDI96"/>
      <c r="EDJ96"/>
      <c r="EDK96"/>
      <c r="EDL96"/>
      <c r="EDM96"/>
      <c r="EDN96"/>
      <c r="EDO96"/>
      <c r="EDP96"/>
      <c r="EDQ96"/>
      <c r="EDR96"/>
      <c r="EDS96"/>
      <c r="EDT96"/>
      <c r="EDU96"/>
      <c r="EDV96"/>
      <c r="EDW96"/>
      <c r="EDX96"/>
      <c r="EDY96"/>
      <c r="EDZ96"/>
      <c r="EEA96"/>
      <c r="EEB96"/>
      <c r="EEC96"/>
      <c r="EED96"/>
      <c r="EEE96"/>
      <c r="EEF96"/>
      <c r="EEG96"/>
      <c r="EEH96"/>
      <c r="EEI96"/>
      <c r="EEJ96"/>
      <c r="EEK96"/>
      <c r="EEL96"/>
      <c r="EEM96"/>
      <c r="EEN96"/>
      <c r="EEO96"/>
      <c r="EEP96"/>
      <c r="EEQ96"/>
      <c r="EER96"/>
      <c r="EES96"/>
      <c r="EET96"/>
      <c r="EEU96"/>
      <c r="EEV96"/>
      <c r="EEW96"/>
      <c r="EEX96"/>
      <c r="EEY96"/>
      <c r="EEZ96"/>
      <c r="EFA96"/>
      <c r="EFB96"/>
      <c r="EFC96"/>
      <c r="EFD96"/>
      <c r="EFE96"/>
      <c r="EFF96"/>
      <c r="EFG96"/>
      <c r="EFH96"/>
      <c r="EFI96"/>
      <c r="EFJ96"/>
      <c r="EFK96"/>
      <c r="EFL96"/>
      <c r="EFM96"/>
      <c r="EFN96"/>
      <c r="EFO96"/>
      <c r="EFP96"/>
      <c r="EFQ96"/>
      <c r="EFR96"/>
      <c r="EFS96"/>
      <c r="EFT96"/>
      <c r="EFU96"/>
      <c r="EFV96"/>
      <c r="EFW96"/>
      <c r="EFX96"/>
      <c r="EFY96"/>
      <c r="EFZ96"/>
      <c r="EGA96"/>
      <c r="EGB96"/>
      <c r="EGC96"/>
      <c r="EGD96"/>
      <c r="EGE96"/>
      <c r="EGF96"/>
      <c r="EGG96"/>
      <c r="EGH96"/>
      <c r="EGI96"/>
      <c r="EGJ96"/>
      <c r="EGK96"/>
      <c r="EGL96"/>
      <c r="EGM96"/>
      <c r="EGN96"/>
      <c r="EGO96"/>
      <c r="EGP96"/>
      <c r="EGQ96"/>
      <c r="EGR96"/>
      <c r="EGS96"/>
      <c r="EGT96"/>
      <c r="EGU96"/>
      <c r="EGV96"/>
      <c r="EGW96"/>
      <c r="EGX96"/>
      <c r="EGY96"/>
      <c r="EGZ96"/>
      <c r="EHA96"/>
      <c r="EHB96"/>
      <c r="EHC96"/>
      <c r="EHD96"/>
      <c r="EHE96"/>
      <c r="EHF96"/>
      <c r="EHG96"/>
      <c r="EHH96"/>
      <c r="EHI96"/>
      <c r="EHJ96"/>
      <c r="EHK96"/>
      <c r="EHL96"/>
      <c r="EHM96"/>
      <c r="EHN96"/>
      <c r="EHO96"/>
      <c r="EHP96"/>
      <c r="EHQ96"/>
      <c r="EHR96"/>
      <c r="EHS96"/>
      <c r="EHT96"/>
      <c r="EHU96"/>
      <c r="EHV96"/>
      <c r="EHW96"/>
      <c r="EHX96"/>
      <c r="EHY96"/>
      <c r="EHZ96"/>
      <c r="EIA96"/>
      <c r="EIB96"/>
      <c r="EIC96"/>
      <c r="EID96"/>
      <c r="EIE96"/>
      <c r="EIF96"/>
      <c r="EIG96"/>
      <c r="EIH96"/>
      <c r="EII96"/>
      <c r="EIJ96"/>
      <c r="EIK96"/>
      <c r="EIL96"/>
      <c r="EIM96"/>
      <c r="EIN96"/>
      <c r="EIO96"/>
      <c r="EIP96"/>
      <c r="EIQ96"/>
      <c r="EIR96"/>
      <c r="EIS96"/>
      <c r="EIT96"/>
      <c r="EIU96"/>
      <c r="EIV96"/>
      <c r="EIW96"/>
      <c r="EIX96"/>
      <c r="EIY96"/>
      <c r="EIZ96"/>
      <c r="EJA96"/>
      <c r="EJB96"/>
      <c r="EJC96"/>
      <c r="EJD96"/>
      <c r="EJE96"/>
      <c r="EJF96"/>
      <c r="EJG96"/>
      <c r="EJH96"/>
      <c r="EJI96"/>
      <c r="EJJ96"/>
      <c r="EJK96"/>
      <c r="EJL96"/>
      <c r="EJM96"/>
      <c r="EJN96"/>
      <c r="EJO96"/>
      <c r="EJP96"/>
      <c r="EJQ96"/>
      <c r="EJR96"/>
      <c r="EJS96"/>
      <c r="EJT96"/>
      <c r="EJU96"/>
      <c r="EJV96"/>
      <c r="EJW96"/>
      <c r="EJX96"/>
      <c r="EJY96"/>
      <c r="EJZ96"/>
      <c r="EKA96"/>
      <c r="EKB96"/>
      <c r="EKC96"/>
      <c r="EKD96"/>
      <c r="EKE96"/>
      <c r="EKF96"/>
      <c r="EKG96"/>
      <c r="EKH96"/>
      <c r="EKI96"/>
      <c r="EKJ96"/>
      <c r="EKK96"/>
      <c r="EKL96"/>
      <c r="EKM96"/>
      <c r="EKN96"/>
      <c r="EKO96"/>
      <c r="EKP96"/>
      <c r="EKQ96"/>
      <c r="EKR96"/>
      <c r="EKS96"/>
      <c r="EKT96"/>
      <c r="EKU96"/>
      <c r="EKV96"/>
      <c r="EKW96"/>
      <c r="EKX96"/>
      <c r="EKY96"/>
      <c r="EKZ96"/>
      <c r="ELA96"/>
      <c r="ELB96"/>
      <c r="ELC96"/>
      <c r="ELD96"/>
      <c r="ELE96"/>
      <c r="ELF96"/>
      <c r="ELG96"/>
      <c r="ELH96"/>
      <c r="ELI96"/>
      <c r="ELJ96"/>
      <c r="ELK96"/>
      <c r="ELL96"/>
      <c r="ELM96"/>
      <c r="ELN96"/>
      <c r="ELO96"/>
      <c r="ELP96"/>
      <c r="ELQ96"/>
      <c r="ELR96"/>
      <c r="ELS96"/>
      <c r="ELT96"/>
      <c r="ELU96"/>
      <c r="ELV96"/>
      <c r="ELW96"/>
      <c r="ELX96"/>
      <c r="ELY96"/>
      <c r="ELZ96"/>
      <c r="EMA96"/>
      <c r="EMB96"/>
      <c r="EMC96"/>
      <c r="EMD96"/>
      <c r="EME96"/>
      <c r="EMF96"/>
      <c r="EMG96"/>
      <c r="EMH96"/>
      <c r="EMI96"/>
      <c r="EMJ96"/>
      <c r="EMK96"/>
      <c r="EML96"/>
      <c r="EMM96"/>
    </row>
    <row r="97" spans="2:98" hidden="1" outlineLevel="1">
      <c r="E97" s="54"/>
      <c r="F97" s="54"/>
      <c r="H97"/>
      <c r="I97"/>
      <c r="K97"/>
      <c r="L97"/>
      <c r="N97"/>
      <c r="O97"/>
      <c r="Q97"/>
      <c r="R97"/>
      <c r="T97"/>
      <c r="U97"/>
      <c r="W97"/>
      <c r="X97"/>
      <c r="Z97" s="22"/>
      <c r="AA97" s="22"/>
      <c r="AF97"/>
      <c r="AG97"/>
      <c r="AH97"/>
      <c r="AI97" s="338"/>
      <c r="AJ97" s="339"/>
      <c r="AK97" s="340"/>
      <c r="AL97" s="22"/>
      <c r="AM97" s="22"/>
      <c r="AN97" s="22"/>
      <c r="AO97" s="22"/>
      <c r="AP97" s="52" t="s">
        <v>1103</v>
      </c>
      <c r="AQ97" s="348"/>
      <c r="AR97" s="348"/>
      <c r="AS97" s="348">
        <v>-158557.166</v>
      </c>
      <c r="AT97" s="348">
        <v>-46349.47</v>
      </c>
      <c r="AU97" s="348"/>
      <c r="AV97" s="348">
        <v>-48672.800000000003</v>
      </c>
      <c r="AW97" s="349"/>
      <c r="AX97" s="349">
        <v>-253579.43599999999</v>
      </c>
      <c r="AY97"/>
      <c r="AZ97"/>
      <c r="BA97"/>
      <c r="BB97"/>
      <c r="BC97"/>
      <c r="BD97"/>
      <c r="BE97"/>
      <c r="CR97" s="345"/>
      <c r="CS97" s="346"/>
      <c r="CT97" s="347"/>
    </row>
    <row r="98" spans="2:98" hidden="1" outlineLevel="1">
      <c r="E98" s="54"/>
      <c r="F98" s="54"/>
      <c r="H98"/>
      <c r="I98"/>
      <c r="K98"/>
      <c r="L98"/>
      <c r="N98"/>
      <c r="O98"/>
      <c r="Q98"/>
      <c r="R98"/>
      <c r="T98"/>
      <c r="U98"/>
      <c r="W98"/>
      <c r="X98"/>
      <c r="Z98" s="22"/>
      <c r="AA98" s="22"/>
      <c r="AF98"/>
      <c r="AG98"/>
      <c r="AH98"/>
      <c r="AI98" s="338"/>
      <c r="AJ98" s="339"/>
      <c r="AK98" s="340"/>
      <c r="AL98" s="22"/>
      <c r="AM98" s="22"/>
      <c r="AN98" s="22"/>
      <c r="AO98" s="22"/>
      <c r="AP98" s="52" t="s">
        <v>2</v>
      </c>
      <c r="AQ98" s="348"/>
      <c r="AR98" s="348">
        <v>0</v>
      </c>
      <c r="AS98" s="348">
        <v>-1322831.9056000004</v>
      </c>
      <c r="AT98" s="348">
        <v>-318652.07299999997</v>
      </c>
      <c r="AU98" s="348">
        <v>-145244.50580000001</v>
      </c>
      <c r="AV98" s="348">
        <v>-260264.66100000002</v>
      </c>
      <c r="AW98" s="349"/>
      <c r="AX98" s="349">
        <v>-2046993.1454000005</v>
      </c>
      <c r="AY98"/>
      <c r="AZ98"/>
      <c r="BA98"/>
      <c r="BB98"/>
      <c r="BC98"/>
      <c r="BD98"/>
      <c r="BE98"/>
      <c r="CR98" s="345"/>
      <c r="CS98" s="346"/>
      <c r="CT98" s="347"/>
    </row>
    <row r="99" spans="2:98" hidden="1" outlineLevel="1">
      <c r="E99" s="54"/>
      <c r="F99" s="54"/>
      <c r="H99"/>
      <c r="I99"/>
      <c r="K99"/>
      <c r="L99"/>
      <c r="N99"/>
      <c r="O99"/>
      <c r="Q99"/>
      <c r="R99"/>
      <c r="T99"/>
      <c r="U99"/>
      <c r="W99"/>
      <c r="X99"/>
      <c r="Z99" s="22"/>
      <c r="AA99" s="22"/>
      <c r="AF99"/>
      <c r="AG99"/>
      <c r="AH99"/>
      <c r="AI99" s="338"/>
      <c r="AJ99" s="339"/>
      <c r="AK99" s="340"/>
      <c r="AL99" s="22"/>
      <c r="AM99" s="22"/>
      <c r="AN99" s="22"/>
      <c r="AO99" s="22"/>
      <c r="AP99" s="52" t="s">
        <v>124</v>
      </c>
      <c r="AQ99" s="348"/>
      <c r="AR99" s="348"/>
      <c r="AS99" s="348">
        <v>-222196.48000000001</v>
      </c>
      <c r="AT99" s="348">
        <v>-1369123.5416999999</v>
      </c>
      <c r="AU99" s="348">
        <v>-39584.205000000002</v>
      </c>
      <c r="AV99" s="348">
        <v>-28428.510000000002</v>
      </c>
      <c r="AW99" s="349"/>
      <c r="AX99" s="349">
        <v>-1659332.7367</v>
      </c>
      <c r="AY99"/>
      <c r="AZ99"/>
      <c r="BA99"/>
      <c r="BB99"/>
      <c r="BC99"/>
      <c r="BD99"/>
      <c r="BE99"/>
      <c r="CR99" s="345"/>
      <c r="CS99" s="346"/>
      <c r="CT99" s="347"/>
    </row>
    <row r="100" spans="2:98" hidden="1" outlineLevel="1">
      <c r="E100" s="54"/>
      <c r="F100" s="54"/>
      <c r="H100"/>
      <c r="I100"/>
      <c r="K100"/>
      <c r="L100"/>
      <c r="N100"/>
      <c r="O100"/>
      <c r="Q100"/>
      <c r="R100"/>
      <c r="T100"/>
      <c r="U100"/>
      <c r="W100"/>
      <c r="X100"/>
      <c r="Z100" s="22"/>
      <c r="AA100" s="22"/>
      <c r="AF100"/>
      <c r="AG100"/>
      <c r="AH100"/>
      <c r="AI100" s="338"/>
      <c r="AJ100" s="339"/>
      <c r="AK100" s="340"/>
      <c r="AL100" s="22"/>
      <c r="AM100" s="22"/>
      <c r="AN100" s="22"/>
      <c r="AO100" s="22"/>
      <c r="AP100" s="52" t="s">
        <v>1100</v>
      </c>
      <c r="AQ100" s="348"/>
      <c r="AR100" s="348"/>
      <c r="AS100" s="348">
        <v>-272063.85700000002</v>
      </c>
      <c r="AT100" s="348"/>
      <c r="AU100" s="348"/>
      <c r="AV100" s="348"/>
      <c r="AW100" s="349"/>
      <c r="AX100" s="349">
        <v>-272063.85700000002</v>
      </c>
      <c r="AY100"/>
      <c r="AZ100"/>
      <c r="BA100"/>
      <c r="BB100"/>
      <c r="BC100"/>
      <c r="BD100"/>
      <c r="BE100"/>
      <c r="CR100" s="345"/>
      <c r="CS100" s="346"/>
      <c r="CT100" s="347"/>
    </row>
    <row r="101" spans="2:98" hidden="1" outlineLevel="1">
      <c r="E101"/>
      <c r="F101"/>
      <c r="H101"/>
      <c r="I101"/>
      <c r="K101"/>
      <c r="L101"/>
      <c r="N101"/>
      <c r="O101"/>
      <c r="Q101"/>
      <c r="R101"/>
      <c r="T101"/>
      <c r="U101"/>
      <c r="W101"/>
      <c r="X101"/>
      <c r="Z101" s="22"/>
      <c r="AA101" s="22"/>
      <c r="AF101"/>
      <c r="AG101"/>
      <c r="AH101"/>
      <c r="AI101" s="338"/>
      <c r="AJ101" s="339"/>
      <c r="AK101" s="340"/>
      <c r="AL101" s="22"/>
      <c r="AM101" s="22"/>
      <c r="AN101" s="22"/>
      <c r="AO101" s="22"/>
      <c r="AP101" s="52" t="s">
        <v>126</v>
      </c>
      <c r="AQ101" s="348"/>
      <c r="AR101" s="348"/>
      <c r="AS101" s="348">
        <v>-2988468913.6330004</v>
      </c>
      <c r="AT101" s="348">
        <v>-583431932</v>
      </c>
      <c r="AU101" s="348">
        <v>-943343064</v>
      </c>
      <c r="AV101" s="348">
        <v>-254956077</v>
      </c>
      <c r="AW101" s="349"/>
      <c r="AX101" s="349">
        <v>-4770199986.6330004</v>
      </c>
      <c r="AY101"/>
      <c r="AZ101"/>
      <c r="BA101"/>
      <c r="BB101"/>
      <c r="BC101"/>
      <c r="BD101"/>
      <c r="BE101"/>
      <c r="CR101" s="345"/>
      <c r="CS101" s="346"/>
      <c r="CT101" s="347"/>
    </row>
    <row r="102" spans="2:98" hidden="1" outlineLevel="1">
      <c r="E102"/>
      <c r="F102"/>
      <c r="H102" s="22"/>
      <c r="I102" s="341"/>
      <c r="J102" s="342"/>
      <c r="K102" s="343"/>
      <c r="L102" s="22"/>
      <c r="N102" s="22"/>
      <c r="O102" s="22"/>
      <c r="Q102" s="22"/>
      <c r="R102" s="22"/>
      <c r="T102"/>
      <c r="U102"/>
      <c r="W102" s="22"/>
      <c r="X102" s="22"/>
      <c r="Z102" s="22"/>
      <c r="AA102" s="22"/>
      <c r="AF102"/>
      <c r="AG102"/>
      <c r="AH102"/>
      <c r="AI102" s="338"/>
      <c r="AJ102" s="339"/>
      <c r="AK102" s="340"/>
      <c r="AL102" s="22"/>
      <c r="AM102" s="22"/>
      <c r="AN102" s="22"/>
      <c r="AO102" s="22"/>
      <c r="AP102" s="52" t="s">
        <v>125</v>
      </c>
      <c r="AQ102" s="348"/>
      <c r="AR102" s="348">
        <v>7480000</v>
      </c>
      <c r="AS102" s="348">
        <v>-140904308.65000001</v>
      </c>
      <c r="AT102" s="348">
        <v>-72432076.133000001</v>
      </c>
      <c r="AU102" s="348">
        <v>-35026260.805000007</v>
      </c>
      <c r="AV102" s="348">
        <v>-11948162</v>
      </c>
      <c r="AW102" s="349">
        <v>3014000</v>
      </c>
      <c r="AX102" s="349">
        <v>-249816807.588</v>
      </c>
      <c r="AY102"/>
      <c r="AZ102"/>
      <c r="BA102"/>
      <c r="BB102"/>
      <c r="BC102"/>
      <c r="BD102"/>
      <c r="BE102"/>
      <c r="CR102" s="345"/>
      <c r="CS102" s="346"/>
      <c r="CT102" s="347"/>
    </row>
    <row r="103" spans="2:98" hidden="1" outlineLevel="1">
      <c r="E103"/>
      <c r="F103"/>
      <c r="H103" s="22"/>
      <c r="I103" s="345"/>
      <c r="J103" s="346"/>
      <c r="K103" s="347"/>
      <c r="L103" s="22"/>
      <c r="N103" s="22"/>
      <c r="O103" s="22"/>
      <c r="Q103" s="22"/>
      <c r="R103" s="22"/>
      <c r="T103"/>
      <c r="U103"/>
      <c r="W103" s="22"/>
      <c r="X103" s="22"/>
      <c r="Z103" s="22"/>
      <c r="AA103" s="22"/>
      <c r="AF103"/>
      <c r="AG103"/>
      <c r="AH103"/>
      <c r="AI103" s="338"/>
      <c r="AJ103" s="339"/>
      <c r="AK103" s="340"/>
      <c r="AL103" s="22"/>
      <c r="AM103" s="22"/>
      <c r="AN103" s="22"/>
      <c r="AO103" s="22"/>
      <c r="AP103" s="52" t="s">
        <v>123</v>
      </c>
      <c r="AQ103" s="348"/>
      <c r="AR103" s="348"/>
      <c r="AS103" s="348">
        <v>-963520650.67940009</v>
      </c>
      <c r="AT103" s="348">
        <v>-463034663.04479998</v>
      </c>
      <c r="AU103" s="348">
        <v>-427652260.5990001</v>
      </c>
      <c r="AV103" s="348">
        <v>-79820052</v>
      </c>
      <c r="AW103" s="349"/>
      <c r="AX103" s="349">
        <v>-1934027626.3232002</v>
      </c>
      <c r="AY103"/>
      <c r="AZ103"/>
      <c r="BA103"/>
      <c r="BB103"/>
      <c r="BC103"/>
      <c r="BD103"/>
      <c r="BE103"/>
      <c r="CR103" s="345"/>
      <c r="CS103" s="346"/>
      <c r="CT103" s="347"/>
    </row>
    <row r="104" spans="2:98" hidden="1" outlineLevel="1">
      <c r="E104"/>
      <c r="F104"/>
      <c r="H104" s="22"/>
      <c r="I104" s="345"/>
      <c r="J104" s="346"/>
      <c r="K104" s="347"/>
      <c r="L104" s="22"/>
      <c r="N104" s="22"/>
      <c r="O104" s="22"/>
      <c r="Q104" s="22"/>
      <c r="R104" s="22"/>
      <c r="T104"/>
      <c r="U104"/>
      <c r="W104" s="22"/>
      <c r="X104" s="22"/>
      <c r="Z104" s="22"/>
      <c r="AA104" s="22"/>
      <c r="AF104"/>
      <c r="AG104"/>
      <c r="AH104"/>
      <c r="AI104" s="338"/>
      <c r="AJ104" s="339"/>
      <c r="AK104" s="340"/>
      <c r="AL104" s="22"/>
      <c r="AM104" s="22"/>
      <c r="AN104" s="22"/>
      <c r="AO104" s="22"/>
      <c r="AP104" s="52" t="s">
        <v>1150</v>
      </c>
      <c r="AQ104" s="348">
        <v>0</v>
      </c>
      <c r="AR104" s="348"/>
      <c r="AS104" s="348">
        <v>-248037.3</v>
      </c>
      <c r="AT104" s="348">
        <v>-369235.03</v>
      </c>
      <c r="AU104" s="348"/>
      <c r="AV104" s="348"/>
      <c r="AW104" s="349"/>
      <c r="AX104" s="349">
        <v>-617272.33000000007</v>
      </c>
      <c r="AY104"/>
      <c r="AZ104"/>
      <c r="BA104"/>
      <c r="BB104"/>
      <c r="BC104"/>
      <c r="BD104"/>
      <c r="BE104"/>
      <c r="CR104" s="345"/>
      <c r="CS104" s="346"/>
      <c r="CT104" s="347"/>
    </row>
    <row r="105" spans="2:98" hidden="1" outlineLevel="1">
      <c r="E105"/>
      <c r="F105"/>
      <c r="H105" s="22"/>
      <c r="I105" s="345"/>
      <c r="J105" s="346"/>
      <c r="K105" s="347"/>
      <c r="L105" s="22"/>
      <c r="N105" s="22"/>
      <c r="O105" s="22"/>
      <c r="Q105" s="22"/>
      <c r="R105" s="22"/>
      <c r="T105"/>
      <c r="U105"/>
      <c r="W105" s="22"/>
      <c r="X105" s="22"/>
      <c r="Z105" s="22"/>
      <c r="AA105" s="22"/>
      <c r="AF105"/>
      <c r="AG105"/>
      <c r="AH105"/>
      <c r="AI105" s="338"/>
      <c r="AJ105" s="339"/>
      <c r="AK105" s="340"/>
      <c r="AL105" s="22"/>
      <c r="AM105" s="22"/>
      <c r="AN105" s="22"/>
      <c r="AO105" s="22"/>
      <c r="AP105" s="52" t="s">
        <v>1102</v>
      </c>
      <c r="AQ105" s="348"/>
      <c r="AR105" s="348"/>
      <c r="AS105" s="348">
        <v>-430376.01</v>
      </c>
      <c r="AT105" s="348">
        <v>-223732.52000000002</v>
      </c>
      <c r="AU105" s="348"/>
      <c r="AV105" s="348"/>
      <c r="AW105" s="349"/>
      <c r="AX105" s="349">
        <v>-654108.53</v>
      </c>
      <c r="AY105"/>
      <c r="AZ105"/>
      <c r="BA105"/>
      <c r="BB105"/>
      <c r="BC105"/>
      <c r="BD105"/>
      <c r="BE105"/>
      <c r="CR105" s="345"/>
      <c r="CS105" s="346"/>
      <c r="CT105" s="347"/>
    </row>
    <row r="106" spans="2:98" hidden="1" outlineLevel="1">
      <c r="E106"/>
      <c r="F106"/>
      <c r="H106" s="22"/>
      <c r="I106" s="345"/>
      <c r="J106" s="346"/>
      <c r="K106" s="347"/>
      <c r="L106" s="22"/>
      <c r="N106" s="22"/>
      <c r="O106" s="22"/>
      <c r="Q106" s="22"/>
      <c r="R106" s="22"/>
      <c r="T106"/>
      <c r="U106"/>
      <c r="W106" s="22"/>
      <c r="X106" s="22"/>
      <c r="Z106" s="22"/>
      <c r="AA106" s="22"/>
      <c r="AF106"/>
      <c r="AG106"/>
      <c r="AH106"/>
      <c r="AI106" s="338"/>
      <c r="AJ106" s="339"/>
      <c r="AK106" s="340"/>
      <c r="AL106" s="22"/>
      <c r="AM106" s="22"/>
      <c r="AN106" s="22"/>
      <c r="AO106" s="22"/>
      <c r="AP106" s="52" t="s">
        <v>3</v>
      </c>
      <c r="AQ106" s="348"/>
      <c r="AR106" s="348">
        <v>0</v>
      </c>
      <c r="AS106" s="348">
        <v>-1332252.5150000001</v>
      </c>
      <c r="AT106" s="348">
        <v>-552444.48</v>
      </c>
      <c r="AU106" s="348">
        <v>-317223.95299999998</v>
      </c>
      <c r="AV106" s="348">
        <v>-113904.448</v>
      </c>
      <c r="AW106" s="349">
        <v>-44354.646999999997</v>
      </c>
      <c r="AX106" s="349">
        <v>-2360180.0429999996</v>
      </c>
      <c r="AY106"/>
      <c r="AZ106"/>
      <c r="BA106"/>
      <c r="BB106"/>
      <c r="BC106"/>
      <c r="BD106"/>
      <c r="BE106"/>
      <c r="CR106" s="345"/>
      <c r="CS106" s="346"/>
      <c r="CT106" s="347"/>
    </row>
    <row r="107" spans="2:98" hidden="1" outlineLevel="1">
      <c r="E107"/>
      <c r="F107"/>
      <c r="H107" s="22"/>
      <c r="I107" s="345"/>
      <c r="J107" s="346"/>
      <c r="K107" s="347"/>
      <c r="L107" s="22"/>
      <c r="N107" s="22"/>
      <c r="O107" s="22"/>
      <c r="Q107" s="22"/>
      <c r="R107" s="22"/>
      <c r="W107" s="22"/>
      <c r="X107" s="22"/>
      <c r="Z107" s="22"/>
      <c r="AA107" s="22"/>
      <c r="AC107" s="22"/>
      <c r="AD107" s="22"/>
      <c r="AF107"/>
      <c r="AG107"/>
      <c r="AH107"/>
      <c r="AI107" s="338"/>
      <c r="AJ107" s="339"/>
      <c r="AK107" s="340"/>
      <c r="AL107" s="22"/>
      <c r="AM107" s="22"/>
      <c r="AN107" s="22"/>
      <c r="AO107" s="22"/>
      <c r="AP107" s="52" t="s">
        <v>1283</v>
      </c>
      <c r="AQ107" s="348">
        <v>0</v>
      </c>
      <c r="AR107" s="348">
        <v>7480000</v>
      </c>
      <c r="AS107" s="348">
        <v>-4096928096.546001</v>
      </c>
      <c r="AT107" s="348">
        <v>-1121830950.3425</v>
      </c>
      <c r="AU107" s="348">
        <v>-1406523638.0678</v>
      </c>
      <c r="AV107" s="348">
        <v>-347175561.41899997</v>
      </c>
      <c r="AW107" s="349">
        <v>2969645.3530000001</v>
      </c>
      <c r="AX107" s="349">
        <v>-6962008601.0223007</v>
      </c>
      <c r="AY107"/>
      <c r="AZ107"/>
      <c r="BA107"/>
      <c r="BB107"/>
      <c r="BC107"/>
      <c r="BD107"/>
      <c r="BE107"/>
      <c r="CR107" s="345"/>
      <c r="CS107" s="346"/>
      <c r="CT107" s="347"/>
    </row>
    <row r="108" spans="2:98" hidden="1" outlineLevel="1">
      <c r="E108"/>
      <c r="F108"/>
      <c r="H108" s="22"/>
      <c r="I108" s="345"/>
      <c r="J108" s="346"/>
      <c r="K108" s="347"/>
      <c r="L108" s="22"/>
      <c r="N108" s="22"/>
      <c r="O108" s="22"/>
      <c r="Q108" s="22"/>
      <c r="R108" s="22"/>
      <c r="T108" s="22"/>
      <c r="U108" s="22"/>
      <c r="W108" s="22"/>
      <c r="X108" s="22"/>
      <c r="Z108" s="22"/>
      <c r="AA108" s="22"/>
      <c r="AC108" s="22"/>
      <c r="AD108" s="22"/>
      <c r="AF108"/>
      <c r="AG108"/>
      <c r="AH108"/>
      <c r="AI108" s="338"/>
      <c r="AJ108" s="339"/>
      <c r="AK108" s="340"/>
      <c r="AL108" s="22"/>
      <c r="AM108" s="22"/>
      <c r="AN108" s="22"/>
      <c r="AO108" s="22"/>
      <c r="AP108" s="22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CR108" s="345"/>
      <c r="CS108" s="346"/>
      <c r="CT108" s="347"/>
    </row>
    <row r="109" spans="2:98" hidden="1" outlineLevel="1">
      <c r="E109" s="22"/>
      <c r="F109" s="22"/>
      <c r="H109" s="22"/>
      <c r="I109" s="345"/>
      <c r="J109" s="346"/>
      <c r="K109" s="347"/>
      <c r="L109" s="22"/>
      <c r="N109" s="22"/>
      <c r="O109" s="22"/>
      <c r="Q109" s="22"/>
      <c r="R109" s="22"/>
      <c r="T109" s="22"/>
      <c r="U109" s="22"/>
      <c r="W109" s="22"/>
      <c r="X109" s="22"/>
      <c r="Z109" s="22"/>
      <c r="AA109" s="22"/>
      <c r="AC109" s="22"/>
      <c r="AD109" s="22"/>
      <c r="AF109"/>
      <c r="AG109"/>
      <c r="AH109"/>
      <c r="AI109" s="350"/>
      <c r="AJ109" s="351"/>
      <c r="AK109" s="352"/>
      <c r="AL109" s="22"/>
      <c r="AM109" s="22"/>
      <c r="AN109" s="22"/>
      <c r="AO109" s="22"/>
      <c r="AP109" s="22"/>
      <c r="AQ109"/>
      <c r="AR109"/>
      <c r="AS109"/>
      <c r="AT109"/>
      <c r="AU109"/>
      <c r="AV109"/>
      <c r="AW109"/>
      <c r="AX109"/>
      <c r="CR109" s="345"/>
      <c r="CS109" s="346"/>
      <c r="CT109" s="347"/>
    </row>
    <row r="110" spans="2:98" hidden="1" outlineLevel="1">
      <c r="E110" s="22"/>
      <c r="F110" s="22"/>
      <c r="G110" s="58"/>
      <c r="H110" s="58"/>
      <c r="I110" s="345"/>
      <c r="J110" s="346"/>
      <c r="K110" s="347"/>
      <c r="L110" s="58"/>
      <c r="AF110"/>
      <c r="AG110"/>
      <c r="AH110"/>
      <c r="AI110" s="22"/>
      <c r="AJ110" s="22"/>
      <c r="AK110" s="22"/>
      <c r="AL110" s="22"/>
      <c r="AM110" s="22"/>
      <c r="AN110" s="22"/>
      <c r="AO110" s="22"/>
      <c r="AP110" s="22"/>
      <c r="AQ110"/>
      <c r="AR110"/>
      <c r="AS110"/>
      <c r="AT110"/>
      <c r="AU110"/>
      <c r="AV110"/>
      <c r="AW110"/>
      <c r="AX110"/>
      <c r="CR110" s="345"/>
      <c r="CS110" s="346"/>
      <c r="CT110" s="347"/>
    </row>
    <row r="111" spans="2:98" hidden="1" outlineLevel="1">
      <c r="E111" s="22"/>
      <c r="F111" s="22"/>
      <c r="G111" s="58"/>
      <c r="H111" s="58"/>
      <c r="I111" s="345"/>
      <c r="J111" s="346"/>
      <c r="K111" s="347"/>
      <c r="L111" s="58"/>
      <c r="AF111"/>
      <c r="AG111"/>
      <c r="AH111"/>
      <c r="AI111" s="22"/>
      <c r="AJ111" s="22"/>
      <c r="AK111" s="22"/>
      <c r="AL111" s="22"/>
      <c r="AM111" s="22"/>
      <c r="AN111" s="22"/>
      <c r="AO111" s="22"/>
      <c r="AP111" s="22"/>
      <c r="AQ111"/>
      <c r="AR111"/>
      <c r="AS111"/>
      <c r="AT111"/>
      <c r="AU111"/>
      <c r="AV111"/>
      <c r="AW111"/>
      <c r="AX111"/>
      <c r="CR111" s="353"/>
      <c r="CS111" s="354"/>
      <c r="CT111" s="355"/>
    </row>
    <row r="112" spans="2:98" hidden="1" outlineLevel="1">
      <c r="B112" s="22"/>
      <c r="C112" s="22"/>
      <c r="D112" s="58"/>
      <c r="E112" s="22"/>
      <c r="F112" s="22"/>
      <c r="G112" s="58"/>
      <c r="H112" s="58"/>
      <c r="I112" s="345"/>
      <c r="J112" s="346"/>
      <c r="K112" s="347"/>
      <c r="L112" s="58"/>
      <c r="AI112" s="22"/>
      <c r="AJ112" s="22"/>
      <c r="AK112" s="22"/>
      <c r="AL112" s="22"/>
      <c r="AM112" s="22"/>
      <c r="AN112" s="22"/>
      <c r="AO112" s="22"/>
      <c r="AP112" s="22"/>
      <c r="AQ112"/>
      <c r="AR112"/>
      <c r="AS112"/>
      <c r="AT112"/>
      <c r="AU112"/>
      <c r="AV112"/>
      <c r="AW112"/>
      <c r="AX112"/>
    </row>
    <row r="113" spans="2:50" hidden="1" outlineLevel="1">
      <c r="B113" s="22"/>
      <c r="C113" s="22"/>
      <c r="D113" s="58"/>
      <c r="E113" s="22"/>
      <c r="F113" s="22"/>
      <c r="G113" s="58"/>
      <c r="H113" s="58"/>
      <c r="I113" s="345"/>
      <c r="J113" s="346"/>
      <c r="K113" s="347"/>
      <c r="L113" s="58"/>
      <c r="AI113" s="22"/>
      <c r="AJ113" s="22"/>
      <c r="AK113" s="22"/>
      <c r="AL113" s="22"/>
      <c r="AM113" s="22"/>
      <c r="AN113" s="22"/>
      <c r="AO113" s="22"/>
      <c r="AP113" s="22"/>
      <c r="AQ113"/>
      <c r="AR113"/>
      <c r="AS113"/>
      <c r="AT113"/>
      <c r="AU113"/>
      <c r="AV113"/>
      <c r="AW113"/>
      <c r="AX113"/>
    </row>
    <row r="114" spans="2:50" hidden="1" outlineLevel="1">
      <c r="B114" s="22"/>
      <c r="C114" s="22"/>
      <c r="D114" s="58"/>
      <c r="E114" s="22"/>
      <c r="F114" s="22"/>
      <c r="G114" s="58"/>
      <c r="H114" s="58"/>
      <c r="I114" s="345"/>
      <c r="J114" s="346"/>
      <c r="K114" s="347"/>
      <c r="L114" s="58"/>
      <c r="AI114" s="22"/>
      <c r="AJ114" s="22"/>
      <c r="AK114" s="22"/>
      <c r="AL114" s="22"/>
      <c r="AM114" s="22"/>
      <c r="AN114" s="22"/>
      <c r="AO114" s="22"/>
      <c r="AP114" s="22"/>
      <c r="AQ114"/>
      <c r="AR114"/>
      <c r="AS114"/>
      <c r="AT114"/>
      <c r="AU114"/>
      <c r="AV114"/>
      <c r="AW114"/>
      <c r="AX114"/>
    </row>
    <row r="115" spans="2:50" hidden="1" outlineLevel="1">
      <c r="B115" s="22"/>
      <c r="C115" s="22"/>
      <c r="D115" s="58"/>
      <c r="E115" s="22"/>
      <c r="F115" s="22"/>
      <c r="G115" s="58"/>
      <c r="H115" s="58"/>
      <c r="I115" s="345"/>
      <c r="J115" s="346"/>
      <c r="K115" s="347"/>
      <c r="L115" s="58"/>
      <c r="AI115" s="22"/>
      <c r="AJ115" s="22"/>
      <c r="AK115" s="22"/>
      <c r="AL115" s="22"/>
      <c r="AM115" s="22"/>
      <c r="AN115" s="22"/>
      <c r="AO115" s="22"/>
      <c r="AP115" s="22"/>
      <c r="AQ115"/>
      <c r="AR115"/>
      <c r="AS115"/>
      <c r="AT115"/>
      <c r="AU115"/>
      <c r="AV115"/>
      <c r="AW115"/>
      <c r="AX115"/>
    </row>
    <row r="116" spans="2:50" hidden="1" outlineLevel="1">
      <c r="B116" s="22"/>
      <c r="C116" s="22"/>
      <c r="D116" s="58"/>
      <c r="E116" s="22"/>
      <c r="F116" s="22"/>
      <c r="G116" s="58"/>
      <c r="H116" s="58"/>
      <c r="I116" s="345"/>
      <c r="J116" s="346"/>
      <c r="K116" s="347"/>
      <c r="L116" s="58"/>
      <c r="AI116" s="22"/>
      <c r="AJ116" s="22"/>
      <c r="AK116" s="22"/>
      <c r="AL116" s="22"/>
      <c r="AM116" s="22"/>
      <c r="AN116" s="22"/>
      <c r="AO116" s="22"/>
      <c r="AP116" s="22"/>
      <c r="AQ116"/>
      <c r="AR116"/>
      <c r="AS116"/>
      <c r="AT116"/>
      <c r="AU116"/>
      <c r="AV116"/>
      <c r="AW116"/>
      <c r="AX116"/>
    </row>
    <row r="117" spans="2:50" hidden="1" outlineLevel="1">
      <c r="B117" s="22"/>
      <c r="C117" s="22"/>
      <c r="D117" s="58"/>
      <c r="E117" s="22"/>
      <c r="F117" s="22"/>
      <c r="G117" s="58"/>
      <c r="H117" s="58"/>
      <c r="I117" s="345"/>
      <c r="J117" s="346"/>
      <c r="K117" s="347"/>
      <c r="L117" s="58"/>
      <c r="AI117" s="22"/>
      <c r="AJ117" s="22"/>
      <c r="AK117" s="22"/>
      <c r="AL117" s="22"/>
      <c r="AM117" s="22"/>
      <c r="AN117" s="22"/>
      <c r="AO117" s="22"/>
      <c r="AP117" s="22"/>
      <c r="AQ117"/>
      <c r="AR117"/>
      <c r="AS117"/>
      <c r="AT117"/>
      <c r="AU117"/>
      <c r="AV117"/>
      <c r="AW117"/>
      <c r="AX117"/>
    </row>
    <row r="118" spans="2:50" hidden="1" outlineLevel="1">
      <c r="B118" s="22"/>
      <c r="C118" s="22"/>
      <c r="D118" s="58"/>
      <c r="E118" s="22"/>
      <c r="F118" s="22"/>
      <c r="G118" s="58"/>
      <c r="H118" s="58"/>
      <c r="I118" s="345"/>
      <c r="J118" s="346"/>
      <c r="K118" s="347"/>
      <c r="L118" s="58"/>
      <c r="AI118" s="22"/>
      <c r="AJ118" s="22"/>
      <c r="AK118" s="22"/>
      <c r="AL118" s="22"/>
      <c r="AM118" s="22"/>
      <c r="AN118" s="22"/>
      <c r="AO118" s="22"/>
      <c r="AP118" s="22"/>
      <c r="AQ118"/>
      <c r="AR118"/>
      <c r="AS118"/>
      <c r="AT118"/>
      <c r="AU118"/>
      <c r="AV118"/>
      <c r="AW118"/>
      <c r="AX118"/>
    </row>
    <row r="119" spans="2:50" hidden="1" outlineLevel="1">
      <c r="B119" s="54"/>
      <c r="C119" s="160"/>
      <c r="D119" s="58"/>
      <c r="E119" s="22"/>
      <c r="F119" s="22"/>
      <c r="G119" s="58"/>
      <c r="H119" s="58"/>
      <c r="I119" s="353"/>
      <c r="J119" s="354"/>
      <c r="K119" s="355"/>
      <c r="L119" s="58"/>
      <c r="P119" s="58"/>
      <c r="Q119" s="58"/>
      <c r="R119" s="58"/>
      <c r="AI119" s="22"/>
      <c r="AJ119" s="22"/>
      <c r="AK119" s="22"/>
      <c r="AL119" s="22"/>
      <c r="AM119" s="22"/>
      <c r="AN119" s="22"/>
      <c r="AO119" s="22"/>
      <c r="AP119" s="22"/>
      <c r="AQ119"/>
      <c r="AR119"/>
      <c r="AS119"/>
      <c r="AT119"/>
      <c r="AU119"/>
      <c r="AV119"/>
      <c r="AW119"/>
      <c r="AX119"/>
    </row>
    <row r="120" spans="2:50" hidden="1" outlineLevel="1">
      <c r="B120" s="58"/>
      <c r="C120" s="160"/>
      <c r="D120" s="58"/>
      <c r="E120" s="58"/>
      <c r="F120" s="160"/>
      <c r="G120" s="58"/>
      <c r="H120" s="58"/>
      <c r="I120" s="160"/>
      <c r="J120" s="58"/>
      <c r="K120" s="58"/>
      <c r="L120" s="58"/>
      <c r="P120" s="58"/>
      <c r="Q120" s="58"/>
      <c r="R120" s="58"/>
      <c r="AI120" s="22"/>
      <c r="AJ120" s="22"/>
      <c r="AK120" s="22"/>
      <c r="AL120" s="22"/>
      <c r="AM120" s="22"/>
      <c r="AN120" s="22"/>
      <c r="AO120" s="22"/>
      <c r="AP120" s="22"/>
      <c r="AQ120"/>
      <c r="AR120"/>
      <c r="AS120"/>
      <c r="AT120"/>
      <c r="AU120"/>
      <c r="AV120"/>
      <c r="AW120"/>
      <c r="AX120"/>
    </row>
    <row r="121" spans="2:50" hidden="1" outlineLevel="1">
      <c r="B121" s="54"/>
      <c r="C121" s="54"/>
      <c r="D121" s="58"/>
      <c r="E121" s="54"/>
      <c r="F121" s="54"/>
      <c r="H121" s="58"/>
      <c r="I121" s="160"/>
      <c r="J121" s="58"/>
      <c r="K121" s="58"/>
      <c r="L121" s="58"/>
      <c r="P121" s="58"/>
      <c r="Q121" s="58"/>
      <c r="R121" s="58"/>
      <c r="AI121" s="335"/>
      <c r="AJ121" s="336"/>
      <c r="AK121" s="337"/>
      <c r="AL121" s="22"/>
      <c r="AM121" s="22"/>
      <c r="AN121" s="22"/>
      <c r="AO121" s="22"/>
      <c r="AP121" s="22"/>
      <c r="AQ121"/>
      <c r="AR121"/>
      <c r="AS121"/>
      <c r="AT121"/>
      <c r="AU121"/>
      <c r="AV121"/>
      <c r="AW121"/>
      <c r="AX121"/>
    </row>
    <row r="122" spans="2:50" hidden="1" outlineLevel="1">
      <c r="B122"/>
      <c r="C122"/>
      <c r="D122" s="58"/>
      <c r="E122" s="54"/>
      <c r="F122" s="54"/>
      <c r="H122" s="58"/>
      <c r="I122" s="160"/>
      <c r="J122" s="58"/>
      <c r="K122" s="58"/>
      <c r="L122" s="58"/>
      <c r="P122" s="58"/>
      <c r="Q122" s="58"/>
      <c r="R122" s="58"/>
      <c r="AI122" s="338"/>
      <c r="AJ122" s="339"/>
      <c r="AK122" s="340"/>
      <c r="AL122" s="22"/>
      <c r="AM122" s="22"/>
      <c r="AN122" s="22"/>
      <c r="AO122" s="22"/>
      <c r="AP122" s="22"/>
      <c r="AQ122"/>
      <c r="AR122"/>
      <c r="AS122"/>
      <c r="AT122"/>
      <c r="AU122"/>
      <c r="AV122"/>
      <c r="AW122"/>
      <c r="AX122"/>
    </row>
    <row r="123" spans="2:50" hidden="1" outlineLevel="1">
      <c r="B123"/>
      <c r="C123"/>
      <c r="D123" s="58"/>
      <c r="E123" s="54"/>
      <c r="F123" s="54"/>
      <c r="H123" s="58"/>
      <c r="I123" s="160"/>
      <c r="J123" s="58"/>
      <c r="K123" s="58"/>
      <c r="L123" s="58"/>
      <c r="P123" s="58"/>
      <c r="Q123" s="58"/>
      <c r="R123" s="58"/>
      <c r="AI123" s="338"/>
      <c r="AJ123" s="339"/>
      <c r="AK123" s="340"/>
      <c r="AL123" s="22"/>
      <c r="AM123" s="22"/>
      <c r="AN123" s="22"/>
      <c r="AO123" s="22"/>
      <c r="AP123" s="22"/>
      <c r="AQ123"/>
      <c r="AR123"/>
      <c r="AS123"/>
      <c r="AT123"/>
      <c r="AU123"/>
      <c r="AV123"/>
      <c r="AW123"/>
      <c r="AX123"/>
    </row>
    <row r="124" spans="2:50" hidden="1" outlineLevel="1">
      <c r="B124"/>
      <c r="C124"/>
      <c r="D124" s="58"/>
      <c r="E124" s="54"/>
      <c r="F124" s="54"/>
      <c r="H124" s="58"/>
      <c r="I124" s="160"/>
      <c r="J124" s="58"/>
      <c r="K124" s="58"/>
      <c r="L124" s="58"/>
      <c r="P124" s="58"/>
      <c r="Q124" s="58"/>
      <c r="R124" s="58"/>
      <c r="AI124" s="338"/>
      <c r="AJ124" s="339"/>
      <c r="AK124" s="340"/>
      <c r="AL124" s="22"/>
      <c r="AM124" s="22"/>
      <c r="AN124" s="22"/>
      <c r="AO124" s="22"/>
      <c r="AP124" s="22"/>
      <c r="AQ124"/>
      <c r="AR124"/>
      <c r="AS124"/>
      <c r="AT124"/>
      <c r="AU124"/>
      <c r="AV124"/>
      <c r="AW124"/>
      <c r="AX124"/>
    </row>
    <row r="125" spans="2:50" hidden="1" outlineLevel="1">
      <c r="B125"/>
      <c r="C125"/>
      <c r="D125" s="58"/>
      <c r="E125" s="54"/>
      <c r="F125" s="54"/>
      <c r="H125" s="58"/>
      <c r="I125" s="160"/>
      <c r="J125" s="58"/>
      <c r="K125" s="58"/>
      <c r="L125" s="58"/>
      <c r="P125" s="58"/>
      <c r="Q125" s="58"/>
      <c r="R125" s="58"/>
      <c r="AI125" s="338"/>
      <c r="AJ125" s="339"/>
      <c r="AK125" s="340"/>
      <c r="AL125" s="22"/>
      <c r="AM125" s="22"/>
      <c r="AN125" s="22"/>
      <c r="AO125" s="22"/>
      <c r="AP125" s="22"/>
      <c r="AQ125"/>
      <c r="AR125"/>
      <c r="AS125"/>
      <c r="AT125"/>
      <c r="AU125"/>
      <c r="AV125"/>
      <c r="AW125"/>
      <c r="AX125"/>
    </row>
    <row r="126" spans="2:50" hidden="1" outlineLevel="1">
      <c r="B126"/>
      <c r="C126"/>
      <c r="D126" s="58"/>
      <c r="E126" s="54"/>
      <c r="F126" s="54"/>
      <c r="H126" s="58"/>
      <c r="I126" s="160"/>
      <c r="J126" s="58"/>
      <c r="K126" s="58"/>
      <c r="L126" s="58"/>
      <c r="AI126" s="338"/>
      <c r="AJ126" s="339"/>
      <c r="AK126" s="340"/>
      <c r="AL126" s="22"/>
      <c r="AM126" s="22"/>
      <c r="AN126" s="22"/>
      <c r="AO126" s="22"/>
      <c r="AP126" s="22"/>
      <c r="AQ126"/>
      <c r="AR126"/>
      <c r="AS126"/>
      <c r="AT126"/>
      <c r="AU126"/>
      <c r="AV126"/>
      <c r="AW126"/>
      <c r="AX126"/>
    </row>
    <row r="127" spans="2:50" hidden="1" outlineLevel="1">
      <c r="B127"/>
      <c r="C127"/>
      <c r="D127" s="58"/>
      <c r="E127" s="54"/>
      <c r="F127" s="54"/>
      <c r="H127" s="58"/>
      <c r="I127" s="160"/>
      <c r="J127" s="58"/>
      <c r="K127" s="58"/>
      <c r="L127" s="58"/>
      <c r="AI127" s="338"/>
      <c r="AJ127" s="339"/>
      <c r="AK127" s="340"/>
      <c r="AL127" s="22"/>
      <c r="AM127" s="22"/>
      <c r="AN127" s="22"/>
      <c r="AO127" s="22"/>
      <c r="AP127" s="22"/>
      <c r="AQ127"/>
      <c r="AR127"/>
      <c r="AS127"/>
      <c r="AT127"/>
      <c r="AU127"/>
      <c r="AV127"/>
      <c r="AW127"/>
      <c r="AX127"/>
    </row>
    <row r="128" spans="2:50" hidden="1" outlineLevel="1">
      <c r="B128"/>
      <c r="C128"/>
      <c r="D128" s="58"/>
      <c r="E128" s="54"/>
      <c r="F128" s="54"/>
      <c r="H128" s="58"/>
      <c r="I128" s="160"/>
      <c r="J128" s="58"/>
      <c r="K128" s="58"/>
      <c r="L128" s="58"/>
      <c r="AI128" s="338"/>
      <c r="AJ128" s="339"/>
      <c r="AK128" s="340"/>
      <c r="AL128" s="22"/>
      <c r="AM128" s="22"/>
      <c r="AN128" s="22"/>
      <c r="AO128" s="22"/>
      <c r="AP128" s="22"/>
      <c r="AQ128"/>
      <c r="AR128"/>
      <c r="AS128"/>
      <c r="AT128"/>
      <c r="AU128"/>
      <c r="AV128"/>
      <c r="AW128"/>
      <c r="AX128"/>
    </row>
    <row r="129" spans="2:108" hidden="1" outlineLevel="1">
      <c r="B129"/>
      <c r="C129"/>
      <c r="D129" s="58"/>
      <c r="E129" s="54"/>
      <c r="F129" s="54"/>
      <c r="H129" s="58"/>
      <c r="I129" s="160"/>
      <c r="J129" s="58"/>
      <c r="K129" s="58"/>
      <c r="L129" s="58"/>
      <c r="AI129" s="338"/>
      <c r="AJ129" s="339"/>
      <c r="AK129" s="340"/>
      <c r="AL129" s="22"/>
      <c r="AM129" s="22"/>
      <c r="AN129" s="22"/>
      <c r="AO129" s="22"/>
      <c r="AP129" s="22"/>
      <c r="AQ129"/>
      <c r="AR129"/>
      <c r="AS129"/>
      <c r="AT129"/>
      <c r="AU129"/>
      <c r="AV129"/>
      <c r="AW129"/>
      <c r="AX129"/>
    </row>
    <row r="130" spans="2:108" hidden="1" outlineLevel="1">
      <c r="B130"/>
      <c r="C130"/>
      <c r="D130" s="58"/>
      <c r="E130" s="54"/>
      <c r="F130" s="54"/>
      <c r="H130" s="58"/>
      <c r="I130" s="160"/>
      <c r="J130" s="58"/>
      <c r="K130" s="58"/>
      <c r="L130" s="58"/>
      <c r="AI130" s="338"/>
      <c r="AJ130" s="339"/>
      <c r="AK130" s="340"/>
      <c r="AL130" s="22"/>
      <c r="AM130" s="22"/>
      <c r="AN130" s="22"/>
      <c r="AO130" s="22"/>
      <c r="AP130" s="22"/>
      <c r="AQ130"/>
      <c r="AR130"/>
      <c r="AS130"/>
      <c r="AT130"/>
      <c r="AU130"/>
      <c r="AV130"/>
      <c r="AW130"/>
      <c r="AX130"/>
    </row>
    <row r="131" spans="2:108" hidden="1" outlineLevel="1">
      <c r="B131"/>
      <c r="C131"/>
      <c r="D131" s="58"/>
      <c r="E131" s="54"/>
      <c r="F131" s="54"/>
      <c r="H131" s="58"/>
      <c r="I131" s="160"/>
      <c r="J131" s="58"/>
      <c r="K131" s="58"/>
      <c r="L131" s="58"/>
      <c r="AI131" s="338"/>
      <c r="AJ131" s="339"/>
      <c r="AK131" s="340"/>
      <c r="AL131" s="22"/>
      <c r="AM131" s="22"/>
      <c r="AN131" s="22"/>
      <c r="AO131" s="22"/>
      <c r="AP131" s="22"/>
      <c r="AQ131"/>
      <c r="AR131"/>
      <c r="AS131"/>
      <c r="AT131"/>
      <c r="AU131"/>
      <c r="AV131"/>
      <c r="AW131"/>
      <c r="AX131"/>
    </row>
    <row r="132" spans="2:108" hidden="1" outlineLevel="1">
      <c r="B132"/>
      <c r="C132"/>
      <c r="D132" s="58"/>
      <c r="E132" s="54"/>
      <c r="F132" s="54"/>
      <c r="H132" s="58"/>
      <c r="I132" s="160"/>
      <c r="J132" s="58"/>
      <c r="K132" s="58"/>
      <c r="L132" s="58"/>
      <c r="AI132" s="338"/>
      <c r="AJ132" s="339"/>
      <c r="AK132" s="340"/>
      <c r="AL132" s="22"/>
      <c r="AM132" s="22"/>
      <c r="AN132" s="22"/>
      <c r="AO132" s="22"/>
      <c r="AP132" s="22"/>
      <c r="AQ132"/>
      <c r="AR132"/>
      <c r="AS132"/>
      <c r="AT132"/>
      <c r="AU132"/>
      <c r="AV132"/>
      <c r="AW132"/>
      <c r="AX132"/>
    </row>
    <row r="133" spans="2:108" hidden="1" outlineLevel="1">
      <c r="B133"/>
      <c r="C133"/>
      <c r="D133" s="58"/>
      <c r="E133" s="54"/>
      <c r="F133" s="54"/>
      <c r="H133" s="58"/>
      <c r="I133" s="160"/>
      <c r="J133" s="58"/>
      <c r="K133" s="58"/>
      <c r="L133" s="58"/>
      <c r="AI133" s="338"/>
      <c r="AJ133" s="339"/>
      <c r="AK133" s="340"/>
      <c r="AL133" s="22"/>
      <c r="AM133" s="22"/>
      <c r="AN133" s="22"/>
      <c r="AO133" s="22"/>
      <c r="AP133" s="22"/>
      <c r="AQ133"/>
      <c r="AR133"/>
      <c r="AS133"/>
      <c r="AT133"/>
      <c r="AU133"/>
      <c r="AV133"/>
      <c r="AW133"/>
      <c r="AX133"/>
    </row>
    <row r="134" spans="2:108" hidden="1" outlineLevel="1">
      <c r="B134"/>
      <c r="C134"/>
      <c r="D134" s="58"/>
      <c r="E134" s="54"/>
      <c r="F134" s="54"/>
      <c r="H134" s="58"/>
      <c r="I134" s="160"/>
      <c r="J134" s="58"/>
      <c r="K134" s="58"/>
      <c r="L134" s="58"/>
      <c r="AI134" s="338"/>
      <c r="AJ134" s="339"/>
      <c r="AK134" s="340"/>
      <c r="AL134" s="22"/>
      <c r="AM134" s="22"/>
      <c r="AN134" s="22"/>
      <c r="AO134" s="22"/>
      <c r="AP134" s="22"/>
      <c r="AQ134"/>
      <c r="AR134"/>
      <c r="AS134"/>
      <c r="AT134"/>
      <c r="AU134"/>
      <c r="AV134"/>
      <c r="AW134"/>
      <c r="AX134"/>
    </row>
    <row r="135" spans="2:108" hidden="1" outlineLevel="1">
      <c r="B135"/>
      <c r="C135"/>
      <c r="D135" s="58"/>
      <c r="E135" s="54"/>
      <c r="F135" s="54"/>
      <c r="H135" s="58"/>
      <c r="I135" s="160"/>
      <c r="J135" s="58"/>
      <c r="K135" s="58"/>
      <c r="L135" s="58"/>
      <c r="AI135" s="338"/>
      <c r="AJ135" s="339"/>
      <c r="AK135" s="340"/>
      <c r="AL135" s="22"/>
      <c r="AM135" s="22"/>
      <c r="AN135" s="22"/>
      <c r="AO135" s="22"/>
      <c r="AP135" s="22"/>
      <c r="AQ135"/>
      <c r="AR135"/>
      <c r="AS135"/>
      <c r="AT135"/>
      <c r="AU135"/>
      <c r="AV135"/>
      <c r="AW135"/>
      <c r="AX135"/>
    </row>
    <row r="136" spans="2:108" hidden="1" outlineLevel="1">
      <c r="B136" s="106"/>
      <c r="C136" s="298"/>
      <c r="D136" s="58"/>
      <c r="E136" s="54"/>
      <c r="F136" s="54"/>
      <c r="H136" s="58"/>
      <c r="I136" s="160"/>
      <c r="J136" s="58"/>
      <c r="K136" s="58"/>
      <c r="L136" s="58"/>
      <c r="AI136" s="338"/>
      <c r="AJ136" s="339"/>
      <c r="AK136" s="340"/>
      <c r="AL136" s="22"/>
      <c r="AM136" s="22"/>
      <c r="AN136" s="22"/>
      <c r="AO136" s="22"/>
      <c r="AP136" s="22"/>
      <c r="AQ136"/>
      <c r="AR136"/>
      <c r="AS136"/>
      <c r="AT136"/>
      <c r="AU136"/>
      <c r="AV136"/>
      <c r="AW136"/>
      <c r="AX136"/>
    </row>
    <row r="137" spans="2:108" hidden="1" outlineLevel="1">
      <c r="B137" s="58"/>
      <c r="C137" s="160"/>
      <c r="D137" s="58"/>
      <c r="E137" s="54"/>
      <c r="F137" s="54"/>
      <c r="H137" s="58"/>
      <c r="I137" s="160"/>
      <c r="J137" s="58"/>
      <c r="K137" s="58"/>
      <c r="L137" s="58"/>
      <c r="AI137" s="338"/>
      <c r="AJ137" s="339"/>
      <c r="AK137" s="340"/>
      <c r="AL137" s="22"/>
      <c r="AM137" s="22"/>
      <c r="AN137" s="22"/>
      <c r="AO137" s="22"/>
      <c r="AP137" s="22"/>
      <c r="AQ137"/>
      <c r="AR137"/>
      <c r="AS137"/>
      <c r="AT137"/>
      <c r="AU137"/>
      <c r="AV137"/>
      <c r="AW137"/>
      <c r="AX137"/>
    </row>
    <row r="138" spans="2:108" hidden="1" outlineLevel="1">
      <c r="B138" s="128" t="s">
        <v>170</v>
      </c>
      <c r="C138" s="160"/>
      <c r="D138" s="58"/>
      <c r="E138" s="54"/>
      <c r="F138" s="54"/>
      <c r="H138" s="58"/>
      <c r="I138" s="160"/>
      <c r="AI138" s="350"/>
      <c r="AJ138" s="351"/>
      <c r="AK138" s="352"/>
      <c r="AL138" s="22"/>
      <c r="AM138" s="22"/>
      <c r="AN138" s="22"/>
      <c r="AO138" s="22"/>
      <c r="AP138" s="22"/>
      <c r="AQ138"/>
      <c r="AR138"/>
      <c r="AS138"/>
      <c r="AT138"/>
      <c r="AU138"/>
      <c r="AV138"/>
      <c r="AW138"/>
      <c r="AX138"/>
    </row>
    <row r="139" spans="2:108" hidden="1" outlineLevel="1">
      <c r="B139" s="58"/>
      <c r="C139" s="160"/>
      <c r="D139" s="58"/>
      <c r="E139" s="58"/>
      <c r="F139" s="160"/>
      <c r="G139" s="58"/>
      <c r="H139" s="58"/>
      <c r="I139" s="160"/>
      <c r="AI139" s="22"/>
      <c r="AJ139" s="22"/>
      <c r="AK139" s="22"/>
      <c r="AL139" s="22"/>
      <c r="AM139" s="22"/>
      <c r="AN139" s="22"/>
      <c r="AO139" s="22"/>
      <c r="AP139" s="22"/>
      <c r="AQ139"/>
      <c r="AR139"/>
      <c r="AS139"/>
      <c r="AT139"/>
      <c r="AU139"/>
      <c r="AV139"/>
      <c r="AW139"/>
      <c r="AX139"/>
    </row>
    <row r="140" spans="2:108" hidden="1" outlineLevel="1">
      <c r="B140" s="54"/>
      <c r="C140" s="54"/>
      <c r="D140" s="58"/>
      <c r="E140" s="54"/>
      <c r="F140" s="54"/>
      <c r="H140" s="58"/>
      <c r="I140" s="160"/>
      <c r="AI140" s="22"/>
      <c r="AJ140" s="22"/>
      <c r="AK140" s="22"/>
      <c r="AL140" s="22"/>
      <c r="AM140" s="22"/>
      <c r="AN140" s="22"/>
      <c r="AO140" s="22"/>
      <c r="AP140" s="22"/>
      <c r="AQ140"/>
      <c r="AR140"/>
      <c r="AS140"/>
      <c r="AT140"/>
      <c r="AU140"/>
      <c r="AV140"/>
      <c r="AW140"/>
      <c r="AX140"/>
    </row>
    <row r="141" spans="2:108" hidden="1" outlineLevel="1">
      <c r="B141"/>
      <c r="C141"/>
      <c r="D141" s="58"/>
      <c r="E141" s="54"/>
      <c r="F141" s="54"/>
      <c r="H141" s="58"/>
      <c r="I141" s="160"/>
      <c r="AI141" s="22"/>
      <c r="AJ141" s="22"/>
      <c r="AK141" s="22"/>
      <c r="AL141" s="22"/>
      <c r="AM141" s="22"/>
      <c r="AN141" s="22"/>
      <c r="AO141" s="22"/>
      <c r="AP141" s="22"/>
      <c r="AQ141"/>
      <c r="AR141"/>
      <c r="AS141"/>
      <c r="AT141"/>
      <c r="AU141"/>
      <c r="AV141"/>
      <c r="AW141"/>
      <c r="AX141"/>
      <c r="DB141" s="341"/>
      <c r="DC141" s="342"/>
      <c r="DD141" s="343"/>
    </row>
    <row r="142" spans="2:108" hidden="1" outlineLevel="1">
      <c r="B142"/>
      <c r="C142"/>
      <c r="D142" s="58"/>
      <c r="E142" s="54"/>
      <c r="F142" s="54"/>
      <c r="H142" s="58"/>
      <c r="I142" s="160"/>
      <c r="AI142" s="22"/>
      <c r="AJ142" s="22"/>
      <c r="AK142" s="22"/>
      <c r="AL142" s="22"/>
      <c r="AM142" s="22"/>
      <c r="AN142" s="22"/>
      <c r="AO142" s="22"/>
      <c r="AP142" s="22"/>
      <c r="AQ142"/>
      <c r="AR142"/>
      <c r="AS142"/>
      <c r="AT142"/>
      <c r="AU142"/>
      <c r="AV142"/>
      <c r="AW142"/>
      <c r="AX142"/>
      <c r="DB142" s="345"/>
      <c r="DC142" s="346"/>
      <c r="DD142" s="347"/>
    </row>
    <row r="143" spans="2:108" hidden="1" outlineLevel="1">
      <c r="B143"/>
      <c r="C143"/>
      <c r="D143" s="58"/>
      <c r="E143" s="54"/>
      <c r="F143" s="54"/>
      <c r="H143" s="58"/>
      <c r="I143" s="160"/>
      <c r="AI143" s="22"/>
      <c r="AJ143" s="22"/>
      <c r="AK143" s="22"/>
      <c r="AL143" s="22"/>
      <c r="AM143" s="22"/>
      <c r="AN143" s="22"/>
      <c r="AO143" s="22"/>
      <c r="AP143" s="22"/>
      <c r="AQ143"/>
      <c r="AR143"/>
      <c r="AS143"/>
      <c r="AT143"/>
      <c r="AU143"/>
      <c r="AV143"/>
      <c r="AW143"/>
      <c r="AX143"/>
      <c r="DB143" s="345"/>
      <c r="DC143" s="346"/>
      <c r="DD143" s="347"/>
    </row>
    <row r="144" spans="2:108" hidden="1" outlineLevel="1">
      <c r="B144" s="106"/>
      <c r="C144" s="298"/>
      <c r="D144" s="58"/>
      <c r="E144" s="54"/>
      <c r="F144" s="54"/>
      <c r="H144" s="58"/>
      <c r="I144" s="160"/>
      <c r="AI144" s="22"/>
      <c r="AJ144" s="22"/>
      <c r="AK144" s="22"/>
      <c r="AL144" s="22"/>
      <c r="AM144" s="22"/>
      <c r="AN144" s="22"/>
      <c r="AO144" s="22"/>
      <c r="AP144" s="22"/>
      <c r="AQ144"/>
      <c r="AR144"/>
      <c r="AS144"/>
      <c r="AT144"/>
      <c r="AU144"/>
      <c r="AV144"/>
      <c r="AW144"/>
      <c r="AX144"/>
      <c r="DB144" s="345"/>
      <c r="DC144" s="346"/>
      <c r="DD144" s="347"/>
    </row>
    <row r="145" spans="2:108" hidden="1" outlineLevel="1">
      <c r="B145" s="106"/>
      <c r="C145" s="298"/>
      <c r="D145" s="58"/>
      <c r="E145" s="54"/>
      <c r="F145" s="54"/>
      <c r="H145" s="58"/>
      <c r="I145" s="160"/>
      <c r="AI145" s="22"/>
      <c r="AJ145" s="22"/>
      <c r="AK145" s="22"/>
      <c r="AL145" s="22"/>
      <c r="AM145" s="22"/>
      <c r="AN145" s="22"/>
      <c r="AO145" s="22"/>
      <c r="AP145" s="22"/>
      <c r="AQ145"/>
      <c r="AR145"/>
      <c r="AS145"/>
      <c r="AT145"/>
      <c r="AU145"/>
      <c r="AV145"/>
      <c r="AW145"/>
      <c r="AX145"/>
      <c r="DB145" s="345"/>
      <c r="DC145" s="346"/>
      <c r="DD145" s="347"/>
    </row>
    <row r="146" spans="2:108" hidden="1" outlineLevel="1">
      <c r="B146" s="106"/>
      <c r="C146" s="298"/>
      <c r="D146" s="58"/>
      <c r="E146" s="54"/>
      <c r="F146" s="54"/>
      <c r="H146" s="58"/>
      <c r="I146" s="160"/>
      <c r="AI146" s="22"/>
      <c r="AJ146" s="22"/>
      <c r="AK146" s="22"/>
      <c r="AL146" s="22"/>
      <c r="AM146" s="22"/>
      <c r="AN146" s="22"/>
      <c r="AO146" s="22"/>
      <c r="AP146" s="22"/>
      <c r="AQ146"/>
      <c r="AR146"/>
      <c r="AS146"/>
      <c r="AT146"/>
      <c r="AU146"/>
      <c r="AV146"/>
      <c r="AW146"/>
      <c r="AX146"/>
      <c r="DB146" s="345"/>
      <c r="DC146" s="346"/>
      <c r="DD146" s="347"/>
    </row>
    <row r="147" spans="2:108" hidden="1" outlineLevel="1">
      <c r="B147" s="106"/>
      <c r="C147" s="298"/>
      <c r="D147" s="58"/>
      <c r="E147" s="54"/>
      <c r="F147" s="54"/>
      <c r="H147" s="58"/>
      <c r="I147" s="160"/>
      <c r="AI147" s="22"/>
      <c r="AJ147" s="22"/>
      <c r="AK147" s="22"/>
      <c r="AL147" s="22"/>
      <c r="AM147" s="22"/>
      <c r="AN147" s="22"/>
      <c r="AO147" s="22"/>
      <c r="AP147" s="22"/>
      <c r="AQ147"/>
      <c r="AR147"/>
      <c r="AS147"/>
      <c r="AT147"/>
      <c r="AU147"/>
      <c r="AV147"/>
      <c r="AW147"/>
      <c r="AX147"/>
      <c r="DB147" s="345"/>
      <c r="DC147" s="346"/>
      <c r="DD147" s="347"/>
    </row>
    <row r="148" spans="2:108" hidden="1" outlineLevel="1">
      <c r="B148" s="106"/>
      <c r="C148" s="298"/>
      <c r="D148" s="58"/>
      <c r="E148" s="54"/>
      <c r="F148" s="54"/>
      <c r="H148" s="58"/>
      <c r="I148" s="160"/>
      <c r="AI148" s="22"/>
      <c r="AJ148" s="22"/>
      <c r="AK148" s="22"/>
      <c r="AL148" s="22"/>
      <c r="AM148" s="22"/>
      <c r="AN148" s="22"/>
      <c r="AO148" s="22"/>
      <c r="AP148" s="22"/>
      <c r="AQ148"/>
      <c r="AR148"/>
      <c r="AS148"/>
      <c r="AT148"/>
      <c r="AU148"/>
      <c r="AV148"/>
      <c r="AW148"/>
      <c r="AX148"/>
      <c r="DB148" s="345"/>
      <c r="DC148" s="346"/>
      <c r="DD148" s="347"/>
    </row>
    <row r="149" spans="2:108" hidden="1" outlineLevel="1">
      <c r="B149" s="106"/>
      <c r="C149" s="298"/>
      <c r="D149" s="58"/>
      <c r="E149" s="54"/>
      <c r="F149" s="54"/>
      <c r="H149" s="58"/>
      <c r="I149" s="160"/>
      <c r="AI149" s="22"/>
      <c r="AJ149" s="22"/>
      <c r="AK149" s="22"/>
      <c r="AL149" s="22"/>
      <c r="AM149" s="22"/>
      <c r="AN149" s="22"/>
      <c r="AO149" s="22"/>
      <c r="AP149" s="22"/>
      <c r="AQ149"/>
      <c r="AR149"/>
      <c r="AS149"/>
      <c r="AT149"/>
      <c r="AU149"/>
      <c r="AV149"/>
      <c r="AW149"/>
      <c r="AX149"/>
      <c r="DB149" s="345"/>
      <c r="DC149" s="346"/>
      <c r="DD149" s="347"/>
    </row>
    <row r="150" spans="2:108" hidden="1" outlineLevel="1">
      <c r="B150" s="106"/>
      <c r="C150" s="298"/>
      <c r="D150" s="58"/>
      <c r="E150" s="54"/>
      <c r="F150" s="54"/>
      <c r="H150" s="58"/>
      <c r="I150" s="160"/>
      <c r="AI150" s="22"/>
      <c r="AJ150" s="22"/>
      <c r="AK150" s="22"/>
      <c r="AL150" s="22"/>
      <c r="AM150" s="22"/>
      <c r="AN150" s="22"/>
      <c r="AO150" s="22"/>
      <c r="AP150" s="22"/>
      <c r="AQ150"/>
      <c r="AR150"/>
      <c r="AS150"/>
      <c r="AT150"/>
      <c r="AU150"/>
      <c r="AV150"/>
      <c r="AW150"/>
      <c r="AX150"/>
      <c r="DB150" s="345"/>
      <c r="DC150" s="346"/>
      <c r="DD150" s="347"/>
    </row>
    <row r="151" spans="2:108" hidden="1" outlineLevel="1">
      <c r="B151" s="106"/>
      <c r="C151" s="298"/>
      <c r="D151" s="58"/>
      <c r="E151" s="54"/>
      <c r="F151" s="54"/>
      <c r="H151" s="58"/>
      <c r="I151" s="160"/>
      <c r="AI151" s="22"/>
      <c r="AJ151" s="22"/>
      <c r="AK151" s="22"/>
      <c r="AL151" s="22"/>
      <c r="AM151" s="22"/>
      <c r="AN151" s="22"/>
      <c r="AO151" s="22"/>
      <c r="AP151" s="22"/>
      <c r="AQ151"/>
      <c r="AR151"/>
      <c r="AS151"/>
      <c r="AT151"/>
      <c r="AU151"/>
      <c r="AV151"/>
      <c r="AW151"/>
      <c r="AX151"/>
      <c r="DB151" s="345"/>
      <c r="DC151" s="346"/>
      <c r="DD151" s="347"/>
    </row>
    <row r="152" spans="2:108" hidden="1" outlineLevel="1">
      <c r="B152" s="106"/>
      <c r="C152" s="298"/>
      <c r="D152" s="58"/>
      <c r="E152" s="54"/>
      <c r="F152" s="54"/>
      <c r="H152" s="58"/>
      <c r="I152" s="160"/>
      <c r="AI152" s="22"/>
      <c r="AJ152" s="22"/>
      <c r="AK152" s="22"/>
      <c r="AL152" s="22"/>
      <c r="AM152" s="22"/>
      <c r="AN152" s="22"/>
      <c r="AO152" s="22"/>
      <c r="AP152" s="22"/>
      <c r="AQ152"/>
      <c r="AR152"/>
      <c r="AS152"/>
      <c r="AT152"/>
      <c r="AU152"/>
      <c r="AV152"/>
      <c r="AW152"/>
      <c r="AX152"/>
      <c r="DB152" s="345"/>
      <c r="DC152" s="346"/>
      <c r="DD152" s="347"/>
    </row>
    <row r="153" spans="2:108" hidden="1" outlineLevel="1">
      <c r="B153" s="106"/>
      <c r="C153" s="298"/>
      <c r="D153" s="58"/>
      <c r="E153" s="54"/>
      <c r="F153" s="54"/>
      <c r="H153" s="58"/>
      <c r="I153" s="160"/>
      <c r="AI153" s="22"/>
      <c r="AJ153" s="22"/>
      <c r="AK153" s="22"/>
      <c r="AL153" s="22"/>
      <c r="AM153" s="22"/>
      <c r="AN153" s="22"/>
      <c r="AO153" s="22"/>
      <c r="AP153" s="22"/>
      <c r="AQ153"/>
      <c r="AR153"/>
      <c r="AS153"/>
      <c r="AT153"/>
      <c r="AU153"/>
      <c r="AV153"/>
      <c r="AW153"/>
      <c r="AX153"/>
      <c r="DB153" s="345"/>
      <c r="DC153" s="346"/>
      <c r="DD153" s="347"/>
    </row>
    <row r="154" spans="2:108" hidden="1" outlineLevel="1">
      <c r="B154" s="106"/>
      <c r="C154" s="298"/>
      <c r="D154" s="58"/>
      <c r="E154" s="54"/>
      <c r="F154" s="54"/>
      <c r="H154" s="58"/>
      <c r="I154" s="160"/>
      <c r="AI154" s="22"/>
      <c r="AJ154" s="22"/>
      <c r="AK154" s="22"/>
      <c r="AL154" s="22"/>
      <c r="AM154" s="22"/>
      <c r="AN154" s="22"/>
      <c r="AO154" s="22"/>
      <c r="AP154" s="22"/>
      <c r="AQ154"/>
      <c r="AR154"/>
      <c r="AS154"/>
      <c r="AT154"/>
      <c r="AU154"/>
      <c r="AV154"/>
      <c r="AW154"/>
      <c r="AX154"/>
      <c r="DB154" s="345"/>
      <c r="DC154" s="346"/>
      <c r="DD154" s="347"/>
    </row>
    <row r="155" spans="2:108" collapsed="1">
      <c r="B155" s="106"/>
      <c r="C155" s="298"/>
      <c r="D155" s="58"/>
      <c r="E155" s="54"/>
      <c r="F155" s="54"/>
      <c r="H155" s="58"/>
      <c r="I155" s="160"/>
      <c r="AI155" s="22"/>
      <c r="AJ155" s="22"/>
      <c r="AK155" s="22"/>
      <c r="AL155" s="22"/>
      <c r="AM155" s="22"/>
      <c r="AN155" s="22"/>
      <c r="AO155" s="22"/>
      <c r="AP155" s="22"/>
      <c r="AQ155"/>
      <c r="AR155"/>
      <c r="AS155"/>
      <c r="AT155"/>
      <c r="AU155"/>
      <c r="AV155"/>
      <c r="AW155"/>
      <c r="AX155"/>
      <c r="DB155" s="345"/>
      <c r="DC155" s="346"/>
      <c r="DD155" s="347"/>
    </row>
    <row r="156" spans="2:108">
      <c r="B156" s="58"/>
      <c r="C156" s="160"/>
      <c r="D156" s="58"/>
      <c r="E156" s="54"/>
      <c r="F156" s="54"/>
      <c r="H156" s="58"/>
      <c r="I156" s="160"/>
      <c r="AI156" s="22"/>
      <c r="AJ156" s="22"/>
      <c r="AK156" s="22"/>
      <c r="AL156" s="22"/>
      <c r="AM156" s="22"/>
      <c r="AN156" s="22"/>
      <c r="AO156" s="22"/>
      <c r="AP156" s="22"/>
      <c r="AQ156"/>
      <c r="AR156"/>
      <c r="AS156"/>
      <c r="AT156"/>
      <c r="AU156"/>
      <c r="AV156"/>
      <c r="AW156"/>
      <c r="AX156"/>
      <c r="DB156" s="345"/>
      <c r="DC156" s="346"/>
      <c r="DD156" s="347"/>
    </row>
    <row r="157" spans="2:108">
      <c r="B157" s="58"/>
      <c r="C157" s="160"/>
      <c r="D157" s="58"/>
      <c r="E157" s="54"/>
      <c r="F157" s="54"/>
      <c r="H157" s="58"/>
      <c r="I157" s="160"/>
      <c r="AI157" s="22"/>
      <c r="AJ157" s="22"/>
      <c r="AK157" s="22"/>
      <c r="AL157" s="22"/>
      <c r="AM157" s="22"/>
      <c r="AN157" s="22"/>
      <c r="AO157" s="22"/>
      <c r="AP157" s="22"/>
      <c r="AQ157"/>
      <c r="AR157"/>
      <c r="AS157"/>
      <c r="AT157"/>
      <c r="AU157"/>
      <c r="AV157"/>
      <c r="AW157"/>
      <c r="AX157"/>
      <c r="DB157" s="345"/>
      <c r="DC157" s="346"/>
      <c r="DD157" s="347"/>
    </row>
    <row r="158" spans="2:108">
      <c r="B158" s="58"/>
      <c r="C158" s="160"/>
      <c r="D158" s="58"/>
      <c r="E158" s="58"/>
      <c r="F158" s="160"/>
      <c r="G158" s="58"/>
      <c r="H158" s="58"/>
      <c r="I158" s="160"/>
      <c r="AI158" s="22"/>
      <c r="AJ158" s="22"/>
      <c r="AK158" s="22"/>
      <c r="AL158" s="22"/>
      <c r="AM158" s="22"/>
      <c r="AN158" s="22"/>
      <c r="AO158" s="22"/>
      <c r="AP158" s="22"/>
      <c r="AQ158"/>
      <c r="AR158"/>
      <c r="AS158"/>
      <c r="AT158"/>
      <c r="AU158"/>
      <c r="AV158"/>
      <c r="AW158"/>
      <c r="AX158"/>
      <c r="DB158" s="353"/>
      <c r="DC158" s="354"/>
      <c r="DD158" s="355"/>
    </row>
    <row r="159" spans="2:108">
      <c r="B159" s="165" t="s">
        <v>1288</v>
      </c>
      <c r="C159" s="166">
        <f ca="1">TODAY()</f>
        <v>44728</v>
      </c>
      <c r="D159" s="58"/>
      <c r="E159" s="58"/>
      <c r="F159" s="160"/>
      <c r="G159" s="58"/>
      <c r="H159" s="58"/>
      <c r="I159" s="160"/>
      <c r="AI159" s="22"/>
      <c r="AJ159" s="22"/>
      <c r="AK159" s="22"/>
      <c r="AL159" s="22"/>
      <c r="AM159" s="22"/>
      <c r="AN159" s="22"/>
      <c r="AO159" s="22"/>
      <c r="AP159" s="22"/>
      <c r="AQ159"/>
      <c r="AR159"/>
      <c r="AS159"/>
      <c r="AT159"/>
      <c r="AU159"/>
      <c r="AV159"/>
      <c r="AW159"/>
      <c r="AX159"/>
    </row>
    <row r="160" spans="2:108">
      <c r="B160" s="58"/>
      <c r="C160" s="160"/>
      <c r="D160" s="58"/>
      <c r="E160" s="58"/>
      <c r="F160" s="160"/>
      <c r="G160" s="58"/>
      <c r="H160" s="58"/>
      <c r="I160" s="160"/>
      <c r="AI160" s="22"/>
      <c r="AJ160" s="22"/>
      <c r="AK160" s="22"/>
      <c r="AL160" s="22"/>
      <c r="AM160" s="22"/>
      <c r="AN160" s="22"/>
      <c r="AO160" s="22"/>
      <c r="AP160" s="22"/>
      <c r="AQ160"/>
      <c r="AR160"/>
      <c r="AS160"/>
      <c r="AT160"/>
      <c r="AU160"/>
      <c r="AV160"/>
      <c r="AW160"/>
      <c r="AX160"/>
    </row>
    <row r="161" spans="1:50">
      <c r="B161" s="58"/>
      <c r="C161" s="160"/>
      <c r="D161" s="58"/>
      <c r="E161" s="54"/>
      <c r="G161" s="58"/>
      <c r="H161" s="58"/>
      <c r="I161" s="160"/>
      <c r="AI161" s="22"/>
      <c r="AJ161" s="22"/>
      <c r="AK161" s="22"/>
      <c r="AL161" s="22"/>
      <c r="AM161" s="22"/>
      <c r="AN161" s="22"/>
      <c r="AO161" s="22"/>
      <c r="AP161" s="22"/>
      <c r="AQ161"/>
      <c r="AR161"/>
      <c r="AS161"/>
      <c r="AT161"/>
      <c r="AU161"/>
      <c r="AV161"/>
      <c r="AW161"/>
      <c r="AX161"/>
    </row>
    <row r="162" spans="1:50">
      <c r="B162" s="58"/>
      <c r="C162" s="160"/>
      <c r="D162" s="58"/>
      <c r="E162" s="54"/>
      <c r="G162" s="58"/>
      <c r="H162" s="58"/>
      <c r="I162" s="160"/>
      <c r="AI162" s="22"/>
      <c r="AJ162" s="22"/>
      <c r="AK162" s="22"/>
      <c r="AL162" s="22"/>
      <c r="AM162" s="22"/>
      <c r="AN162" s="22"/>
      <c r="AO162" s="22"/>
      <c r="AP162" s="22"/>
      <c r="AQ162"/>
      <c r="AR162"/>
      <c r="AS162"/>
      <c r="AT162"/>
      <c r="AU162"/>
      <c r="AV162"/>
      <c r="AW162"/>
      <c r="AX162"/>
    </row>
    <row r="163" spans="1:50">
      <c r="B163" s="58"/>
      <c r="D163" s="177">
        <v>1</v>
      </c>
      <c r="E163" s="178">
        <f t="shared" ref="E163:G163" si="0">+D163+1</f>
        <v>2</v>
      </c>
      <c r="F163" s="178">
        <f t="shared" si="0"/>
        <v>3</v>
      </c>
      <c r="G163" s="178">
        <f t="shared" si="0"/>
        <v>4</v>
      </c>
      <c r="H163" s="178"/>
      <c r="I163" s="58"/>
      <c r="J163" s="160"/>
      <c r="AI163" s="22"/>
      <c r="AJ163" s="22"/>
      <c r="AK163" s="22"/>
      <c r="AL163" s="22"/>
      <c r="AM163" s="22"/>
      <c r="AN163" s="22"/>
      <c r="AO163" s="22"/>
      <c r="AP163" s="22"/>
      <c r="AQ163"/>
      <c r="AR163"/>
      <c r="AS163"/>
      <c r="AT163"/>
      <c r="AU163"/>
      <c r="AV163"/>
      <c r="AW163"/>
      <c r="AX163"/>
    </row>
    <row r="164" spans="1:50" s="162" customFormat="1">
      <c r="B164" s="102"/>
      <c r="C164" s="102"/>
      <c r="D164" s="179">
        <f ca="1">+C159</f>
        <v>44728</v>
      </c>
      <c r="E164" s="180">
        <f ca="1">+D164+1</f>
        <v>44729</v>
      </c>
      <c r="F164" s="180">
        <f ca="1">+E164+1</f>
        <v>44730</v>
      </c>
      <c r="G164" s="180">
        <f ca="1">+F164+1</f>
        <v>44731</v>
      </c>
      <c r="H164" s="222" t="s">
        <v>225</v>
      </c>
      <c r="I164" s="223" t="s">
        <v>25</v>
      </c>
      <c r="J164" s="222" t="s">
        <v>226</v>
      </c>
      <c r="AI164" s="22"/>
      <c r="AJ164" s="22"/>
      <c r="AK164" s="22"/>
      <c r="AL164" s="22"/>
      <c r="AM164" s="22"/>
      <c r="AN164" s="22"/>
      <c r="AO164" s="22"/>
      <c r="AP164" s="22"/>
      <c r="AQ164"/>
      <c r="AR164"/>
      <c r="AS164"/>
      <c r="AT164"/>
      <c r="AU164"/>
      <c r="AV164"/>
      <c r="AW164"/>
      <c r="AX164"/>
    </row>
    <row r="165" spans="1:50">
      <c r="B165" s="54"/>
      <c r="D165" s="183"/>
      <c r="E165" s="184"/>
      <c r="F165" s="184"/>
      <c r="G165" s="183"/>
      <c r="H165" s="224"/>
      <c r="I165" s="225"/>
      <c r="J165" s="226"/>
      <c r="AI165" s="22"/>
      <c r="AJ165" s="22"/>
      <c r="AK165" s="22"/>
      <c r="AL165" s="22"/>
      <c r="AM165" s="22"/>
      <c r="AN165" s="22"/>
      <c r="AO165" s="22"/>
      <c r="AP165" s="22"/>
      <c r="AQ165"/>
      <c r="AR165"/>
      <c r="AS165"/>
      <c r="AT165"/>
      <c r="AU165"/>
      <c r="AV165"/>
      <c r="AW165"/>
      <c r="AX165"/>
    </row>
    <row r="166" spans="1:50">
      <c r="A166" s="54" t="s">
        <v>2</v>
      </c>
      <c r="B166" s="104" t="s">
        <v>171</v>
      </c>
      <c r="D166" s="183">
        <v>0</v>
      </c>
      <c r="E166" s="183">
        <v>0</v>
      </c>
      <c r="F166" s="183">
        <v>0</v>
      </c>
      <c r="G166" s="183">
        <v>0</v>
      </c>
      <c r="H166" s="227">
        <f>SUM(D166:G166)</f>
        <v>0</v>
      </c>
      <c r="I166" s="224">
        <v>1</v>
      </c>
      <c r="J166" s="226">
        <f>+H166/I166</f>
        <v>0</v>
      </c>
      <c r="L166" s="103"/>
      <c r="AI166" s="22"/>
      <c r="AJ166" s="22"/>
      <c r="AK166" s="22"/>
      <c r="AL166" s="22"/>
      <c r="AM166" s="22"/>
      <c r="AN166" s="22"/>
      <c r="AO166" s="22"/>
      <c r="AP166" s="22"/>
      <c r="AQ166"/>
      <c r="AR166"/>
      <c r="AS166"/>
      <c r="AT166"/>
      <c r="AU166"/>
      <c r="AV166"/>
      <c r="AW166"/>
      <c r="AX166"/>
    </row>
    <row r="167" spans="1:50">
      <c r="B167" s="104" t="s">
        <v>221</v>
      </c>
      <c r="D167" s="183">
        <v>0</v>
      </c>
      <c r="E167" s="183">
        <v>0</v>
      </c>
      <c r="F167" s="183">
        <v>0</v>
      </c>
      <c r="G167" s="183">
        <v>0</v>
      </c>
      <c r="H167" s="227">
        <f>SUM(D167:G167)</f>
        <v>0</v>
      </c>
      <c r="I167" s="224">
        <v>1</v>
      </c>
      <c r="J167" s="226">
        <f>+H167/I167</f>
        <v>0</v>
      </c>
      <c r="L167" s="103"/>
      <c r="AI167" s="22"/>
      <c r="AJ167" s="22"/>
      <c r="AK167" s="22"/>
      <c r="AL167" s="22"/>
      <c r="AM167" s="22"/>
      <c r="AN167" s="22"/>
      <c r="AO167" s="22"/>
      <c r="AP167" s="22"/>
      <c r="AQ167"/>
      <c r="AR167"/>
      <c r="AS167"/>
      <c r="AT167"/>
      <c r="AU167"/>
      <c r="AV167"/>
      <c r="AW167"/>
      <c r="AX167"/>
    </row>
    <row r="168" spans="1:50">
      <c r="B168" s="104" t="s">
        <v>1653</v>
      </c>
      <c r="D168" s="183">
        <v>0</v>
      </c>
      <c r="E168" s="183">
        <v>0</v>
      </c>
      <c r="F168" s="183">
        <v>0</v>
      </c>
      <c r="G168" s="183">
        <v>0</v>
      </c>
      <c r="H168" s="227">
        <f>SUM(D168:G168)</f>
        <v>0</v>
      </c>
      <c r="I168" s="224">
        <v>1</v>
      </c>
      <c r="J168" s="226">
        <f>+H168/I168</f>
        <v>0</v>
      </c>
      <c r="L168" s="103"/>
      <c r="AI168" s="22"/>
      <c r="AJ168" s="22"/>
      <c r="AK168" s="22"/>
      <c r="AL168" s="22"/>
      <c r="AM168" s="22"/>
      <c r="AN168" s="22"/>
      <c r="AO168" s="22"/>
      <c r="AP168" s="22"/>
      <c r="AQ168"/>
      <c r="AR168"/>
      <c r="AS168"/>
      <c r="AT168"/>
      <c r="AU168"/>
      <c r="AV168"/>
      <c r="AW168"/>
      <c r="AX168"/>
    </row>
    <row r="169" spans="1:50">
      <c r="B169" s="333" t="s">
        <v>1717</v>
      </c>
      <c r="D169" s="103">
        <v>0</v>
      </c>
      <c r="E169" s="103">
        <v>0</v>
      </c>
      <c r="F169" s="103">
        <v>0</v>
      </c>
      <c r="G169" s="183">
        <v>0</v>
      </c>
      <c r="H169" s="227">
        <f>SUM(D169:G169)</f>
        <v>0</v>
      </c>
      <c r="I169" s="224">
        <v>1</v>
      </c>
      <c r="J169" s="226">
        <f>+H169/I169</f>
        <v>0</v>
      </c>
      <c r="L169" s="103"/>
      <c r="AI169" s="22"/>
      <c r="AJ169" s="22"/>
      <c r="AK169" s="22"/>
      <c r="AL169" s="22"/>
      <c r="AM169" s="22"/>
      <c r="AN169" s="22"/>
      <c r="AO169" s="22"/>
      <c r="AP169" s="22"/>
      <c r="AQ169"/>
      <c r="AR169"/>
      <c r="AS169"/>
      <c r="AT169"/>
      <c r="AU169"/>
      <c r="AV169"/>
      <c r="AW169"/>
      <c r="AX169"/>
    </row>
    <row r="170" spans="1:50">
      <c r="B170" s="205" t="s">
        <v>207</v>
      </c>
      <c r="C170" s="206"/>
      <c r="D170" s="207"/>
      <c r="E170" s="207"/>
      <c r="F170" s="207"/>
      <c r="G170" s="207"/>
      <c r="H170" s="224"/>
      <c r="I170" s="224"/>
      <c r="J170" s="226"/>
      <c r="L170" s="103"/>
      <c r="AI170" s="22"/>
      <c r="AJ170" s="22"/>
      <c r="AK170" s="22"/>
      <c r="AL170" s="22"/>
      <c r="AM170" s="22"/>
      <c r="AN170" s="22"/>
      <c r="AO170" s="22"/>
      <c r="AP170" s="22"/>
      <c r="AQ170"/>
      <c r="AR170"/>
      <c r="AS170"/>
      <c r="AT170"/>
      <c r="AU170"/>
      <c r="AV170"/>
      <c r="AW170"/>
      <c r="AX170"/>
    </row>
    <row r="171" spans="1:50">
      <c r="C171" s="160"/>
      <c r="D171" s="183"/>
      <c r="E171" s="183"/>
      <c r="F171" s="183"/>
      <c r="G171" s="183"/>
      <c r="H171" s="224"/>
      <c r="I171" s="224"/>
      <c r="J171" s="226"/>
      <c r="AI171" s="22"/>
      <c r="AJ171" s="22"/>
      <c r="AK171" s="22"/>
      <c r="AL171" s="22"/>
      <c r="AM171" s="22"/>
      <c r="AN171" s="22"/>
      <c r="AO171" s="22"/>
      <c r="AP171" s="22"/>
      <c r="AQ171"/>
      <c r="AR171"/>
      <c r="AS171"/>
      <c r="AT171"/>
      <c r="AU171"/>
      <c r="AV171"/>
      <c r="AW171"/>
      <c r="AX171"/>
    </row>
    <row r="172" spans="1:50">
      <c r="A172" s="54" t="s">
        <v>3</v>
      </c>
      <c r="B172" s="104" t="s">
        <v>172</v>
      </c>
      <c r="C172" s="160"/>
      <c r="D172" s="183">
        <v>0</v>
      </c>
      <c r="E172" s="183">
        <v>0</v>
      </c>
      <c r="F172" s="183">
        <v>0</v>
      </c>
      <c r="G172" s="183">
        <v>0</v>
      </c>
      <c r="H172" s="227">
        <f>SUM(D172:G172)</f>
        <v>0</v>
      </c>
      <c r="I172" s="224" t="e">
        <f ca="1">+_xll.BDP("EUR"&amp;A172&amp; " CuRNCY","px_last")</f>
        <v>#NAME?</v>
      </c>
      <c r="J172" s="226" t="e">
        <f ca="1">+H172/I172</f>
        <v>#NAME?</v>
      </c>
      <c r="AI172" s="22"/>
      <c r="AJ172" s="22"/>
      <c r="AK172" s="22"/>
      <c r="AL172" s="22"/>
      <c r="AM172" s="22"/>
      <c r="AN172" s="22"/>
      <c r="AO172" s="22"/>
      <c r="AP172" s="22"/>
      <c r="AQ172"/>
      <c r="AR172"/>
      <c r="AS172"/>
      <c r="AT172"/>
      <c r="AU172"/>
      <c r="AV172"/>
      <c r="AW172"/>
      <c r="AX172"/>
    </row>
    <row r="173" spans="1:50">
      <c r="B173" s="104" t="s">
        <v>1177</v>
      </c>
      <c r="C173" s="160"/>
      <c r="D173" s="183">
        <v>0</v>
      </c>
      <c r="E173" s="183">
        <v>0</v>
      </c>
      <c r="F173" s="183">
        <v>0</v>
      </c>
      <c r="G173" s="183">
        <v>0</v>
      </c>
      <c r="H173" s="227">
        <f>SUM(D173:G173)</f>
        <v>0</v>
      </c>
      <c r="I173" s="224" t="e">
        <f ca="1">+I172</f>
        <v>#NAME?</v>
      </c>
      <c r="J173" s="226" t="e">
        <f ca="1">+H173/I173</f>
        <v>#NAME?</v>
      </c>
      <c r="AI173" s="22"/>
      <c r="AJ173" s="22"/>
      <c r="AK173" s="22"/>
      <c r="AL173" s="22"/>
      <c r="AM173" s="22"/>
      <c r="AN173" s="22"/>
      <c r="AO173" s="22"/>
      <c r="AP173" s="22"/>
      <c r="AQ173"/>
      <c r="AR173"/>
      <c r="AS173"/>
      <c r="AT173"/>
      <c r="AU173"/>
      <c r="AV173"/>
      <c r="AW173"/>
      <c r="AX173"/>
    </row>
    <row r="174" spans="1:50">
      <c r="B174" s="104" t="s">
        <v>1653</v>
      </c>
      <c r="C174" s="160"/>
      <c r="D174" s="183">
        <v>0</v>
      </c>
      <c r="E174" s="183">
        <v>0</v>
      </c>
      <c r="F174" s="183">
        <v>0</v>
      </c>
      <c r="G174" s="183">
        <v>0</v>
      </c>
      <c r="H174" s="227">
        <f>SUM(D174:G174)</f>
        <v>0</v>
      </c>
      <c r="I174" s="224" t="e">
        <f ca="1">+I173</f>
        <v>#NAME?</v>
      </c>
      <c r="J174" s="226" t="e">
        <f ca="1">+H174/I174</f>
        <v>#NAME?</v>
      </c>
      <c r="AI174" s="22"/>
      <c r="AJ174" s="22"/>
      <c r="AK174" s="22"/>
      <c r="AL174" s="22"/>
      <c r="AM174" s="22"/>
      <c r="AN174" s="22"/>
      <c r="AO174" s="22"/>
      <c r="AP174" s="22"/>
      <c r="AQ174"/>
      <c r="AR174"/>
      <c r="AS174"/>
      <c r="AT174"/>
      <c r="AU174"/>
      <c r="AV174"/>
      <c r="AW174"/>
      <c r="AX174"/>
    </row>
    <row r="175" spans="1:50">
      <c r="B175" s="205" t="s">
        <v>208</v>
      </c>
      <c r="C175" s="206"/>
      <c r="D175" s="207" t="str">
        <f ca="1">IFERROR(VLOOKUP(D$164,#REF!,5,FALSE),"0")</f>
        <v>0</v>
      </c>
      <c r="E175" s="207" t="str">
        <f ca="1">IFERROR(VLOOKUP(E$164,#REF!,5,FALSE),"0")</f>
        <v>0</v>
      </c>
      <c r="F175" s="207" t="str">
        <f ca="1">IFERROR(VLOOKUP(F$164,#REF!,5,FALSE),"0")</f>
        <v>0</v>
      </c>
      <c r="G175" s="207" t="str">
        <f ca="1">IFERROR(VLOOKUP(G$164,#REF!,5,FALSE),"0")</f>
        <v>0</v>
      </c>
      <c r="H175" s="224"/>
      <c r="I175" s="224"/>
      <c r="J175" s="226"/>
      <c r="AI175" s="22"/>
      <c r="AJ175" s="22"/>
      <c r="AK175" s="22"/>
      <c r="AL175" s="22"/>
      <c r="AM175" s="22"/>
      <c r="AN175" s="22"/>
      <c r="AO175" s="22"/>
      <c r="AP175" s="22"/>
      <c r="AQ175"/>
      <c r="AR175"/>
      <c r="AS175"/>
      <c r="AT175"/>
      <c r="AU175"/>
      <c r="AV175"/>
      <c r="AW175"/>
      <c r="AX175"/>
    </row>
    <row r="176" spans="1:50">
      <c r="C176" s="160"/>
      <c r="D176" s="183"/>
      <c r="E176" s="183"/>
      <c r="F176" s="183"/>
      <c r="G176" s="183"/>
      <c r="H176" s="224"/>
      <c r="I176" s="224"/>
      <c r="J176" s="226"/>
      <c r="AI176" s="22"/>
      <c r="AJ176" s="22"/>
      <c r="AK176" s="22"/>
      <c r="AL176" s="22"/>
      <c r="AM176" s="22"/>
      <c r="AN176" s="22"/>
      <c r="AO176" s="22"/>
      <c r="AP176" s="22"/>
      <c r="AQ176"/>
      <c r="AR176"/>
      <c r="AS176"/>
      <c r="AT176"/>
      <c r="AU176"/>
      <c r="AV176"/>
      <c r="AW176"/>
      <c r="AX176"/>
    </row>
    <row r="177" spans="1:50">
      <c r="A177" s="54" t="s">
        <v>125</v>
      </c>
      <c r="B177" s="104" t="s">
        <v>174</v>
      </c>
      <c r="C177" s="160"/>
      <c r="D177" s="183">
        <v>0</v>
      </c>
      <c r="E177" s="183">
        <v>0</v>
      </c>
      <c r="F177" s="183">
        <v>0</v>
      </c>
      <c r="G177" s="183">
        <v>0</v>
      </c>
      <c r="H177" s="227">
        <f>SUM(D177:G177)</f>
        <v>0</v>
      </c>
      <c r="I177" s="224" t="e">
        <f ca="1">+_xll.BDP("EUR"&amp;A177&amp; " CuRNCY","px_last")</f>
        <v>#NAME?</v>
      </c>
      <c r="J177" s="226" t="e">
        <f ca="1">+H177/I177</f>
        <v>#NAME?</v>
      </c>
      <c r="AI177" s="22"/>
      <c r="AJ177" s="22"/>
      <c r="AK177" s="22"/>
      <c r="AL177" s="22"/>
      <c r="AM177" s="22"/>
      <c r="AN177" s="22"/>
      <c r="AO177" s="22"/>
      <c r="AP177" s="22"/>
      <c r="AQ177"/>
      <c r="AR177"/>
      <c r="AS177"/>
      <c r="AT177"/>
      <c r="AU177"/>
      <c r="AV177"/>
      <c r="AW177"/>
      <c r="AX177"/>
    </row>
    <row r="178" spans="1:50">
      <c r="B178" s="104" t="s">
        <v>1178</v>
      </c>
      <c r="C178" s="160"/>
      <c r="D178" s="183">
        <v>0</v>
      </c>
      <c r="E178" s="183">
        <v>0</v>
      </c>
      <c r="F178" s="183">
        <v>0</v>
      </c>
      <c r="G178" s="183">
        <v>0</v>
      </c>
      <c r="H178" s="227">
        <f>SUM(D178:G178)</f>
        <v>0</v>
      </c>
      <c r="I178" s="375" t="e">
        <f ca="1">+I177</f>
        <v>#NAME?</v>
      </c>
      <c r="J178" s="226" t="e">
        <f ca="1">+H178/I178</f>
        <v>#NAME?</v>
      </c>
      <c r="AI178" s="22"/>
      <c r="AJ178" s="22"/>
      <c r="AK178" s="22"/>
      <c r="AL178" s="22"/>
      <c r="AM178" s="22"/>
      <c r="AN178" s="22"/>
      <c r="AO178" s="22"/>
      <c r="AP178" s="22"/>
      <c r="AQ178"/>
      <c r="AR178"/>
      <c r="AS178"/>
      <c r="AT178"/>
      <c r="AU178"/>
      <c r="AV178"/>
      <c r="AW178"/>
      <c r="AX178"/>
    </row>
    <row r="179" spans="1:50">
      <c r="B179" s="205" t="s">
        <v>209</v>
      </c>
      <c r="C179" s="206"/>
      <c r="D179" s="207" t="str">
        <f ca="1">IFERROR(VLOOKUP(D$164,#REF!,5,FALSE),"0")</f>
        <v>0</v>
      </c>
      <c r="E179" s="207" t="str">
        <f ca="1">IFERROR(VLOOKUP(E$164,#REF!,5,FALSE),"0")</f>
        <v>0</v>
      </c>
      <c r="F179" s="207" t="str">
        <f ca="1">IFERROR(VLOOKUP(F$164,#REF!,5,FALSE),"0")</f>
        <v>0</v>
      </c>
      <c r="G179" s="207" t="str">
        <f ca="1">IFERROR(VLOOKUP(G$164,#REF!,5,FALSE),"0")</f>
        <v>0</v>
      </c>
      <c r="H179" s="224"/>
      <c r="I179" s="224"/>
      <c r="J179" s="226"/>
      <c r="AI179" s="22"/>
      <c r="AJ179" s="22"/>
      <c r="AK179" s="22"/>
      <c r="AL179" s="22"/>
      <c r="AM179" s="22"/>
      <c r="AN179" s="22"/>
      <c r="AO179" s="22"/>
      <c r="AP179" s="22"/>
      <c r="AQ179"/>
      <c r="AR179"/>
      <c r="AS179"/>
      <c r="AT179"/>
      <c r="AU179"/>
      <c r="AV179"/>
      <c r="AW179"/>
      <c r="AX179"/>
    </row>
    <row r="180" spans="1:50" hidden="1">
      <c r="C180" s="160"/>
      <c r="D180" s="183"/>
      <c r="E180" s="183"/>
      <c r="F180" s="183"/>
      <c r="G180" s="183"/>
      <c r="H180" s="224"/>
      <c r="I180" s="224"/>
      <c r="J180" s="226"/>
      <c r="AI180" s="22"/>
      <c r="AJ180" s="22"/>
      <c r="AK180" s="22"/>
      <c r="AL180" s="22"/>
      <c r="AM180" s="22"/>
      <c r="AN180" s="22"/>
      <c r="AO180" s="22"/>
      <c r="AP180" s="22"/>
      <c r="AQ180"/>
      <c r="AR180"/>
      <c r="AS180"/>
      <c r="AT180"/>
      <c r="AU180"/>
      <c r="AV180"/>
      <c r="AW180"/>
      <c r="AX180"/>
    </row>
    <row r="181" spans="1:50" hidden="1">
      <c r="A181" s="54" t="s">
        <v>123</v>
      </c>
      <c r="B181" s="104" t="s">
        <v>173</v>
      </c>
      <c r="C181" s="160"/>
      <c r="D181" s="183">
        <v>0</v>
      </c>
      <c r="E181" s="183">
        <v>0</v>
      </c>
      <c r="F181" s="183">
        <v>0</v>
      </c>
      <c r="G181" s="183">
        <v>0</v>
      </c>
      <c r="H181" s="227">
        <f>SUM(D181:G181)</f>
        <v>0</v>
      </c>
      <c r="I181" s="224" t="e">
        <f>_xll.TR("EURKRW=R","TR.MIDPRICE")</f>
        <v>#NAME?</v>
      </c>
      <c r="J181" s="226" t="e">
        <f>+H181/I181</f>
        <v>#NAME?</v>
      </c>
      <c r="AI181" s="22"/>
      <c r="AJ181" s="22"/>
      <c r="AK181" s="22"/>
      <c r="AL181" s="22"/>
      <c r="AM181" s="22"/>
      <c r="AN181" s="22"/>
      <c r="AO181" s="22"/>
      <c r="AP181" s="22"/>
      <c r="AQ181"/>
      <c r="AR181"/>
      <c r="AS181"/>
      <c r="AT181"/>
      <c r="AU181"/>
      <c r="AV181"/>
      <c r="AW181"/>
      <c r="AX181"/>
    </row>
    <row r="182" spans="1:50" hidden="1">
      <c r="B182" s="104" t="s">
        <v>1289</v>
      </c>
      <c r="C182" s="160"/>
      <c r="D182" s="183">
        <v>0</v>
      </c>
      <c r="E182" s="183">
        <v>0</v>
      </c>
      <c r="F182" s="183">
        <v>0</v>
      </c>
      <c r="G182" s="183">
        <v>0</v>
      </c>
      <c r="H182" s="227">
        <f>SUM(D182:G182)</f>
        <v>0</v>
      </c>
      <c r="I182" s="224" t="e">
        <f>+I181</f>
        <v>#NAME?</v>
      </c>
      <c r="J182" s="226"/>
      <c r="AI182" s="22"/>
      <c r="AJ182" s="22"/>
      <c r="AK182" s="22"/>
      <c r="AL182" s="22"/>
      <c r="AM182" s="22"/>
      <c r="AN182" s="22"/>
      <c r="AO182" s="22"/>
      <c r="AP182" s="22"/>
      <c r="AQ182"/>
      <c r="AR182"/>
      <c r="AS182"/>
      <c r="AT182"/>
      <c r="AU182"/>
      <c r="AV182"/>
      <c r="AW182"/>
      <c r="AX182"/>
    </row>
    <row r="183" spans="1:50" hidden="1">
      <c r="D183" s="183"/>
      <c r="E183" s="183"/>
      <c r="F183" s="183"/>
      <c r="G183" s="183"/>
      <c r="H183" s="224"/>
      <c r="I183" s="228"/>
      <c r="J183" s="226"/>
      <c r="AI183" s="22"/>
      <c r="AJ183" s="22"/>
      <c r="AK183" s="22"/>
      <c r="AL183" s="22"/>
      <c r="AM183" s="22"/>
      <c r="AN183" s="22"/>
      <c r="AO183" s="22"/>
      <c r="AP183" s="22"/>
      <c r="AQ183"/>
      <c r="AR183"/>
      <c r="AS183"/>
      <c r="AT183"/>
      <c r="AU183"/>
      <c r="AV183"/>
      <c r="AW183"/>
      <c r="AX183"/>
    </row>
    <row r="184" spans="1:50" hidden="1">
      <c r="A184" s="54" t="s">
        <v>126</v>
      </c>
      <c r="B184" s="104" t="s">
        <v>175</v>
      </c>
      <c r="C184" s="160"/>
      <c r="D184" s="183">
        <v>0</v>
      </c>
      <c r="E184" s="183">
        <v>0</v>
      </c>
      <c r="F184" s="183">
        <v>0</v>
      </c>
      <c r="G184" s="183">
        <v>0</v>
      </c>
      <c r="H184" s="227">
        <f>SUM(D184:G184)</f>
        <v>0</v>
      </c>
      <c r="I184" s="224" t="e">
        <f>_xll.TR("EURIDR=","TR.MIDPRICE")</f>
        <v>#NAME?</v>
      </c>
      <c r="J184" s="226" t="e">
        <f>+H184/I184</f>
        <v>#NAME?</v>
      </c>
      <c r="AI184" s="22"/>
      <c r="AJ184" s="22"/>
      <c r="AK184" s="22"/>
      <c r="AL184" s="22"/>
      <c r="AM184" s="22"/>
      <c r="AN184" s="22"/>
      <c r="AO184" s="22"/>
      <c r="AP184" s="22"/>
      <c r="AQ184"/>
      <c r="AR184"/>
      <c r="AS184"/>
      <c r="AT184"/>
      <c r="AU184"/>
      <c r="AV184"/>
      <c r="AW184"/>
      <c r="AX184"/>
    </row>
    <row r="185" spans="1:50" hidden="1">
      <c r="B185" s="104" t="s">
        <v>1290</v>
      </c>
      <c r="C185" s="160"/>
      <c r="D185" s="183">
        <v>0</v>
      </c>
      <c r="E185" s="183">
        <v>0</v>
      </c>
      <c r="F185" s="183">
        <v>0</v>
      </c>
      <c r="G185" s="183">
        <v>0</v>
      </c>
      <c r="H185" s="227">
        <f>SUM(D185:G185)</f>
        <v>0</v>
      </c>
      <c r="I185" s="224" t="e">
        <f>+I184</f>
        <v>#NAME?</v>
      </c>
      <c r="J185" s="226"/>
      <c r="AI185" s="22"/>
      <c r="AJ185" s="22"/>
      <c r="AK185" s="22"/>
      <c r="AL185" s="22"/>
      <c r="AM185" s="22"/>
      <c r="AN185" s="22"/>
      <c r="AO185" s="22"/>
      <c r="AP185" s="22"/>
      <c r="AQ185"/>
      <c r="AR185"/>
      <c r="AS185"/>
      <c r="AT185"/>
      <c r="AU185"/>
      <c r="AV185"/>
      <c r="AW185"/>
      <c r="AX185"/>
    </row>
    <row r="186" spans="1:50" hidden="1">
      <c r="C186" s="160"/>
      <c r="D186" s="183"/>
      <c r="E186" s="183"/>
      <c r="F186" s="183"/>
      <c r="G186" s="183"/>
      <c r="H186" s="227"/>
      <c r="I186" s="224"/>
      <c r="J186" s="226"/>
      <c r="AI186" s="22"/>
      <c r="AJ186" s="22"/>
      <c r="AK186" s="22"/>
      <c r="AL186" s="22"/>
      <c r="AM186" s="22"/>
      <c r="AN186" s="22"/>
      <c r="AO186" s="22"/>
      <c r="AP186" s="22"/>
      <c r="AQ186"/>
      <c r="AR186"/>
      <c r="AS186"/>
      <c r="AT186"/>
      <c r="AU186"/>
      <c r="AV186"/>
      <c r="AW186"/>
      <c r="AX186"/>
    </row>
    <row r="187" spans="1:50" hidden="1">
      <c r="A187" s="54" t="s">
        <v>1105</v>
      </c>
      <c r="B187" s="104" t="s">
        <v>1106</v>
      </c>
      <c r="C187" s="160"/>
      <c r="D187" s="183">
        <v>0</v>
      </c>
      <c r="E187" s="183">
        <v>0</v>
      </c>
      <c r="F187" s="183">
        <v>0</v>
      </c>
      <c r="G187" s="183">
        <v>0</v>
      </c>
      <c r="H187" s="227">
        <f>SUM(D187:G187)</f>
        <v>0</v>
      </c>
      <c r="I187" s="224" t="e">
        <f>_xll.TR("EURGBP=","TR.MIDPRICE")</f>
        <v>#NAME?</v>
      </c>
      <c r="J187" s="226" t="e">
        <f>+H187/I187</f>
        <v>#NAME?</v>
      </c>
      <c r="AI187" s="22"/>
      <c r="AJ187" s="22"/>
      <c r="AK187" s="22"/>
      <c r="AL187" s="22"/>
      <c r="AM187" s="22"/>
      <c r="AN187" s="22"/>
      <c r="AO187" s="22"/>
      <c r="AP187" s="22"/>
      <c r="AQ187"/>
      <c r="AR187"/>
      <c r="AS187"/>
      <c r="AT187"/>
      <c r="AU187"/>
      <c r="AV187"/>
      <c r="AW187"/>
      <c r="AX187"/>
    </row>
    <row r="188" spans="1:50" hidden="1">
      <c r="B188" s="104" t="s">
        <v>1291</v>
      </c>
      <c r="C188" s="160"/>
      <c r="D188" s="183">
        <v>0</v>
      </c>
      <c r="E188" s="183">
        <v>0</v>
      </c>
      <c r="F188" s="183">
        <v>0</v>
      </c>
      <c r="G188" s="183">
        <v>0</v>
      </c>
      <c r="H188" s="227">
        <f>SUM(D188:G188)</f>
        <v>0</v>
      </c>
      <c r="I188" s="224" t="e">
        <f>+I187</f>
        <v>#NAME?</v>
      </c>
      <c r="J188" s="226" t="e">
        <f>+H188/I188</f>
        <v>#NAME?</v>
      </c>
      <c r="AI188" s="22"/>
      <c r="AJ188" s="22"/>
      <c r="AK188" s="22"/>
      <c r="AL188" s="22"/>
      <c r="AM188" s="22"/>
      <c r="AN188" s="22"/>
      <c r="AO188" s="22"/>
      <c r="AP188" s="22"/>
      <c r="AQ188"/>
      <c r="AR188"/>
      <c r="AS188"/>
      <c r="AT188"/>
      <c r="AU188"/>
      <c r="AV188"/>
      <c r="AW188"/>
      <c r="AX188"/>
    </row>
    <row r="189" spans="1:50" hidden="1">
      <c r="C189" s="160"/>
      <c r="D189" s="183"/>
      <c r="E189" s="183"/>
      <c r="F189" s="183"/>
      <c r="G189" s="183"/>
      <c r="H189" s="227"/>
      <c r="I189" s="224"/>
      <c r="J189" s="226"/>
      <c r="AI189" s="22"/>
      <c r="AJ189" s="22"/>
      <c r="AK189" s="22"/>
      <c r="AL189" s="22"/>
      <c r="AM189" s="22"/>
      <c r="AN189" s="22"/>
      <c r="AO189" s="22"/>
      <c r="AP189" s="22"/>
      <c r="AQ189"/>
      <c r="AR189"/>
      <c r="AS189"/>
      <c r="AT189"/>
      <c r="AU189"/>
      <c r="AV189"/>
      <c r="AW189"/>
      <c r="AX189"/>
    </row>
    <row r="190" spans="1:50" hidden="1">
      <c r="A190" s="54" t="s">
        <v>1100</v>
      </c>
      <c r="B190" s="104" t="s">
        <v>1107</v>
      </c>
      <c r="C190" s="160"/>
      <c r="D190" s="183">
        <v>0</v>
      </c>
      <c r="E190" s="183">
        <v>0</v>
      </c>
      <c r="F190" s="183">
        <f ca="1">SUMIF($T$108:$T$108,F$164,$U$108:$U$108)</f>
        <v>0</v>
      </c>
      <c r="G190" s="183">
        <f ca="1">SUMIF($T$108:$T$108,G$164,$U$108:$U$108)</f>
        <v>0</v>
      </c>
      <c r="H190" s="227">
        <f ca="1">SUM(D190:G190)</f>
        <v>0</v>
      </c>
      <c r="I190" s="224" t="e">
        <f>_xll.TR("EURHKD=","TR.MIDPRICE")</f>
        <v>#NAME?</v>
      </c>
      <c r="J190" s="226" t="e">
        <f t="shared" ref="J190:J206" ca="1" si="1">+H190/I190</f>
        <v>#NAME?</v>
      </c>
      <c r="AI190" s="22"/>
      <c r="AJ190" s="22"/>
      <c r="AK190" s="22"/>
      <c r="AL190" s="22"/>
      <c r="AM190" s="22"/>
      <c r="AN190" s="22"/>
      <c r="AO190" s="22"/>
      <c r="AP190" s="22"/>
      <c r="AQ190"/>
      <c r="AR190"/>
      <c r="AS190"/>
      <c r="AT190"/>
      <c r="AU190"/>
      <c r="AV190"/>
      <c r="AW190"/>
      <c r="AX190"/>
    </row>
    <row r="191" spans="1:50" hidden="1">
      <c r="B191" s="104" t="s">
        <v>1292</v>
      </c>
      <c r="C191" s="160"/>
      <c r="D191" s="183">
        <v>0</v>
      </c>
      <c r="E191" s="183">
        <v>0</v>
      </c>
      <c r="F191" s="183">
        <v>0</v>
      </c>
      <c r="G191" s="183">
        <v>0</v>
      </c>
      <c r="H191" s="227">
        <f>SUM(D191:G191)</f>
        <v>0</v>
      </c>
      <c r="I191" s="224" t="e">
        <f>+I190</f>
        <v>#NAME?</v>
      </c>
      <c r="J191" s="226" t="e">
        <f t="shared" si="1"/>
        <v>#NAME?</v>
      </c>
      <c r="AI191" s="22"/>
      <c r="AJ191" s="22"/>
      <c r="AK191" s="22"/>
      <c r="AL191" s="22"/>
      <c r="AM191" s="22"/>
      <c r="AN191" s="22"/>
      <c r="AO191" s="22"/>
      <c r="AP191" s="22"/>
      <c r="AQ191"/>
      <c r="AR191"/>
      <c r="AS191"/>
      <c r="AT191"/>
      <c r="AU191"/>
      <c r="AV191"/>
      <c r="AW191"/>
      <c r="AX191"/>
    </row>
    <row r="192" spans="1:50" hidden="1">
      <c r="C192" s="160"/>
      <c r="D192" s="183"/>
      <c r="E192" s="183"/>
      <c r="F192" s="183"/>
      <c r="G192" s="183"/>
      <c r="H192" s="227"/>
      <c r="I192" s="224"/>
      <c r="J192" s="226"/>
      <c r="AI192" s="22"/>
      <c r="AJ192" s="22"/>
      <c r="AK192" s="22"/>
      <c r="AL192" s="22"/>
      <c r="AM192" s="22"/>
      <c r="AN192" s="22"/>
      <c r="AO192" s="22"/>
      <c r="AP192" s="22"/>
      <c r="AQ192"/>
      <c r="AR192"/>
      <c r="AS192"/>
      <c r="AT192"/>
      <c r="AU192"/>
      <c r="AV192"/>
      <c r="AW192"/>
      <c r="AX192"/>
    </row>
    <row r="193" spans="1:50" hidden="1">
      <c r="A193" s="54" t="s">
        <v>1102</v>
      </c>
      <c r="B193" s="104" t="s">
        <v>1108</v>
      </c>
      <c r="C193" s="160"/>
      <c r="D193" s="183">
        <f ca="1">SUMIF($W$98:$W$108,D$164,$X$98:$X$108)</f>
        <v>0</v>
      </c>
      <c r="E193" s="183">
        <v>0</v>
      </c>
      <c r="F193" s="183">
        <v>0</v>
      </c>
      <c r="G193" s="183">
        <f ca="1">SUMIF($W$98:$W$108,G$164,$X$98:$X$108)</f>
        <v>0</v>
      </c>
      <c r="H193" s="227">
        <f ca="1">SUM(D193:G193)</f>
        <v>0</v>
      </c>
      <c r="I193" s="224" t="e">
        <f>_xll.TR("EURSEK=","TR.MIDPRICE")</f>
        <v>#NAME?</v>
      </c>
      <c r="J193" s="226" t="e">
        <f t="shared" ca="1" si="1"/>
        <v>#NAME?</v>
      </c>
      <c r="AI193" s="22"/>
      <c r="AJ193" s="22"/>
      <c r="AK193" s="22"/>
      <c r="AL193" s="22"/>
      <c r="AM193" s="22"/>
      <c r="AN193" s="22"/>
      <c r="AO193" s="22"/>
      <c r="AP193" s="22"/>
      <c r="AQ193"/>
      <c r="AR193"/>
      <c r="AS193"/>
      <c r="AT193"/>
      <c r="AU193"/>
      <c r="AV193"/>
      <c r="AW193"/>
      <c r="AX193"/>
    </row>
    <row r="194" spans="1:50" hidden="1">
      <c r="B194" s="104" t="s">
        <v>1293</v>
      </c>
      <c r="C194" s="160"/>
      <c r="D194" s="183">
        <v>0</v>
      </c>
      <c r="E194" s="183">
        <v>0</v>
      </c>
      <c r="F194" s="183">
        <v>0</v>
      </c>
      <c r="G194" s="183">
        <v>0</v>
      </c>
      <c r="H194" s="227">
        <f>SUM(D194:G194)</f>
        <v>0</v>
      </c>
      <c r="I194" s="224" t="e">
        <f>+I193</f>
        <v>#NAME?</v>
      </c>
      <c r="J194" s="226" t="e">
        <f t="shared" si="1"/>
        <v>#NAME?</v>
      </c>
      <c r="AI194" s="22"/>
      <c r="AJ194" s="22"/>
      <c r="AK194" s="22"/>
      <c r="AL194" s="22"/>
      <c r="AM194" s="22"/>
      <c r="AN194" s="22"/>
      <c r="AO194" s="22"/>
      <c r="AP194" s="22"/>
      <c r="AQ194"/>
      <c r="AR194"/>
      <c r="AS194"/>
      <c r="AT194"/>
      <c r="AU194"/>
      <c r="AV194"/>
      <c r="AW194"/>
      <c r="AX194"/>
    </row>
    <row r="195" spans="1:50" hidden="1">
      <c r="C195" s="160"/>
      <c r="D195" s="183"/>
      <c r="E195" s="183"/>
      <c r="F195" s="183"/>
      <c r="G195" s="183"/>
      <c r="H195" s="227"/>
      <c r="I195" s="224"/>
      <c r="J195" s="226"/>
      <c r="AI195" s="22"/>
      <c r="AJ195" s="22"/>
      <c r="AK195" s="22"/>
      <c r="AL195" s="22"/>
      <c r="AM195" s="22"/>
      <c r="AN195" s="22"/>
      <c r="AO195" s="22"/>
      <c r="AP195" s="22"/>
      <c r="AQ195"/>
      <c r="AR195"/>
      <c r="AS195"/>
      <c r="AT195"/>
      <c r="AU195"/>
      <c r="AV195"/>
      <c r="AW195"/>
      <c r="AX195"/>
    </row>
    <row r="196" spans="1:50" hidden="1">
      <c r="A196" s="54" t="s">
        <v>1103</v>
      </c>
      <c r="B196" s="104" t="s">
        <v>1109</v>
      </c>
      <c r="C196" s="160"/>
      <c r="D196" s="183">
        <f ca="1">SUMIF($Z$96:$Z$108,D$164,$AA$96:$AA$108)</f>
        <v>0</v>
      </c>
      <c r="E196" s="183">
        <f ca="1">SUMIF($Z$96:$Z$108,E$164,$AA$96:$AA$108)</f>
        <v>0</v>
      </c>
      <c r="F196" s="183">
        <f ca="1">SUMIF($Z$96:$Z$108,F$164,$AA$96:$AA$108)</f>
        <v>0</v>
      </c>
      <c r="G196" s="183">
        <f ca="1">SUMIF($Z$96:$Z$108,G$164,$AA$96:$AA$108)</f>
        <v>0</v>
      </c>
      <c r="H196" s="227">
        <f ca="1">SUM(D196:G196)</f>
        <v>0</v>
      </c>
      <c r="I196" s="224" t="e">
        <f>_xll.TR("EURCAD=","TR.MIDPRICE")</f>
        <v>#NAME?</v>
      </c>
      <c r="J196" s="226" t="e">
        <f t="shared" ca="1" si="1"/>
        <v>#NAME?</v>
      </c>
      <c r="AI196" s="22"/>
      <c r="AJ196" s="22"/>
      <c r="AK196" s="22"/>
      <c r="AL196" s="22"/>
      <c r="AM196" s="22"/>
      <c r="AN196" s="22"/>
      <c r="AO196" s="22"/>
      <c r="AP196" s="22"/>
      <c r="AQ196"/>
      <c r="AR196"/>
      <c r="AS196"/>
      <c r="AT196"/>
      <c r="AU196"/>
      <c r="AV196"/>
      <c r="AW196"/>
      <c r="AX196"/>
    </row>
    <row r="197" spans="1:50" hidden="1">
      <c r="B197" s="104" t="s">
        <v>1294</v>
      </c>
      <c r="C197" s="160"/>
      <c r="D197" s="183">
        <v>0</v>
      </c>
      <c r="E197" s="183">
        <v>0</v>
      </c>
      <c r="F197" s="183">
        <v>0</v>
      </c>
      <c r="G197" s="183">
        <v>0</v>
      </c>
      <c r="H197" s="227">
        <f>SUM(D197:G197)</f>
        <v>0</v>
      </c>
      <c r="I197" s="224" t="e">
        <f>+I196</f>
        <v>#NAME?</v>
      </c>
      <c r="J197" s="226" t="e">
        <f t="shared" si="1"/>
        <v>#NAME?</v>
      </c>
      <c r="AI197" s="22"/>
      <c r="AJ197" s="22"/>
      <c r="AK197" s="22"/>
      <c r="AL197" s="22"/>
      <c r="AM197" s="22"/>
      <c r="AN197" s="22"/>
      <c r="AO197" s="22"/>
      <c r="AP197" s="22"/>
      <c r="AQ197"/>
      <c r="AR197"/>
      <c r="AS197"/>
      <c r="AT197"/>
      <c r="AU197"/>
      <c r="AV197"/>
      <c r="AW197"/>
      <c r="AX197"/>
    </row>
    <row r="198" spans="1:50" hidden="1">
      <c r="C198" s="160"/>
      <c r="D198" s="183"/>
      <c r="E198" s="183"/>
      <c r="F198" s="183"/>
      <c r="G198" s="183"/>
      <c r="H198" s="227"/>
      <c r="I198" s="224"/>
      <c r="J198" s="226"/>
      <c r="AI198" s="22"/>
      <c r="AJ198" s="22"/>
      <c r="AK198" s="22"/>
      <c r="AL198" s="22"/>
      <c r="AM198" s="22"/>
      <c r="AN198" s="22"/>
      <c r="AO198" s="22"/>
      <c r="AP198" s="22"/>
      <c r="AQ198"/>
      <c r="AR198"/>
      <c r="AS198"/>
      <c r="AT198"/>
      <c r="AU198"/>
      <c r="AV198"/>
      <c r="AW198"/>
      <c r="AX198"/>
    </row>
    <row r="199" spans="1:50" hidden="1">
      <c r="A199" s="54" t="s">
        <v>1104</v>
      </c>
      <c r="B199" s="104" t="s">
        <v>1111</v>
      </c>
      <c r="C199" s="160"/>
      <c r="D199" s="183">
        <v>0</v>
      </c>
      <c r="E199" s="183">
        <v>0</v>
      </c>
      <c r="F199" s="183">
        <v>0</v>
      </c>
      <c r="G199" s="183">
        <v>0</v>
      </c>
      <c r="H199" s="227">
        <f>SUM(D199:G199)</f>
        <v>0</v>
      </c>
      <c r="I199" s="224" t="e">
        <f>_xll.TR("EURAUD=","TR.MIDPRICE")</f>
        <v>#NAME?</v>
      </c>
      <c r="J199" s="226" t="e">
        <f t="shared" si="1"/>
        <v>#NAME?</v>
      </c>
      <c r="AI199" s="22"/>
      <c r="AJ199" s="22"/>
      <c r="AK199" s="22"/>
      <c r="AL199" s="22"/>
      <c r="AM199" s="22"/>
      <c r="AN199" s="22"/>
      <c r="AO199" s="22"/>
      <c r="AP199" s="22"/>
      <c r="AQ199"/>
      <c r="AR199"/>
      <c r="AS199"/>
      <c r="AT199"/>
      <c r="AU199"/>
      <c r="AV199"/>
      <c r="AW199"/>
      <c r="AX199"/>
    </row>
    <row r="200" spans="1:50" hidden="1">
      <c r="B200" s="104" t="s">
        <v>1295</v>
      </c>
      <c r="C200" s="160"/>
      <c r="D200" s="183">
        <v>0</v>
      </c>
      <c r="E200" s="183">
        <v>0</v>
      </c>
      <c r="F200" s="183">
        <v>0</v>
      </c>
      <c r="G200" s="183">
        <v>0</v>
      </c>
      <c r="H200" s="227">
        <f>SUM(D200:G200)</f>
        <v>0</v>
      </c>
      <c r="I200" s="224" t="e">
        <f>+I199</f>
        <v>#NAME?</v>
      </c>
      <c r="J200" s="226" t="e">
        <f t="shared" si="1"/>
        <v>#NAME?</v>
      </c>
      <c r="AI200" s="22"/>
      <c r="AJ200" s="22"/>
      <c r="AK200" s="22"/>
      <c r="AL200" s="22"/>
      <c r="AM200" s="22"/>
      <c r="AN200" s="22"/>
      <c r="AO200" s="22"/>
      <c r="AP200" s="22"/>
      <c r="AQ200"/>
      <c r="AR200"/>
      <c r="AS200"/>
      <c r="AT200"/>
      <c r="AU200"/>
      <c r="AV200"/>
      <c r="AW200"/>
      <c r="AX200"/>
    </row>
    <row r="201" spans="1:50" hidden="1">
      <c r="C201" s="160"/>
      <c r="D201" s="183"/>
      <c r="E201" s="183"/>
      <c r="F201" s="183"/>
      <c r="G201" s="183"/>
      <c r="H201" s="227"/>
      <c r="I201" s="224"/>
      <c r="J201" s="226"/>
      <c r="AI201" s="22"/>
      <c r="AJ201" s="22"/>
      <c r="AK201" s="22"/>
      <c r="AL201" s="22"/>
      <c r="AM201" s="22"/>
      <c r="AN201" s="22"/>
      <c r="AO201" s="22"/>
      <c r="AP201" s="22"/>
      <c r="AQ201"/>
      <c r="AR201"/>
      <c r="AS201"/>
      <c r="AT201"/>
      <c r="AU201"/>
      <c r="AV201"/>
      <c r="AW201"/>
      <c r="AX201"/>
    </row>
    <row r="202" spans="1:50" hidden="1">
      <c r="A202" s="54" t="s">
        <v>1150</v>
      </c>
      <c r="B202" s="104" t="s">
        <v>1296</v>
      </c>
      <c r="C202" s="54"/>
      <c r="D202" s="183">
        <f ca="1">SUMIF($AF$96:$AF$108,D$164,$AG$96:$AG$108)</f>
        <v>0</v>
      </c>
      <c r="E202" s="183">
        <f ca="1">SUMIF($AF$96:$AF$108,E$164,$AG$96:$AG$108)</f>
        <v>0</v>
      </c>
      <c r="F202" s="183">
        <f ca="1">SUMIF($AF$96:$AF$108,F$164,$AG$96:$AG$108)</f>
        <v>0</v>
      </c>
      <c r="G202" s="183">
        <f ca="1">SUMIF($AF$96:$AF$108,G$164,$AG$96:$AG$108)</f>
        <v>0</v>
      </c>
      <c r="H202" s="227">
        <f ca="1">SUM(D202:G202)</f>
        <v>0</v>
      </c>
      <c r="I202" s="224" t="e">
        <f>_xll.TR("EURNOK=","TR.MIDPRICE")</f>
        <v>#NAME?</v>
      </c>
      <c r="J202" s="226" t="e">
        <f t="shared" ca="1" si="1"/>
        <v>#NAME?</v>
      </c>
      <c r="AI202" s="22"/>
      <c r="AJ202" s="22"/>
      <c r="AK202" s="22"/>
      <c r="AL202" s="22"/>
      <c r="AM202" s="22"/>
      <c r="AN202" s="22"/>
      <c r="AO202" s="22"/>
      <c r="AP202" s="22"/>
      <c r="AQ202"/>
      <c r="AR202"/>
      <c r="AS202"/>
      <c r="AT202"/>
      <c r="AU202"/>
      <c r="AV202"/>
      <c r="AW202"/>
      <c r="AX202"/>
    </row>
    <row r="203" spans="1:50" hidden="1">
      <c r="B203" s="104" t="s">
        <v>1297</v>
      </c>
      <c r="C203" s="54"/>
      <c r="D203" s="183">
        <v>0</v>
      </c>
      <c r="E203" s="183">
        <v>0</v>
      </c>
      <c r="F203" s="183">
        <v>0</v>
      </c>
      <c r="G203" s="183">
        <v>0</v>
      </c>
      <c r="H203" s="227">
        <f>SUM(D203:G203)</f>
        <v>0</v>
      </c>
      <c r="I203" s="224" t="e">
        <f>+I202</f>
        <v>#NAME?</v>
      </c>
      <c r="J203" s="226" t="e">
        <f t="shared" si="1"/>
        <v>#NAME?</v>
      </c>
      <c r="AI203" s="22"/>
      <c r="AJ203" s="22"/>
      <c r="AK203" s="22"/>
      <c r="AL203" s="22"/>
      <c r="AM203" s="22"/>
      <c r="AN203" s="22"/>
      <c r="AO203" s="22"/>
      <c r="AP203" s="22"/>
      <c r="AQ203"/>
      <c r="AR203"/>
      <c r="AS203"/>
      <c r="AT203"/>
      <c r="AU203"/>
      <c r="AV203"/>
      <c r="AW203"/>
      <c r="AX203"/>
    </row>
    <row r="204" spans="1:50" hidden="1">
      <c r="C204" s="54"/>
      <c r="D204" s="183"/>
      <c r="E204" s="183"/>
      <c r="F204" s="183"/>
      <c r="G204" s="183"/>
      <c r="H204" s="227"/>
      <c r="I204" s="224"/>
      <c r="J204" s="226"/>
      <c r="AI204" s="22"/>
      <c r="AJ204" s="22"/>
      <c r="AK204" s="22"/>
      <c r="AL204" s="22"/>
      <c r="AM204" s="22"/>
      <c r="AN204" s="22"/>
      <c r="AO204" s="22"/>
      <c r="AP204" s="22"/>
      <c r="AQ204"/>
      <c r="AR204"/>
      <c r="AS204"/>
      <c r="AT204"/>
      <c r="AU204"/>
      <c r="AV204"/>
      <c r="AW204"/>
      <c r="AX204"/>
    </row>
    <row r="205" spans="1:50" hidden="1">
      <c r="A205" s="54" t="s">
        <v>1101</v>
      </c>
      <c r="B205" s="104" t="s">
        <v>1110</v>
      </c>
      <c r="C205" s="54"/>
      <c r="D205" s="183">
        <v>0</v>
      </c>
      <c r="E205" s="183">
        <v>0</v>
      </c>
      <c r="F205" s="183">
        <v>0</v>
      </c>
      <c r="G205" s="183">
        <v>0</v>
      </c>
      <c r="H205" s="227">
        <f>SUM(D205:G205)</f>
        <v>0</v>
      </c>
      <c r="I205" s="224" t="e">
        <f>_xll.TR("EURCHF=","TR.MIDPRICE")</f>
        <v>#NAME?</v>
      </c>
      <c r="J205" s="226" t="e">
        <f t="shared" si="1"/>
        <v>#NAME?</v>
      </c>
      <c r="AI205" s="22"/>
      <c r="AJ205" s="22"/>
      <c r="AK205" s="22"/>
      <c r="AL205" s="22"/>
      <c r="AM205" s="22"/>
      <c r="AN205" s="22"/>
      <c r="AO205" s="22"/>
      <c r="AP205" s="22"/>
      <c r="AQ205"/>
      <c r="AR205"/>
      <c r="AS205"/>
      <c r="AT205"/>
      <c r="AU205"/>
      <c r="AV205"/>
      <c r="AW205"/>
      <c r="AX205"/>
    </row>
    <row r="206" spans="1:50" hidden="1">
      <c r="B206" s="104" t="s">
        <v>1297</v>
      </c>
      <c r="C206" s="54"/>
      <c r="D206" s="183">
        <v>0</v>
      </c>
      <c r="E206" s="183">
        <v>0</v>
      </c>
      <c r="F206" s="183">
        <v>0</v>
      </c>
      <c r="G206" s="183">
        <v>0</v>
      </c>
      <c r="H206" s="227">
        <f>SUM(D206:G206)</f>
        <v>0</v>
      </c>
      <c r="I206" s="224" t="e">
        <f>+I205</f>
        <v>#NAME?</v>
      </c>
      <c r="J206" s="226" t="e">
        <f t="shared" si="1"/>
        <v>#NAME?</v>
      </c>
      <c r="AI206" s="22"/>
      <c r="AJ206" s="22"/>
      <c r="AK206" s="22"/>
      <c r="AL206" s="22"/>
      <c r="AM206" s="22"/>
      <c r="AN206" s="22"/>
      <c r="AO206" s="22"/>
      <c r="AP206" s="22"/>
      <c r="AQ206"/>
      <c r="AR206"/>
      <c r="AS206"/>
      <c r="AT206"/>
      <c r="AU206"/>
      <c r="AV206"/>
      <c r="AW206"/>
      <c r="AX206"/>
    </row>
    <row r="207" spans="1:50">
      <c r="B207" s="181"/>
      <c r="C207" s="182"/>
      <c r="D207" s="198"/>
      <c r="E207" s="199"/>
      <c r="F207" s="199"/>
      <c r="G207" s="198"/>
      <c r="H207" s="229"/>
      <c r="I207" s="230"/>
      <c r="J207" s="231"/>
      <c r="AI207" s="22"/>
      <c r="AJ207" s="22"/>
      <c r="AK207" s="22"/>
      <c r="AL207" s="22"/>
      <c r="AM207" s="22"/>
      <c r="AN207" s="22"/>
      <c r="AO207" s="22"/>
      <c r="AP207" s="22"/>
      <c r="AQ207"/>
      <c r="AR207"/>
      <c r="AS207"/>
      <c r="AT207"/>
      <c r="AU207"/>
      <c r="AV207"/>
      <c r="AW207"/>
      <c r="AX207"/>
    </row>
    <row r="208" spans="1:50">
      <c r="C208" s="160"/>
      <c r="D208" s="58"/>
      <c r="E208" s="54"/>
      <c r="H208" s="224"/>
      <c r="I208" s="228"/>
      <c r="J208" s="232" t="e">
        <f ca="1">SUM(J166:J178)</f>
        <v>#NAME?</v>
      </c>
      <c r="AI208" s="22"/>
      <c r="AJ208" s="22"/>
      <c r="AK208" s="22"/>
      <c r="AL208" s="22"/>
      <c r="AM208" s="22"/>
      <c r="AN208" s="22"/>
      <c r="AO208" s="22"/>
      <c r="AP208" s="22"/>
      <c r="AQ208"/>
      <c r="AR208"/>
      <c r="AS208"/>
      <c r="AT208"/>
      <c r="AU208"/>
      <c r="AV208"/>
      <c r="AW208"/>
      <c r="AX208"/>
    </row>
    <row r="209" spans="1:50">
      <c r="B209" s="30"/>
      <c r="C209" s="160"/>
      <c r="D209" s="58"/>
      <c r="E209" s="54"/>
      <c r="H209" s="224"/>
      <c r="I209" s="228"/>
      <c r="J209" s="232"/>
      <c r="AI209" s="22"/>
      <c r="AJ209" s="22"/>
      <c r="AK209" s="22"/>
      <c r="AL209" s="22"/>
      <c r="AM209" s="22"/>
      <c r="AN209" s="22"/>
      <c r="AO209" s="22"/>
      <c r="AP209" s="22"/>
      <c r="AQ209"/>
      <c r="AR209"/>
      <c r="AS209"/>
      <c r="AT209"/>
      <c r="AU209"/>
      <c r="AV209"/>
      <c r="AW209"/>
      <c r="AX209"/>
    </row>
    <row r="210" spans="1:50">
      <c r="B210" s="22"/>
      <c r="C210" s="160"/>
      <c r="D210" s="58"/>
      <c r="E210" s="54"/>
      <c r="H210" s="224"/>
      <c r="I210" s="228"/>
      <c r="J210" s="232"/>
      <c r="AI210" s="22"/>
      <c r="AJ210" s="22"/>
      <c r="AK210" s="22"/>
      <c r="AL210" s="22"/>
      <c r="AM210" s="22"/>
      <c r="AN210" s="22"/>
      <c r="AO210" s="22"/>
      <c r="AP210" s="22"/>
      <c r="AQ210"/>
      <c r="AR210"/>
      <c r="AS210"/>
      <c r="AT210"/>
      <c r="AU210"/>
      <c r="AV210"/>
      <c r="AW210"/>
      <c r="AX210"/>
    </row>
    <row r="211" spans="1:50">
      <c r="C211" s="160"/>
      <c r="D211" s="58"/>
      <c r="E211" s="54"/>
      <c r="AI211" s="22"/>
      <c r="AJ211" s="22"/>
      <c r="AK211" s="22"/>
      <c r="AL211" s="22"/>
      <c r="AM211" s="22"/>
      <c r="AN211" s="22"/>
      <c r="AO211" s="22"/>
      <c r="AP211" s="22"/>
      <c r="AQ211"/>
      <c r="AR211"/>
      <c r="AS211"/>
      <c r="AT211"/>
      <c r="AU211"/>
      <c r="AV211"/>
      <c r="AW211"/>
      <c r="AX211"/>
    </row>
    <row r="212" spans="1:50">
      <c r="C212" s="160"/>
      <c r="D212" s="58"/>
      <c r="E212" s="54"/>
      <c r="AI212" s="22"/>
      <c r="AJ212" s="22"/>
      <c r="AK212" s="22"/>
      <c r="AL212" s="22"/>
      <c r="AM212" s="22"/>
      <c r="AN212" s="22"/>
      <c r="AO212" s="22"/>
      <c r="AP212" s="22"/>
      <c r="AQ212"/>
      <c r="AR212"/>
      <c r="AS212"/>
      <c r="AT212"/>
      <c r="AU212"/>
      <c r="AV212"/>
      <c r="AW212"/>
      <c r="AX212"/>
    </row>
    <row r="213" spans="1:50" ht="15.5" outlineLevel="1">
      <c r="B213" s="164" t="s">
        <v>223</v>
      </c>
      <c r="C213" s="163"/>
      <c r="D213" s="58"/>
      <c r="E213" s="471" t="s">
        <v>2109</v>
      </c>
      <c r="AI213" s="22"/>
      <c r="AJ213" s="22"/>
      <c r="AK213" s="22"/>
      <c r="AL213" s="22"/>
      <c r="AM213" s="22"/>
      <c r="AN213" s="22"/>
      <c r="AO213" s="22"/>
      <c r="AP213" s="22"/>
      <c r="AQ213"/>
      <c r="AR213"/>
      <c r="AS213"/>
      <c r="AT213"/>
      <c r="AU213"/>
      <c r="AV213"/>
      <c r="AW213"/>
      <c r="AX213"/>
    </row>
    <row r="214" spans="1:50" outlineLevel="1">
      <c r="C214" s="160"/>
      <c r="D214" s="174"/>
      <c r="E214" s="175"/>
      <c r="F214" s="176"/>
      <c r="G214" s="176"/>
      <c r="AI214" s="22"/>
      <c r="AJ214" s="22"/>
      <c r="AK214" s="22"/>
      <c r="AL214" s="22"/>
      <c r="AM214" s="22"/>
      <c r="AN214" s="22"/>
      <c r="AO214" s="22"/>
      <c r="AP214" s="22"/>
      <c r="AQ214"/>
      <c r="AR214"/>
      <c r="AS214"/>
      <c r="AT214"/>
      <c r="AU214"/>
      <c r="AV214"/>
      <c r="AW214"/>
      <c r="AX214"/>
    </row>
    <row r="215" spans="1:50" outlineLevel="1">
      <c r="B215" s="108"/>
      <c r="C215" s="109" t="s">
        <v>176</v>
      </c>
      <c r="D215" s="173">
        <f ca="1">+D164</f>
        <v>44728</v>
      </c>
      <c r="E215" s="173">
        <f ca="1">E164</f>
        <v>44729</v>
      </c>
      <c r="F215" s="173">
        <f ca="1">F164</f>
        <v>44730</v>
      </c>
      <c r="G215" s="173">
        <f ca="1">G164</f>
        <v>44731</v>
      </c>
      <c r="AI215" s="22"/>
      <c r="AJ215" s="22"/>
      <c r="AK215" s="22"/>
      <c r="AL215" s="22"/>
      <c r="AM215" s="22"/>
      <c r="AN215" s="22"/>
      <c r="AO215" s="22"/>
      <c r="AP215" s="22"/>
      <c r="AQ215"/>
      <c r="AR215"/>
      <c r="AS215"/>
      <c r="AT215"/>
      <c r="AU215"/>
      <c r="AV215"/>
      <c r="AW215"/>
      <c r="AX215"/>
    </row>
    <row r="216" spans="1:50" outlineLevel="1">
      <c r="B216" s="167"/>
      <c r="C216" s="171"/>
      <c r="D216" s="168"/>
      <c r="E216" s="168"/>
      <c r="F216" s="55"/>
      <c r="G216" s="55"/>
      <c r="AI216" s="22"/>
      <c r="AJ216" s="22"/>
      <c r="AK216" s="22"/>
      <c r="AL216" s="22"/>
      <c r="AM216" s="22"/>
      <c r="AN216" s="22"/>
      <c r="AO216" s="22"/>
      <c r="AP216" s="22"/>
      <c r="AQ216"/>
      <c r="AR216"/>
      <c r="AS216"/>
      <c r="AT216"/>
      <c r="AU216"/>
      <c r="AV216"/>
      <c r="AW216"/>
      <c r="AX216"/>
    </row>
    <row r="217" spans="1:50" outlineLevel="1">
      <c r="A217" s="104"/>
      <c r="B217" s="104" t="s">
        <v>2</v>
      </c>
      <c r="C217" s="356">
        <f>+C17</f>
        <v>999785.1</v>
      </c>
      <c r="D217" s="55">
        <f>+C217+SUM(D166:D169)</f>
        <v>999785.1</v>
      </c>
      <c r="E217" s="55">
        <f>+D217+SUM(E166:E169)</f>
        <v>999785.1</v>
      </c>
      <c r="F217" s="55">
        <f>+E217+SUM(F166:F169)</f>
        <v>999785.1</v>
      </c>
      <c r="G217" s="55">
        <f>+F217+SUM(G166:G169)</f>
        <v>999785.1</v>
      </c>
      <c r="AI217" s="22"/>
      <c r="AJ217" s="22"/>
      <c r="AK217" s="22"/>
      <c r="AL217" s="22"/>
      <c r="AM217" s="22"/>
      <c r="AN217" s="22"/>
      <c r="AO217" s="22"/>
      <c r="AP217" s="22"/>
      <c r="AQ217"/>
      <c r="AR217"/>
      <c r="AS217"/>
      <c r="AT217"/>
      <c r="AU217"/>
      <c r="AV217"/>
      <c r="AW217"/>
      <c r="AX217"/>
    </row>
    <row r="218" spans="1:50" outlineLevel="1">
      <c r="A218" s="104"/>
      <c r="C218" s="356"/>
      <c r="D218" s="55"/>
      <c r="E218" s="55"/>
      <c r="F218" s="55"/>
      <c r="G218" s="55"/>
      <c r="AI218" s="22"/>
      <c r="AJ218" s="22"/>
      <c r="AK218" s="22"/>
      <c r="AL218" s="22"/>
      <c r="AM218" s="22"/>
      <c r="AN218" s="22"/>
      <c r="AO218" s="22"/>
      <c r="AP218" s="22"/>
      <c r="AQ218"/>
      <c r="AR218"/>
      <c r="AS218"/>
      <c r="AT218"/>
      <c r="AU218"/>
      <c r="AV218"/>
      <c r="AW218"/>
      <c r="AX218"/>
    </row>
    <row r="219" spans="1:50" outlineLevel="1">
      <c r="A219" s="104"/>
      <c r="B219" s="104" t="s">
        <v>3</v>
      </c>
      <c r="C219" s="356">
        <f>+C21</f>
        <v>0</v>
      </c>
      <c r="D219" s="55">
        <f>+C219+D172+D173</f>
        <v>0</v>
      </c>
      <c r="E219" s="55">
        <f>+D219+E172+E173</f>
        <v>0</v>
      </c>
      <c r="F219" s="55">
        <f>+E219+F172+F173</f>
        <v>0</v>
      </c>
      <c r="G219" s="55">
        <f>+F219+G172+G173</f>
        <v>0</v>
      </c>
      <c r="AI219" s="22"/>
      <c r="AJ219" s="22"/>
      <c r="AK219" s="22"/>
      <c r="AL219" s="22"/>
      <c r="AM219" s="22"/>
      <c r="AN219" s="22"/>
      <c r="AO219" s="22"/>
      <c r="AP219" s="22"/>
      <c r="AQ219"/>
      <c r="AR219"/>
      <c r="AS219"/>
      <c r="AT219"/>
      <c r="AU219"/>
      <c r="AV219"/>
      <c r="AW219"/>
      <c r="AX219"/>
    </row>
    <row r="220" spans="1:50" outlineLevel="1">
      <c r="A220" s="104"/>
      <c r="C220" s="356"/>
      <c r="D220" s="55"/>
      <c r="E220" s="55"/>
      <c r="F220" s="55"/>
      <c r="G220" s="55"/>
      <c r="AI220" s="22"/>
      <c r="AJ220" s="22"/>
      <c r="AK220" s="22"/>
      <c r="AL220" s="22"/>
      <c r="AM220" s="22"/>
      <c r="AN220" s="22"/>
      <c r="AO220" s="22"/>
      <c r="AP220" s="22"/>
      <c r="AQ220"/>
      <c r="AR220"/>
      <c r="AS220"/>
      <c r="AT220"/>
      <c r="AU220"/>
      <c r="AV220"/>
      <c r="AW220"/>
      <c r="AX220"/>
    </row>
    <row r="221" spans="1:50" outlineLevel="1">
      <c r="A221" s="104"/>
      <c r="B221" s="104" t="s">
        <v>125</v>
      </c>
      <c r="C221" s="356">
        <f>+C23</f>
        <v>0</v>
      </c>
      <c r="D221" s="55">
        <f>+C221+D177+D178</f>
        <v>0</v>
      </c>
      <c r="E221" s="55">
        <f>+D221+E177+E178</f>
        <v>0</v>
      </c>
      <c r="F221" s="55">
        <f>+E221+F177+F178</f>
        <v>0</v>
      </c>
      <c r="G221" s="55">
        <f>+F221+G177+G178</f>
        <v>0</v>
      </c>
      <c r="AI221" s="22"/>
      <c r="AJ221" s="22"/>
      <c r="AK221" s="22"/>
      <c r="AL221" s="22"/>
      <c r="AM221" s="22"/>
      <c r="AN221" s="22"/>
      <c r="AO221" s="22"/>
      <c r="AP221" s="22"/>
      <c r="AQ221"/>
      <c r="AR221"/>
      <c r="AS221"/>
      <c r="AT221"/>
      <c r="AU221"/>
      <c r="AV221"/>
      <c r="AW221"/>
      <c r="AX221"/>
    </row>
    <row r="222" spans="1:50" outlineLevel="1">
      <c r="A222" s="104"/>
      <c r="C222" s="356"/>
      <c r="D222" s="55"/>
      <c r="E222" s="55"/>
      <c r="F222" s="55"/>
      <c r="G222" s="55"/>
      <c r="AI222" s="22"/>
      <c r="AJ222" s="22"/>
      <c r="AK222" s="22"/>
      <c r="AL222" s="22"/>
      <c r="AM222" s="22"/>
      <c r="AN222" s="22"/>
      <c r="AO222" s="22"/>
      <c r="AP222" s="22"/>
      <c r="AQ222"/>
      <c r="AR222"/>
      <c r="AS222"/>
      <c r="AT222"/>
      <c r="AU222"/>
      <c r="AV222"/>
      <c r="AW222"/>
      <c r="AX222"/>
    </row>
    <row r="223" spans="1:50" outlineLevel="1">
      <c r="A223" s="104"/>
      <c r="B223" s="104" t="s">
        <v>123</v>
      </c>
      <c r="C223" s="356">
        <v>0</v>
      </c>
      <c r="D223" s="55">
        <v>0</v>
      </c>
      <c r="E223" s="55">
        <v>0</v>
      </c>
      <c r="F223" s="55">
        <v>0</v>
      </c>
      <c r="G223" s="55">
        <v>0</v>
      </c>
      <c r="I223" s="387"/>
      <c r="AI223" s="22"/>
      <c r="AJ223" s="22"/>
      <c r="AK223" s="22"/>
      <c r="AL223" s="22"/>
      <c r="AM223" s="22"/>
      <c r="AN223" s="22"/>
      <c r="AO223" s="22"/>
      <c r="AP223" s="22"/>
      <c r="AQ223"/>
      <c r="AR223"/>
      <c r="AS223"/>
      <c r="AT223"/>
      <c r="AU223"/>
      <c r="AV223"/>
      <c r="AW223"/>
      <c r="AX223"/>
    </row>
    <row r="224" spans="1:50" outlineLevel="1">
      <c r="A224" s="104"/>
      <c r="C224" s="356"/>
      <c r="D224" s="55"/>
      <c r="E224" s="55"/>
      <c r="F224" s="55"/>
      <c r="G224" s="55"/>
      <c r="AI224" s="22"/>
      <c r="AJ224" s="22"/>
      <c r="AK224" s="22"/>
      <c r="AL224" s="22"/>
      <c r="AM224" s="22"/>
      <c r="AN224" s="22"/>
      <c r="AO224" s="22"/>
      <c r="AP224" s="22"/>
      <c r="AQ224"/>
      <c r="AR224"/>
      <c r="AS224"/>
      <c r="AT224"/>
      <c r="AU224"/>
      <c r="AV224"/>
      <c r="AW224"/>
      <c r="AX224"/>
    </row>
    <row r="225" spans="1:50" outlineLevel="1">
      <c r="A225" s="104"/>
      <c r="B225" s="104" t="s">
        <v>126</v>
      </c>
      <c r="C225" s="356">
        <v>0</v>
      </c>
      <c r="D225" s="55">
        <v>0</v>
      </c>
      <c r="E225" s="55">
        <v>0</v>
      </c>
      <c r="F225" s="55">
        <v>0</v>
      </c>
      <c r="G225" s="55">
        <v>0</v>
      </c>
      <c r="AI225" s="22"/>
      <c r="AJ225" s="22"/>
      <c r="AK225" s="22"/>
      <c r="AL225" s="22"/>
      <c r="AM225" s="22"/>
      <c r="AN225" s="22"/>
      <c r="AO225" s="22"/>
      <c r="AP225" s="22"/>
      <c r="AQ225"/>
      <c r="AR225"/>
      <c r="AS225"/>
      <c r="AT225"/>
      <c r="AU225"/>
      <c r="AV225"/>
      <c r="AW225"/>
      <c r="AX225"/>
    </row>
    <row r="226" spans="1:50" outlineLevel="1">
      <c r="A226" s="104"/>
      <c r="C226" s="356"/>
      <c r="D226" s="55"/>
      <c r="E226" s="55"/>
      <c r="F226" s="55"/>
      <c r="G226" s="55"/>
      <c r="AI226" s="22"/>
      <c r="AJ226" s="22"/>
      <c r="AK226" s="22"/>
      <c r="AL226" s="22"/>
      <c r="AM226" s="22"/>
      <c r="AN226" s="22"/>
      <c r="AO226" s="22"/>
      <c r="AP226" s="22"/>
      <c r="AQ226"/>
      <c r="AR226"/>
      <c r="AS226"/>
      <c r="AT226"/>
      <c r="AU226"/>
      <c r="AV226"/>
      <c r="AW226"/>
      <c r="AX226"/>
    </row>
    <row r="227" spans="1:50" outlineLevel="1">
      <c r="A227" s="104"/>
      <c r="B227" s="104" t="s">
        <v>1105</v>
      </c>
      <c r="C227" s="356">
        <f>+C29</f>
        <v>0</v>
      </c>
      <c r="D227" s="55">
        <f>+C227+D187+D188</f>
        <v>0</v>
      </c>
      <c r="E227" s="55">
        <f>+D227+E187+E188</f>
        <v>0</v>
      </c>
      <c r="F227" s="55">
        <f>+E227+F187+F188</f>
        <v>0</v>
      </c>
      <c r="G227" s="55">
        <f>+F227+G187+G188</f>
        <v>0</v>
      </c>
      <c r="AI227" s="22"/>
      <c r="AJ227" s="22"/>
      <c r="AK227" s="22"/>
      <c r="AL227" s="22"/>
      <c r="AM227" s="22"/>
      <c r="AN227" s="22"/>
      <c r="AO227" s="22"/>
      <c r="AP227" s="22"/>
      <c r="AQ227"/>
      <c r="AR227"/>
      <c r="AS227"/>
      <c r="AT227"/>
      <c r="AU227"/>
      <c r="AV227"/>
      <c r="AW227"/>
      <c r="AX227"/>
    </row>
    <row r="228" spans="1:50" outlineLevel="1">
      <c r="A228" s="104"/>
      <c r="C228" s="356"/>
      <c r="D228" s="55"/>
      <c r="E228" s="55"/>
      <c r="F228" s="55"/>
      <c r="G228" s="55"/>
      <c r="AI228" s="22"/>
      <c r="AJ228" s="22"/>
      <c r="AK228" s="22"/>
      <c r="AL228" s="22"/>
      <c r="AM228" s="22"/>
      <c r="AN228" s="22"/>
      <c r="AO228" s="22"/>
      <c r="AP228" s="22"/>
      <c r="AQ228"/>
      <c r="AR228"/>
      <c r="AS228"/>
      <c r="AT228"/>
      <c r="AU228"/>
      <c r="AV228"/>
      <c r="AW228"/>
      <c r="AX228"/>
    </row>
    <row r="229" spans="1:50" outlineLevel="1">
      <c r="A229" s="104"/>
      <c r="B229" s="104" t="s">
        <v>1100</v>
      </c>
      <c r="C229" s="356">
        <f>+C31</f>
        <v>0</v>
      </c>
      <c r="D229" s="55">
        <f>+C229+D190+D191</f>
        <v>0</v>
      </c>
      <c r="E229" s="55">
        <f>+D229+E190+E191</f>
        <v>0</v>
      </c>
      <c r="F229" s="55">
        <f ca="1">+E229+F190+F191</f>
        <v>0</v>
      </c>
      <c r="G229" s="55">
        <f ca="1">+F229+G190+G191</f>
        <v>0</v>
      </c>
      <c r="AI229" s="22"/>
      <c r="AJ229" s="22"/>
      <c r="AK229" s="22"/>
      <c r="AL229" s="22"/>
      <c r="AM229" s="22"/>
      <c r="AN229" s="22"/>
      <c r="AO229" s="22"/>
      <c r="AP229" s="22"/>
      <c r="AQ229"/>
      <c r="AR229"/>
      <c r="AS229"/>
      <c r="AT229"/>
      <c r="AU229"/>
      <c r="AV229"/>
      <c r="AW229"/>
      <c r="AX229"/>
    </row>
    <row r="230" spans="1:50" outlineLevel="1">
      <c r="A230" s="104"/>
      <c r="C230" s="356"/>
      <c r="D230" s="55"/>
      <c r="E230" s="55"/>
      <c r="F230" s="55"/>
      <c r="G230" s="55"/>
      <c r="AI230" s="22"/>
      <c r="AJ230" s="22"/>
      <c r="AK230" s="22"/>
      <c r="AL230" s="22"/>
      <c r="AM230" s="22"/>
      <c r="AN230" s="22"/>
      <c r="AO230" s="22"/>
      <c r="AP230" s="22"/>
      <c r="AQ230"/>
      <c r="AR230"/>
      <c r="AS230"/>
      <c r="AT230"/>
      <c r="AU230"/>
      <c r="AV230"/>
      <c r="AW230"/>
      <c r="AX230"/>
    </row>
    <row r="231" spans="1:50" outlineLevel="1">
      <c r="A231" s="104"/>
      <c r="B231" s="104" t="s">
        <v>1102</v>
      </c>
      <c r="C231" s="356">
        <f>+C33</f>
        <v>0</v>
      </c>
      <c r="D231" s="55">
        <f ca="1">+C231+D193+D194</f>
        <v>0</v>
      </c>
      <c r="E231" s="55">
        <f ca="1">+D231+E193+E194</f>
        <v>0</v>
      </c>
      <c r="F231" s="55">
        <f ca="1">+E231+F193+F194</f>
        <v>0</v>
      </c>
      <c r="G231" s="55">
        <f ca="1">+F231+G193+G194</f>
        <v>0</v>
      </c>
      <c r="AI231" s="22"/>
      <c r="AJ231" s="22"/>
      <c r="AK231" s="22"/>
      <c r="AL231" s="22"/>
      <c r="AM231" s="22"/>
      <c r="AN231" s="22"/>
      <c r="AO231" s="22"/>
      <c r="AP231" s="22"/>
      <c r="AQ231"/>
      <c r="AR231"/>
      <c r="AS231"/>
      <c r="AT231"/>
      <c r="AU231"/>
      <c r="AV231"/>
      <c r="AW231"/>
      <c r="AX231"/>
    </row>
    <row r="232" spans="1:50" outlineLevel="1">
      <c r="A232" s="104"/>
      <c r="C232" s="356"/>
      <c r="D232" s="55"/>
      <c r="E232" s="55"/>
      <c r="F232" s="55"/>
      <c r="G232" s="55"/>
      <c r="I232" s="50"/>
      <c r="AI232" s="22"/>
      <c r="AJ232" s="22"/>
      <c r="AK232" s="22"/>
      <c r="AL232" s="22"/>
      <c r="AM232" s="22"/>
      <c r="AN232" s="22"/>
      <c r="AO232" s="22"/>
      <c r="AP232" s="22"/>
      <c r="AQ232"/>
      <c r="AR232"/>
      <c r="AS232"/>
      <c r="AT232"/>
      <c r="AU232"/>
      <c r="AV232"/>
      <c r="AW232"/>
      <c r="AX232"/>
    </row>
    <row r="233" spans="1:50" outlineLevel="1">
      <c r="A233" s="104"/>
      <c r="B233" s="104" t="s">
        <v>1103</v>
      </c>
      <c r="C233" s="356">
        <f>+C35</f>
        <v>0</v>
      </c>
      <c r="D233" s="55">
        <f ca="1">+C233+D196+D197</f>
        <v>0</v>
      </c>
      <c r="E233" s="55">
        <f ca="1">+D233+E196+E197</f>
        <v>0</v>
      </c>
      <c r="F233" s="55">
        <f ca="1">+E233+F196+F197</f>
        <v>0</v>
      </c>
      <c r="G233" s="55">
        <f ca="1">+F233+G196+G197</f>
        <v>0</v>
      </c>
      <c r="AI233" s="22"/>
      <c r="AJ233" s="22"/>
      <c r="AK233" s="22"/>
      <c r="AL233" s="22"/>
      <c r="AM233" s="22"/>
      <c r="AN233" s="22"/>
      <c r="AO233" s="22"/>
      <c r="AP233" s="22"/>
      <c r="AQ233"/>
      <c r="AR233"/>
      <c r="AS233"/>
      <c r="AT233"/>
      <c r="AU233"/>
      <c r="AV233"/>
      <c r="AW233"/>
      <c r="AX233"/>
    </row>
    <row r="234" spans="1:50" outlineLevel="1">
      <c r="A234" s="104"/>
      <c r="C234" s="356"/>
      <c r="D234" s="55"/>
      <c r="E234" s="55"/>
      <c r="F234" s="55"/>
      <c r="G234" s="55"/>
      <c r="AI234" s="22"/>
      <c r="AJ234" s="22"/>
      <c r="AK234" s="22"/>
      <c r="AL234" s="22"/>
      <c r="AM234" s="22"/>
      <c r="AN234" s="22"/>
      <c r="AO234" s="22"/>
      <c r="AP234" s="22"/>
      <c r="AQ234"/>
      <c r="AR234"/>
      <c r="AS234"/>
      <c r="AT234"/>
      <c r="AU234"/>
      <c r="AV234"/>
      <c r="AW234"/>
      <c r="AX234"/>
    </row>
    <row r="235" spans="1:50" outlineLevel="1">
      <c r="A235" s="104"/>
      <c r="B235" s="104" t="s">
        <v>1104</v>
      </c>
      <c r="C235" s="356"/>
      <c r="D235" s="55">
        <f>+C235+D199+D200</f>
        <v>0</v>
      </c>
      <c r="E235" s="55">
        <f>+D235+E199+E200</f>
        <v>0</v>
      </c>
      <c r="F235" s="55">
        <f>+E235+F199+F200</f>
        <v>0</v>
      </c>
      <c r="G235" s="55">
        <f>+F235+G199+G200</f>
        <v>0</v>
      </c>
      <c r="AI235" s="22"/>
      <c r="AJ235" s="22"/>
      <c r="AK235" s="22"/>
      <c r="AL235" s="22"/>
      <c r="AM235" s="22"/>
      <c r="AN235" s="22"/>
      <c r="AO235" s="22"/>
      <c r="AP235" s="22"/>
      <c r="AQ235"/>
      <c r="AR235"/>
      <c r="AS235"/>
      <c r="AT235"/>
      <c r="AU235"/>
      <c r="AV235"/>
      <c r="AW235"/>
      <c r="AX235"/>
    </row>
    <row r="236" spans="1:50" outlineLevel="1">
      <c r="A236" s="104"/>
      <c r="C236" s="356"/>
      <c r="D236" s="55"/>
      <c r="E236" s="55"/>
      <c r="F236" s="55"/>
      <c r="G236" s="55"/>
      <c r="AI236" s="22"/>
      <c r="AJ236" s="22"/>
      <c r="AK236" s="22"/>
      <c r="AL236" s="22"/>
      <c r="AM236" s="22"/>
      <c r="AN236" s="22"/>
      <c r="AO236" s="22"/>
      <c r="AP236" s="22"/>
      <c r="AQ236"/>
      <c r="AR236"/>
      <c r="AS236"/>
      <c r="AT236"/>
      <c r="AU236"/>
      <c r="AV236"/>
      <c r="AW236"/>
      <c r="AX236"/>
    </row>
    <row r="237" spans="1:50" outlineLevel="1">
      <c r="A237" s="104"/>
      <c r="B237" s="104" t="s">
        <v>1150</v>
      </c>
      <c r="C237" s="356">
        <f>+C39</f>
        <v>0</v>
      </c>
      <c r="D237" s="55">
        <f>+C237+D208+D209</f>
        <v>0</v>
      </c>
      <c r="E237" s="55">
        <f>+D237+E208+E209</f>
        <v>0</v>
      </c>
      <c r="F237" s="55">
        <f>+E237+F208+F209</f>
        <v>0</v>
      </c>
      <c r="G237" s="55">
        <f>+F237+G208+G209</f>
        <v>0</v>
      </c>
      <c r="AI237" s="22"/>
      <c r="AJ237" s="22"/>
      <c r="AK237" s="22"/>
      <c r="AL237" s="22"/>
      <c r="AM237" s="22"/>
      <c r="AN237" s="22"/>
      <c r="AO237" s="22"/>
      <c r="AP237" s="22"/>
      <c r="AQ237"/>
      <c r="AR237"/>
      <c r="AS237"/>
      <c r="AT237"/>
      <c r="AU237"/>
      <c r="AV237"/>
      <c r="AW237"/>
      <c r="AX237"/>
    </row>
    <row r="238" spans="1:50" outlineLevel="1">
      <c r="A238" s="104"/>
      <c r="B238" s="55"/>
      <c r="C238" s="356"/>
      <c r="D238" s="55"/>
      <c r="E238" s="55"/>
      <c r="F238" s="55"/>
      <c r="G238" s="55"/>
      <c r="AI238" s="22"/>
      <c r="AJ238" s="22"/>
      <c r="AK238" s="22"/>
      <c r="AL238" s="22"/>
      <c r="AM238" s="22"/>
      <c r="AN238" s="22"/>
      <c r="AO238" s="22"/>
      <c r="AP238" s="22"/>
      <c r="AQ238"/>
      <c r="AR238"/>
      <c r="AS238"/>
      <c r="AT238"/>
      <c r="AU238"/>
      <c r="AV238"/>
      <c r="AW238"/>
      <c r="AX238"/>
    </row>
    <row r="239" spans="1:50" outlineLevel="1">
      <c r="A239" s="104"/>
      <c r="B239" s="55" t="s">
        <v>1101</v>
      </c>
      <c r="C239" s="356">
        <f>+C41</f>
        <v>0</v>
      </c>
      <c r="D239" s="55">
        <f>+C239+D205+D206</f>
        <v>0</v>
      </c>
      <c r="E239" s="55">
        <f>+D239+E205+E206</f>
        <v>0</v>
      </c>
      <c r="F239" s="55">
        <f>+E239+F205+F206</f>
        <v>0</v>
      </c>
      <c r="G239" s="55">
        <f>+F239+G205+G206</f>
        <v>0</v>
      </c>
      <c r="AI239" s="22"/>
      <c r="AJ239" s="22"/>
      <c r="AK239" s="22"/>
      <c r="AL239" s="22"/>
      <c r="AM239" s="22"/>
      <c r="AN239" s="22"/>
      <c r="AO239" s="22"/>
      <c r="AP239" s="22"/>
      <c r="AQ239"/>
      <c r="AR239"/>
      <c r="AS239"/>
      <c r="AT239"/>
      <c r="AU239"/>
      <c r="AV239"/>
      <c r="AW239"/>
      <c r="AX239"/>
    </row>
    <row r="240" spans="1:50" outlineLevel="1">
      <c r="B240" s="55" t="str">
        <f>+B239&amp; " to settle"</f>
        <v>CHF to settle</v>
      </c>
      <c r="C240" s="356"/>
      <c r="D240" s="55"/>
      <c r="E240" s="55"/>
      <c r="F240" s="55"/>
      <c r="G240" s="55"/>
      <c r="AI240" s="22"/>
      <c r="AJ240" s="22"/>
      <c r="AK240" s="22"/>
      <c r="AL240" s="22"/>
      <c r="AM240" s="22"/>
      <c r="AN240" s="22"/>
      <c r="AO240" s="22"/>
      <c r="AP240" s="22"/>
      <c r="AQ240"/>
      <c r="AR240"/>
      <c r="AS240"/>
      <c r="AT240"/>
      <c r="AU240"/>
      <c r="AV240"/>
      <c r="AW240"/>
      <c r="AX240"/>
    </row>
    <row r="241" spans="2:50" outlineLevel="1">
      <c r="B241" s="55"/>
      <c r="C241" s="171"/>
      <c r="D241" s="55"/>
      <c r="E241" s="55"/>
      <c r="F241" s="55"/>
      <c r="G241" s="55"/>
      <c r="AI241" s="22"/>
      <c r="AJ241" s="22"/>
      <c r="AK241" s="22"/>
      <c r="AL241" s="22"/>
      <c r="AM241" s="22"/>
      <c r="AN241" s="22"/>
      <c r="AO241" s="22"/>
      <c r="AP241" s="22"/>
      <c r="AQ241"/>
      <c r="AR241"/>
      <c r="AS241"/>
      <c r="AT241"/>
      <c r="AU241"/>
      <c r="AV241"/>
      <c r="AW241"/>
      <c r="AX241"/>
    </row>
    <row r="242" spans="2:50" outlineLevel="1">
      <c r="B242" s="169"/>
      <c r="C242" s="172"/>
      <c r="D242" s="170"/>
      <c r="E242" s="170"/>
      <c r="F242" s="170"/>
      <c r="G242" s="170"/>
      <c r="AI242" s="22"/>
      <c r="AJ242" s="22"/>
      <c r="AK242" s="22"/>
      <c r="AL242" s="22"/>
      <c r="AM242" s="22"/>
      <c r="AN242" s="22"/>
      <c r="AO242" s="22"/>
      <c r="AP242" s="22"/>
      <c r="AQ242"/>
      <c r="AR242"/>
      <c r="AS242"/>
      <c r="AT242"/>
      <c r="AU242"/>
      <c r="AV242"/>
      <c r="AW242"/>
      <c r="AX242"/>
    </row>
    <row r="243" spans="2:50" outlineLevel="1">
      <c r="B243" s="124"/>
      <c r="C243" s="125"/>
      <c r="AI243" s="22"/>
      <c r="AJ243" s="22"/>
      <c r="AK243" s="22"/>
      <c r="AL243" s="22"/>
      <c r="AM243" s="22"/>
      <c r="AN243" s="22"/>
      <c r="AO243" s="22"/>
      <c r="AP243" s="22"/>
      <c r="AQ243"/>
      <c r="AR243"/>
      <c r="AS243"/>
      <c r="AT243"/>
      <c r="AU243"/>
      <c r="AV243"/>
      <c r="AW243"/>
      <c r="AX243"/>
    </row>
    <row r="244" spans="2:50" outlineLevel="1">
      <c r="B244" s="124"/>
      <c r="C244" s="125"/>
      <c r="AI244" s="22"/>
      <c r="AJ244" s="22"/>
      <c r="AK244" s="22"/>
      <c r="AL244" s="22"/>
      <c r="AM244" s="22"/>
      <c r="AN244" s="22"/>
      <c r="AO244" s="22"/>
      <c r="AP244" s="22"/>
      <c r="AQ244"/>
      <c r="AR244"/>
      <c r="AS244"/>
      <c r="AT244"/>
      <c r="AU244"/>
      <c r="AV244"/>
      <c r="AW244"/>
      <c r="AX244"/>
    </row>
    <row r="245" spans="2:50" outlineLevel="1">
      <c r="B245" s="126"/>
      <c r="C245" s="127"/>
      <c r="AI245" s="22"/>
      <c r="AJ245" s="22"/>
      <c r="AK245" s="22"/>
      <c r="AL245" s="22"/>
      <c r="AM245" s="22"/>
      <c r="AN245" s="22"/>
      <c r="AO245" s="22"/>
      <c r="AP245" s="22"/>
      <c r="AQ245"/>
      <c r="AR245"/>
      <c r="AS245"/>
      <c r="AT245"/>
      <c r="AU245"/>
      <c r="AV245"/>
      <c r="AW245"/>
      <c r="AX245"/>
    </row>
    <row r="246" spans="2:50">
      <c r="AI246" s="22"/>
      <c r="AJ246" s="22"/>
      <c r="AK246" s="22"/>
      <c r="AL246" s="22"/>
      <c r="AM246" s="22"/>
      <c r="AN246" s="22"/>
      <c r="AO246" s="22"/>
      <c r="AP246" s="22"/>
      <c r="AQ246"/>
      <c r="AR246"/>
      <c r="AS246"/>
      <c r="AT246"/>
      <c r="AU246"/>
      <c r="AV246"/>
      <c r="AW246"/>
      <c r="AX246"/>
    </row>
    <row r="247" spans="2:50">
      <c r="AI247" s="22"/>
      <c r="AJ247" s="22"/>
      <c r="AK247" s="22"/>
      <c r="AL247" s="22"/>
      <c r="AM247" s="22"/>
      <c r="AN247" s="22"/>
      <c r="AO247" s="22"/>
      <c r="AP247" s="22"/>
      <c r="AQ247"/>
      <c r="AR247"/>
      <c r="AS247"/>
      <c r="AT247"/>
      <c r="AU247"/>
      <c r="AV247"/>
      <c r="AW247"/>
      <c r="AX247"/>
    </row>
    <row r="248" spans="2:50">
      <c r="AI248" s="22"/>
      <c r="AJ248" s="22"/>
      <c r="AK248" s="22"/>
      <c r="AL248" s="22"/>
      <c r="AM248" s="22"/>
      <c r="AN248" s="22"/>
      <c r="AO248" s="22"/>
      <c r="AP248" s="22"/>
      <c r="AQ248"/>
      <c r="AR248"/>
      <c r="AS248"/>
      <c r="AT248"/>
      <c r="AU248"/>
      <c r="AV248"/>
      <c r="AW248"/>
      <c r="AX248"/>
    </row>
    <row r="249" spans="2:50">
      <c r="AI249" s="22"/>
      <c r="AJ249" s="22"/>
      <c r="AK249" s="22"/>
      <c r="AL249" s="22"/>
      <c r="AM249" s="22"/>
      <c r="AN249" s="22"/>
      <c r="AO249" s="22"/>
      <c r="AP249" s="22"/>
      <c r="AQ249"/>
      <c r="AR249"/>
      <c r="AS249"/>
      <c r="AT249"/>
      <c r="AU249"/>
      <c r="AV249"/>
      <c r="AW249"/>
      <c r="AX249"/>
    </row>
    <row r="250" spans="2:50">
      <c r="AI250" s="22"/>
      <c r="AJ250" s="22"/>
      <c r="AK250" s="22"/>
      <c r="AL250" s="22"/>
      <c r="AM250" s="22"/>
      <c r="AN250" s="22"/>
      <c r="AO250" s="22"/>
      <c r="AP250" s="22"/>
      <c r="AQ250"/>
      <c r="AR250"/>
      <c r="AS250"/>
      <c r="AT250"/>
      <c r="AU250"/>
      <c r="AV250"/>
      <c r="AW250"/>
      <c r="AX250"/>
    </row>
    <row r="251" spans="2:50">
      <c r="AI251" s="22"/>
      <c r="AJ251" s="22"/>
      <c r="AK251" s="22"/>
      <c r="AL251" s="22"/>
      <c r="AM251" s="22"/>
      <c r="AN251" s="22"/>
      <c r="AO251" s="22"/>
      <c r="AP251" s="22"/>
      <c r="AQ251"/>
      <c r="AR251"/>
      <c r="AS251"/>
      <c r="AT251"/>
      <c r="AU251"/>
      <c r="AV251"/>
      <c r="AW251"/>
      <c r="AX251"/>
    </row>
    <row r="252" spans="2:50">
      <c r="AI252" s="22"/>
      <c r="AJ252" s="22"/>
      <c r="AK252" s="22"/>
      <c r="AL252" s="22"/>
      <c r="AM252" s="22"/>
      <c r="AN252" s="22"/>
      <c r="AO252" s="22"/>
      <c r="AP252" s="22"/>
      <c r="AQ252"/>
      <c r="AR252"/>
      <c r="AS252"/>
      <c r="AT252"/>
      <c r="AU252"/>
      <c r="AV252"/>
      <c r="AW252"/>
      <c r="AX252"/>
    </row>
    <row r="253" spans="2:50">
      <c r="AI253" s="22"/>
      <c r="AJ253" s="22"/>
      <c r="AK253" s="22"/>
      <c r="AL253" s="22"/>
      <c r="AM253" s="22"/>
      <c r="AN253" s="22"/>
      <c r="AO253" s="22"/>
      <c r="AP253" s="22"/>
      <c r="AQ253"/>
      <c r="AR253"/>
      <c r="AS253"/>
      <c r="AT253"/>
      <c r="AU253"/>
      <c r="AV253"/>
      <c r="AW253"/>
      <c r="AX253"/>
    </row>
    <row r="254" spans="2:50">
      <c r="AI254" s="22"/>
      <c r="AJ254" s="22"/>
      <c r="AK254" s="22"/>
      <c r="AL254" s="22"/>
      <c r="AM254" s="22"/>
      <c r="AN254" s="22"/>
      <c r="AO254" s="22"/>
      <c r="AP254" s="22"/>
      <c r="AQ254"/>
      <c r="AR254"/>
      <c r="AS254"/>
      <c r="AT254"/>
      <c r="AU254"/>
      <c r="AV254"/>
      <c r="AW254"/>
      <c r="AX254"/>
    </row>
    <row r="255" spans="2:50">
      <c r="AI255" s="22"/>
      <c r="AJ255" s="22"/>
      <c r="AK255" s="22"/>
      <c r="AL255" s="22"/>
      <c r="AM255" s="22"/>
      <c r="AN255" s="22"/>
      <c r="AO255" s="22"/>
      <c r="AP255" s="22"/>
      <c r="AQ255"/>
      <c r="AR255"/>
      <c r="AS255"/>
      <c r="AT255"/>
      <c r="AU255"/>
      <c r="AV255"/>
      <c r="AW255"/>
      <c r="AX255"/>
    </row>
    <row r="256" spans="2:50">
      <c r="AI256" s="22"/>
      <c r="AJ256" s="22"/>
      <c r="AK256" s="22"/>
      <c r="AL256" s="22"/>
      <c r="AM256" s="22"/>
      <c r="AN256" s="22"/>
      <c r="AO256" s="22"/>
      <c r="AP256" s="22"/>
      <c r="AQ256"/>
      <c r="AR256"/>
      <c r="AS256"/>
      <c r="AT256"/>
      <c r="AU256"/>
      <c r="AV256"/>
      <c r="AW256"/>
      <c r="AX256"/>
    </row>
    <row r="257" spans="3:50">
      <c r="AI257" s="22"/>
      <c r="AJ257" s="22"/>
      <c r="AK257" s="22"/>
      <c r="AL257" s="22"/>
      <c r="AM257" s="22"/>
      <c r="AN257" s="22"/>
      <c r="AO257" s="22"/>
      <c r="AP257" s="22"/>
      <c r="AQ257"/>
      <c r="AR257"/>
      <c r="AS257"/>
      <c r="AT257"/>
      <c r="AU257"/>
      <c r="AV257"/>
      <c r="AW257"/>
      <c r="AX257"/>
    </row>
    <row r="258" spans="3:50">
      <c r="AI258" s="22"/>
      <c r="AJ258" s="22"/>
      <c r="AK258" s="22"/>
      <c r="AL258" s="22"/>
      <c r="AM258" s="22"/>
      <c r="AN258" s="22"/>
      <c r="AO258" s="22"/>
      <c r="AP258" s="22"/>
      <c r="AQ258"/>
      <c r="AR258"/>
      <c r="AS258"/>
      <c r="AT258"/>
      <c r="AU258"/>
      <c r="AV258"/>
      <c r="AW258"/>
      <c r="AX258"/>
    </row>
    <row r="259" spans="3:50">
      <c r="AI259" s="22"/>
      <c r="AJ259" s="22"/>
      <c r="AK259" s="22"/>
      <c r="AL259" s="22"/>
      <c r="AM259" s="22"/>
      <c r="AN259" s="22"/>
      <c r="AO259" s="22"/>
      <c r="AP259" s="22"/>
      <c r="AQ259"/>
      <c r="AR259"/>
      <c r="AS259"/>
      <c r="AT259"/>
      <c r="AU259"/>
      <c r="AV259"/>
      <c r="AW259"/>
      <c r="AX259"/>
    </row>
    <row r="260" spans="3:50">
      <c r="AI260" s="22"/>
      <c r="AJ260" s="22"/>
      <c r="AK260" s="22"/>
      <c r="AL260" s="22"/>
      <c r="AM260" s="22"/>
      <c r="AN260" s="22"/>
      <c r="AO260" s="22"/>
      <c r="AP260" s="22"/>
      <c r="AQ260"/>
      <c r="AR260"/>
      <c r="AS260"/>
      <c r="AT260"/>
      <c r="AU260"/>
      <c r="AV260"/>
      <c r="AW260"/>
      <c r="AX260"/>
    </row>
    <row r="261" spans="3:50">
      <c r="AI261" s="22"/>
      <c r="AJ261" s="22"/>
      <c r="AK261" s="22"/>
      <c r="AL261" s="22"/>
      <c r="AM261" s="22"/>
      <c r="AN261" s="22"/>
      <c r="AO261" s="22"/>
      <c r="AP261" s="22"/>
      <c r="AQ261"/>
      <c r="AR261"/>
      <c r="AS261"/>
      <c r="AT261"/>
      <c r="AU261"/>
      <c r="AV261"/>
      <c r="AW261"/>
      <c r="AX261"/>
    </row>
    <row r="262" spans="3:50">
      <c r="AI262" s="22"/>
      <c r="AJ262" s="22"/>
      <c r="AK262" s="22"/>
      <c r="AL262" s="22"/>
      <c r="AM262" s="22"/>
      <c r="AN262" s="22"/>
      <c r="AO262" s="22"/>
      <c r="AP262" s="22"/>
      <c r="AQ262"/>
      <c r="AR262"/>
      <c r="AS262"/>
      <c r="AT262"/>
      <c r="AU262"/>
      <c r="AV262"/>
      <c r="AW262"/>
      <c r="AX262"/>
    </row>
    <row r="263" spans="3:50">
      <c r="AI263" s="22"/>
      <c r="AJ263" s="22"/>
      <c r="AK263" s="22"/>
      <c r="AL263" s="22"/>
      <c r="AM263" s="22"/>
      <c r="AN263" s="22"/>
      <c r="AO263" s="22"/>
      <c r="AP263" s="22"/>
      <c r="AQ263"/>
      <c r="AR263"/>
      <c r="AS263"/>
      <c r="AT263"/>
      <c r="AU263"/>
      <c r="AV263"/>
      <c r="AW263"/>
      <c r="AX263"/>
    </row>
    <row r="264" spans="3:50">
      <c r="AI264" s="22"/>
      <c r="AJ264" s="22"/>
      <c r="AK264" s="22"/>
      <c r="AL264" s="22"/>
      <c r="AM264" s="22"/>
      <c r="AN264" s="22"/>
      <c r="AO264" s="22"/>
      <c r="AP264" s="22"/>
      <c r="AQ264"/>
      <c r="AR264"/>
      <c r="AS264"/>
      <c r="AT264"/>
      <c r="AU264"/>
      <c r="AV264"/>
      <c r="AW264"/>
      <c r="AX264"/>
    </row>
    <row r="265" spans="3:50">
      <c r="AI265" s="22"/>
      <c r="AJ265" s="22"/>
      <c r="AK265" s="22"/>
      <c r="AL265" s="22"/>
      <c r="AM265" s="22"/>
      <c r="AN265" s="22"/>
      <c r="AO265" s="22"/>
      <c r="AP265" s="22"/>
      <c r="AQ265"/>
      <c r="AR265"/>
      <c r="AS265"/>
      <c r="AT265"/>
      <c r="AU265"/>
      <c r="AV265"/>
      <c r="AW265"/>
      <c r="AX265"/>
    </row>
    <row r="266" spans="3:50">
      <c r="C266" s="160"/>
      <c r="D266" s="58"/>
      <c r="E266" s="54"/>
      <c r="AI266" s="22"/>
      <c r="AJ266" s="22"/>
      <c r="AK266" s="22"/>
      <c r="AL266" s="22"/>
      <c r="AM266" s="22"/>
      <c r="AN266" s="22"/>
      <c r="AO266" s="22"/>
      <c r="AP266" s="22"/>
      <c r="AQ266"/>
      <c r="AR266"/>
      <c r="AS266"/>
      <c r="AT266"/>
      <c r="AU266"/>
      <c r="AV266"/>
      <c r="AW266"/>
      <c r="AX266"/>
    </row>
    <row r="267" spans="3:50">
      <c r="AI267" s="22"/>
      <c r="AJ267" s="22"/>
      <c r="AK267" s="22"/>
      <c r="AL267" s="22"/>
      <c r="AM267" s="22"/>
      <c r="AN267" s="22"/>
      <c r="AO267" s="22"/>
      <c r="AP267" s="22"/>
      <c r="AQ267"/>
      <c r="AR267"/>
      <c r="AS267"/>
      <c r="AT267"/>
      <c r="AU267"/>
      <c r="AV267"/>
      <c r="AW267"/>
      <c r="AX267"/>
    </row>
    <row r="268" spans="3:50">
      <c r="AI268" s="22"/>
      <c r="AJ268" s="22"/>
      <c r="AK268" s="22"/>
      <c r="AL268" s="22"/>
      <c r="AM268" s="22"/>
      <c r="AN268" s="22"/>
      <c r="AO268" s="22"/>
      <c r="AP268" s="22"/>
      <c r="AQ268"/>
      <c r="AR268"/>
      <c r="AS268"/>
      <c r="AT268"/>
      <c r="AU268"/>
      <c r="AV268"/>
      <c r="AW268"/>
      <c r="AX268"/>
    </row>
    <row r="269" spans="3:50">
      <c r="AI269" s="22"/>
      <c r="AJ269" s="22"/>
      <c r="AK269" s="22"/>
      <c r="AL269" s="22"/>
      <c r="AM269" s="22"/>
      <c r="AN269" s="22"/>
      <c r="AO269" s="22"/>
      <c r="AP269" s="22"/>
      <c r="AQ269"/>
      <c r="AR269"/>
      <c r="AS269"/>
      <c r="AT269"/>
      <c r="AU269"/>
      <c r="AV269"/>
      <c r="AW269"/>
      <c r="AX269"/>
    </row>
    <row r="270" spans="3:50">
      <c r="AI270" s="22"/>
      <c r="AJ270" s="22"/>
      <c r="AK270" s="22"/>
      <c r="AL270" s="22"/>
      <c r="AM270" s="22"/>
      <c r="AN270" s="22"/>
      <c r="AO270" s="22"/>
      <c r="AP270" s="22"/>
      <c r="AQ270"/>
      <c r="AR270"/>
      <c r="AS270"/>
      <c r="AT270"/>
      <c r="AU270"/>
      <c r="AV270"/>
      <c r="AW270"/>
      <c r="AX270"/>
    </row>
    <row r="271" spans="3:50">
      <c r="AI271" s="22"/>
      <c r="AJ271" s="22"/>
      <c r="AK271" s="22"/>
      <c r="AL271" s="22"/>
      <c r="AM271" s="22"/>
      <c r="AN271" s="22"/>
      <c r="AO271" s="22"/>
      <c r="AP271" s="22"/>
      <c r="AQ271"/>
      <c r="AR271"/>
      <c r="AS271"/>
      <c r="AT271"/>
      <c r="AU271"/>
      <c r="AV271"/>
      <c r="AW271"/>
      <c r="AX271"/>
    </row>
    <row r="272" spans="3:50">
      <c r="AI272" s="22"/>
      <c r="AJ272" s="22"/>
      <c r="AK272" s="22"/>
      <c r="AL272" s="22"/>
      <c r="AM272" s="22"/>
      <c r="AN272" s="22"/>
      <c r="AO272" s="22"/>
      <c r="AP272" s="22"/>
      <c r="AQ272"/>
      <c r="AR272"/>
      <c r="AS272"/>
      <c r="AT272"/>
      <c r="AU272"/>
      <c r="AV272"/>
      <c r="AW272"/>
      <c r="AX272"/>
    </row>
    <row r="273" spans="35:50">
      <c r="AI273" s="22"/>
      <c r="AJ273" s="22"/>
      <c r="AK273" s="22"/>
      <c r="AL273" s="22"/>
      <c r="AM273" s="22"/>
      <c r="AN273" s="22"/>
      <c r="AO273" s="22"/>
      <c r="AP273" s="22"/>
      <c r="AQ273"/>
      <c r="AR273"/>
      <c r="AS273"/>
      <c r="AT273"/>
      <c r="AU273"/>
      <c r="AV273"/>
      <c r="AW273"/>
      <c r="AX273"/>
    </row>
    <row r="274" spans="35:50">
      <c r="AI274" s="22"/>
      <c r="AJ274" s="22"/>
      <c r="AK274" s="22"/>
      <c r="AL274" s="22"/>
      <c r="AM274" s="22"/>
      <c r="AN274" s="22"/>
      <c r="AO274" s="22"/>
      <c r="AP274" s="22"/>
      <c r="AQ274"/>
      <c r="AR274"/>
      <c r="AS274"/>
      <c r="AT274"/>
      <c r="AU274"/>
      <c r="AV274"/>
      <c r="AW274"/>
      <c r="AX274"/>
    </row>
    <row r="275" spans="35:50">
      <c r="AI275" s="22"/>
      <c r="AJ275" s="22"/>
      <c r="AK275" s="22"/>
      <c r="AL275" s="22"/>
      <c r="AM275" s="22"/>
      <c r="AN275" s="22"/>
      <c r="AO275" s="22"/>
      <c r="AP275" s="22"/>
      <c r="AQ275"/>
      <c r="AR275"/>
      <c r="AS275"/>
      <c r="AT275"/>
      <c r="AU275"/>
      <c r="AV275"/>
      <c r="AW275"/>
      <c r="AX275"/>
    </row>
    <row r="276" spans="35:50">
      <c r="AI276" s="22"/>
      <c r="AJ276" s="22"/>
      <c r="AK276" s="22"/>
      <c r="AL276" s="22"/>
      <c r="AM276" s="22"/>
      <c r="AN276" s="22"/>
      <c r="AO276" s="22"/>
      <c r="AP276" s="22"/>
      <c r="AQ276"/>
      <c r="AR276"/>
      <c r="AS276"/>
      <c r="AT276"/>
      <c r="AU276"/>
      <c r="AV276"/>
      <c r="AW276"/>
      <c r="AX276"/>
    </row>
    <row r="277" spans="35:50">
      <c r="AI277" s="22"/>
      <c r="AJ277" s="22"/>
      <c r="AK277" s="22"/>
      <c r="AL277" s="22"/>
      <c r="AM277" s="22"/>
      <c r="AN277" s="22"/>
      <c r="AO277" s="22"/>
      <c r="AP277" s="22"/>
      <c r="AQ277"/>
      <c r="AR277"/>
      <c r="AS277"/>
      <c r="AT277"/>
      <c r="AU277"/>
      <c r="AV277"/>
      <c r="AW277"/>
      <c r="AX277"/>
    </row>
    <row r="278" spans="35:50">
      <c r="AI278" s="22"/>
      <c r="AJ278" s="22"/>
      <c r="AK278" s="22"/>
      <c r="AL278" s="22"/>
      <c r="AM278" s="22"/>
      <c r="AN278" s="22"/>
      <c r="AO278" s="22"/>
      <c r="AP278" s="22"/>
      <c r="AQ278"/>
      <c r="AR278"/>
      <c r="AS278"/>
      <c r="AT278"/>
      <c r="AU278"/>
      <c r="AV278"/>
      <c r="AW278"/>
      <c r="AX278"/>
    </row>
    <row r="279" spans="35:50">
      <c r="AI279" s="22"/>
      <c r="AJ279" s="22"/>
      <c r="AK279" s="22"/>
      <c r="AL279" s="22"/>
      <c r="AM279" s="22"/>
      <c r="AN279" s="22"/>
      <c r="AO279" s="22"/>
      <c r="AP279" s="22"/>
      <c r="AQ279"/>
      <c r="AR279"/>
      <c r="AS279"/>
      <c r="AT279"/>
      <c r="AU279"/>
      <c r="AV279"/>
      <c r="AW279"/>
      <c r="AX279"/>
    </row>
    <row r="280" spans="35:50">
      <c r="AI280" s="22"/>
      <c r="AJ280" s="22"/>
      <c r="AK280" s="22"/>
      <c r="AL280" s="22"/>
      <c r="AM280" s="22"/>
      <c r="AN280" s="22"/>
      <c r="AO280" s="22"/>
      <c r="AP280" s="22"/>
      <c r="AQ280"/>
      <c r="AR280"/>
      <c r="AS280"/>
      <c r="AT280"/>
      <c r="AU280"/>
      <c r="AV280"/>
      <c r="AW280"/>
      <c r="AX280"/>
    </row>
    <row r="281" spans="35:50">
      <c r="AI281" s="22"/>
      <c r="AJ281" s="22"/>
      <c r="AK281" s="22"/>
      <c r="AL281" s="22"/>
      <c r="AM281" s="22"/>
      <c r="AN281" s="22"/>
      <c r="AO281" s="22"/>
      <c r="AP281" s="22"/>
      <c r="AQ281"/>
      <c r="AR281"/>
      <c r="AS281"/>
      <c r="AT281"/>
      <c r="AU281"/>
      <c r="AV281"/>
      <c r="AW281"/>
      <c r="AX281"/>
    </row>
    <row r="282" spans="35:50">
      <c r="AI282" s="22"/>
      <c r="AJ282" s="22"/>
      <c r="AK282" s="22"/>
      <c r="AL282" s="22"/>
      <c r="AM282" s="22"/>
      <c r="AN282" s="22"/>
      <c r="AO282" s="22"/>
      <c r="AP282" s="22"/>
      <c r="AQ282"/>
      <c r="AR282"/>
      <c r="AS282"/>
      <c r="AT282"/>
      <c r="AU282"/>
      <c r="AV282"/>
      <c r="AW282"/>
      <c r="AX282"/>
    </row>
    <row r="283" spans="35:50">
      <c r="AI283" s="22"/>
      <c r="AJ283" s="22"/>
      <c r="AK283" s="22"/>
      <c r="AL283" s="22"/>
      <c r="AM283" s="22"/>
      <c r="AN283" s="22"/>
      <c r="AO283" s="22"/>
      <c r="AP283" s="22"/>
      <c r="AQ283"/>
      <c r="AR283"/>
      <c r="AS283"/>
      <c r="AT283"/>
      <c r="AU283"/>
      <c r="AV283"/>
      <c r="AW283"/>
      <c r="AX283"/>
    </row>
    <row r="284" spans="35:50">
      <c r="AI284" s="22"/>
      <c r="AJ284" s="22"/>
      <c r="AK284" s="22"/>
      <c r="AL284" s="22"/>
      <c r="AM284" s="22"/>
      <c r="AN284" s="22"/>
      <c r="AO284" s="22"/>
      <c r="AP284" s="22"/>
      <c r="AQ284"/>
      <c r="AR284"/>
      <c r="AS284"/>
      <c r="AT284"/>
      <c r="AU284"/>
      <c r="AV284"/>
      <c r="AW284"/>
      <c r="AX284"/>
    </row>
    <row r="285" spans="35:50">
      <c r="AI285" s="22"/>
      <c r="AJ285" s="22"/>
      <c r="AK285" s="22"/>
      <c r="AL285" s="22"/>
      <c r="AM285" s="22"/>
      <c r="AN285" s="22"/>
      <c r="AO285" s="22"/>
      <c r="AP285" s="22"/>
      <c r="AQ285"/>
      <c r="AR285"/>
      <c r="AS285"/>
      <c r="AT285"/>
      <c r="AU285"/>
      <c r="AV285"/>
      <c r="AW285"/>
      <c r="AX285"/>
    </row>
    <row r="286" spans="35:50">
      <c r="AI286" s="22"/>
      <c r="AJ286" s="22"/>
      <c r="AK286" s="22"/>
      <c r="AL286" s="22"/>
      <c r="AM286" s="22"/>
      <c r="AN286" s="22"/>
      <c r="AO286" s="22"/>
      <c r="AP286" s="22"/>
      <c r="AQ286"/>
      <c r="AR286"/>
      <c r="AS286"/>
      <c r="AT286"/>
      <c r="AU286"/>
      <c r="AV286"/>
      <c r="AW286"/>
      <c r="AX286"/>
    </row>
    <row r="287" spans="35:50">
      <c r="AI287" s="22"/>
      <c r="AJ287" s="22"/>
      <c r="AK287" s="22"/>
      <c r="AL287" s="22"/>
      <c r="AM287" s="22"/>
      <c r="AN287" s="22"/>
      <c r="AO287" s="22"/>
      <c r="AP287" s="22"/>
      <c r="AQ287"/>
      <c r="AR287"/>
      <c r="AS287"/>
      <c r="AT287"/>
      <c r="AU287"/>
      <c r="AV287"/>
      <c r="AW287"/>
      <c r="AX287"/>
    </row>
    <row r="288" spans="35:50">
      <c r="AI288" s="22"/>
      <c r="AJ288" s="22"/>
      <c r="AK288" s="22"/>
      <c r="AL288" s="22"/>
      <c r="AM288" s="22"/>
      <c r="AN288" s="22"/>
      <c r="AO288" s="22"/>
      <c r="AP288" s="22"/>
      <c r="AQ288"/>
      <c r="AR288"/>
      <c r="AS288"/>
      <c r="AT288"/>
      <c r="AU288"/>
      <c r="AV288"/>
      <c r="AW288"/>
      <c r="AX288"/>
    </row>
    <row r="289" spans="35:50">
      <c r="AI289" s="22"/>
      <c r="AJ289" s="22"/>
      <c r="AK289" s="22"/>
      <c r="AL289" s="22"/>
      <c r="AM289" s="22"/>
      <c r="AN289" s="22"/>
      <c r="AO289" s="22"/>
      <c r="AP289" s="22"/>
      <c r="AQ289"/>
      <c r="AR289"/>
      <c r="AS289"/>
      <c r="AT289"/>
      <c r="AU289"/>
      <c r="AV289"/>
      <c r="AW289"/>
      <c r="AX289"/>
    </row>
    <row r="290" spans="35:50">
      <c r="AI290" s="22"/>
      <c r="AJ290" s="22"/>
      <c r="AK290" s="22"/>
      <c r="AL290" s="22"/>
      <c r="AM290" s="22"/>
      <c r="AN290" s="22"/>
      <c r="AO290" s="22"/>
      <c r="AP290" s="22"/>
      <c r="AQ290"/>
      <c r="AR290"/>
      <c r="AS290"/>
      <c r="AT290"/>
      <c r="AU290"/>
      <c r="AV290"/>
      <c r="AW290"/>
      <c r="AX290"/>
    </row>
    <row r="291" spans="35:50">
      <c r="AI291" s="22"/>
      <c r="AJ291" s="22"/>
      <c r="AK291" s="22"/>
      <c r="AL291" s="22"/>
      <c r="AM291" s="22"/>
      <c r="AN291" s="22"/>
      <c r="AO291" s="22"/>
      <c r="AP291" s="22"/>
      <c r="AQ291"/>
      <c r="AR291"/>
      <c r="AS291"/>
      <c r="AT291"/>
      <c r="AU291"/>
      <c r="AV291"/>
      <c r="AW291"/>
      <c r="AX291"/>
    </row>
    <row r="292" spans="35:50">
      <c r="AI292" s="22"/>
      <c r="AJ292" s="22"/>
      <c r="AK292" s="22"/>
      <c r="AL292" s="22"/>
      <c r="AM292" s="22"/>
      <c r="AN292" s="22"/>
      <c r="AO292" s="22"/>
      <c r="AP292" s="22"/>
      <c r="AQ292"/>
      <c r="AR292"/>
      <c r="AS292"/>
      <c r="AT292"/>
      <c r="AU292"/>
      <c r="AV292"/>
      <c r="AW292"/>
      <c r="AX292"/>
    </row>
    <row r="293" spans="35:50">
      <c r="AI293" s="22"/>
      <c r="AJ293" s="22"/>
      <c r="AK293" s="22"/>
      <c r="AL293" s="22"/>
      <c r="AM293" s="22"/>
      <c r="AN293" s="22"/>
      <c r="AO293" s="22"/>
      <c r="AP293" s="22"/>
      <c r="AQ293"/>
      <c r="AR293"/>
      <c r="AS293"/>
      <c r="AT293"/>
      <c r="AU293"/>
      <c r="AV293"/>
      <c r="AW293"/>
      <c r="AX293"/>
    </row>
    <row r="294" spans="35:50">
      <c r="AI294" s="22"/>
      <c r="AJ294" s="22"/>
      <c r="AK294" s="22"/>
      <c r="AL294" s="22"/>
      <c r="AM294" s="22"/>
      <c r="AN294" s="22"/>
      <c r="AO294" s="22"/>
      <c r="AP294" s="22"/>
      <c r="AQ294"/>
      <c r="AR294"/>
      <c r="AS294"/>
      <c r="AT294"/>
      <c r="AU294"/>
      <c r="AV294"/>
      <c r="AW294"/>
      <c r="AX294"/>
    </row>
    <row r="295" spans="35:50">
      <c r="AI295" s="22"/>
      <c r="AJ295" s="22"/>
      <c r="AK295" s="22"/>
      <c r="AL295" s="22"/>
      <c r="AM295" s="22"/>
      <c r="AN295" s="22"/>
      <c r="AO295" s="22"/>
      <c r="AP295" s="22"/>
      <c r="AQ295"/>
      <c r="AR295"/>
      <c r="AS295"/>
      <c r="AT295"/>
      <c r="AU295"/>
      <c r="AV295"/>
      <c r="AW295"/>
      <c r="AX295"/>
    </row>
    <row r="296" spans="35:50">
      <c r="AI296" s="22"/>
      <c r="AJ296" s="22"/>
      <c r="AK296" s="22"/>
      <c r="AL296" s="22"/>
      <c r="AM296" s="22"/>
      <c r="AN296" s="22"/>
      <c r="AO296" s="22"/>
      <c r="AP296" s="22"/>
      <c r="AQ296"/>
      <c r="AR296"/>
      <c r="AS296"/>
      <c r="AT296"/>
      <c r="AU296"/>
      <c r="AV296"/>
      <c r="AW296"/>
      <c r="AX296"/>
    </row>
    <row r="297" spans="35:50">
      <c r="AI297" s="22"/>
      <c r="AJ297" s="22"/>
      <c r="AK297" s="22"/>
      <c r="AL297" s="22"/>
      <c r="AM297" s="22"/>
      <c r="AN297" s="22"/>
      <c r="AO297" s="22"/>
      <c r="AP297" s="22"/>
      <c r="AQ297"/>
      <c r="AR297"/>
      <c r="AS297"/>
      <c r="AT297"/>
      <c r="AU297"/>
      <c r="AV297"/>
      <c r="AW297"/>
      <c r="AX297"/>
    </row>
    <row r="298" spans="35:50">
      <c r="AI298" s="22"/>
      <c r="AJ298" s="22"/>
      <c r="AK298" s="22"/>
      <c r="AL298" s="22"/>
      <c r="AM298" s="22"/>
      <c r="AN298" s="22"/>
      <c r="AO298" s="22"/>
      <c r="AP298" s="22"/>
      <c r="AQ298"/>
      <c r="AR298"/>
      <c r="AS298"/>
      <c r="AT298"/>
      <c r="AU298"/>
      <c r="AV298"/>
      <c r="AW298"/>
      <c r="AX298"/>
    </row>
    <row r="299" spans="35:50">
      <c r="AI299" s="22"/>
      <c r="AJ299" s="22"/>
      <c r="AK299" s="22"/>
      <c r="AL299" s="22"/>
      <c r="AM299" s="22"/>
      <c r="AN299" s="22"/>
      <c r="AO299" s="22"/>
      <c r="AP299" s="22"/>
      <c r="AQ299"/>
      <c r="AR299"/>
      <c r="AS299"/>
      <c r="AT299"/>
      <c r="AU299"/>
      <c r="AV299"/>
      <c r="AW299"/>
      <c r="AX299"/>
    </row>
    <row r="300" spans="35:50">
      <c r="AI300" s="22"/>
      <c r="AJ300" s="22"/>
      <c r="AK300" s="22"/>
      <c r="AL300" s="22"/>
      <c r="AM300" s="22"/>
      <c r="AN300" s="22"/>
      <c r="AO300" s="22"/>
      <c r="AP300" s="22"/>
      <c r="AQ300"/>
      <c r="AR300"/>
      <c r="AS300"/>
      <c r="AT300"/>
      <c r="AU300"/>
      <c r="AV300"/>
      <c r="AW300"/>
      <c r="AX300"/>
    </row>
    <row r="301" spans="35:50">
      <c r="AI301" s="22"/>
      <c r="AJ301" s="22"/>
      <c r="AK301" s="22"/>
      <c r="AL301" s="22"/>
      <c r="AM301" s="22"/>
      <c r="AN301" s="22"/>
      <c r="AO301" s="22"/>
      <c r="AP301" s="22"/>
      <c r="AQ301"/>
      <c r="AR301"/>
      <c r="AS301"/>
      <c r="AT301"/>
      <c r="AU301"/>
      <c r="AV301"/>
      <c r="AW301"/>
      <c r="AX301"/>
    </row>
    <row r="302" spans="35:50">
      <c r="AI302" s="22"/>
      <c r="AJ302" s="22"/>
      <c r="AK302" s="22"/>
      <c r="AL302" s="22"/>
      <c r="AM302" s="22"/>
      <c r="AN302" s="22"/>
      <c r="AO302" s="22"/>
      <c r="AP302" s="22"/>
      <c r="AQ302"/>
      <c r="AR302"/>
      <c r="AS302"/>
      <c r="AT302"/>
      <c r="AU302"/>
      <c r="AV302"/>
      <c r="AW302"/>
      <c r="AX302"/>
    </row>
    <row r="303" spans="35:50">
      <c r="AI303" s="22"/>
      <c r="AJ303" s="22"/>
      <c r="AK303" s="22"/>
      <c r="AL303" s="22"/>
      <c r="AM303" s="22"/>
      <c r="AN303" s="22"/>
      <c r="AO303" s="22"/>
      <c r="AP303" s="22"/>
      <c r="AQ303"/>
      <c r="AR303"/>
      <c r="AS303"/>
      <c r="AT303"/>
      <c r="AU303"/>
      <c r="AV303"/>
      <c r="AW303"/>
      <c r="AX303"/>
    </row>
    <row r="304" spans="35:50">
      <c r="AI304" s="22"/>
      <c r="AJ304" s="22"/>
      <c r="AK304" s="22"/>
      <c r="AL304" s="22"/>
      <c r="AM304" s="22"/>
      <c r="AN304" s="22"/>
      <c r="AO304" s="22"/>
      <c r="AP304" s="22"/>
      <c r="AQ304"/>
      <c r="AR304"/>
      <c r="AS304"/>
      <c r="AT304"/>
      <c r="AU304"/>
      <c r="AV304"/>
      <c r="AW304"/>
      <c r="AX304"/>
    </row>
    <row r="305" spans="35:50">
      <c r="AI305" s="22"/>
      <c r="AJ305" s="22"/>
      <c r="AK305" s="22"/>
      <c r="AL305" s="22"/>
      <c r="AM305" s="22"/>
      <c r="AN305" s="22"/>
      <c r="AO305" s="22"/>
      <c r="AP305" s="22"/>
      <c r="AQ305"/>
      <c r="AR305"/>
      <c r="AS305"/>
      <c r="AT305"/>
      <c r="AU305"/>
      <c r="AV305"/>
      <c r="AW305"/>
      <c r="AX305"/>
    </row>
    <row r="306" spans="35:50">
      <c r="AI306" s="22"/>
      <c r="AJ306" s="22"/>
      <c r="AK306" s="22"/>
      <c r="AL306" s="22"/>
      <c r="AM306" s="22"/>
      <c r="AN306" s="22"/>
      <c r="AO306" s="22"/>
      <c r="AP306" s="22"/>
      <c r="AQ306"/>
      <c r="AR306"/>
      <c r="AS306"/>
      <c r="AT306"/>
      <c r="AU306"/>
      <c r="AV306"/>
      <c r="AW306"/>
      <c r="AX306"/>
    </row>
    <row r="307" spans="35:50">
      <c r="AI307" s="22"/>
      <c r="AJ307" s="22"/>
      <c r="AK307" s="22"/>
      <c r="AL307" s="22"/>
      <c r="AM307" s="22"/>
      <c r="AN307" s="22"/>
      <c r="AO307" s="22"/>
      <c r="AP307" s="22"/>
      <c r="AQ307"/>
      <c r="AR307"/>
      <c r="AS307"/>
      <c r="AT307"/>
      <c r="AU307"/>
      <c r="AV307"/>
      <c r="AW307"/>
      <c r="AX307"/>
    </row>
    <row r="308" spans="35:50">
      <c r="AI308" s="22"/>
      <c r="AJ308" s="22"/>
      <c r="AK308" s="22"/>
      <c r="AL308" s="22"/>
      <c r="AM308" s="22"/>
      <c r="AN308" s="22"/>
      <c r="AO308" s="22"/>
      <c r="AP308" s="22"/>
      <c r="AQ308"/>
      <c r="AR308"/>
      <c r="AS308"/>
      <c r="AT308"/>
      <c r="AU308"/>
      <c r="AV308"/>
      <c r="AW308"/>
      <c r="AX308"/>
    </row>
    <row r="309" spans="35:50">
      <c r="AI309" s="22"/>
      <c r="AJ309" s="22"/>
      <c r="AK309" s="22"/>
      <c r="AL309" s="22"/>
      <c r="AM309" s="22"/>
      <c r="AN309" s="22"/>
      <c r="AO309" s="22"/>
      <c r="AP309" s="22"/>
      <c r="AQ309"/>
      <c r="AR309"/>
      <c r="AS309"/>
      <c r="AT309"/>
      <c r="AU309"/>
      <c r="AV309"/>
      <c r="AW309"/>
      <c r="AX309"/>
    </row>
    <row r="310" spans="35:50">
      <c r="AI310" s="22"/>
      <c r="AJ310" s="22"/>
      <c r="AK310" s="22"/>
      <c r="AL310" s="22"/>
      <c r="AM310" s="22"/>
      <c r="AN310" s="22"/>
      <c r="AO310" s="22"/>
      <c r="AP310" s="22"/>
      <c r="AQ310"/>
      <c r="AR310"/>
      <c r="AS310"/>
      <c r="AT310"/>
      <c r="AU310"/>
      <c r="AV310"/>
      <c r="AW310"/>
      <c r="AX310"/>
    </row>
    <row r="311" spans="35:50">
      <c r="AI311" s="22"/>
      <c r="AJ311" s="22"/>
      <c r="AK311" s="22"/>
      <c r="AL311" s="22"/>
      <c r="AM311" s="22"/>
      <c r="AN311" s="22"/>
      <c r="AO311" s="22"/>
      <c r="AP311" s="22"/>
      <c r="AQ311"/>
      <c r="AR311"/>
      <c r="AS311"/>
      <c r="AT311"/>
      <c r="AU311"/>
      <c r="AV311"/>
      <c r="AW311"/>
      <c r="AX311"/>
    </row>
    <row r="312" spans="35:50">
      <c r="AI312" s="22"/>
      <c r="AJ312" s="22"/>
      <c r="AK312" s="22"/>
      <c r="AL312" s="22"/>
      <c r="AM312" s="22"/>
      <c r="AN312" s="22"/>
      <c r="AO312" s="22"/>
      <c r="AP312" s="22"/>
      <c r="AQ312"/>
      <c r="AR312"/>
      <c r="AS312"/>
      <c r="AT312"/>
      <c r="AU312"/>
      <c r="AV312"/>
      <c r="AW312"/>
      <c r="AX312"/>
    </row>
    <row r="313" spans="35:50">
      <c r="AI313" s="22"/>
      <c r="AJ313" s="22"/>
      <c r="AK313" s="22"/>
      <c r="AL313" s="22"/>
      <c r="AM313" s="22"/>
      <c r="AN313" s="22"/>
      <c r="AO313" s="22"/>
      <c r="AP313" s="22"/>
      <c r="AQ313"/>
      <c r="AR313"/>
      <c r="AS313"/>
      <c r="AT313"/>
      <c r="AU313"/>
      <c r="AV313"/>
      <c r="AW313"/>
      <c r="AX313"/>
    </row>
    <row r="314" spans="35:50">
      <c r="AI314" s="22"/>
      <c r="AJ314" s="22"/>
      <c r="AK314" s="22"/>
      <c r="AL314" s="22"/>
      <c r="AM314" s="22"/>
      <c r="AN314" s="22"/>
      <c r="AO314" s="22"/>
      <c r="AP314" s="22"/>
      <c r="AQ314"/>
      <c r="AR314"/>
      <c r="AS314"/>
      <c r="AT314"/>
      <c r="AU314"/>
      <c r="AV314"/>
      <c r="AW314"/>
      <c r="AX314"/>
    </row>
    <row r="315" spans="35:50">
      <c r="AI315" s="22"/>
      <c r="AJ315" s="22"/>
      <c r="AK315" s="22"/>
      <c r="AL315" s="22"/>
      <c r="AM315" s="22"/>
      <c r="AN315" s="22"/>
      <c r="AO315" s="22"/>
      <c r="AP315" s="22"/>
      <c r="AQ315"/>
      <c r="AR315"/>
      <c r="AS315"/>
      <c r="AT315"/>
      <c r="AU315"/>
      <c r="AV315"/>
      <c r="AW315"/>
      <c r="AX315"/>
    </row>
    <row r="316" spans="35:50">
      <c r="AI316" s="22"/>
      <c r="AJ316" s="22"/>
      <c r="AK316" s="22"/>
      <c r="AL316" s="22"/>
      <c r="AM316" s="22"/>
      <c r="AN316" s="22"/>
      <c r="AO316" s="22"/>
      <c r="AP316" s="22"/>
      <c r="AQ316"/>
      <c r="AR316"/>
      <c r="AS316"/>
      <c r="AT316"/>
      <c r="AU316"/>
      <c r="AV316"/>
      <c r="AW316"/>
      <c r="AX316"/>
    </row>
    <row r="317" spans="35:50">
      <c r="AI317" s="22"/>
      <c r="AJ317" s="22"/>
      <c r="AK317" s="22"/>
      <c r="AL317" s="22"/>
      <c r="AM317" s="22"/>
      <c r="AN317" s="22"/>
      <c r="AO317" s="22"/>
      <c r="AP317" s="22"/>
      <c r="AQ317"/>
      <c r="AR317"/>
      <c r="AS317"/>
      <c r="AT317"/>
      <c r="AU317"/>
      <c r="AV317"/>
      <c r="AW317"/>
      <c r="AX317"/>
    </row>
    <row r="318" spans="35:50">
      <c r="AI318" s="22"/>
      <c r="AJ318" s="22"/>
      <c r="AK318" s="22"/>
      <c r="AL318" s="22"/>
      <c r="AM318" s="22"/>
      <c r="AN318" s="22"/>
      <c r="AO318" s="22"/>
      <c r="AP318" s="22"/>
      <c r="AQ318"/>
      <c r="AR318"/>
      <c r="AS318"/>
      <c r="AT318"/>
      <c r="AU318"/>
      <c r="AV318"/>
      <c r="AW318"/>
      <c r="AX318"/>
    </row>
    <row r="319" spans="35:50">
      <c r="AI319" s="22"/>
      <c r="AJ319" s="22"/>
      <c r="AK319" s="22"/>
      <c r="AL319" s="22"/>
      <c r="AM319" s="22"/>
      <c r="AN319" s="22"/>
      <c r="AO319" s="22"/>
      <c r="AP319" s="22"/>
      <c r="AQ319"/>
      <c r="AR319"/>
      <c r="AS319"/>
      <c r="AT319"/>
      <c r="AU319"/>
      <c r="AV319"/>
      <c r="AW319"/>
      <c r="AX319"/>
    </row>
    <row r="320" spans="35:50">
      <c r="AI320" s="22"/>
      <c r="AJ320" s="22"/>
      <c r="AK320" s="22"/>
      <c r="AL320" s="22"/>
      <c r="AM320" s="22"/>
      <c r="AN320" s="22"/>
      <c r="AO320" s="22"/>
      <c r="AP320" s="22"/>
      <c r="AQ320"/>
      <c r="AR320"/>
      <c r="AS320"/>
      <c r="AT320"/>
      <c r="AU320"/>
      <c r="AV320"/>
      <c r="AW320"/>
      <c r="AX320"/>
    </row>
    <row r="321" spans="35:50">
      <c r="AI321" s="22"/>
      <c r="AJ321" s="22"/>
      <c r="AK321" s="22"/>
      <c r="AL321" s="22"/>
      <c r="AM321" s="22"/>
      <c r="AN321" s="22"/>
      <c r="AO321" s="22"/>
      <c r="AP321" s="22"/>
      <c r="AQ321"/>
      <c r="AR321"/>
      <c r="AS321"/>
      <c r="AT321"/>
      <c r="AU321"/>
      <c r="AV321"/>
      <c r="AW321"/>
      <c r="AX321"/>
    </row>
    <row r="322" spans="35:50">
      <c r="AI322" s="22"/>
      <c r="AJ322" s="22"/>
      <c r="AK322" s="22"/>
      <c r="AL322" s="22"/>
      <c r="AM322" s="22"/>
      <c r="AN322" s="22"/>
      <c r="AO322" s="22"/>
      <c r="AP322" s="22"/>
      <c r="AQ322"/>
      <c r="AR322"/>
      <c r="AS322"/>
      <c r="AT322"/>
      <c r="AU322"/>
      <c r="AV322"/>
      <c r="AW322"/>
      <c r="AX322"/>
    </row>
    <row r="323" spans="35:50">
      <c r="AI323" s="22"/>
      <c r="AJ323" s="22"/>
      <c r="AK323" s="22"/>
      <c r="AL323" s="22"/>
      <c r="AM323" s="22"/>
      <c r="AN323" s="22"/>
      <c r="AO323" s="22"/>
      <c r="AP323" s="22"/>
      <c r="AQ323"/>
      <c r="AR323"/>
      <c r="AS323"/>
      <c r="AT323"/>
      <c r="AU323"/>
      <c r="AV323"/>
      <c r="AW323"/>
      <c r="AX323"/>
    </row>
    <row r="324" spans="35:50">
      <c r="AI324" s="22"/>
      <c r="AJ324" s="22"/>
      <c r="AK324" s="22"/>
      <c r="AL324" s="22"/>
      <c r="AM324" s="22"/>
      <c r="AN324" s="22"/>
      <c r="AO324" s="22"/>
      <c r="AP324" s="22"/>
      <c r="AQ324"/>
      <c r="AR324"/>
      <c r="AS324"/>
      <c r="AT324"/>
      <c r="AU324"/>
      <c r="AV324"/>
      <c r="AW324"/>
      <c r="AX324"/>
    </row>
    <row r="325" spans="35:50">
      <c r="AI325" s="22"/>
      <c r="AJ325" s="22"/>
      <c r="AK325" s="22"/>
      <c r="AL325" s="22"/>
      <c r="AM325" s="22"/>
      <c r="AN325" s="22"/>
      <c r="AO325" s="22"/>
      <c r="AP325" s="22"/>
      <c r="AQ325"/>
      <c r="AR325"/>
      <c r="AS325"/>
      <c r="AT325"/>
      <c r="AU325"/>
      <c r="AV325"/>
      <c r="AW325"/>
      <c r="AX325"/>
    </row>
    <row r="326" spans="35:50">
      <c r="AI326" s="22"/>
      <c r="AJ326" s="22"/>
      <c r="AK326" s="22"/>
      <c r="AL326" s="22"/>
      <c r="AM326" s="22"/>
      <c r="AN326" s="22"/>
      <c r="AO326" s="22"/>
      <c r="AP326" s="22"/>
      <c r="AQ326"/>
      <c r="AR326"/>
      <c r="AS326"/>
      <c r="AT326"/>
      <c r="AU326"/>
      <c r="AV326"/>
      <c r="AW326"/>
      <c r="AX326"/>
    </row>
    <row r="327" spans="35:50">
      <c r="AI327" s="22"/>
      <c r="AJ327" s="22"/>
      <c r="AK327" s="22"/>
      <c r="AL327" s="22"/>
      <c r="AM327" s="22"/>
      <c r="AN327" s="22"/>
      <c r="AO327" s="22"/>
      <c r="AP327" s="22"/>
      <c r="AQ327"/>
      <c r="AR327"/>
      <c r="AS327"/>
      <c r="AT327"/>
      <c r="AU327"/>
      <c r="AV327"/>
      <c r="AW327"/>
      <c r="AX327"/>
    </row>
    <row r="328" spans="35:50">
      <c r="AI328" s="22"/>
      <c r="AJ328" s="22"/>
      <c r="AK328" s="22"/>
      <c r="AL328" s="22"/>
      <c r="AM328" s="22"/>
      <c r="AN328" s="22"/>
      <c r="AO328" s="22"/>
      <c r="AP328" s="22"/>
      <c r="AQ328"/>
      <c r="AR328"/>
      <c r="AS328"/>
      <c r="AT328"/>
      <c r="AU328"/>
      <c r="AV328"/>
      <c r="AW328"/>
      <c r="AX328"/>
    </row>
    <row r="329" spans="35:50">
      <c r="AI329" s="22"/>
      <c r="AJ329" s="22"/>
      <c r="AK329" s="22"/>
      <c r="AL329" s="22"/>
      <c r="AM329" s="22"/>
      <c r="AN329" s="22"/>
      <c r="AO329" s="22"/>
      <c r="AP329" s="22"/>
      <c r="AQ329"/>
      <c r="AR329"/>
      <c r="AS329"/>
      <c r="AT329"/>
      <c r="AU329"/>
      <c r="AV329"/>
      <c r="AW329"/>
      <c r="AX329"/>
    </row>
    <row r="330" spans="35:50">
      <c r="AI330" s="22"/>
      <c r="AJ330" s="22"/>
      <c r="AK330" s="22"/>
      <c r="AL330" s="22"/>
      <c r="AM330" s="22"/>
      <c r="AN330" s="22"/>
      <c r="AO330" s="22"/>
      <c r="AP330" s="22"/>
      <c r="AQ330"/>
      <c r="AR330"/>
      <c r="AS330"/>
      <c r="AT330"/>
      <c r="AU330"/>
      <c r="AV330"/>
      <c r="AW330"/>
      <c r="AX330"/>
    </row>
    <row r="331" spans="35:50">
      <c r="AI331" s="22"/>
      <c r="AJ331" s="22"/>
      <c r="AK331" s="22"/>
      <c r="AL331" s="22"/>
      <c r="AM331" s="22"/>
      <c r="AN331" s="22"/>
      <c r="AO331" s="22"/>
      <c r="AP331" s="22"/>
      <c r="AQ331"/>
      <c r="AR331"/>
      <c r="AS331"/>
      <c r="AT331"/>
      <c r="AU331"/>
      <c r="AV331"/>
      <c r="AW331"/>
      <c r="AX331"/>
    </row>
    <row r="332" spans="35:50">
      <c r="AI332" s="22"/>
      <c r="AJ332" s="22"/>
      <c r="AK332" s="22"/>
      <c r="AL332" s="22"/>
      <c r="AM332" s="22"/>
      <c r="AN332" s="22"/>
      <c r="AO332" s="22"/>
      <c r="AP332" s="22"/>
      <c r="AQ332"/>
      <c r="AR332"/>
      <c r="AS332"/>
      <c r="AT332"/>
      <c r="AU332"/>
      <c r="AV332"/>
      <c r="AW332"/>
      <c r="AX332"/>
    </row>
    <row r="333" spans="35:50">
      <c r="AI333" s="22"/>
      <c r="AJ333" s="22"/>
      <c r="AK333" s="22"/>
      <c r="AL333" s="22"/>
      <c r="AM333" s="22"/>
      <c r="AN333" s="22"/>
      <c r="AO333" s="22"/>
      <c r="AP333" s="22"/>
      <c r="AQ333"/>
      <c r="AR333"/>
      <c r="AS333"/>
      <c r="AT333"/>
      <c r="AU333"/>
      <c r="AV333"/>
      <c r="AW333"/>
      <c r="AX333"/>
    </row>
    <row r="334" spans="35:50">
      <c r="AI334" s="22"/>
      <c r="AJ334" s="22"/>
      <c r="AK334" s="22"/>
      <c r="AL334" s="22"/>
      <c r="AM334" s="22"/>
      <c r="AN334" s="22"/>
      <c r="AO334" s="22"/>
      <c r="AP334" s="22"/>
      <c r="AQ334"/>
      <c r="AR334"/>
      <c r="AS334"/>
      <c r="AT334"/>
      <c r="AU334"/>
      <c r="AV334"/>
      <c r="AW334"/>
      <c r="AX334"/>
    </row>
    <row r="335" spans="35:50">
      <c r="AI335" s="22"/>
      <c r="AJ335" s="22"/>
      <c r="AK335" s="22"/>
      <c r="AL335" s="22"/>
      <c r="AM335" s="22"/>
      <c r="AN335" s="22"/>
      <c r="AO335" s="22"/>
      <c r="AP335" s="22"/>
      <c r="AQ335"/>
      <c r="AR335"/>
      <c r="AS335"/>
      <c r="AT335"/>
      <c r="AU335"/>
      <c r="AV335"/>
      <c r="AW335"/>
      <c r="AX335"/>
    </row>
    <row r="336" spans="35:50">
      <c r="AI336" s="22"/>
      <c r="AJ336" s="22"/>
      <c r="AK336" s="22"/>
      <c r="AL336" s="22"/>
      <c r="AM336" s="22"/>
      <c r="AN336" s="22"/>
      <c r="AO336" s="22"/>
      <c r="AP336" s="22"/>
      <c r="AQ336"/>
      <c r="AR336"/>
      <c r="AS336"/>
      <c r="AT336"/>
      <c r="AU336"/>
      <c r="AV336"/>
      <c r="AW336"/>
      <c r="AX336"/>
    </row>
    <row r="337" spans="35:50">
      <c r="AI337" s="22"/>
      <c r="AJ337" s="22"/>
      <c r="AK337" s="22"/>
      <c r="AL337" s="22"/>
      <c r="AM337" s="22"/>
      <c r="AN337" s="22"/>
      <c r="AO337" s="22"/>
      <c r="AP337" s="22"/>
      <c r="AQ337"/>
      <c r="AR337"/>
      <c r="AS337"/>
      <c r="AT337"/>
      <c r="AU337"/>
      <c r="AV337"/>
      <c r="AW337"/>
      <c r="AX337"/>
    </row>
    <row r="338" spans="35:50">
      <c r="AI338" s="22"/>
      <c r="AJ338" s="22"/>
      <c r="AK338" s="22"/>
      <c r="AL338" s="22"/>
      <c r="AM338" s="22"/>
      <c r="AN338" s="22"/>
      <c r="AO338" s="22"/>
      <c r="AP338" s="22"/>
      <c r="AQ338"/>
      <c r="AR338"/>
      <c r="AS338"/>
      <c r="AT338"/>
      <c r="AU338"/>
      <c r="AV338"/>
      <c r="AW338"/>
      <c r="AX338"/>
    </row>
    <row r="339" spans="35:50">
      <c r="AI339" s="22"/>
      <c r="AJ339" s="22"/>
      <c r="AK339" s="22"/>
      <c r="AL339" s="22"/>
      <c r="AM339" s="22"/>
      <c r="AN339" s="22"/>
      <c r="AO339" s="22"/>
      <c r="AP339" s="22"/>
      <c r="AQ339"/>
      <c r="AR339"/>
      <c r="AS339"/>
      <c r="AT339"/>
      <c r="AU339"/>
      <c r="AV339"/>
      <c r="AW339"/>
      <c r="AX339"/>
    </row>
    <row r="340" spans="35:50">
      <c r="AI340" s="22"/>
      <c r="AJ340" s="22"/>
      <c r="AK340" s="22"/>
      <c r="AL340" s="22"/>
      <c r="AM340" s="22"/>
      <c r="AN340" s="22"/>
      <c r="AO340" s="22"/>
      <c r="AP340" s="22"/>
      <c r="AQ340"/>
      <c r="AR340"/>
      <c r="AS340"/>
      <c r="AT340"/>
      <c r="AU340"/>
      <c r="AV340"/>
      <c r="AW340"/>
      <c r="AX340"/>
    </row>
    <row r="341" spans="35:50">
      <c r="AI341" s="22"/>
      <c r="AJ341" s="22"/>
      <c r="AK341" s="22"/>
      <c r="AL341" s="22"/>
      <c r="AM341" s="22"/>
      <c r="AN341" s="22"/>
      <c r="AO341" s="22"/>
      <c r="AP341" s="22"/>
      <c r="AQ341"/>
      <c r="AR341"/>
      <c r="AS341"/>
      <c r="AT341"/>
      <c r="AU341"/>
      <c r="AV341"/>
      <c r="AW341"/>
      <c r="AX341"/>
    </row>
    <row r="342" spans="35:50">
      <c r="AI342" s="22"/>
      <c r="AJ342" s="22"/>
      <c r="AK342" s="22"/>
      <c r="AL342" s="22"/>
      <c r="AM342" s="22"/>
      <c r="AN342" s="22"/>
      <c r="AO342" s="22"/>
      <c r="AP342" s="22"/>
      <c r="AQ342"/>
      <c r="AR342"/>
      <c r="AS342"/>
      <c r="AT342"/>
      <c r="AU342"/>
      <c r="AV342"/>
      <c r="AW342"/>
      <c r="AX342"/>
    </row>
    <row r="343" spans="35:50">
      <c r="AI343" s="22"/>
      <c r="AJ343" s="22"/>
      <c r="AK343" s="22"/>
      <c r="AL343" s="22"/>
      <c r="AM343" s="22"/>
      <c r="AN343" s="22"/>
      <c r="AO343" s="22"/>
      <c r="AP343" s="22"/>
      <c r="AQ343"/>
      <c r="AR343"/>
      <c r="AS343"/>
      <c r="AT343"/>
      <c r="AU343"/>
      <c r="AV343"/>
      <c r="AW343"/>
      <c r="AX343"/>
    </row>
    <row r="344" spans="35:50">
      <c r="AI344" s="22"/>
      <c r="AJ344" s="22"/>
      <c r="AK344" s="22"/>
      <c r="AL344" s="22"/>
      <c r="AM344" s="22"/>
      <c r="AN344" s="22"/>
      <c r="AO344" s="22"/>
      <c r="AP344" s="22"/>
      <c r="AQ344"/>
      <c r="AR344"/>
      <c r="AS344"/>
      <c r="AT344"/>
      <c r="AU344"/>
      <c r="AV344"/>
      <c r="AW344"/>
      <c r="AX344"/>
    </row>
    <row r="345" spans="35:50">
      <c r="AI345" s="22"/>
      <c r="AJ345" s="22"/>
      <c r="AK345" s="22"/>
      <c r="AL345" s="22"/>
      <c r="AM345" s="22"/>
      <c r="AN345" s="22"/>
      <c r="AO345" s="22"/>
      <c r="AP345" s="22"/>
      <c r="AQ345"/>
      <c r="AR345"/>
      <c r="AS345"/>
      <c r="AT345"/>
      <c r="AU345"/>
      <c r="AV345"/>
      <c r="AW345"/>
      <c r="AX345"/>
    </row>
    <row r="346" spans="35:50">
      <c r="AI346" s="22"/>
      <c r="AJ346" s="22"/>
      <c r="AK346" s="22"/>
      <c r="AL346" s="22"/>
      <c r="AM346" s="22"/>
      <c r="AN346" s="22"/>
      <c r="AO346" s="22"/>
      <c r="AP346" s="22"/>
      <c r="AQ346"/>
      <c r="AR346"/>
      <c r="AS346"/>
      <c r="AT346"/>
      <c r="AU346"/>
      <c r="AV346"/>
      <c r="AW346"/>
      <c r="AX346"/>
    </row>
    <row r="347" spans="35:50">
      <c r="AI347" s="22"/>
      <c r="AJ347" s="22"/>
      <c r="AK347" s="22"/>
      <c r="AL347" s="22"/>
      <c r="AM347" s="22"/>
      <c r="AN347" s="22"/>
      <c r="AO347" s="22"/>
      <c r="AP347" s="22"/>
      <c r="AQ347"/>
      <c r="AR347"/>
      <c r="AS347"/>
      <c r="AT347"/>
      <c r="AU347"/>
      <c r="AV347"/>
      <c r="AW347"/>
      <c r="AX347"/>
    </row>
    <row r="348" spans="35:50">
      <c r="AI348" s="22"/>
      <c r="AJ348" s="22"/>
      <c r="AK348" s="22"/>
      <c r="AL348" s="22"/>
      <c r="AM348" s="22"/>
      <c r="AN348" s="22"/>
      <c r="AO348" s="22"/>
      <c r="AP348" s="22"/>
      <c r="AQ348"/>
      <c r="AR348"/>
      <c r="AS348"/>
      <c r="AT348"/>
      <c r="AU348"/>
      <c r="AV348"/>
      <c r="AW348"/>
      <c r="AX348"/>
    </row>
    <row r="349" spans="35:50">
      <c r="AI349" s="22"/>
      <c r="AJ349" s="22"/>
      <c r="AK349" s="22"/>
      <c r="AL349" s="22"/>
      <c r="AM349" s="22"/>
      <c r="AN349" s="22"/>
      <c r="AO349" s="22"/>
      <c r="AP349" s="22"/>
      <c r="AQ349"/>
      <c r="AR349"/>
      <c r="AS349"/>
      <c r="AT349"/>
      <c r="AU349"/>
      <c r="AV349"/>
      <c r="AW349"/>
      <c r="AX349"/>
    </row>
    <row r="350" spans="35:50">
      <c r="AI350" s="22"/>
      <c r="AJ350" s="22"/>
      <c r="AK350" s="22"/>
      <c r="AL350" s="22"/>
      <c r="AM350" s="22"/>
      <c r="AN350" s="22"/>
      <c r="AO350" s="22"/>
      <c r="AP350" s="22"/>
      <c r="AQ350"/>
      <c r="AR350"/>
      <c r="AS350"/>
      <c r="AT350"/>
      <c r="AU350"/>
      <c r="AV350"/>
      <c r="AW350"/>
      <c r="AX350"/>
    </row>
    <row r="351" spans="35:50">
      <c r="AI351" s="22"/>
      <c r="AJ351" s="22"/>
      <c r="AK351" s="22"/>
      <c r="AL351" s="22"/>
      <c r="AM351" s="22"/>
      <c r="AN351" s="22"/>
      <c r="AO351" s="22"/>
      <c r="AP351" s="22"/>
      <c r="AQ351"/>
      <c r="AR351"/>
      <c r="AS351"/>
      <c r="AT351"/>
      <c r="AU351"/>
      <c r="AV351"/>
      <c r="AW351"/>
      <c r="AX351"/>
    </row>
    <row r="352" spans="35:50">
      <c r="AI352" s="22"/>
      <c r="AJ352" s="22"/>
      <c r="AK352" s="22"/>
      <c r="AL352" s="22"/>
      <c r="AM352" s="22"/>
      <c r="AN352" s="22"/>
      <c r="AO352" s="22"/>
      <c r="AP352" s="22"/>
      <c r="AQ352"/>
      <c r="AR352"/>
      <c r="AS352"/>
      <c r="AT352"/>
      <c r="AU352"/>
      <c r="AV352"/>
      <c r="AW352"/>
      <c r="AX352"/>
    </row>
    <row r="353" spans="35:50">
      <c r="AI353" s="22"/>
      <c r="AJ353" s="22"/>
      <c r="AK353" s="22"/>
      <c r="AL353" s="22"/>
      <c r="AM353" s="22"/>
      <c r="AN353" s="22"/>
      <c r="AO353" s="22"/>
      <c r="AP353" s="22"/>
      <c r="AQ353"/>
      <c r="AR353"/>
      <c r="AS353"/>
      <c r="AT353"/>
      <c r="AU353"/>
      <c r="AV353"/>
      <c r="AW353"/>
      <c r="AX353"/>
    </row>
    <row r="354" spans="35:50">
      <c r="AI354" s="22"/>
      <c r="AJ354" s="22"/>
      <c r="AK354" s="22"/>
      <c r="AL354" s="22"/>
      <c r="AM354" s="22"/>
      <c r="AN354" s="22"/>
      <c r="AO354" s="22"/>
      <c r="AP354" s="22"/>
      <c r="AQ354"/>
      <c r="AR354"/>
      <c r="AS354"/>
      <c r="AT354"/>
      <c r="AU354"/>
      <c r="AV354"/>
      <c r="AW354"/>
      <c r="AX354"/>
    </row>
    <row r="355" spans="35:50">
      <c r="AI355" s="22"/>
      <c r="AJ355" s="22"/>
      <c r="AK355" s="22"/>
      <c r="AL355" s="22"/>
      <c r="AM355" s="22"/>
      <c r="AN355" s="22"/>
      <c r="AO355" s="22"/>
      <c r="AP355" s="22"/>
      <c r="AQ355"/>
      <c r="AR355"/>
      <c r="AS355"/>
      <c r="AT355"/>
      <c r="AU355"/>
      <c r="AV355"/>
      <c r="AW355"/>
      <c r="AX355"/>
    </row>
    <row r="356" spans="35:50">
      <c r="AI356" s="22"/>
      <c r="AJ356" s="22"/>
      <c r="AK356" s="22"/>
      <c r="AL356" s="22"/>
      <c r="AM356" s="22"/>
      <c r="AN356" s="22"/>
      <c r="AO356" s="22"/>
      <c r="AP356" s="22"/>
      <c r="AQ356"/>
      <c r="AR356"/>
      <c r="AS356"/>
      <c r="AT356"/>
      <c r="AU356"/>
      <c r="AV356"/>
      <c r="AW356"/>
      <c r="AX356"/>
    </row>
    <row r="357" spans="35:50">
      <c r="AI357" s="22"/>
      <c r="AJ357" s="22"/>
      <c r="AK357" s="22"/>
      <c r="AL357" s="22"/>
      <c r="AM357" s="22"/>
      <c r="AN357" s="22"/>
      <c r="AO357" s="22"/>
      <c r="AP357" s="22"/>
      <c r="AQ357"/>
      <c r="AR357"/>
      <c r="AS357"/>
      <c r="AT357"/>
      <c r="AU357"/>
      <c r="AV357"/>
      <c r="AW357"/>
      <c r="AX357"/>
    </row>
    <row r="358" spans="35:50">
      <c r="AI358" s="22"/>
      <c r="AJ358" s="22"/>
      <c r="AK358" s="22"/>
      <c r="AL358" s="22"/>
      <c r="AM358" s="22"/>
      <c r="AN358" s="22"/>
      <c r="AO358" s="22"/>
      <c r="AP358" s="22"/>
      <c r="AQ358"/>
      <c r="AR358"/>
      <c r="AS358"/>
      <c r="AT358"/>
      <c r="AU358"/>
      <c r="AV358"/>
      <c r="AW358"/>
      <c r="AX358"/>
    </row>
    <row r="359" spans="35:50">
      <c r="AI359" s="22"/>
      <c r="AJ359" s="22"/>
      <c r="AK359" s="22"/>
      <c r="AL359" s="22"/>
      <c r="AM359" s="22"/>
      <c r="AN359" s="22"/>
      <c r="AO359" s="22"/>
      <c r="AP359" s="22"/>
      <c r="AQ359"/>
      <c r="AR359"/>
      <c r="AS359"/>
      <c r="AT359"/>
      <c r="AU359"/>
      <c r="AV359"/>
      <c r="AW359"/>
      <c r="AX359"/>
    </row>
    <row r="360" spans="35:50">
      <c r="AI360" s="22"/>
      <c r="AJ360" s="22"/>
      <c r="AK360" s="22"/>
      <c r="AL360" s="22"/>
      <c r="AM360" s="22"/>
      <c r="AN360" s="22"/>
      <c r="AO360" s="22"/>
      <c r="AP360" s="22"/>
      <c r="AQ360"/>
      <c r="AR360"/>
      <c r="AS360"/>
      <c r="AT360"/>
      <c r="AU360"/>
      <c r="AV360"/>
      <c r="AW360"/>
      <c r="AX360"/>
    </row>
    <row r="361" spans="35:50">
      <c r="AI361" s="22"/>
      <c r="AJ361" s="22"/>
      <c r="AK361" s="22"/>
      <c r="AL361" s="22"/>
      <c r="AM361" s="22"/>
      <c r="AN361" s="22"/>
      <c r="AO361" s="22"/>
      <c r="AP361" s="22"/>
      <c r="AQ361"/>
      <c r="AR361"/>
      <c r="AS361"/>
      <c r="AT361"/>
      <c r="AU361"/>
      <c r="AV361"/>
      <c r="AW361"/>
      <c r="AX361"/>
    </row>
    <row r="362" spans="35:50">
      <c r="AI362" s="22"/>
      <c r="AJ362" s="22"/>
      <c r="AK362" s="22"/>
      <c r="AL362" s="22"/>
      <c r="AM362" s="22"/>
      <c r="AN362" s="22"/>
      <c r="AO362" s="22"/>
      <c r="AP362" s="22"/>
      <c r="AQ362"/>
      <c r="AR362"/>
      <c r="AS362"/>
      <c r="AT362"/>
      <c r="AU362"/>
      <c r="AV362"/>
      <c r="AW362"/>
      <c r="AX362"/>
    </row>
    <row r="363" spans="35:50">
      <c r="AI363" s="22"/>
      <c r="AJ363" s="22"/>
      <c r="AK363" s="22"/>
      <c r="AL363" s="22"/>
      <c r="AM363" s="22"/>
      <c r="AN363" s="22"/>
      <c r="AO363" s="22"/>
      <c r="AP363" s="22"/>
      <c r="AQ363"/>
      <c r="AR363"/>
      <c r="AS363"/>
      <c r="AT363"/>
      <c r="AU363"/>
      <c r="AV363"/>
      <c r="AW363"/>
      <c r="AX363"/>
    </row>
    <row r="364" spans="35:50">
      <c r="AI364" s="22"/>
      <c r="AJ364" s="22"/>
      <c r="AK364" s="22"/>
      <c r="AL364" s="22"/>
      <c r="AM364" s="22"/>
      <c r="AN364" s="22"/>
      <c r="AO364" s="22"/>
      <c r="AP364" s="22"/>
      <c r="AQ364"/>
      <c r="AR364"/>
      <c r="AS364"/>
      <c r="AT364"/>
      <c r="AU364"/>
      <c r="AV364"/>
      <c r="AW364"/>
      <c r="AX364"/>
    </row>
    <row r="365" spans="35:50">
      <c r="AI365" s="22"/>
      <c r="AJ365" s="22"/>
      <c r="AK365" s="22"/>
      <c r="AL365" s="22"/>
      <c r="AM365" s="22"/>
      <c r="AN365" s="22"/>
      <c r="AO365" s="22"/>
      <c r="AP365" s="22"/>
      <c r="AQ365"/>
      <c r="AR365"/>
      <c r="AS365"/>
      <c r="AT365"/>
      <c r="AU365"/>
      <c r="AV365"/>
      <c r="AW365"/>
      <c r="AX365"/>
    </row>
    <row r="366" spans="35:50">
      <c r="AI366" s="22"/>
      <c r="AJ366" s="22"/>
      <c r="AK366" s="22"/>
      <c r="AL366" s="22"/>
      <c r="AM366" s="22"/>
      <c r="AN366" s="22"/>
      <c r="AO366" s="22"/>
      <c r="AP366" s="22"/>
      <c r="AQ366"/>
      <c r="AR366"/>
      <c r="AS366"/>
      <c r="AT366"/>
      <c r="AU366"/>
      <c r="AV366"/>
      <c r="AW366"/>
      <c r="AX366"/>
    </row>
    <row r="367" spans="35:50">
      <c r="AI367" s="22"/>
      <c r="AJ367" s="22"/>
      <c r="AK367" s="22"/>
      <c r="AL367" s="22"/>
      <c r="AM367" s="22"/>
      <c r="AN367" s="22"/>
      <c r="AO367" s="22"/>
      <c r="AP367" s="22"/>
      <c r="AQ367"/>
      <c r="AR367"/>
      <c r="AS367"/>
      <c r="AT367"/>
      <c r="AU367"/>
      <c r="AV367"/>
      <c r="AW367"/>
      <c r="AX367"/>
    </row>
    <row r="368" spans="35:50">
      <c r="AI368" s="22"/>
      <c r="AJ368" s="22"/>
      <c r="AK368" s="22"/>
      <c r="AL368" s="22"/>
      <c r="AM368" s="22"/>
      <c r="AN368" s="22"/>
      <c r="AO368" s="22"/>
      <c r="AP368" s="22"/>
      <c r="AQ368"/>
      <c r="AR368"/>
      <c r="AS368"/>
      <c r="AT368"/>
      <c r="AU368"/>
      <c r="AV368"/>
      <c r="AW368"/>
      <c r="AX368"/>
    </row>
    <row r="369" spans="35:50">
      <c r="AI369" s="22"/>
      <c r="AJ369" s="22"/>
      <c r="AK369" s="22"/>
      <c r="AL369" s="22"/>
      <c r="AM369" s="22"/>
      <c r="AN369" s="22"/>
      <c r="AO369" s="22"/>
      <c r="AP369" s="22"/>
      <c r="AQ369"/>
      <c r="AR369"/>
      <c r="AS369"/>
      <c r="AT369"/>
      <c r="AU369"/>
      <c r="AV369"/>
      <c r="AW369"/>
      <c r="AX369"/>
    </row>
    <row r="370" spans="35:50">
      <c r="AI370" s="22"/>
      <c r="AJ370" s="22"/>
      <c r="AK370" s="22"/>
      <c r="AL370" s="22"/>
      <c r="AM370" s="22"/>
      <c r="AN370" s="22"/>
      <c r="AO370" s="22"/>
      <c r="AP370" s="22"/>
      <c r="AQ370"/>
      <c r="AR370"/>
      <c r="AS370"/>
      <c r="AT370"/>
      <c r="AU370"/>
      <c r="AV370"/>
      <c r="AW370"/>
      <c r="AX370"/>
    </row>
    <row r="371" spans="35:50">
      <c r="AI371" s="22"/>
      <c r="AJ371" s="22"/>
      <c r="AK371" s="22"/>
      <c r="AL371" s="22"/>
      <c r="AM371" s="22"/>
      <c r="AN371" s="22"/>
      <c r="AO371" s="22"/>
      <c r="AP371" s="22"/>
      <c r="AQ371"/>
      <c r="AR371"/>
      <c r="AS371"/>
      <c r="AT371"/>
      <c r="AU371"/>
      <c r="AV371"/>
      <c r="AW371"/>
      <c r="AX371"/>
    </row>
    <row r="372" spans="35:50">
      <c r="AI372" s="22"/>
      <c r="AJ372" s="22"/>
      <c r="AK372" s="22"/>
      <c r="AL372" s="22"/>
      <c r="AM372" s="22"/>
      <c r="AN372" s="22"/>
      <c r="AO372" s="22"/>
      <c r="AP372" s="22"/>
      <c r="AQ372"/>
      <c r="AR372"/>
      <c r="AS372"/>
      <c r="AT372"/>
      <c r="AU372"/>
      <c r="AV372"/>
      <c r="AW372"/>
      <c r="AX372"/>
    </row>
    <row r="373" spans="35:50">
      <c r="AI373" s="22"/>
      <c r="AJ373" s="22"/>
      <c r="AK373" s="22"/>
      <c r="AL373" s="22"/>
      <c r="AM373" s="22"/>
      <c r="AN373" s="22"/>
      <c r="AO373" s="22"/>
      <c r="AP373" s="22"/>
      <c r="AQ373"/>
      <c r="AR373"/>
      <c r="AS373"/>
      <c r="AT373"/>
      <c r="AU373"/>
      <c r="AV373"/>
      <c r="AW373"/>
      <c r="AX373"/>
    </row>
    <row r="374" spans="35:50">
      <c r="AI374" s="22"/>
      <c r="AJ374" s="22"/>
      <c r="AK374" s="22"/>
      <c r="AL374" s="22"/>
      <c r="AM374" s="22"/>
      <c r="AN374" s="22"/>
      <c r="AO374" s="22"/>
      <c r="AP374" s="22"/>
      <c r="AQ374"/>
      <c r="AR374"/>
      <c r="AS374"/>
      <c r="AT374"/>
      <c r="AU374"/>
      <c r="AV374"/>
      <c r="AW374"/>
      <c r="AX374"/>
    </row>
    <row r="375" spans="35:50">
      <c r="AI375" s="22"/>
      <c r="AJ375" s="22"/>
      <c r="AK375" s="22"/>
      <c r="AL375" s="22"/>
      <c r="AM375" s="22"/>
      <c r="AN375" s="22"/>
      <c r="AO375" s="22"/>
      <c r="AP375" s="22"/>
      <c r="AQ375"/>
      <c r="AR375"/>
      <c r="AS375"/>
      <c r="AT375"/>
      <c r="AU375"/>
      <c r="AV375"/>
      <c r="AW375"/>
      <c r="AX375"/>
    </row>
    <row r="376" spans="35:50">
      <c r="AI376" s="22"/>
      <c r="AJ376" s="22"/>
      <c r="AK376" s="22"/>
      <c r="AL376" s="22"/>
      <c r="AM376" s="22"/>
      <c r="AN376" s="22"/>
      <c r="AO376" s="22"/>
      <c r="AP376" s="22"/>
      <c r="AQ376"/>
      <c r="AR376"/>
      <c r="AS376"/>
      <c r="AT376"/>
      <c r="AU376"/>
      <c r="AV376"/>
      <c r="AW376"/>
      <c r="AX376"/>
    </row>
    <row r="377" spans="35:50">
      <c r="AI377" s="22"/>
      <c r="AJ377" s="22"/>
      <c r="AK377" s="22"/>
      <c r="AL377" s="22"/>
      <c r="AM377" s="22"/>
      <c r="AN377" s="22"/>
      <c r="AO377" s="22"/>
      <c r="AP377" s="22"/>
      <c r="AQ377"/>
      <c r="AR377"/>
      <c r="AS377"/>
      <c r="AT377"/>
      <c r="AU377"/>
      <c r="AV377"/>
      <c r="AW377"/>
      <c r="AX377"/>
    </row>
    <row r="378" spans="35:50">
      <c r="AI378" s="22"/>
      <c r="AJ378" s="22"/>
      <c r="AK378" s="22"/>
      <c r="AL378" s="22"/>
      <c r="AM378" s="22"/>
      <c r="AN378" s="22"/>
      <c r="AO378" s="22"/>
      <c r="AP378" s="22"/>
      <c r="AQ378"/>
      <c r="AR378"/>
      <c r="AS378"/>
      <c r="AT378"/>
      <c r="AU378"/>
      <c r="AV378"/>
      <c r="AW378"/>
      <c r="AX378"/>
    </row>
    <row r="379" spans="35:50">
      <c r="AI379" s="22"/>
      <c r="AJ379" s="22"/>
      <c r="AK379" s="22"/>
      <c r="AL379" s="22"/>
      <c r="AM379" s="22"/>
      <c r="AN379" s="22"/>
      <c r="AO379" s="22"/>
      <c r="AP379" s="22"/>
      <c r="AQ379"/>
      <c r="AR379"/>
      <c r="AS379"/>
      <c r="AT379"/>
      <c r="AU379"/>
      <c r="AV379"/>
      <c r="AW379"/>
      <c r="AX379"/>
    </row>
    <row r="380" spans="35:50">
      <c r="AI380" s="22"/>
      <c r="AJ380" s="22"/>
      <c r="AK380" s="22"/>
      <c r="AL380" s="22"/>
      <c r="AM380" s="22"/>
      <c r="AN380" s="22"/>
      <c r="AO380" s="22"/>
      <c r="AP380" s="22"/>
      <c r="AQ380"/>
      <c r="AR380"/>
      <c r="AS380"/>
      <c r="AT380"/>
      <c r="AU380"/>
      <c r="AV380"/>
      <c r="AW380"/>
      <c r="AX380"/>
    </row>
    <row r="381" spans="35:50">
      <c r="AI381" s="22"/>
      <c r="AJ381" s="22"/>
      <c r="AK381" s="22"/>
      <c r="AL381" s="22"/>
      <c r="AM381" s="22"/>
      <c r="AN381" s="22"/>
      <c r="AO381" s="22"/>
      <c r="AP381" s="22"/>
      <c r="AQ381"/>
      <c r="AR381"/>
      <c r="AS381"/>
      <c r="AT381"/>
      <c r="AU381"/>
      <c r="AV381"/>
      <c r="AW381"/>
      <c r="AX381"/>
    </row>
    <row r="382" spans="35:50">
      <c r="AI382" s="22"/>
      <c r="AJ382" s="22"/>
      <c r="AK382" s="22"/>
      <c r="AL382" s="22"/>
      <c r="AM382" s="22"/>
      <c r="AN382" s="22"/>
      <c r="AO382" s="22"/>
      <c r="AP382" s="22"/>
      <c r="AQ382"/>
      <c r="AR382"/>
      <c r="AS382"/>
      <c r="AT382"/>
      <c r="AU382"/>
      <c r="AV382"/>
      <c r="AW382"/>
      <c r="AX382"/>
    </row>
    <row r="383" spans="35:50">
      <c r="AI383" s="22"/>
      <c r="AJ383" s="22"/>
      <c r="AK383" s="22"/>
      <c r="AL383" s="22"/>
      <c r="AM383" s="22"/>
      <c r="AN383" s="22"/>
      <c r="AO383" s="22"/>
      <c r="AP383" s="22"/>
      <c r="AQ383"/>
      <c r="AR383"/>
      <c r="AS383"/>
      <c r="AT383"/>
      <c r="AU383"/>
      <c r="AV383"/>
      <c r="AW383"/>
      <c r="AX383"/>
    </row>
    <row r="384" spans="35:50">
      <c r="AI384" s="22"/>
      <c r="AJ384" s="22"/>
      <c r="AK384" s="22"/>
      <c r="AL384" s="22"/>
      <c r="AM384" s="22"/>
      <c r="AN384" s="22"/>
      <c r="AO384" s="22"/>
      <c r="AP384" s="22"/>
      <c r="AQ384"/>
      <c r="AR384"/>
      <c r="AS384"/>
      <c r="AT384"/>
      <c r="AU384"/>
      <c r="AV384"/>
      <c r="AW384"/>
      <c r="AX384"/>
    </row>
    <row r="385" spans="35:50">
      <c r="AI385" s="22"/>
      <c r="AJ385" s="22"/>
      <c r="AK385" s="22"/>
      <c r="AL385" s="22"/>
      <c r="AM385" s="22"/>
      <c r="AN385" s="22"/>
      <c r="AO385" s="22"/>
      <c r="AP385" s="22"/>
      <c r="AQ385"/>
      <c r="AR385"/>
      <c r="AS385"/>
      <c r="AT385"/>
      <c r="AU385"/>
      <c r="AV385"/>
      <c r="AW385"/>
      <c r="AX385"/>
    </row>
    <row r="386" spans="35:50">
      <c r="AI386" s="22"/>
      <c r="AJ386" s="22"/>
      <c r="AK386" s="22"/>
      <c r="AL386" s="22"/>
      <c r="AM386" s="22"/>
      <c r="AN386" s="22"/>
      <c r="AO386" s="22"/>
      <c r="AP386" s="22"/>
      <c r="AQ386"/>
      <c r="AR386"/>
      <c r="AS386"/>
      <c r="AT386"/>
      <c r="AU386"/>
      <c r="AV386"/>
      <c r="AW386"/>
      <c r="AX386"/>
    </row>
    <row r="387" spans="35:50">
      <c r="AI387" s="22"/>
      <c r="AJ387" s="22"/>
      <c r="AK387" s="22"/>
      <c r="AL387" s="22"/>
      <c r="AM387" s="22"/>
      <c r="AN387" s="22"/>
      <c r="AO387" s="22"/>
      <c r="AP387" s="22"/>
      <c r="AQ387"/>
      <c r="AR387"/>
      <c r="AS387"/>
      <c r="AT387"/>
      <c r="AU387"/>
      <c r="AV387"/>
      <c r="AW387"/>
      <c r="AX387"/>
    </row>
    <row r="388" spans="35:50">
      <c r="AI388" s="22"/>
      <c r="AJ388" s="22"/>
      <c r="AK388" s="22"/>
      <c r="AL388" s="22"/>
      <c r="AM388" s="22"/>
      <c r="AN388" s="22"/>
      <c r="AO388" s="22"/>
      <c r="AP388" s="22"/>
      <c r="AQ388"/>
      <c r="AR388"/>
      <c r="AS388"/>
      <c r="AT388"/>
      <c r="AU388"/>
      <c r="AV388"/>
      <c r="AW388"/>
      <c r="AX388"/>
    </row>
    <row r="389" spans="35:50">
      <c r="AI389" s="22"/>
      <c r="AJ389" s="22"/>
      <c r="AK389" s="22"/>
      <c r="AL389" s="22"/>
      <c r="AM389" s="22"/>
      <c r="AN389" s="22"/>
      <c r="AO389" s="22"/>
      <c r="AP389" s="22"/>
      <c r="AQ389"/>
      <c r="AR389"/>
      <c r="AS389"/>
      <c r="AT389"/>
      <c r="AU389"/>
      <c r="AV389"/>
      <c r="AW389"/>
      <c r="AX389"/>
    </row>
    <row r="390" spans="35:50">
      <c r="AI390" s="22"/>
      <c r="AJ390" s="22"/>
      <c r="AK390" s="22"/>
      <c r="AL390" s="22"/>
      <c r="AM390" s="22"/>
      <c r="AN390" s="22"/>
      <c r="AO390" s="22"/>
      <c r="AP390" s="22"/>
      <c r="AQ390"/>
      <c r="AR390"/>
      <c r="AS390"/>
      <c r="AT390"/>
      <c r="AU390"/>
      <c r="AV390"/>
      <c r="AW390"/>
      <c r="AX390"/>
    </row>
    <row r="391" spans="35:50">
      <c r="AI391" s="22"/>
      <c r="AJ391" s="22"/>
      <c r="AK391" s="22"/>
      <c r="AL391" s="22"/>
      <c r="AM391" s="22"/>
      <c r="AN391" s="22"/>
      <c r="AO391" s="22"/>
      <c r="AP391" s="22"/>
      <c r="AQ391"/>
      <c r="AR391"/>
      <c r="AS391"/>
      <c r="AT391"/>
      <c r="AU391"/>
      <c r="AV391"/>
      <c r="AW391"/>
      <c r="AX391"/>
    </row>
    <row r="392" spans="35:50">
      <c r="AI392" s="22"/>
      <c r="AJ392" s="22"/>
      <c r="AK392" s="22"/>
      <c r="AL392" s="22"/>
      <c r="AM392" s="22"/>
      <c r="AN392" s="22"/>
      <c r="AO392" s="22"/>
      <c r="AP392" s="22"/>
      <c r="AQ392"/>
      <c r="AR392"/>
      <c r="AS392"/>
      <c r="AT392"/>
      <c r="AU392"/>
      <c r="AV392"/>
      <c r="AW392"/>
      <c r="AX392"/>
    </row>
    <row r="393" spans="35:50">
      <c r="AI393" s="22"/>
      <c r="AJ393" s="22"/>
      <c r="AK393" s="22"/>
      <c r="AL393" s="22"/>
      <c r="AM393" s="22"/>
      <c r="AN393" s="22"/>
      <c r="AO393" s="22"/>
      <c r="AP393" s="22"/>
      <c r="AQ393"/>
      <c r="AR393"/>
      <c r="AS393"/>
      <c r="AT393"/>
      <c r="AU393"/>
      <c r="AV393"/>
      <c r="AW393"/>
      <c r="AX393"/>
    </row>
    <row r="394" spans="35:50">
      <c r="AI394" s="22"/>
      <c r="AJ394" s="22"/>
      <c r="AK394" s="22"/>
      <c r="AL394" s="22"/>
      <c r="AM394" s="22"/>
      <c r="AN394" s="22"/>
      <c r="AO394" s="22"/>
      <c r="AP394" s="22"/>
      <c r="AQ394"/>
      <c r="AR394"/>
      <c r="AS394"/>
      <c r="AT394"/>
      <c r="AU394"/>
      <c r="AV394"/>
      <c r="AW394"/>
      <c r="AX394"/>
    </row>
    <row r="395" spans="35:50">
      <c r="AI395" s="22"/>
      <c r="AJ395" s="22"/>
      <c r="AK395" s="22"/>
      <c r="AL395" s="22"/>
      <c r="AM395" s="22"/>
      <c r="AN395" s="22"/>
      <c r="AO395" s="22"/>
      <c r="AP395" s="22"/>
      <c r="AQ395"/>
      <c r="AR395"/>
      <c r="AS395"/>
      <c r="AT395"/>
      <c r="AU395"/>
      <c r="AV395"/>
      <c r="AW395"/>
      <c r="AX395"/>
    </row>
    <row r="396" spans="35:50">
      <c r="AI396" s="22"/>
      <c r="AJ396" s="22"/>
      <c r="AK396" s="22"/>
      <c r="AL396" s="22"/>
      <c r="AM396" s="22"/>
      <c r="AN396" s="22"/>
      <c r="AO396" s="22"/>
      <c r="AP396" s="22"/>
      <c r="AQ396"/>
      <c r="AR396"/>
      <c r="AS396"/>
      <c r="AT396"/>
      <c r="AU396"/>
      <c r="AV396"/>
      <c r="AW396"/>
      <c r="AX396"/>
    </row>
    <row r="397" spans="35:50">
      <c r="AI397" s="22"/>
      <c r="AJ397" s="22"/>
      <c r="AK397" s="22"/>
      <c r="AL397" s="22"/>
      <c r="AM397" s="22"/>
      <c r="AN397" s="22"/>
      <c r="AO397" s="22"/>
      <c r="AP397" s="22"/>
      <c r="AQ397"/>
      <c r="AR397"/>
      <c r="AS397"/>
      <c r="AT397"/>
      <c r="AU397"/>
      <c r="AV397"/>
      <c r="AW397"/>
      <c r="AX397"/>
    </row>
    <row r="398" spans="35:50">
      <c r="AI398" s="22"/>
      <c r="AJ398" s="22"/>
      <c r="AK398" s="22"/>
      <c r="AL398" s="22"/>
      <c r="AM398" s="22"/>
      <c r="AN398" s="22"/>
      <c r="AO398" s="22"/>
      <c r="AP398" s="22"/>
      <c r="AQ398"/>
      <c r="AR398"/>
      <c r="AS398"/>
      <c r="AT398"/>
      <c r="AU398"/>
      <c r="AV398"/>
      <c r="AW398"/>
      <c r="AX398"/>
    </row>
    <row r="399" spans="35:50">
      <c r="AI399" s="22"/>
      <c r="AJ399" s="22"/>
      <c r="AK399" s="22"/>
      <c r="AL399" s="22"/>
      <c r="AM399" s="22"/>
      <c r="AN399" s="22"/>
      <c r="AO399" s="22"/>
      <c r="AP399" s="22"/>
      <c r="AQ399"/>
      <c r="AR399"/>
      <c r="AS399"/>
      <c r="AT399"/>
      <c r="AU399"/>
      <c r="AV399"/>
      <c r="AW399"/>
      <c r="AX399"/>
    </row>
    <row r="400" spans="35:50">
      <c r="AI400" s="22"/>
      <c r="AJ400" s="22"/>
      <c r="AK400" s="22"/>
      <c r="AL400" s="22"/>
      <c r="AM400" s="22"/>
      <c r="AN400" s="22"/>
      <c r="AO400" s="22"/>
      <c r="AP400" s="22"/>
      <c r="AQ400"/>
      <c r="AR400"/>
      <c r="AS400"/>
      <c r="AT400"/>
      <c r="AU400"/>
      <c r="AV400"/>
      <c r="AW400"/>
      <c r="AX400"/>
    </row>
    <row r="401" spans="35:50">
      <c r="AI401" s="22"/>
      <c r="AJ401" s="22"/>
      <c r="AK401" s="22"/>
      <c r="AL401" s="22"/>
      <c r="AM401" s="22"/>
      <c r="AN401" s="22"/>
      <c r="AO401" s="22"/>
      <c r="AP401" s="22"/>
      <c r="AQ401"/>
      <c r="AR401"/>
      <c r="AS401"/>
      <c r="AT401"/>
      <c r="AU401"/>
      <c r="AV401"/>
      <c r="AW401"/>
      <c r="AX401"/>
    </row>
    <row r="402" spans="35:50">
      <c r="AI402" s="22"/>
      <c r="AJ402" s="22"/>
      <c r="AK402" s="22"/>
      <c r="AL402" s="22"/>
      <c r="AM402" s="22"/>
      <c r="AN402" s="22"/>
      <c r="AO402" s="22"/>
      <c r="AP402" s="22"/>
      <c r="AQ402"/>
      <c r="AR402"/>
      <c r="AS402"/>
      <c r="AT402"/>
      <c r="AU402"/>
      <c r="AV402"/>
      <c r="AW402"/>
      <c r="AX402"/>
    </row>
    <row r="403" spans="35:50">
      <c r="AI403" s="22"/>
      <c r="AJ403" s="22"/>
      <c r="AK403" s="22"/>
      <c r="AL403" s="22"/>
      <c r="AM403" s="22"/>
      <c r="AN403" s="22"/>
      <c r="AO403" s="22"/>
      <c r="AP403" s="22"/>
      <c r="AQ403"/>
      <c r="AR403"/>
      <c r="AS403"/>
      <c r="AT403"/>
      <c r="AU403"/>
      <c r="AV403"/>
      <c r="AW403"/>
      <c r="AX403"/>
    </row>
    <row r="404" spans="35:50">
      <c r="AI404" s="22"/>
      <c r="AJ404" s="22"/>
      <c r="AK404" s="22"/>
      <c r="AL404" s="22"/>
      <c r="AM404" s="22"/>
      <c r="AN404" s="22"/>
      <c r="AO404" s="22"/>
      <c r="AP404" s="22"/>
      <c r="AQ404"/>
      <c r="AR404"/>
      <c r="AS404"/>
      <c r="AT404"/>
      <c r="AU404"/>
      <c r="AV404"/>
      <c r="AW404"/>
      <c r="AX404"/>
    </row>
    <row r="405" spans="35:50">
      <c r="AI405" s="22"/>
      <c r="AJ405" s="22"/>
      <c r="AK405" s="22"/>
      <c r="AL405" s="22"/>
      <c r="AM405" s="22"/>
      <c r="AN405" s="22"/>
      <c r="AO405" s="22"/>
      <c r="AP405" s="22"/>
      <c r="AQ405"/>
      <c r="AR405"/>
      <c r="AS405"/>
      <c r="AT405"/>
      <c r="AU405"/>
      <c r="AV405"/>
      <c r="AW405"/>
      <c r="AX405"/>
    </row>
    <row r="406" spans="35:50">
      <c r="AI406" s="22"/>
      <c r="AJ406" s="22"/>
      <c r="AK406" s="22"/>
      <c r="AL406" s="22"/>
      <c r="AM406" s="22"/>
      <c r="AN406" s="22"/>
      <c r="AO406" s="22"/>
      <c r="AP406" s="22"/>
      <c r="AQ406"/>
      <c r="AR406"/>
      <c r="AS406"/>
      <c r="AT406"/>
      <c r="AU406"/>
      <c r="AV406"/>
      <c r="AW406"/>
      <c r="AX406"/>
    </row>
    <row r="407" spans="35:50">
      <c r="AI407" s="22"/>
      <c r="AJ407" s="22"/>
      <c r="AK407" s="22"/>
      <c r="AL407" s="22"/>
      <c r="AM407" s="22"/>
      <c r="AN407" s="22"/>
      <c r="AO407" s="22"/>
      <c r="AP407" s="22"/>
      <c r="AQ407"/>
      <c r="AR407"/>
      <c r="AS407"/>
      <c r="AT407"/>
      <c r="AU407"/>
      <c r="AV407"/>
      <c r="AW407"/>
      <c r="AX407"/>
    </row>
    <row r="408" spans="35:50">
      <c r="AI408" s="22"/>
      <c r="AJ408" s="22"/>
      <c r="AK408" s="22"/>
      <c r="AL408" s="22"/>
      <c r="AM408" s="22"/>
      <c r="AN408" s="22"/>
      <c r="AO408" s="22"/>
      <c r="AP408" s="22"/>
      <c r="AQ408"/>
      <c r="AR408"/>
      <c r="AS408"/>
      <c r="AT408"/>
      <c r="AU408"/>
      <c r="AV408"/>
      <c r="AW408"/>
      <c r="AX408"/>
    </row>
    <row r="409" spans="35:50">
      <c r="AI409" s="22"/>
      <c r="AJ409" s="22"/>
      <c r="AK409" s="22"/>
      <c r="AL409" s="22"/>
      <c r="AM409" s="22"/>
      <c r="AN409" s="22"/>
      <c r="AO409" s="22"/>
      <c r="AP409" s="22"/>
      <c r="AQ409"/>
      <c r="AR409"/>
      <c r="AS409"/>
      <c r="AT409"/>
      <c r="AU409"/>
      <c r="AV409"/>
      <c r="AW409"/>
      <c r="AX409"/>
    </row>
    <row r="410" spans="35:50">
      <c r="AI410" s="22"/>
      <c r="AJ410" s="22"/>
      <c r="AK410" s="22"/>
      <c r="AL410" s="22"/>
      <c r="AM410" s="22"/>
      <c r="AN410" s="22"/>
      <c r="AO410" s="22"/>
      <c r="AP410" s="22"/>
      <c r="AQ410"/>
      <c r="AR410"/>
      <c r="AS410"/>
      <c r="AT410"/>
      <c r="AU410"/>
      <c r="AV410"/>
      <c r="AW410"/>
      <c r="AX410"/>
    </row>
    <row r="411" spans="35:50">
      <c r="AI411" s="22"/>
      <c r="AJ411" s="22"/>
      <c r="AK411" s="22"/>
      <c r="AL411" s="22"/>
      <c r="AM411" s="22"/>
      <c r="AN411" s="22"/>
      <c r="AO411" s="22"/>
      <c r="AP411" s="22"/>
      <c r="AQ411"/>
      <c r="AR411"/>
      <c r="AS411"/>
      <c r="AT411"/>
      <c r="AU411"/>
      <c r="AV411"/>
      <c r="AW411"/>
      <c r="AX411"/>
    </row>
    <row r="412" spans="35:50">
      <c r="AI412" s="22"/>
      <c r="AJ412" s="22"/>
      <c r="AK412" s="22"/>
      <c r="AL412" s="22"/>
      <c r="AM412" s="22"/>
      <c r="AN412" s="22"/>
      <c r="AO412" s="22"/>
      <c r="AP412" s="22"/>
      <c r="AQ412"/>
      <c r="AR412"/>
      <c r="AS412"/>
      <c r="AT412"/>
      <c r="AU412"/>
      <c r="AV412"/>
      <c r="AW412"/>
      <c r="AX412"/>
    </row>
    <row r="413" spans="35:50">
      <c r="AI413" s="22"/>
      <c r="AJ413" s="22"/>
      <c r="AK413" s="22"/>
      <c r="AL413" s="22"/>
      <c r="AM413" s="22"/>
      <c r="AN413" s="22"/>
      <c r="AO413" s="22"/>
      <c r="AP413" s="22"/>
      <c r="AQ413"/>
      <c r="AR413"/>
      <c r="AS413"/>
      <c r="AT413"/>
      <c r="AU413"/>
      <c r="AV413"/>
      <c r="AW413"/>
      <c r="AX413"/>
    </row>
    <row r="414" spans="35:50">
      <c r="AI414" s="22"/>
      <c r="AJ414" s="22"/>
      <c r="AK414" s="22"/>
      <c r="AL414" s="22"/>
      <c r="AM414" s="22"/>
      <c r="AN414" s="22"/>
      <c r="AO414" s="22"/>
      <c r="AP414" s="22"/>
      <c r="AQ414"/>
      <c r="AR414"/>
      <c r="AS414"/>
      <c r="AT414"/>
      <c r="AU414"/>
      <c r="AV414"/>
      <c r="AW414"/>
      <c r="AX414"/>
    </row>
    <row r="415" spans="35:50">
      <c r="AI415" s="22"/>
      <c r="AJ415" s="22"/>
      <c r="AK415" s="22"/>
      <c r="AL415" s="22"/>
      <c r="AM415" s="22"/>
      <c r="AN415" s="22"/>
      <c r="AO415" s="22"/>
      <c r="AP415" s="22"/>
      <c r="AQ415"/>
      <c r="AR415"/>
      <c r="AS415"/>
      <c r="AT415"/>
      <c r="AU415"/>
      <c r="AV415"/>
      <c r="AW415"/>
      <c r="AX415"/>
    </row>
    <row r="416" spans="35:50">
      <c r="AI416" s="22"/>
      <c r="AJ416" s="22"/>
      <c r="AK416" s="22"/>
      <c r="AL416" s="22"/>
      <c r="AM416" s="22"/>
      <c r="AN416" s="22"/>
      <c r="AO416" s="22"/>
      <c r="AP416" s="22"/>
      <c r="AQ416"/>
      <c r="AR416"/>
      <c r="AS416"/>
      <c r="AT416"/>
      <c r="AU416"/>
      <c r="AV416"/>
      <c r="AW416"/>
      <c r="AX416"/>
    </row>
    <row r="417" spans="35:50">
      <c r="AI417" s="22"/>
      <c r="AJ417" s="22"/>
      <c r="AK417" s="22"/>
      <c r="AL417" s="22"/>
      <c r="AM417" s="22"/>
      <c r="AN417" s="22"/>
      <c r="AO417" s="22"/>
      <c r="AP417" s="22"/>
      <c r="AQ417"/>
      <c r="AR417"/>
      <c r="AS417"/>
      <c r="AT417"/>
      <c r="AU417"/>
      <c r="AV417"/>
      <c r="AW417"/>
      <c r="AX417"/>
    </row>
    <row r="418" spans="35:50">
      <c r="AI418" s="22"/>
      <c r="AJ418" s="22"/>
      <c r="AK418" s="22"/>
      <c r="AL418" s="22"/>
      <c r="AM418" s="22"/>
      <c r="AN418" s="22"/>
      <c r="AO418" s="22"/>
      <c r="AP418" s="22"/>
      <c r="AQ418"/>
      <c r="AR418"/>
      <c r="AS418"/>
      <c r="AT418"/>
      <c r="AU418"/>
      <c r="AV418"/>
      <c r="AW418"/>
      <c r="AX418"/>
    </row>
    <row r="419" spans="35:50">
      <c r="AI419" s="22"/>
      <c r="AJ419" s="22"/>
      <c r="AK419" s="22"/>
      <c r="AL419" s="22"/>
      <c r="AM419" s="22"/>
      <c r="AN419" s="22"/>
      <c r="AO419" s="22"/>
      <c r="AP419" s="22"/>
      <c r="AQ419"/>
      <c r="AR419"/>
      <c r="AS419"/>
      <c r="AT419"/>
      <c r="AU419"/>
      <c r="AV419"/>
      <c r="AW419"/>
      <c r="AX419"/>
    </row>
    <row r="420" spans="35:50">
      <c r="AI420" s="22"/>
      <c r="AJ420" s="22"/>
      <c r="AK420" s="22"/>
      <c r="AL420" s="22"/>
      <c r="AM420" s="22"/>
      <c r="AN420" s="22"/>
      <c r="AO420" s="22"/>
      <c r="AP420" s="22"/>
      <c r="AQ420"/>
      <c r="AR420"/>
      <c r="AS420"/>
      <c r="AT420"/>
      <c r="AU420"/>
      <c r="AV420"/>
      <c r="AW420"/>
      <c r="AX420"/>
    </row>
    <row r="421" spans="35:50">
      <c r="AI421" s="22"/>
      <c r="AJ421" s="22"/>
      <c r="AK421" s="22"/>
      <c r="AL421" s="22"/>
      <c r="AM421" s="22"/>
      <c r="AN421" s="22"/>
      <c r="AO421" s="22"/>
      <c r="AP421" s="22"/>
      <c r="AQ421"/>
      <c r="AR421"/>
      <c r="AS421"/>
      <c r="AT421"/>
      <c r="AU421"/>
      <c r="AV421"/>
      <c r="AW421"/>
      <c r="AX421"/>
    </row>
    <row r="422" spans="35:50">
      <c r="AI422" s="22"/>
      <c r="AJ422" s="22"/>
      <c r="AK422" s="22"/>
      <c r="AL422" s="22"/>
      <c r="AM422" s="22"/>
      <c r="AN422" s="22"/>
      <c r="AO422" s="22"/>
      <c r="AP422" s="22"/>
      <c r="AQ422"/>
      <c r="AR422"/>
      <c r="AS422"/>
      <c r="AT422"/>
      <c r="AU422"/>
      <c r="AV422"/>
      <c r="AW422"/>
      <c r="AX422"/>
    </row>
    <row r="423" spans="35:50">
      <c r="AI423" s="22"/>
      <c r="AJ423" s="22"/>
      <c r="AK423" s="22"/>
      <c r="AL423" s="22"/>
      <c r="AM423" s="22"/>
      <c r="AN423" s="22"/>
      <c r="AO423" s="22"/>
      <c r="AP423" s="22"/>
      <c r="AQ423"/>
      <c r="AR423"/>
      <c r="AS423"/>
      <c r="AT423"/>
      <c r="AU423"/>
      <c r="AV423"/>
      <c r="AW423"/>
      <c r="AX423"/>
    </row>
    <row r="424" spans="35:50">
      <c r="AI424" s="22"/>
      <c r="AJ424" s="22"/>
      <c r="AK424" s="22"/>
      <c r="AL424" s="22"/>
      <c r="AM424" s="22"/>
      <c r="AN424" s="22"/>
      <c r="AO424" s="22"/>
      <c r="AP424" s="22"/>
      <c r="AQ424"/>
      <c r="AR424"/>
      <c r="AS424"/>
      <c r="AT424"/>
      <c r="AU424"/>
      <c r="AV424"/>
      <c r="AW424"/>
      <c r="AX424"/>
    </row>
    <row r="425" spans="35:50">
      <c r="AI425" s="22"/>
      <c r="AJ425" s="22"/>
      <c r="AK425" s="22"/>
      <c r="AL425" s="22"/>
      <c r="AM425" s="22"/>
      <c r="AN425" s="22"/>
      <c r="AO425" s="22"/>
      <c r="AP425" s="22"/>
      <c r="AQ425"/>
      <c r="AR425"/>
      <c r="AS425"/>
      <c r="AT425"/>
      <c r="AU425"/>
      <c r="AV425"/>
      <c r="AW425"/>
      <c r="AX425"/>
    </row>
    <row r="426" spans="35:50">
      <c r="AI426" s="22"/>
      <c r="AJ426" s="22"/>
      <c r="AK426" s="22"/>
      <c r="AL426" s="22"/>
      <c r="AM426" s="22"/>
      <c r="AN426" s="22"/>
      <c r="AO426" s="22"/>
      <c r="AP426" s="22"/>
      <c r="AQ426"/>
      <c r="AR426"/>
      <c r="AS426"/>
      <c r="AT426"/>
      <c r="AU426"/>
      <c r="AV426"/>
      <c r="AW426"/>
      <c r="AX426"/>
    </row>
    <row r="427" spans="35:50">
      <c r="AI427" s="22"/>
      <c r="AJ427" s="22"/>
      <c r="AK427" s="22"/>
      <c r="AL427" s="22"/>
      <c r="AM427" s="22"/>
      <c r="AN427" s="22"/>
      <c r="AO427" s="22"/>
      <c r="AP427" s="22"/>
      <c r="AQ427"/>
      <c r="AR427"/>
      <c r="AS427"/>
      <c r="AT427"/>
      <c r="AU427"/>
      <c r="AV427"/>
      <c r="AW427"/>
      <c r="AX427"/>
    </row>
    <row r="428" spans="35:50">
      <c r="AI428" s="22"/>
      <c r="AJ428" s="22"/>
      <c r="AK428" s="22"/>
      <c r="AL428" s="22"/>
      <c r="AM428" s="22"/>
      <c r="AN428" s="22"/>
      <c r="AO428" s="22"/>
      <c r="AP428" s="22"/>
      <c r="AQ428"/>
      <c r="AR428"/>
      <c r="AS428"/>
      <c r="AT428"/>
      <c r="AU428"/>
      <c r="AV428"/>
      <c r="AW428"/>
      <c r="AX428"/>
    </row>
    <row r="429" spans="35:50">
      <c r="AI429" s="22"/>
      <c r="AJ429" s="22"/>
      <c r="AK429" s="22"/>
      <c r="AL429" s="22"/>
      <c r="AM429" s="22"/>
      <c r="AN429" s="22"/>
      <c r="AO429" s="22"/>
      <c r="AP429" s="22"/>
      <c r="AQ429"/>
      <c r="AR429"/>
      <c r="AS429"/>
      <c r="AT429"/>
      <c r="AU429"/>
      <c r="AV429"/>
      <c r="AW429"/>
      <c r="AX429"/>
    </row>
    <row r="430" spans="35:50">
      <c r="AI430" s="22"/>
      <c r="AJ430" s="22"/>
      <c r="AK430" s="22"/>
      <c r="AL430" s="22"/>
      <c r="AM430" s="22"/>
      <c r="AN430" s="22"/>
      <c r="AO430" s="22"/>
      <c r="AP430" s="22"/>
      <c r="AQ430"/>
      <c r="AR430"/>
      <c r="AS430"/>
      <c r="AT430"/>
      <c r="AU430"/>
      <c r="AV430"/>
      <c r="AW430"/>
      <c r="AX430"/>
    </row>
    <row r="431" spans="35:50">
      <c r="AI431" s="22"/>
      <c r="AJ431" s="22"/>
      <c r="AK431" s="22"/>
      <c r="AL431" s="22"/>
      <c r="AM431" s="22"/>
      <c r="AN431" s="22"/>
      <c r="AO431" s="22"/>
      <c r="AP431" s="22"/>
      <c r="AQ431"/>
      <c r="AR431"/>
      <c r="AS431"/>
      <c r="AT431"/>
      <c r="AU431"/>
      <c r="AV431"/>
      <c r="AW431"/>
      <c r="AX431"/>
    </row>
    <row r="432" spans="35:50">
      <c r="AI432" s="22"/>
      <c r="AJ432" s="22"/>
      <c r="AK432" s="22"/>
      <c r="AL432" s="22"/>
      <c r="AM432" s="22"/>
      <c r="AN432" s="22"/>
      <c r="AO432" s="22"/>
      <c r="AP432" s="22"/>
      <c r="AQ432"/>
      <c r="AR432"/>
      <c r="AS432"/>
      <c r="AT432"/>
      <c r="AU432"/>
      <c r="AV432"/>
      <c r="AW432"/>
      <c r="AX432"/>
    </row>
    <row r="433" spans="35:50">
      <c r="AI433" s="22"/>
      <c r="AJ433" s="22"/>
      <c r="AK433" s="22"/>
      <c r="AL433" s="22"/>
      <c r="AM433" s="22"/>
      <c r="AN433" s="22"/>
      <c r="AO433" s="22"/>
      <c r="AP433" s="22"/>
      <c r="AQ433"/>
      <c r="AR433"/>
      <c r="AS433"/>
      <c r="AT433"/>
      <c r="AU433"/>
      <c r="AV433"/>
      <c r="AW433"/>
      <c r="AX433"/>
    </row>
    <row r="434" spans="35:50">
      <c r="AI434" s="22"/>
      <c r="AJ434" s="22"/>
      <c r="AK434" s="22"/>
      <c r="AL434" s="22"/>
      <c r="AM434" s="22"/>
      <c r="AN434" s="22"/>
      <c r="AO434" s="22"/>
      <c r="AP434" s="22"/>
      <c r="AQ434"/>
      <c r="AR434"/>
      <c r="AS434"/>
      <c r="AT434"/>
      <c r="AU434"/>
      <c r="AV434"/>
      <c r="AW434"/>
      <c r="AX434"/>
    </row>
    <row r="435" spans="35:50">
      <c r="AI435" s="22"/>
      <c r="AJ435" s="22"/>
      <c r="AK435" s="22"/>
      <c r="AL435" s="22"/>
      <c r="AM435" s="22"/>
      <c r="AN435" s="22"/>
      <c r="AO435" s="22"/>
      <c r="AP435" s="22"/>
      <c r="AQ435"/>
      <c r="AR435"/>
      <c r="AS435"/>
      <c r="AT435"/>
      <c r="AU435"/>
      <c r="AV435"/>
      <c r="AW435"/>
      <c r="AX435"/>
    </row>
    <row r="436" spans="35:50">
      <c r="AI436" s="22"/>
      <c r="AJ436" s="22"/>
      <c r="AK436" s="22"/>
      <c r="AL436" s="22"/>
      <c r="AM436" s="22"/>
      <c r="AN436" s="22"/>
      <c r="AO436" s="22"/>
      <c r="AP436" s="22"/>
      <c r="AQ436"/>
      <c r="AR436"/>
      <c r="AS436"/>
      <c r="AT436"/>
      <c r="AU436"/>
      <c r="AV436"/>
      <c r="AW436"/>
      <c r="AX436"/>
    </row>
    <row r="437" spans="35:50">
      <c r="AI437" s="22"/>
      <c r="AJ437" s="22"/>
      <c r="AK437" s="22"/>
      <c r="AL437" s="22"/>
      <c r="AM437" s="22"/>
      <c r="AN437" s="22"/>
      <c r="AO437" s="22"/>
      <c r="AP437" s="22"/>
      <c r="AQ437"/>
      <c r="AR437"/>
      <c r="AS437"/>
      <c r="AT437"/>
      <c r="AU437"/>
      <c r="AV437"/>
      <c r="AW437"/>
      <c r="AX437"/>
    </row>
    <row r="438" spans="35:50">
      <c r="AI438" s="22"/>
      <c r="AJ438" s="22"/>
      <c r="AK438" s="22"/>
      <c r="AL438" s="22"/>
      <c r="AM438" s="22"/>
      <c r="AN438" s="22"/>
      <c r="AO438" s="22"/>
      <c r="AP438" s="22"/>
      <c r="AQ438"/>
      <c r="AR438"/>
      <c r="AS438"/>
      <c r="AT438"/>
      <c r="AU438"/>
      <c r="AV438"/>
      <c r="AW438"/>
      <c r="AX438"/>
    </row>
    <row r="439" spans="35:50">
      <c r="AI439" s="22"/>
      <c r="AJ439" s="22"/>
      <c r="AK439" s="22"/>
      <c r="AL439" s="22"/>
      <c r="AM439" s="22"/>
      <c r="AN439" s="22"/>
      <c r="AO439" s="22"/>
      <c r="AP439" s="22"/>
      <c r="AQ439"/>
      <c r="AR439"/>
      <c r="AS439"/>
      <c r="AT439"/>
      <c r="AU439"/>
      <c r="AV439"/>
      <c r="AW439"/>
      <c r="AX439"/>
    </row>
    <row r="440" spans="35:50">
      <c r="AI440" s="22"/>
      <c r="AJ440" s="22"/>
      <c r="AK440" s="22"/>
      <c r="AL440" s="22"/>
      <c r="AM440" s="22"/>
      <c r="AN440" s="22"/>
      <c r="AO440" s="22"/>
      <c r="AP440" s="22"/>
      <c r="AQ440"/>
      <c r="AR440"/>
      <c r="AS440"/>
      <c r="AT440"/>
      <c r="AU440"/>
      <c r="AV440"/>
      <c r="AW440"/>
      <c r="AX440"/>
    </row>
    <row r="441" spans="35:50">
      <c r="AI441" s="22"/>
      <c r="AJ441" s="22"/>
      <c r="AK441" s="22"/>
      <c r="AL441" s="22"/>
      <c r="AM441" s="22"/>
      <c r="AN441" s="22"/>
      <c r="AO441" s="22"/>
      <c r="AP441" s="22"/>
      <c r="AQ441"/>
      <c r="AR441"/>
      <c r="AS441"/>
      <c r="AT441"/>
      <c r="AU441"/>
      <c r="AV441"/>
      <c r="AW441"/>
      <c r="AX441"/>
    </row>
    <row r="442" spans="35:50">
      <c r="AI442" s="22"/>
      <c r="AJ442" s="22"/>
      <c r="AK442" s="22"/>
      <c r="AL442" s="22"/>
      <c r="AM442" s="22"/>
      <c r="AN442" s="22"/>
      <c r="AO442" s="22"/>
      <c r="AP442" s="22"/>
      <c r="AQ442"/>
      <c r="AR442"/>
      <c r="AS442"/>
      <c r="AT442"/>
      <c r="AU442"/>
      <c r="AV442"/>
      <c r="AW442"/>
      <c r="AX442"/>
    </row>
    <row r="443" spans="35:50">
      <c r="AI443" s="22"/>
      <c r="AJ443" s="22"/>
      <c r="AK443" s="22"/>
      <c r="AL443" s="22"/>
      <c r="AM443" s="22"/>
      <c r="AN443" s="22"/>
      <c r="AO443" s="22"/>
      <c r="AP443" s="22"/>
      <c r="AQ443"/>
      <c r="AR443"/>
      <c r="AS443"/>
      <c r="AT443"/>
      <c r="AU443"/>
      <c r="AV443"/>
      <c r="AW443"/>
      <c r="AX443"/>
    </row>
    <row r="444" spans="35:50">
      <c r="AI444" s="22"/>
      <c r="AJ444" s="22"/>
      <c r="AK444" s="22"/>
      <c r="AL444" s="22"/>
      <c r="AM444" s="22"/>
      <c r="AN444" s="22"/>
      <c r="AO444" s="22"/>
      <c r="AP444" s="22"/>
      <c r="AQ444"/>
      <c r="AR444"/>
      <c r="AS444"/>
      <c r="AT444"/>
      <c r="AU444"/>
      <c r="AV444"/>
      <c r="AW444"/>
      <c r="AX444"/>
    </row>
    <row r="445" spans="35:50">
      <c r="AI445" s="22"/>
      <c r="AJ445" s="22"/>
      <c r="AK445" s="22"/>
      <c r="AL445" s="22"/>
      <c r="AM445" s="22"/>
      <c r="AN445" s="22"/>
      <c r="AO445" s="22"/>
      <c r="AP445" s="22"/>
      <c r="AQ445"/>
      <c r="AR445"/>
      <c r="AS445"/>
      <c r="AT445"/>
      <c r="AU445"/>
      <c r="AV445"/>
      <c r="AW445"/>
      <c r="AX445"/>
    </row>
    <row r="446" spans="35:50">
      <c r="AI446" s="22"/>
      <c r="AJ446" s="22"/>
      <c r="AK446" s="22"/>
      <c r="AL446" s="22"/>
      <c r="AM446" s="22"/>
      <c r="AN446" s="22"/>
      <c r="AO446" s="22"/>
      <c r="AP446" s="22"/>
      <c r="AQ446"/>
      <c r="AR446"/>
      <c r="AS446"/>
      <c r="AT446"/>
      <c r="AU446"/>
      <c r="AV446"/>
      <c r="AW446"/>
      <c r="AX446"/>
    </row>
    <row r="447" spans="35:50">
      <c r="AI447" s="22"/>
      <c r="AJ447" s="22"/>
      <c r="AK447" s="22"/>
      <c r="AL447" s="22"/>
      <c r="AM447" s="22"/>
      <c r="AN447" s="22"/>
      <c r="AO447" s="22"/>
      <c r="AP447" s="22"/>
      <c r="AQ447"/>
      <c r="AR447"/>
      <c r="AS447"/>
      <c r="AT447"/>
      <c r="AU447"/>
      <c r="AV447"/>
      <c r="AW447"/>
      <c r="AX447"/>
    </row>
    <row r="448" spans="35:50">
      <c r="AI448" s="22"/>
      <c r="AJ448" s="22"/>
      <c r="AK448" s="22"/>
      <c r="AL448" s="22"/>
      <c r="AM448" s="22"/>
      <c r="AN448" s="22"/>
      <c r="AO448" s="22"/>
      <c r="AP448" s="22"/>
      <c r="AQ448"/>
      <c r="AR448"/>
      <c r="AS448"/>
      <c r="AT448"/>
      <c r="AU448"/>
      <c r="AV448"/>
      <c r="AW448"/>
      <c r="AX448"/>
    </row>
    <row r="449" spans="35:50">
      <c r="AI449" s="22"/>
      <c r="AJ449" s="22"/>
      <c r="AK449" s="22"/>
      <c r="AL449" s="22"/>
      <c r="AM449" s="22"/>
      <c r="AN449" s="22"/>
      <c r="AO449" s="22"/>
      <c r="AP449" s="22"/>
      <c r="AQ449"/>
      <c r="AR449"/>
      <c r="AS449"/>
      <c r="AT449"/>
      <c r="AU449"/>
      <c r="AV449"/>
      <c r="AW449"/>
      <c r="AX449"/>
    </row>
    <row r="450" spans="35:50">
      <c r="AI450" s="22"/>
      <c r="AJ450" s="22"/>
      <c r="AK450" s="22"/>
      <c r="AL450" s="22"/>
      <c r="AM450" s="22"/>
      <c r="AN450" s="22"/>
      <c r="AO450" s="22"/>
      <c r="AP450" s="22"/>
      <c r="AQ450"/>
      <c r="AR450"/>
      <c r="AS450"/>
      <c r="AT450"/>
      <c r="AU450"/>
      <c r="AV450"/>
      <c r="AW450"/>
      <c r="AX450"/>
    </row>
    <row r="451" spans="35:50">
      <c r="AI451" s="22"/>
      <c r="AJ451" s="22"/>
      <c r="AK451" s="22"/>
      <c r="AL451" s="22"/>
      <c r="AM451" s="22"/>
      <c r="AN451" s="22"/>
      <c r="AO451" s="22"/>
      <c r="AP451" s="22"/>
      <c r="AQ451"/>
      <c r="AR451"/>
      <c r="AS451"/>
      <c r="AT451"/>
      <c r="AU451"/>
      <c r="AV451"/>
      <c r="AW451"/>
      <c r="AX451"/>
    </row>
    <row r="452" spans="35:50">
      <c r="AI452" s="22"/>
      <c r="AJ452" s="22"/>
      <c r="AK452" s="22"/>
      <c r="AL452" s="22"/>
      <c r="AM452" s="22"/>
      <c r="AN452" s="22"/>
      <c r="AO452" s="22"/>
      <c r="AP452" s="22"/>
      <c r="AQ452"/>
      <c r="AR452"/>
      <c r="AS452"/>
      <c r="AT452"/>
      <c r="AU452"/>
      <c r="AV452"/>
      <c r="AW452"/>
      <c r="AX452"/>
    </row>
    <row r="453" spans="35:50">
      <c r="AI453" s="22"/>
      <c r="AJ453" s="22"/>
      <c r="AK453" s="22"/>
      <c r="AL453" s="22"/>
      <c r="AM453" s="22"/>
      <c r="AN453" s="22"/>
      <c r="AO453" s="22"/>
      <c r="AP453" s="22"/>
      <c r="AQ453"/>
      <c r="AR453"/>
      <c r="AS453"/>
      <c r="AT453"/>
      <c r="AU453"/>
      <c r="AV453"/>
      <c r="AW453"/>
      <c r="AX453"/>
    </row>
    <row r="454" spans="35:50">
      <c r="AI454" s="22"/>
      <c r="AJ454" s="22"/>
      <c r="AK454" s="22"/>
      <c r="AL454" s="22"/>
      <c r="AM454" s="22"/>
      <c r="AN454" s="22"/>
      <c r="AO454" s="22"/>
      <c r="AP454" s="22"/>
      <c r="AQ454"/>
      <c r="AR454"/>
      <c r="AS454"/>
      <c r="AT454"/>
      <c r="AU454"/>
      <c r="AV454"/>
      <c r="AW454"/>
      <c r="AX454"/>
    </row>
    <row r="455" spans="35:50">
      <c r="AI455" s="22"/>
      <c r="AJ455" s="22"/>
      <c r="AK455" s="22"/>
      <c r="AL455" s="22"/>
      <c r="AM455" s="22"/>
      <c r="AN455" s="22"/>
      <c r="AO455" s="22"/>
      <c r="AP455" s="22"/>
      <c r="AQ455"/>
      <c r="AR455"/>
      <c r="AS455"/>
      <c r="AT455"/>
      <c r="AU455"/>
      <c r="AV455"/>
      <c r="AW455"/>
      <c r="AX455"/>
    </row>
    <row r="456" spans="35:50">
      <c r="AI456" s="22"/>
      <c r="AJ456" s="22"/>
      <c r="AK456" s="22"/>
      <c r="AL456" s="22"/>
      <c r="AM456" s="22"/>
      <c r="AN456" s="22"/>
      <c r="AO456" s="22"/>
      <c r="AP456" s="22"/>
      <c r="AQ456"/>
      <c r="AR456"/>
      <c r="AS456"/>
      <c r="AT456"/>
      <c r="AU456"/>
      <c r="AV456"/>
      <c r="AW456"/>
      <c r="AX456"/>
    </row>
    <row r="457" spans="35:50">
      <c r="AI457" s="22"/>
      <c r="AJ457" s="22"/>
      <c r="AK457" s="22"/>
      <c r="AL457" s="22"/>
      <c r="AM457" s="22"/>
      <c r="AN457" s="22"/>
      <c r="AO457" s="22"/>
      <c r="AP457" s="22"/>
      <c r="AQ457"/>
      <c r="AR457"/>
      <c r="AS457"/>
      <c r="AT457"/>
      <c r="AU457"/>
      <c r="AV457"/>
      <c r="AW457"/>
      <c r="AX457"/>
    </row>
    <row r="458" spans="35:50">
      <c r="AI458" s="22"/>
      <c r="AJ458" s="22"/>
      <c r="AK458" s="22"/>
      <c r="AL458" s="22"/>
      <c r="AM458" s="22"/>
      <c r="AN458" s="22"/>
      <c r="AO458" s="22"/>
      <c r="AP458" s="22"/>
      <c r="AQ458"/>
      <c r="AR458"/>
      <c r="AS458"/>
      <c r="AT458"/>
      <c r="AU458"/>
      <c r="AV458"/>
      <c r="AW458"/>
      <c r="AX458"/>
    </row>
    <row r="459" spans="35:50">
      <c r="AI459" s="22"/>
      <c r="AJ459" s="22"/>
      <c r="AK459" s="22"/>
      <c r="AL459" s="22"/>
      <c r="AM459" s="22"/>
      <c r="AN459" s="22"/>
      <c r="AO459" s="22"/>
      <c r="AP459" s="22"/>
      <c r="AQ459"/>
      <c r="AR459"/>
      <c r="AS459"/>
      <c r="AT459"/>
      <c r="AU459"/>
      <c r="AV459"/>
      <c r="AW459"/>
      <c r="AX459"/>
    </row>
    <row r="460" spans="35:50">
      <c r="AI460" s="22"/>
      <c r="AJ460" s="22"/>
      <c r="AK460" s="22"/>
      <c r="AL460" s="22"/>
      <c r="AM460" s="22"/>
      <c r="AN460" s="22"/>
      <c r="AO460" s="22"/>
      <c r="AP460" s="22"/>
      <c r="AQ460"/>
      <c r="AR460"/>
      <c r="AS460"/>
      <c r="AT460"/>
      <c r="AU460"/>
      <c r="AV460"/>
      <c r="AW460"/>
      <c r="AX460"/>
    </row>
    <row r="461" spans="35:50">
      <c r="AI461" s="22"/>
      <c r="AJ461" s="22"/>
      <c r="AK461" s="22"/>
      <c r="AL461" s="22"/>
      <c r="AM461" s="22"/>
      <c r="AN461" s="22"/>
      <c r="AO461" s="22"/>
      <c r="AP461" s="22"/>
      <c r="AQ461"/>
      <c r="AR461"/>
      <c r="AS461"/>
      <c r="AT461"/>
      <c r="AU461"/>
      <c r="AV461"/>
      <c r="AW461"/>
      <c r="AX461"/>
    </row>
    <row r="462" spans="35:50">
      <c r="AI462" s="22"/>
      <c r="AJ462" s="22"/>
      <c r="AK462" s="22"/>
      <c r="AL462" s="22"/>
      <c r="AM462" s="22"/>
      <c r="AN462" s="22"/>
      <c r="AO462" s="22"/>
      <c r="AP462" s="22"/>
      <c r="AQ462"/>
      <c r="AR462"/>
      <c r="AS462"/>
      <c r="AT462"/>
      <c r="AU462"/>
      <c r="AV462"/>
      <c r="AW462"/>
      <c r="AX462"/>
    </row>
    <row r="463" spans="35:50">
      <c r="AI463" s="22"/>
      <c r="AJ463" s="22"/>
      <c r="AK463" s="22"/>
      <c r="AL463" s="22"/>
      <c r="AM463" s="22"/>
      <c r="AN463" s="22"/>
      <c r="AO463" s="22"/>
      <c r="AP463" s="22"/>
      <c r="AQ463"/>
      <c r="AR463"/>
      <c r="AS463"/>
      <c r="AT463"/>
      <c r="AU463"/>
      <c r="AV463"/>
      <c r="AW463"/>
      <c r="AX463"/>
    </row>
    <row r="464" spans="35:50">
      <c r="AI464" s="22"/>
      <c r="AJ464" s="22"/>
      <c r="AK464" s="22"/>
      <c r="AL464" s="22"/>
      <c r="AM464" s="22"/>
      <c r="AN464" s="22"/>
      <c r="AO464" s="22"/>
      <c r="AP464" s="22"/>
      <c r="AQ464"/>
      <c r="AR464"/>
      <c r="AS464"/>
      <c r="AT464"/>
      <c r="AU464"/>
      <c r="AV464"/>
      <c r="AW464"/>
      <c r="AX464"/>
    </row>
    <row r="465" spans="35:50">
      <c r="AI465" s="22"/>
      <c r="AJ465" s="22"/>
      <c r="AK465" s="22"/>
      <c r="AL465" s="22"/>
      <c r="AM465" s="22"/>
      <c r="AN465" s="22"/>
      <c r="AO465" s="22"/>
      <c r="AP465" s="22"/>
      <c r="AQ465"/>
      <c r="AR465"/>
      <c r="AS465"/>
      <c r="AT465"/>
      <c r="AU465"/>
      <c r="AV465"/>
      <c r="AW465"/>
      <c r="AX465"/>
    </row>
    <row r="466" spans="35:50">
      <c r="AI466" s="22"/>
      <c r="AJ466" s="22"/>
      <c r="AK466" s="22"/>
      <c r="AL466" s="22"/>
      <c r="AM466" s="22"/>
      <c r="AN466" s="22"/>
      <c r="AO466" s="22"/>
      <c r="AP466" s="22"/>
      <c r="AQ466"/>
      <c r="AR466"/>
      <c r="AS466"/>
      <c r="AT466"/>
      <c r="AU466"/>
      <c r="AV466"/>
      <c r="AW466"/>
      <c r="AX466"/>
    </row>
    <row r="467" spans="35:50">
      <c r="AI467" s="22"/>
      <c r="AJ467" s="22"/>
      <c r="AK467" s="22"/>
      <c r="AL467" s="22"/>
      <c r="AM467" s="22"/>
      <c r="AN467" s="22"/>
      <c r="AO467" s="22"/>
      <c r="AP467" s="22"/>
      <c r="AQ467"/>
      <c r="AR467"/>
      <c r="AS467"/>
      <c r="AT467"/>
      <c r="AU467"/>
      <c r="AV467"/>
      <c r="AW467"/>
      <c r="AX467"/>
    </row>
    <row r="468" spans="35:50">
      <c r="AI468" s="22"/>
      <c r="AJ468" s="22"/>
      <c r="AK468" s="22"/>
      <c r="AL468" s="22"/>
      <c r="AM468" s="22"/>
      <c r="AN468" s="22"/>
      <c r="AO468" s="22"/>
      <c r="AP468" s="22"/>
      <c r="AQ468"/>
      <c r="AR468"/>
      <c r="AS468"/>
      <c r="AT468"/>
      <c r="AU468"/>
      <c r="AV468"/>
      <c r="AW468"/>
      <c r="AX468"/>
    </row>
    <row r="469" spans="35:50">
      <c r="AI469" s="22"/>
      <c r="AJ469" s="22"/>
      <c r="AK469" s="22"/>
      <c r="AL469" s="22"/>
      <c r="AM469" s="22"/>
      <c r="AN469" s="22"/>
      <c r="AO469" s="22"/>
      <c r="AP469" s="22"/>
      <c r="AQ469"/>
      <c r="AR469"/>
      <c r="AS469"/>
      <c r="AT469"/>
      <c r="AU469"/>
      <c r="AV469"/>
      <c r="AW469"/>
      <c r="AX469"/>
    </row>
    <row r="470" spans="35:50">
      <c r="AI470" s="22"/>
      <c r="AJ470" s="22"/>
      <c r="AK470" s="22"/>
      <c r="AL470" s="22"/>
      <c r="AM470" s="22"/>
      <c r="AN470" s="22"/>
      <c r="AO470" s="22"/>
      <c r="AP470" s="22"/>
      <c r="AQ470"/>
      <c r="AR470"/>
      <c r="AS470"/>
      <c r="AT470"/>
      <c r="AU470"/>
      <c r="AV470"/>
      <c r="AW470"/>
      <c r="AX470"/>
    </row>
    <row r="471" spans="35:50">
      <c r="AI471" s="22"/>
      <c r="AJ471" s="22"/>
      <c r="AK471" s="22"/>
      <c r="AL471" s="22"/>
      <c r="AM471" s="22"/>
      <c r="AN471" s="22"/>
      <c r="AO471" s="22"/>
      <c r="AP471" s="22"/>
      <c r="AQ471"/>
      <c r="AR471"/>
      <c r="AS471"/>
      <c r="AT471"/>
      <c r="AU471"/>
      <c r="AV471"/>
      <c r="AW471"/>
      <c r="AX471"/>
    </row>
    <row r="472" spans="35:50">
      <c r="AI472" s="22"/>
      <c r="AJ472" s="22"/>
      <c r="AK472" s="22"/>
      <c r="AL472" s="22"/>
      <c r="AM472" s="22"/>
      <c r="AN472" s="22"/>
      <c r="AO472" s="22"/>
      <c r="AP472" s="22"/>
      <c r="AQ472"/>
      <c r="AR472"/>
      <c r="AS472"/>
      <c r="AT472"/>
      <c r="AU472"/>
      <c r="AV472"/>
      <c r="AW472"/>
      <c r="AX472"/>
    </row>
    <row r="473" spans="35:50">
      <c r="AI473" s="22"/>
      <c r="AJ473" s="22"/>
      <c r="AK473" s="22"/>
      <c r="AL473" s="22"/>
      <c r="AM473" s="22"/>
      <c r="AN473" s="22"/>
      <c r="AO473" s="22"/>
      <c r="AP473" s="22"/>
      <c r="AQ473"/>
      <c r="AR473"/>
      <c r="AS473"/>
      <c r="AT473"/>
      <c r="AU473"/>
      <c r="AV473"/>
      <c r="AW473"/>
      <c r="AX473"/>
    </row>
    <row r="474" spans="35:50">
      <c r="AI474" s="22"/>
      <c r="AJ474" s="22"/>
      <c r="AK474" s="22"/>
      <c r="AL474" s="22"/>
      <c r="AM474" s="22"/>
      <c r="AN474" s="22"/>
      <c r="AO474" s="22"/>
      <c r="AP474" s="22"/>
      <c r="AQ474"/>
      <c r="AR474"/>
      <c r="AS474"/>
      <c r="AT474"/>
      <c r="AU474"/>
      <c r="AV474"/>
      <c r="AW474"/>
      <c r="AX474"/>
    </row>
    <row r="475" spans="35:50">
      <c r="AI475" s="22"/>
      <c r="AJ475" s="22"/>
      <c r="AK475" s="22"/>
      <c r="AL475" s="22"/>
      <c r="AM475" s="22"/>
      <c r="AN475" s="22"/>
      <c r="AO475" s="22"/>
      <c r="AP475" s="22"/>
      <c r="AQ475"/>
      <c r="AR475"/>
      <c r="AS475"/>
      <c r="AT475"/>
      <c r="AU475"/>
      <c r="AV475"/>
      <c r="AW475"/>
      <c r="AX475"/>
    </row>
    <row r="476" spans="35:50">
      <c r="AI476" s="22"/>
      <c r="AJ476" s="22"/>
      <c r="AK476" s="22"/>
      <c r="AL476" s="22"/>
      <c r="AM476" s="22"/>
      <c r="AN476" s="22"/>
      <c r="AO476" s="22"/>
      <c r="AP476" s="22"/>
      <c r="AQ476"/>
      <c r="AR476"/>
      <c r="AS476"/>
      <c r="AT476"/>
      <c r="AU476"/>
      <c r="AV476"/>
      <c r="AW476"/>
      <c r="AX476"/>
    </row>
    <row r="477" spans="35:50">
      <c r="AI477" s="22"/>
      <c r="AJ477" s="22"/>
      <c r="AK477" s="22"/>
      <c r="AL477" s="22"/>
      <c r="AM477" s="22"/>
      <c r="AN477" s="22"/>
      <c r="AO477" s="22"/>
      <c r="AP477" s="22"/>
      <c r="AQ477"/>
      <c r="AR477"/>
      <c r="AS477"/>
      <c r="AT477"/>
      <c r="AU477"/>
      <c r="AV477"/>
      <c r="AW477"/>
      <c r="AX477"/>
    </row>
    <row r="478" spans="35:50">
      <c r="AI478" s="22"/>
      <c r="AJ478" s="22"/>
      <c r="AK478" s="22"/>
      <c r="AL478" s="22"/>
      <c r="AM478" s="22"/>
      <c r="AN478" s="22"/>
      <c r="AO478" s="22"/>
      <c r="AP478" s="22"/>
      <c r="AQ478"/>
      <c r="AR478"/>
      <c r="AS478"/>
      <c r="AT478"/>
      <c r="AU478"/>
      <c r="AV478"/>
      <c r="AW478"/>
      <c r="AX478"/>
    </row>
    <row r="479" spans="35:50">
      <c r="AI479" s="22"/>
      <c r="AJ479" s="22"/>
      <c r="AK479" s="22"/>
      <c r="AL479" s="22"/>
      <c r="AM479" s="22"/>
      <c r="AN479" s="22"/>
      <c r="AO479" s="22"/>
      <c r="AP479" s="22"/>
      <c r="AQ479"/>
      <c r="AR479"/>
      <c r="AS479"/>
      <c r="AT479"/>
      <c r="AU479"/>
      <c r="AV479"/>
      <c r="AW479"/>
      <c r="AX479"/>
    </row>
    <row r="480" spans="35:50">
      <c r="AI480" s="22"/>
      <c r="AJ480" s="22"/>
      <c r="AK480" s="22"/>
      <c r="AL480" s="22"/>
      <c r="AM480" s="22"/>
      <c r="AN480" s="22"/>
      <c r="AO480" s="22"/>
      <c r="AP480" s="22"/>
      <c r="AQ480"/>
      <c r="AR480"/>
      <c r="AS480"/>
      <c r="AT480"/>
      <c r="AU480"/>
      <c r="AV480"/>
      <c r="AW480"/>
      <c r="AX480"/>
    </row>
    <row r="481" spans="35:50">
      <c r="AI481" s="22"/>
      <c r="AJ481" s="22"/>
      <c r="AK481" s="22"/>
      <c r="AL481" s="22"/>
      <c r="AM481" s="22"/>
      <c r="AN481" s="22"/>
      <c r="AO481" s="22"/>
      <c r="AP481" s="22"/>
      <c r="AQ481"/>
      <c r="AR481"/>
      <c r="AS481"/>
      <c r="AT481"/>
      <c r="AU481"/>
      <c r="AV481"/>
      <c r="AW481"/>
      <c r="AX481"/>
    </row>
    <row r="482" spans="35:50">
      <c r="AI482" s="22"/>
      <c r="AJ482" s="22"/>
      <c r="AK482" s="22"/>
      <c r="AL482" s="22"/>
      <c r="AM482" s="22"/>
      <c r="AN482" s="22"/>
      <c r="AO482" s="22"/>
      <c r="AP482" s="22"/>
      <c r="AQ482"/>
      <c r="AR482"/>
      <c r="AS482"/>
      <c r="AT482"/>
      <c r="AU482"/>
      <c r="AV482"/>
      <c r="AW482"/>
      <c r="AX482"/>
    </row>
    <row r="483" spans="35:50">
      <c r="AI483" s="22"/>
      <c r="AJ483" s="22"/>
      <c r="AK483" s="22"/>
      <c r="AL483" s="22"/>
      <c r="AM483" s="22"/>
      <c r="AN483" s="22"/>
      <c r="AO483" s="22"/>
      <c r="AP483" s="22"/>
      <c r="AQ483"/>
      <c r="AR483"/>
      <c r="AS483"/>
      <c r="AT483"/>
      <c r="AU483"/>
      <c r="AV483"/>
      <c r="AW483"/>
      <c r="AX483"/>
    </row>
    <row r="484" spans="35:50">
      <c r="AI484" s="22"/>
      <c r="AJ484" s="22"/>
      <c r="AK484" s="22"/>
      <c r="AL484" s="22"/>
      <c r="AM484" s="22"/>
      <c r="AN484" s="22"/>
      <c r="AO484" s="22"/>
      <c r="AP484" s="22"/>
      <c r="AQ484"/>
      <c r="AR484"/>
      <c r="AS484"/>
      <c r="AT484"/>
      <c r="AU484"/>
      <c r="AV484"/>
      <c r="AW484"/>
      <c r="AX484"/>
    </row>
    <row r="485" spans="35:50">
      <c r="AI485" s="22"/>
      <c r="AJ485" s="22"/>
      <c r="AK485" s="22"/>
      <c r="AL485" s="22"/>
      <c r="AM485" s="22"/>
      <c r="AN485" s="22"/>
      <c r="AO485" s="22"/>
      <c r="AP485" s="22"/>
      <c r="AQ485"/>
      <c r="AR485"/>
      <c r="AS485"/>
      <c r="AT485"/>
      <c r="AU485"/>
      <c r="AV485"/>
      <c r="AW485"/>
      <c r="AX485"/>
    </row>
    <row r="486" spans="35:50">
      <c r="AI486" s="22"/>
      <c r="AJ486" s="22"/>
      <c r="AK486" s="22"/>
      <c r="AL486" s="22"/>
      <c r="AM486" s="22"/>
      <c r="AN486" s="22"/>
      <c r="AO486" s="22"/>
      <c r="AP486" s="22"/>
      <c r="AQ486"/>
      <c r="AR486"/>
      <c r="AS486"/>
      <c r="AT486"/>
      <c r="AU486"/>
      <c r="AV486"/>
      <c r="AW486"/>
      <c r="AX486"/>
    </row>
    <row r="487" spans="35:50">
      <c r="AI487" s="22"/>
      <c r="AJ487" s="22"/>
      <c r="AK487" s="22"/>
      <c r="AL487" s="22"/>
      <c r="AM487" s="22"/>
      <c r="AN487" s="22"/>
      <c r="AO487" s="22"/>
      <c r="AP487" s="22"/>
      <c r="AQ487"/>
      <c r="AR487"/>
      <c r="AS487"/>
      <c r="AT487"/>
      <c r="AU487"/>
      <c r="AV487"/>
      <c r="AW487"/>
      <c r="AX487"/>
    </row>
    <row r="488" spans="35:50">
      <c r="AI488" s="22"/>
      <c r="AJ488" s="22"/>
      <c r="AK488" s="22"/>
      <c r="AL488" s="22"/>
      <c r="AM488" s="22"/>
      <c r="AN488" s="22"/>
      <c r="AO488" s="22"/>
      <c r="AP488" s="22"/>
      <c r="AQ488"/>
      <c r="AR488"/>
      <c r="AS488"/>
      <c r="AT488"/>
      <c r="AU488"/>
      <c r="AV488"/>
      <c r="AW488"/>
      <c r="AX488"/>
    </row>
    <row r="489" spans="35:50">
      <c r="AI489" s="22"/>
      <c r="AJ489" s="22"/>
      <c r="AK489" s="22"/>
      <c r="AL489" s="22"/>
      <c r="AM489" s="22"/>
      <c r="AN489" s="22"/>
      <c r="AO489" s="22"/>
      <c r="AP489" s="22"/>
      <c r="AQ489"/>
      <c r="AR489"/>
      <c r="AS489"/>
      <c r="AT489"/>
      <c r="AU489"/>
      <c r="AV489"/>
      <c r="AW489"/>
      <c r="AX489"/>
    </row>
    <row r="490" spans="35:50">
      <c r="AI490" s="22"/>
      <c r="AJ490" s="22"/>
      <c r="AK490" s="22"/>
      <c r="AL490" s="22"/>
      <c r="AM490" s="22"/>
      <c r="AN490" s="22"/>
      <c r="AO490" s="22"/>
      <c r="AP490" s="22"/>
      <c r="AQ490"/>
      <c r="AR490"/>
      <c r="AS490"/>
      <c r="AT490"/>
      <c r="AU490"/>
      <c r="AV490"/>
      <c r="AW490"/>
      <c r="AX490"/>
    </row>
    <row r="491" spans="35:50">
      <c r="AI491" s="22"/>
      <c r="AJ491" s="22"/>
      <c r="AK491" s="22"/>
      <c r="AL491" s="22"/>
      <c r="AM491" s="22"/>
      <c r="AN491" s="22"/>
      <c r="AO491" s="22"/>
      <c r="AP491" s="22"/>
      <c r="AQ491"/>
      <c r="AR491"/>
      <c r="AS491"/>
      <c r="AT491"/>
      <c r="AU491"/>
      <c r="AV491"/>
      <c r="AW491"/>
      <c r="AX491"/>
    </row>
    <row r="492" spans="35:50">
      <c r="AI492" s="22"/>
      <c r="AJ492" s="22"/>
      <c r="AK492" s="22"/>
      <c r="AL492" s="22"/>
      <c r="AM492" s="22"/>
      <c r="AN492" s="22"/>
      <c r="AO492" s="22"/>
      <c r="AP492" s="22"/>
      <c r="AQ492"/>
      <c r="AR492"/>
      <c r="AS492"/>
      <c r="AT492"/>
      <c r="AU492"/>
      <c r="AV492"/>
      <c r="AW492"/>
      <c r="AX492"/>
    </row>
    <row r="493" spans="35:50">
      <c r="AI493" s="22"/>
      <c r="AJ493" s="22"/>
      <c r="AK493" s="22"/>
      <c r="AL493" s="22"/>
      <c r="AM493" s="22"/>
      <c r="AN493" s="22"/>
      <c r="AO493" s="22"/>
      <c r="AP493" s="22"/>
      <c r="AQ493"/>
      <c r="AR493"/>
      <c r="AS493"/>
      <c r="AT493"/>
      <c r="AU493"/>
      <c r="AV493"/>
      <c r="AW493"/>
      <c r="AX493"/>
    </row>
    <row r="494" spans="35:50">
      <c r="AI494" s="22"/>
      <c r="AJ494" s="22"/>
      <c r="AK494" s="22"/>
      <c r="AL494" s="22"/>
      <c r="AM494" s="22"/>
      <c r="AN494" s="22"/>
      <c r="AO494" s="22"/>
      <c r="AP494" s="22"/>
      <c r="AQ494"/>
      <c r="AR494"/>
      <c r="AS494"/>
      <c r="AT494"/>
      <c r="AU494"/>
      <c r="AV494"/>
      <c r="AW494"/>
      <c r="AX494"/>
    </row>
    <row r="495" spans="35:50">
      <c r="AI495" s="22"/>
      <c r="AJ495" s="22"/>
      <c r="AK495" s="22"/>
      <c r="AL495" s="22"/>
      <c r="AM495" s="22"/>
      <c r="AN495" s="22"/>
      <c r="AO495" s="22"/>
      <c r="AP495" s="22"/>
      <c r="AQ495"/>
      <c r="AR495"/>
      <c r="AS495"/>
      <c r="AT495"/>
      <c r="AU495"/>
      <c r="AV495"/>
      <c r="AW495"/>
      <c r="AX495"/>
    </row>
    <row r="496" spans="35:50">
      <c r="AI496" s="22"/>
      <c r="AJ496" s="22"/>
      <c r="AK496" s="22"/>
      <c r="AL496" s="22"/>
      <c r="AM496" s="22"/>
      <c r="AN496" s="22"/>
      <c r="AO496" s="22"/>
      <c r="AP496" s="22"/>
      <c r="AQ496"/>
      <c r="AR496"/>
      <c r="AS496"/>
      <c r="AT496"/>
      <c r="AU496"/>
      <c r="AV496"/>
      <c r="AW496"/>
      <c r="AX496"/>
    </row>
    <row r="497" spans="35:50">
      <c r="AI497" s="22"/>
      <c r="AJ497" s="22"/>
      <c r="AK497" s="22"/>
      <c r="AL497" s="22"/>
      <c r="AM497" s="22"/>
      <c r="AN497" s="22"/>
      <c r="AO497" s="22"/>
      <c r="AP497" s="22"/>
      <c r="AQ497"/>
      <c r="AR497"/>
      <c r="AS497"/>
      <c r="AT497"/>
      <c r="AU497"/>
      <c r="AV497"/>
      <c r="AW497"/>
      <c r="AX497"/>
    </row>
    <row r="498" spans="35:50">
      <c r="AI498" s="22"/>
      <c r="AJ498" s="22"/>
      <c r="AK498" s="22"/>
      <c r="AL498" s="22"/>
      <c r="AM498" s="22"/>
      <c r="AN498" s="22"/>
      <c r="AO498" s="22"/>
      <c r="AP498" s="22"/>
      <c r="AQ498"/>
      <c r="AR498"/>
      <c r="AS498"/>
      <c r="AT498"/>
      <c r="AU498"/>
      <c r="AV498"/>
      <c r="AW498"/>
      <c r="AX498"/>
    </row>
    <row r="499" spans="35:50">
      <c r="AI499" s="22"/>
      <c r="AJ499" s="22"/>
      <c r="AK499" s="22"/>
      <c r="AL499" s="22"/>
      <c r="AM499" s="22"/>
      <c r="AN499" s="22"/>
      <c r="AO499" s="22"/>
      <c r="AP499" s="22"/>
      <c r="AQ499"/>
      <c r="AR499"/>
      <c r="AS499"/>
      <c r="AT499"/>
      <c r="AU499"/>
      <c r="AV499"/>
      <c r="AW499"/>
      <c r="AX499"/>
    </row>
    <row r="500" spans="35:50">
      <c r="AI500" s="22"/>
      <c r="AJ500" s="22"/>
      <c r="AK500" s="22"/>
      <c r="AL500" s="22"/>
      <c r="AM500" s="22"/>
      <c r="AN500" s="22"/>
      <c r="AO500" s="22"/>
      <c r="AP500" s="22"/>
      <c r="AQ500"/>
      <c r="AR500"/>
      <c r="AS500"/>
      <c r="AT500"/>
      <c r="AU500"/>
      <c r="AV500"/>
      <c r="AW500"/>
      <c r="AX500"/>
    </row>
    <row r="501" spans="35:50">
      <c r="AI501" s="22"/>
      <c r="AJ501" s="22"/>
      <c r="AK501" s="22"/>
      <c r="AL501" s="22"/>
      <c r="AM501" s="22"/>
      <c r="AN501" s="22"/>
      <c r="AO501" s="22"/>
      <c r="AP501" s="22"/>
      <c r="AQ501"/>
      <c r="AR501"/>
      <c r="AS501"/>
      <c r="AT501"/>
      <c r="AU501"/>
      <c r="AV501"/>
      <c r="AW501"/>
      <c r="AX501"/>
    </row>
    <row r="502" spans="35:50">
      <c r="AI502" s="22"/>
      <c r="AJ502" s="22"/>
      <c r="AK502" s="22"/>
      <c r="AL502" s="22"/>
      <c r="AM502" s="22"/>
      <c r="AN502" s="22"/>
      <c r="AO502" s="22"/>
      <c r="AP502" s="22"/>
      <c r="AQ502"/>
      <c r="AR502"/>
      <c r="AS502"/>
      <c r="AT502"/>
      <c r="AU502"/>
      <c r="AV502"/>
      <c r="AW502"/>
      <c r="AX502"/>
    </row>
    <row r="503" spans="35:50">
      <c r="AI503" s="22"/>
      <c r="AJ503" s="22"/>
      <c r="AK503" s="22"/>
      <c r="AL503" s="22"/>
      <c r="AM503" s="22"/>
      <c r="AN503" s="22"/>
      <c r="AO503" s="22"/>
      <c r="AP503" s="22"/>
      <c r="AQ503"/>
      <c r="AR503"/>
      <c r="AS503"/>
      <c r="AT503"/>
      <c r="AU503"/>
      <c r="AV503"/>
      <c r="AW503"/>
      <c r="AX503"/>
    </row>
    <row r="504" spans="35:50">
      <c r="AI504" s="22"/>
      <c r="AJ504" s="22"/>
      <c r="AK504" s="22"/>
      <c r="AL504" s="22"/>
      <c r="AM504" s="22"/>
      <c r="AN504" s="22"/>
      <c r="AO504" s="22"/>
      <c r="AP504" s="22"/>
      <c r="AQ504"/>
      <c r="AR504"/>
      <c r="AS504"/>
      <c r="AT504"/>
      <c r="AU504"/>
      <c r="AV504"/>
      <c r="AW504"/>
      <c r="AX504"/>
    </row>
    <row r="505" spans="35:50">
      <c r="AI505" s="22"/>
      <c r="AJ505" s="22"/>
      <c r="AK505" s="22"/>
      <c r="AL505" s="22"/>
      <c r="AM505" s="22"/>
      <c r="AN505" s="22"/>
      <c r="AO505" s="22"/>
      <c r="AP505" s="22"/>
      <c r="AQ505"/>
      <c r="AR505"/>
      <c r="AS505"/>
      <c r="AT505"/>
      <c r="AU505"/>
      <c r="AV505"/>
      <c r="AW505"/>
      <c r="AX505"/>
    </row>
    <row r="506" spans="35:50">
      <c r="AI506" s="22"/>
      <c r="AJ506" s="22"/>
      <c r="AK506" s="22"/>
      <c r="AL506" s="22"/>
      <c r="AM506" s="22"/>
      <c r="AN506" s="22"/>
      <c r="AO506" s="22"/>
      <c r="AP506" s="22"/>
      <c r="AQ506"/>
      <c r="AR506"/>
      <c r="AS506"/>
      <c r="AT506"/>
      <c r="AU506"/>
      <c r="AV506"/>
      <c r="AW506"/>
      <c r="AX506"/>
    </row>
    <row r="507" spans="35:50">
      <c r="AI507" s="22"/>
      <c r="AJ507" s="22"/>
      <c r="AK507" s="22"/>
      <c r="AL507" s="22"/>
      <c r="AM507" s="22"/>
      <c r="AN507" s="22"/>
      <c r="AO507" s="22"/>
      <c r="AP507" s="22"/>
      <c r="AQ507"/>
      <c r="AR507"/>
      <c r="AS507"/>
      <c r="AT507"/>
      <c r="AU507"/>
      <c r="AV507"/>
      <c r="AW507"/>
      <c r="AX507"/>
    </row>
    <row r="508" spans="35:50">
      <c r="AI508" s="22"/>
      <c r="AJ508" s="22"/>
      <c r="AK508" s="22"/>
      <c r="AL508" s="22"/>
      <c r="AM508" s="22"/>
      <c r="AN508" s="22"/>
      <c r="AO508" s="22"/>
      <c r="AP508" s="22"/>
      <c r="AQ508"/>
      <c r="AR508"/>
      <c r="AS508"/>
      <c r="AT508"/>
      <c r="AU508"/>
      <c r="AV508"/>
      <c r="AW508"/>
      <c r="AX508"/>
    </row>
    <row r="509" spans="35:50">
      <c r="AI509" s="22"/>
      <c r="AJ509" s="22"/>
      <c r="AK509" s="22"/>
      <c r="AL509" s="22"/>
      <c r="AM509" s="22"/>
      <c r="AN509" s="22"/>
      <c r="AO509" s="22"/>
      <c r="AP509" s="22"/>
      <c r="AQ509"/>
      <c r="AR509"/>
      <c r="AS509"/>
      <c r="AT509"/>
      <c r="AU509"/>
      <c r="AV509"/>
      <c r="AW509"/>
      <c r="AX509"/>
    </row>
    <row r="510" spans="35:50">
      <c r="AI510" s="22"/>
      <c r="AJ510" s="22"/>
      <c r="AK510" s="22"/>
      <c r="AL510" s="22"/>
      <c r="AM510" s="22"/>
      <c r="AN510" s="22"/>
      <c r="AO510" s="22"/>
      <c r="AP510" s="22"/>
      <c r="AQ510"/>
      <c r="AR510"/>
      <c r="AS510"/>
      <c r="AT510"/>
      <c r="AU510"/>
      <c r="AV510"/>
      <c r="AW510"/>
      <c r="AX510"/>
    </row>
    <row r="511" spans="35:50">
      <c r="AI511" s="22"/>
      <c r="AJ511" s="22"/>
      <c r="AK511" s="22"/>
      <c r="AL511" s="22"/>
      <c r="AM511" s="22"/>
      <c r="AN511" s="22"/>
      <c r="AO511" s="22"/>
      <c r="AP511" s="22"/>
      <c r="AQ511"/>
      <c r="AR511"/>
      <c r="AS511"/>
      <c r="AT511"/>
      <c r="AU511"/>
      <c r="AV511"/>
      <c r="AW511"/>
      <c r="AX511"/>
    </row>
    <row r="512" spans="35:50">
      <c r="AI512" s="22"/>
      <c r="AJ512" s="22"/>
      <c r="AK512" s="22"/>
      <c r="AL512" s="22"/>
      <c r="AM512" s="22"/>
      <c r="AN512" s="22"/>
      <c r="AO512" s="22"/>
      <c r="AP512" s="22"/>
      <c r="AQ512"/>
      <c r="AR512"/>
      <c r="AS512"/>
      <c r="AT512"/>
      <c r="AU512"/>
      <c r="AV512"/>
      <c r="AW512"/>
      <c r="AX512"/>
    </row>
    <row r="513" spans="35:50">
      <c r="AI513" s="22"/>
      <c r="AJ513" s="22"/>
      <c r="AK513" s="22"/>
      <c r="AL513" s="22"/>
      <c r="AM513" s="22"/>
      <c r="AN513" s="22"/>
      <c r="AO513" s="22"/>
      <c r="AP513" s="22"/>
      <c r="AQ513"/>
      <c r="AR513"/>
      <c r="AS513"/>
      <c r="AT513"/>
      <c r="AU513"/>
      <c r="AV513"/>
      <c r="AW513"/>
      <c r="AX513"/>
    </row>
    <row r="514" spans="35:50">
      <c r="AI514" s="22"/>
      <c r="AJ514" s="22"/>
      <c r="AK514" s="22"/>
      <c r="AL514" s="22"/>
      <c r="AM514" s="22"/>
      <c r="AN514" s="22"/>
      <c r="AO514" s="22"/>
      <c r="AP514" s="22"/>
      <c r="AQ514"/>
      <c r="AR514"/>
      <c r="AS514"/>
      <c r="AT514"/>
      <c r="AU514"/>
      <c r="AV514"/>
      <c r="AW514"/>
      <c r="AX514"/>
    </row>
    <row r="515" spans="35:50">
      <c r="AI515" s="22"/>
      <c r="AJ515" s="22"/>
      <c r="AK515" s="22"/>
      <c r="AL515" s="22"/>
      <c r="AM515" s="22"/>
      <c r="AN515" s="22"/>
      <c r="AO515" s="22"/>
      <c r="AP515" s="22"/>
      <c r="AQ515"/>
      <c r="AR515"/>
      <c r="AS515"/>
      <c r="AT515"/>
      <c r="AU515"/>
      <c r="AV515"/>
      <c r="AW515"/>
      <c r="AX515"/>
    </row>
    <row r="516" spans="35:50">
      <c r="AI516" s="22"/>
      <c r="AJ516" s="22"/>
      <c r="AK516" s="22"/>
      <c r="AL516" s="22"/>
      <c r="AM516" s="22"/>
      <c r="AN516" s="22"/>
      <c r="AO516" s="22"/>
      <c r="AP516" s="22"/>
      <c r="AQ516"/>
      <c r="AR516"/>
      <c r="AS516"/>
      <c r="AT516"/>
      <c r="AU516"/>
      <c r="AV516"/>
      <c r="AW516"/>
      <c r="AX516"/>
    </row>
    <row r="517" spans="35:50">
      <c r="AI517" s="22"/>
      <c r="AJ517" s="22"/>
      <c r="AK517" s="22"/>
      <c r="AL517" s="22"/>
      <c r="AM517" s="22"/>
      <c r="AN517" s="22"/>
      <c r="AO517" s="22"/>
      <c r="AP517" s="22"/>
      <c r="AQ517"/>
      <c r="AR517"/>
      <c r="AS517"/>
      <c r="AT517"/>
      <c r="AU517"/>
      <c r="AV517"/>
      <c r="AW517"/>
      <c r="AX517"/>
    </row>
    <row r="518" spans="35:50">
      <c r="AI518" s="22"/>
      <c r="AJ518" s="22"/>
      <c r="AK518" s="22"/>
      <c r="AL518" s="22"/>
      <c r="AM518" s="22"/>
      <c r="AN518" s="22"/>
      <c r="AO518" s="22"/>
      <c r="AP518" s="22"/>
      <c r="AQ518"/>
      <c r="AR518"/>
      <c r="AS518"/>
      <c r="AT518"/>
      <c r="AU518"/>
      <c r="AV518"/>
      <c r="AW518"/>
      <c r="AX518"/>
    </row>
    <row r="519" spans="35:50">
      <c r="AI519" s="22"/>
      <c r="AJ519" s="22"/>
      <c r="AK519" s="22"/>
      <c r="AL519" s="22"/>
      <c r="AM519" s="22"/>
      <c r="AN519" s="22"/>
      <c r="AO519" s="22"/>
      <c r="AP519" s="22"/>
      <c r="AQ519"/>
      <c r="AR519"/>
      <c r="AS519"/>
      <c r="AT519"/>
      <c r="AU519"/>
      <c r="AV519"/>
      <c r="AW519"/>
      <c r="AX519"/>
    </row>
    <row r="520" spans="35:50">
      <c r="AI520" s="22"/>
      <c r="AJ520" s="22"/>
      <c r="AK520" s="22"/>
      <c r="AL520" s="22"/>
      <c r="AM520" s="22"/>
      <c r="AN520" s="22"/>
      <c r="AO520" s="22"/>
      <c r="AP520" s="22"/>
      <c r="AQ520"/>
      <c r="AR520"/>
      <c r="AS520"/>
      <c r="AT520"/>
      <c r="AU520"/>
      <c r="AV520"/>
      <c r="AW520"/>
      <c r="AX520"/>
    </row>
    <row r="521" spans="35:50">
      <c r="AI521" s="22"/>
      <c r="AJ521" s="22"/>
      <c r="AK521" s="22"/>
      <c r="AL521" s="22"/>
      <c r="AM521" s="22"/>
      <c r="AN521" s="22"/>
      <c r="AO521" s="22"/>
      <c r="AP521" s="22"/>
      <c r="AQ521"/>
      <c r="AR521"/>
      <c r="AS521"/>
      <c r="AT521"/>
      <c r="AU521"/>
      <c r="AV521"/>
      <c r="AW521"/>
      <c r="AX521"/>
    </row>
    <row r="522" spans="35:50">
      <c r="AI522" s="22"/>
      <c r="AJ522" s="22"/>
      <c r="AK522" s="22"/>
      <c r="AL522" s="22"/>
      <c r="AM522" s="22"/>
      <c r="AN522" s="22"/>
      <c r="AO522" s="22"/>
      <c r="AP522" s="22"/>
      <c r="AQ522"/>
      <c r="AR522"/>
      <c r="AS522"/>
      <c r="AT522"/>
      <c r="AU522"/>
      <c r="AV522"/>
      <c r="AW522"/>
      <c r="AX522"/>
    </row>
    <row r="523" spans="35:50">
      <c r="AI523" s="22"/>
      <c r="AJ523" s="22"/>
      <c r="AK523" s="22"/>
      <c r="AL523" s="22"/>
      <c r="AM523" s="22"/>
      <c r="AN523" s="22"/>
      <c r="AO523" s="22"/>
      <c r="AP523" s="22"/>
      <c r="AQ523"/>
      <c r="AR523"/>
      <c r="AS523"/>
      <c r="AT523"/>
      <c r="AU523"/>
      <c r="AV523"/>
      <c r="AW523"/>
      <c r="AX523"/>
    </row>
    <row r="524" spans="35:50">
      <c r="AI524" s="22"/>
      <c r="AJ524" s="22"/>
      <c r="AK524" s="22"/>
      <c r="AL524" s="22"/>
      <c r="AM524" s="22"/>
      <c r="AN524" s="22"/>
      <c r="AO524" s="22"/>
      <c r="AP524" s="22"/>
      <c r="AQ524"/>
      <c r="AR524"/>
      <c r="AS524"/>
      <c r="AT524"/>
      <c r="AU524"/>
      <c r="AV524"/>
      <c r="AW524"/>
      <c r="AX524"/>
    </row>
    <row r="525" spans="35:50">
      <c r="AI525" s="22"/>
      <c r="AJ525" s="22"/>
      <c r="AK525" s="22"/>
      <c r="AL525" s="22"/>
      <c r="AM525" s="22"/>
      <c r="AN525" s="22"/>
      <c r="AO525" s="22"/>
      <c r="AP525" s="22"/>
      <c r="AQ525"/>
      <c r="AR525"/>
      <c r="AS525"/>
      <c r="AT525"/>
      <c r="AU525"/>
      <c r="AV525"/>
      <c r="AW525"/>
      <c r="AX525"/>
    </row>
    <row r="526" spans="35:50">
      <c r="AI526" s="22"/>
      <c r="AJ526" s="22"/>
      <c r="AK526" s="22"/>
      <c r="AL526" s="22"/>
      <c r="AM526" s="22"/>
      <c r="AN526" s="22"/>
      <c r="AO526" s="22"/>
      <c r="AP526" s="22"/>
      <c r="AQ526"/>
      <c r="AR526"/>
      <c r="AS526"/>
      <c r="AT526"/>
      <c r="AU526"/>
      <c r="AV526"/>
      <c r="AW526"/>
      <c r="AX526"/>
    </row>
    <row r="527" spans="35:50">
      <c r="AI527" s="22"/>
      <c r="AJ527" s="22"/>
      <c r="AK527" s="22"/>
      <c r="AL527" s="22"/>
      <c r="AM527" s="22"/>
      <c r="AN527" s="22"/>
      <c r="AO527" s="22"/>
      <c r="AP527" s="22"/>
      <c r="AQ527"/>
      <c r="AR527"/>
      <c r="AS527"/>
      <c r="AT527"/>
      <c r="AU527"/>
      <c r="AV527"/>
      <c r="AW527"/>
      <c r="AX527"/>
    </row>
    <row r="528" spans="35:50">
      <c r="AI528" s="22"/>
      <c r="AJ528" s="22"/>
      <c r="AK528" s="22"/>
      <c r="AL528" s="22"/>
      <c r="AM528" s="22"/>
      <c r="AN528" s="22"/>
      <c r="AO528" s="22"/>
      <c r="AP528" s="22"/>
      <c r="AQ528"/>
      <c r="AR528"/>
      <c r="AS528"/>
      <c r="AT528"/>
      <c r="AU528"/>
      <c r="AV528"/>
      <c r="AW528"/>
      <c r="AX528"/>
    </row>
    <row r="529" spans="35:50">
      <c r="AI529" s="22"/>
      <c r="AJ529" s="22"/>
      <c r="AK529" s="22"/>
      <c r="AL529" s="22"/>
      <c r="AM529" s="22"/>
      <c r="AN529" s="22"/>
      <c r="AO529" s="22"/>
      <c r="AP529" s="22"/>
      <c r="AQ529"/>
      <c r="AR529"/>
      <c r="AS529"/>
      <c r="AT529"/>
      <c r="AU529"/>
      <c r="AV529"/>
      <c r="AW529"/>
      <c r="AX529"/>
    </row>
    <row r="530" spans="35:50">
      <c r="AI530" s="22"/>
      <c r="AJ530" s="22"/>
      <c r="AK530" s="22"/>
      <c r="AL530" s="22"/>
      <c r="AM530" s="22"/>
      <c r="AN530" s="22"/>
      <c r="AO530" s="22"/>
      <c r="AP530" s="22"/>
      <c r="AQ530"/>
      <c r="AR530"/>
      <c r="AS530"/>
      <c r="AT530"/>
      <c r="AU530"/>
      <c r="AV530"/>
      <c r="AW530"/>
      <c r="AX530"/>
    </row>
    <row r="531" spans="35:50">
      <c r="AI531" s="22"/>
      <c r="AJ531" s="22"/>
      <c r="AK531" s="22"/>
      <c r="AL531" s="22"/>
      <c r="AM531" s="22"/>
      <c r="AN531" s="22"/>
      <c r="AO531" s="22"/>
      <c r="AP531" s="22"/>
      <c r="AQ531"/>
      <c r="AR531"/>
      <c r="AS531"/>
      <c r="AT531"/>
      <c r="AU531"/>
      <c r="AV531"/>
      <c r="AW531"/>
      <c r="AX531"/>
    </row>
    <row r="532" spans="35:50">
      <c r="AI532" s="22"/>
      <c r="AJ532" s="22"/>
      <c r="AK532" s="22"/>
      <c r="AL532" s="22"/>
      <c r="AM532" s="22"/>
      <c r="AN532" s="22"/>
      <c r="AO532" s="22"/>
      <c r="AP532" s="22"/>
      <c r="AQ532"/>
      <c r="AR532"/>
      <c r="AS532"/>
      <c r="AT532"/>
      <c r="AU532"/>
      <c r="AV532"/>
      <c r="AW532"/>
      <c r="AX532"/>
    </row>
    <row r="533" spans="35:50">
      <c r="AI533" s="22"/>
      <c r="AJ533" s="22"/>
      <c r="AK533" s="22"/>
      <c r="AL533" s="22"/>
      <c r="AM533" s="22"/>
      <c r="AN533" s="22"/>
      <c r="AO533" s="22"/>
      <c r="AP533" s="22"/>
      <c r="AQ533"/>
      <c r="AR533"/>
      <c r="AS533"/>
      <c r="AT533"/>
      <c r="AU533"/>
      <c r="AV533"/>
      <c r="AW533"/>
      <c r="AX533"/>
    </row>
    <row r="534" spans="35:50">
      <c r="AI534" s="22"/>
      <c r="AJ534" s="22"/>
      <c r="AK534" s="22"/>
      <c r="AL534" s="22"/>
      <c r="AM534" s="22"/>
      <c r="AN534" s="22"/>
      <c r="AO534" s="22"/>
      <c r="AP534" s="22"/>
      <c r="AQ534"/>
      <c r="AR534"/>
      <c r="AS534"/>
      <c r="AT534"/>
      <c r="AU534"/>
      <c r="AV534"/>
      <c r="AW534"/>
      <c r="AX534"/>
    </row>
    <row r="535" spans="35:50">
      <c r="AI535" s="22"/>
      <c r="AJ535" s="22"/>
      <c r="AK535" s="22"/>
      <c r="AL535" s="22"/>
      <c r="AM535" s="22"/>
      <c r="AN535" s="22"/>
      <c r="AO535" s="22"/>
      <c r="AP535" s="22"/>
      <c r="AQ535"/>
      <c r="AR535"/>
      <c r="AS535"/>
      <c r="AT535"/>
      <c r="AU535"/>
      <c r="AV535"/>
      <c r="AW535"/>
      <c r="AX535"/>
    </row>
    <row r="536" spans="35:50">
      <c r="AI536" s="22"/>
      <c r="AJ536" s="22"/>
      <c r="AK536" s="22"/>
      <c r="AL536" s="22"/>
      <c r="AM536" s="22"/>
      <c r="AN536" s="22"/>
      <c r="AO536" s="22"/>
      <c r="AP536" s="22"/>
      <c r="AQ536"/>
      <c r="AR536"/>
      <c r="AS536"/>
      <c r="AT536"/>
      <c r="AU536"/>
      <c r="AV536"/>
      <c r="AW536"/>
      <c r="AX536"/>
    </row>
    <row r="537" spans="35:50">
      <c r="AI537" s="22"/>
      <c r="AJ537" s="22"/>
      <c r="AK537" s="22"/>
      <c r="AL537" s="22"/>
      <c r="AM537" s="22"/>
      <c r="AN537" s="22"/>
      <c r="AO537" s="22"/>
      <c r="AP537" s="22"/>
      <c r="AQ537"/>
      <c r="AR537"/>
      <c r="AS537"/>
      <c r="AT537"/>
      <c r="AU537"/>
      <c r="AV537"/>
      <c r="AW537"/>
      <c r="AX537"/>
    </row>
    <row r="538" spans="35:50">
      <c r="AI538" s="22"/>
      <c r="AJ538" s="22"/>
      <c r="AK538" s="22"/>
      <c r="AL538" s="22"/>
      <c r="AM538" s="22"/>
      <c r="AN538" s="22"/>
      <c r="AO538" s="22"/>
      <c r="AP538" s="22"/>
      <c r="AQ538"/>
      <c r="AR538"/>
      <c r="AS538"/>
      <c r="AT538"/>
      <c r="AU538"/>
      <c r="AV538"/>
      <c r="AW538"/>
      <c r="AX538"/>
    </row>
    <row r="539" spans="35:50">
      <c r="AI539" s="22"/>
      <c r="AJ539" s="22"/>
      <c r="AK539" s="22"/>
      <c r="AL539" s="22"/>
      <c r="AM539" s="22"/>
      <c r="AN539" s="22"/>
      <c r="AO539" s="22"/>
      <c r="AP539" s="22"/>
      <c r="AQ539"/>
      <c r="AR539"/>
      <c r="AS539"/>
      <c r="AT539"/>
      <c r="AU539"/>
      <c r="AV539"/>
      <c r="AW539"/>
      <c r="AX539"/>
    </row>
    <row r="540" spans="35:50">
      <c r="AI540" s="22"/>
      <c r="AJ540" s="22"/>
      <c r="AK540" s="22"/>
      <c r="AL540" s="22"/>
      <c r="AM540" s="22"/>
      <c r="AN540" s="22"/>
      <c r="AO540" s="22"/>
      <c r="AP540" s="22"/>
      <c r="AQ540"/>
      <c r="AR540"/>
      <c r="AS540"/>
      <c r="AT540"/>
      <c r="AU540"/>
      <c r="AV540"/>
      <c r="AW540"/>
      <c r="AX540"/>
    </row>
    <row r="541" spans="35:50">
      <c r="AI541" s="22"/>
      <c r="AJ541" s="22"/>
      <c r="AK541" s="22"/>
      <c r="AL541" s="22"/>
      <c r="AM541" s="22"/>
      <c r="AN541" s="22"/>
      <c r="AO541" s="22"/>
      <c r="AP541" s="22"/>
      <c r="AQ541"/>
      <c r="AR541"/>
      <c r="AS541"/>
      <c r="AT541"/>
      <c r="AU541"/>
      <c r="AV541"/>
      <c r="AW541"/>
      <c r="AX541"/>
    </row>
    <row r="542" spans="35:50">
      <c r="AI542" s="22"/>
      <c r="AJ542" s="22"/>
      <c r="AK542" s="22"/>
      <c r="AL542" s="22"/>
      <c r="AM542" s="22"/>
      <c r="AN542" s="22"/>
      <c r="AO542" s="22"/>
      <c r="AP542" s="22"/>
      <c r="AQ542"/>
      <c r="AR542"/>
      <c r="AS542"/>
      <c r="AT542"/>
      <c r="AU542"/>
      <c r="AV542"/>
      <c r="AW542"/>
      <c r="AX542"/>
    </row>
    <row r="543" spans="35:50">
      <c r="AI543" s="22"/>
      <c r="AJ543" s="22"/>
      <c r="AK543" s="22"/>
      <c r="AL543" s="22"/>
      <c r="AM543" s="22"/>
      <c r="AN543" s="22"/>
      <c r="AO543" s="22"/>
      <c r="AP543" s="22"/>
      <c r="AQ543"/>
      <c r="AR543"/>
      <c r="AS543"/>
      <c r="AT543"/>
      <c r="AU543"/>
      <c r="AV543"/>
      <c r="AW543"/>
      <c r="AX543"/>
    </row>
    <row r="544" spans="35:50">
      <c r="AI544" s="22"/>
      <c r="AJ544" s="22"/>
      <c r="AK544" s="22"/>
      <c r="AL544" s="22"/>
      <c r="AM544" s="22"/>
      <c r="AN544" s="22"/>
      <c r="AO544" s="22"/>
      <c r="AP544" s="22"/>
      <c r="AQ544"/>
      <c r="AR544"/>
      <c r="AS544"/>
      <c r="AT544"/>
      <c r="AU544"/>
      <c r="AV544"/>
      <c r="AW544"/>
      <c r="AX544"/>
    </row>
    <row r="545" spans="35:50">
      <c r="AI545" s="22"/>
      <c r="AJ545" s="22"/>
      <c r="AK545" s="22"/>
      <c r="AL545" s="22"/>
      <c r="AM545" s="22"/>
      <c r="AN545" s="22"/>
      <c r="AO545" s="22"/>
      <c r="AP545" s="22"/>
      <c r="AQ545"/>
      <c r="AR545"/>
      <c r="AS545"/>
      <c r="AT545"/>
      <c r="AU545"/>
      <c r="AV545"/>
      <c r="AW545"/>
      <c r="AX545"/>
    </row>
    <row r="546" spans="35:50">
      <c r="AI546" s="22"/>
      <c r="AJ546" s="22"/>
      <c r="AK546" s="22"/>
      <c r="AL546" s="22"/>
      <c r="AM546" s="22"/>
      <c r="AN546" s="22"/>
      <c r="AO546" s="22"/>
      <c r="AP546" s="22"/>
      <c r="AQ546"/>
      <c r="AR546"/>
      <c r="AS546"/>
      <c r="AT546"/>
      <c r="AU546"/>
      <c r="AV546"/>
      <c r="AW546"/>
      <c r="AX546"/>
    </row>
    <row r="547" spans="35:50">
      <c r="AI547" s="22"/>
      <c r="AJ547" s="22"/>
      <c r="AK547" s="22"/>
      <c r="AL547" s="22"/>
      <c r="AM547" s="22"/>
      <c r="AN547" s="22"/>
      <c r="AO547" s="22"/>
      <c r="AP547" s="22"/>
      <c r="AQ547"/>
      <c r="AR547"/>
      <c r="AS547"/>
      <c r="AT547"/>
      <c r="AU547"/>
      <c r="AV547"/>
      <c r="AW547"/>
      <c r="AX547"/>
    </row>
    <row r="548" spans="35:50">
      <c r="AI548" s="22"/>
      <c r="AJ548" s="22"/>
      <c r="AK548" s="22"/>
      <c r="AL548" s="22"/>
      <c r="AM548" s="22"/>
      <c r="AN548" s="22"/>
      <c r="AO548" s="22"/>
      <c r="AP548" s="22"/>
      <c r="AQ548"/>
      <c r="AR548"/>
      <c r="AS548"/>
      <c r="AT548"/>
      <c r="AU548"/>
      <c r="AV548"/>
      <c r="AW548"/>
      <c r="AX548"/>
    </row>
    <row r="549" spans="35:50">
      <c r="AI549" s="22"/>
      <c r="AJ549" s="22"/>
      <c r="AK549" s="22"/>
      <c r="AL549" s="22"/>
      <c r="AM549" s="22"/>
      <c r="AN549" s="22"/>
      <c r="AO549" s="22"/>
      <c r="AP549" s="22"/>
      <c r="AQ549"/>
      <c r="AR549"/>
      <c r="AS549"/>
      <c r="AT549"/>
      <c r="AU549"/>
      <c r="AV549"/>
      <c r="AW549"/>
      <c r="AX549"/>
    </row>
    <row r="550" spans="35:50">
      <c r="AI550" s="22"/>
      <c r="AJ550" s="22"/>
      <c r="AK550" s="22"/>
      <c r="AL550" s="22"/>
      <c r="AM550" s="22"/>
      <c r="AN550" s="22"/>
      <c r="AO550" s="22"/>
      <c r="AP550" s="22"/>
      <c r="AQ550"/>
      <c r="AR550"/>
      <c r="AS550"/>
      <c r="AT550"/>
      <c r="AU550"/>
      <c r="AV550"/>
      <c r="AW550"/>
      <c r="AX550"/>
    </row>
    <row r="551" spans="35:50">
      <c r="AI551" s="22"/>
      <c r="AJ551" s="22"/>
      <c r="AK551" s="22"/>
      <c r="AL551" s="22"/>
      <c r="AM551" s="22"/>
      <c r="AN551" s="22"/>
      <c r="AO551" s="22"/>
      <c r="AP551" s="22"/>
      <c r="AQ551"/>
      <c r="AR551"/>
      <c r="AS551"/>
      <c r="AT551"/>
      <c r="AU551"/>
      <c r="AV551"/>
      <c r="AW551"/>
      <c r="AX551"/>
    </row>
    <row r="552" spans="35:50">
      <c r="AI552" s="22"/>
      <c r="AJ552" s="22"/>
      <c r="AK552" s="22"/>
      <c r="AL552" s="22"/>
      <c r="AM552" s="22"/>
      <c r="AN552" s="22"/>
      <c r="AO552" s="22"/>
      <c r="AP552" s="22"/>
      <c r="AQ552"/>
      <c r="AR552"/>
      <c r="AS552"/>
      <c r="AT552"/>
      <c r="AU552"/>
      <c r="AV552"/>
      <c r="AW552"/>
      <c r="AX552"/>
    </row>
    <row r="553" spans="35:50">
      <c r="AI553" s="22"/>
      <c r="AJ553" s="22"/>
      <c r="AK553" s="22"/>
      <c r="AL553" s="22"/>
      <c r="AM553" s="22"/>
      <c r="AN553" s="22"/>
      <c r="AO553" s="22"/>
      <c r="AP553" s="22"/>
      <c r="AQ553"/>
      <c r="AR553"/>
      <c r="AS553"/>
      <c r="AT553"/>
      <c r="AU553"/>
      <c r="AV553"/>
      <c r="AW553"/>
      <c r="AX553"/>
    </row>
    <row r="554" spans="35:50">
      <c r="AI554" s="22"/>
      <c r="AJ554" s="22"/>
      <c r="AK554" s="22"/>
      <c r="AL554" s="22"/>
      <c r="AM554" s="22"/>
      <c r="AN554" s="22"/>
      <c r="AO554" s="22"/>
      <c r="AP554" s="22"/>
      <c r="AQ554"/>
      <c r="AR554"/>
      <c r="AS554"/>
      <c r="AT554"/>
      <c r="AU554"/>
      <c r="AV554"/>
      <c r="AW554"/>
      <c r="AX554"/>
    </row>
    <row r="555" spans="35:50">
      <c r="AI555" s="22"/>
      <c r="AJ555" s="22"/>
      <c r="AK555" s="22"/>
      <c r="AL555" s="22"/>
      <c r="AM555" s="22"/>
      <c r="AN555" s="22"/>
      <c r="AO555" s="22"/>
      <c r="AP555" s="22"/>
      <c r="AQ555"/>
      <c r="AR555"/>
      <c r="AS555"/>
      <c r="AT555"/>
      <c r="AU555"/>
      <c r="AV555"/>
      <c r="AW555"/>
      <c r="AX555"/>
    </row>
    <row r="556" spans="35:50">
      <c r="AI556" s="22"/>
      <c r="AJ556" s="22"/>
      <c r="AK556" s="22"/>
      <c r="AL556" s="22"/>
      <c r="AM556" s="22"/>
      <c r="AN556" s="22"/>
      <c r="AO556" s="22"/>
      <c r="AP556" s="22"/>
      <c r="AQ556"/>
      <c r="AR556"/>
      <c r="AS556"/>
      <c r="AT556"/>
      <c r="AU556"/>
      <c r="AV556"/>
      <c r="AW556"/>
      <c r="AX556"/>
    </row>
    <row r="557" spans="35:50">
      <c r="AI557" s="22"/>
      <c r="AJ557" s="22"/>
      <c r="AK557" s="22"/>
      <c r="AL557" s="22"/>
      <c r="AM557" s="22"/>
      <c r="AN557" s="22"/>
      <c r="AO557" s="22"/>
      <c r="AP557" s="22"/>
      <c r="AQ557"/>
      <c r="AR557"/>
      <c r="AS557"/>
      <c r="AT557"/>
      <c r="AU557"/>
      <c r="AV557"/>
      <c r="AW557"/>
      <c r="AX557"/>
    </row>
    <row r="558" spans="35:50">
      <c r="AI558" s="22"/>
      <c r="AJ558" s="22"/>
      <c r="AK558" s="22"/>
      <c r="AL558" s="22"/>
      <c r="AM558" s="22"/>
      <c r="AN558" s="22"/>
      <c r="AO558" s="22"/>
      <c r="AP558" s="22"/>
      <c r="AQ558"/>
      <c r="AR558"/>
      <c r="AS558"/>
      <c r="AT558"/>
      <c r="AU558"/>
      <c r="AV558"/>
      <c r="AW558"/>
      <c r="AX558"/>
    </row>
    <row r="559" spans="35:50">
      <c r="AI559" s="22"/>
      <c r="AJ559" s="22"/>
      <c r="AK559" s="22"/>
      <c r="AL559" s="22"/>
      <c r="AM559" s="22"/>
      <c r="AN559" s="22"/>
      <c r="AO559" s="22"/>
      <c r="AP559" s="22"/>
      <c r="AQ559"/>
      <c r="AR559"/>
      <c r="AS559"/>
      <c r="AT559"/>
      <c r="AU559"/>
      <c r="AV559"/>
      <c r="AW559"/>
      <c r="AX559"/>
    </row>
    <row r="560" spans="35:50">
      <c r="AI560" s="22"/>
      <c r="AJ560" s="22"/>
      <c r="AK560" s="22"/>
      <c r="AL560" s="22"/>
      <c r="AM560" s="22"/>
      <c r="AN560" s="22"/>
      <c r="AO560" s="22"/>
      <c r="AP560" s="22"/>
      <c r="AQ560"/>
      <c r="AR560"/>
      <c r="AS560"/>
      <c r="AT560"/>
      <c r="AU560"/>
      <c r="AV560"/>
      <c r="AW560"/>
      <c r="AX560"/>
    </row>
    <row r="561" spans="35:50">
      <c r="AI561" s="22"/>
      <c r="AJ561" s="22"/>
      <c r="AK561" s="22"/>
      <c r="AL561" s="22"/>
      <c r="AM561" s="22"/>
      <c r="AN561" s="22"/>
      <c r="AO561" s="22"/>
      <c r="AP561" s="22"/>
      <c r="AQ561"/>
      <c r="AR561"/>
      <c r="AS561"/>
      <c r="AT561"/>
      <c r="AU561"/>
      <c r="AV561"/>
      <c r="AW561"/>
      <c r="AX561"/>
    </row>
    <row r="562" spans="35:50">
      <c r="AI562" s="22"/>
      <c r="AJ562" s="22"/>
      <c r="AK562" s="22"/>
      <c r="AL562" s="22"/>
      <c r="AM562" s="22"/>
      <c r="AN562" s="22"/>
      <c r="AO562" s="22"/>
      <c r="AP562" s="22"/>
      <c r="AQ562"/>
      <c r="AR562"/>
      <c r="AS562"/>
      <c r="AT562"/>
      <c r="AU562"/>
      <c r="AV562"/>
      <c r="AW562"/>
      <c r="AX562"/>
    </row>
    <row r="563" spans="35:50">
      <c r="AI563" s="22"/>
      <c r="AJ563" s="22"/>
      <c r="AK563" s="22"/>
      <c r="AL563" s="22"/>
      <c r="AM563" s="22"/>
      <c r="AN563" s="22"/>
      <c r="AO563" s="22"/>
      <c r="AP563" s="22"/>
      <c r="AQ563"/>
      <c r="AR563"/>
      <c r="AS563"/>
      <c r="AT563"/>
      <c r="AU563"/>
      <c r="AV563"/>
      <c r="AW563"/>
      <c r="AX563"/>
    </row>
    <row r="564" spans="35:50">
      <c r="AI564" s="22"/>
      <c r="AJ564" s="22"/>
      <c r="AK564" s="22"/>
      <c r="AL564" s="22"/>
      <c r="AM564" s="22"/>
      <c r="AN564" s="22"/>
      <c r="AO564" s="22"/>
      <c r="AP564" s="22"/>
      <c r="AQ564"/>
      <c r="AR564"/>
      <c r="AS564"/>
      <c r="AT564"/>
      <c r="AU564"/>
      <c r="AV564"/>
      <c r="AW564"/>
      <c r="AX564"/>
    </row>
    <row r="565" spans="35:50">
      <c r="AI565" s="22"/>
      <c r="AJ565" s="22"/>
      <c r="AK565" s="22"/>
      <c r="AL565" s="22"/>
      <c r="AM565" s="22"/>
      <c r="AN565" s="22"/>
      <c r="AO565" s="22"/>
      <c r="AP565" s="22"/>
      <c r="AQ565"/>
      <c r="AR565"/>
      <c r="AS565"/>
      <c r="AT565"/>
      <c r="AU565"/>
      <c r="AV565"/>
      <c r="AW565"/>
      <c r="AX565"/>
    </row>
    <row r="566" spans="35:50">
      <c r="AI566" s="22"/>
      <c r="AJ566" s="22"/>
      <c r="AK566" s="22"/>
      <c r="AL566" s="22"/>
      <c r="AM566" s="22"/>
      <c r="AN566" s="22"/>
      <c r="AO566" s="22"/>
      <c r="AP566" s="22"/>
      <c r="AQ566"/>
      <c r="AR566"/>
      <c r="AS566"/>
      <c r="AT566"/>
      <c r="AU566"/>
      <c r="AV566"/>
      <c r="AW566"/>
      <c r="AX566"/>
    </row>
    <row r="567" spans="35:50">
      <c r="AI567" s="22"/>
      <c r="AJ567" s="22"/>
      <c r="AK567" s="22"/>
      <c r="AL567" s="22"/>
      <c r="AM567" s="22"/>
      <c r="AN567" s="22"/>
      <c r="AO567" s="22"/>
      <c r="AP567" s="22"/>
      <c r="AQ567"/>
      <c r="AR567"/>
      <c r="AS567"/>
      <c r="AT567"/>
      <c r="AU567"/>
      <c r="AV567"/>
      <c r="AW567"/>
      <c r="AX567"/>
    </row>
    <row r="568" spans="35:50">
      <c r="AI568" s="22"/>
      <c r="AJ568" s="22"/>
      <c r="AK568" s="22"/>
      <c r="AL568" s="22"/>
      <c r="AM568" s="22"/>
      <c r="AN568" s="22"/>
      <c r="AO568" s="22"/>
      <c r="AP568" s="22"/>
      <c r="AQ568"/>
      <c r="AR568"/>
      <c r="AS568"/>
      <c r="AT568"/>
      <c r="AU568"/>
      <c r="AV568"/>
      <c r="AW568"/>
      <c r="AX568"/>
    </row>
    <row r="569" spans="35:50">
      <c r="AI569" s="22"/>
      <c r="AJ569" s="22"/>
      <c r="AK569" s="22"/>
      <c r="AL569" s="22"/>
      <c r="AM569" s="22"/>
      <c r="AN569" s="22"/>
      <c r="AO569" s="22"/>
      <c r="AP569" s="22"/>
      <c r="AQ569"/>
      <c r="AR569"/>
      <c r="AS569"/>
      <c r="AT569"/>
      <c r="AU569"/>
      <c r="AV569"/>
      <c r="AW569"/>
      <c r="AX569"/>
    </row>
    <row r="570" spans="35:50">
      <c r="AI570" s="22"/>
      <c r="AJ570" s="22"/>
      <c r="AK570" s="22"/>
      <c r="AL570" s="22"/>
      <c r="AM570" s="22"/>
      <c r="AN570" s="22"/>
      <c r="AO570" s="22"/>
      <c r="AP570" s="22"/>
      <c r="AQ570"/>
      <c r="AR570"/>
      <c r="AS570"/>
      <c r="AT570"/>
      <c r="AU570"/>
      <c r="AV570"/>
      <c r="AW570"/>
      <c r="AX570"/>
    </row>
    <row r="571" spans="35:50">
      <c r="AI571" s="22"/>
      <c r="AJ571" s="22"/>
      <c r="AK571" s="22"/>
      <c r="AL571" s="22"/>
      <c r="AM571" s="22"/>
      <c r="AN571" s="22"/>
      <c r="AO571" s="22"/>
      <c r="AP571" s="22"/>
      <c r="AQ571"/>
      <c r="AR571"/>
      <c r="AS571"/>
      <c r="AT571"/>
      <c r="AU571"/>
      <c r="AV571"/>
      <c r="AW571"/>
      <c r="AX571"/>
    </row>
    <row r="572" spans="35:50">
      <c r="AI572" s="22"/>
      <c r="AJ572" s="22"/>
      <c r="AK572" s="22"/>
      <c r="AL572" s="22"/>
      <c r="AM572" s="22"/>
      <c r="AN572" s="22"/>
      <c r="AO572" s="22"/>
      <c r="AP572" s="22"/>
      <c r="AQ572"/>
      <c r="AR572"/>
      <c r="AS572"/>
      <c r="AT572"/>
      <c r="AU572"/>
      <c r="AV572"/>
      <c r="AW572"/>
      <c r="AX572"/>
    </row>
    <row r="573" spans="35:50">
      <c r="AI573" s="22"/>
      <c r="AJ573" s="22"/>
      <c r="AK573" s="22"/>
      <c r="AL573" s="22"/>
      <c r="AM573" s="22"/>
      <c r="AN573" s="22"/>
      <c r="AO573" s="22"/>
      <c r="AP573" s="22"/>
      <c r="AQ573"/>
      <c r="AR573"/>
      <c r="AS573"/>
      <c r="AT573"/>
      <c r="AU573"/>
      <c r="AV573"/>
      <c r="AW573"/>
      <c r="AX573"/>
    </row>
    <row r="574" spans="35:50">
      <c r="AI574" s="22"/>
      <c r="AJ574" s="22"/>
      <c r="AK574" s="22"/>
      <c r="AL574" s="22"/>
      <c r="AM574" s="22"/>
      <c r="AN574" s="22"/>
      <c r="AO574" s="22"/>
      <c r="AP574" s="22"/>
      <c r="AQ574"/>
      <c r="AR574"/>
      <c r="AS574"/>
      <c r="AT574"/>
      <c r="AU574"/>
      <c r="AV574"/>
      <c r="AW574"/>
      <c r="AX574"/>
    </row>
    <row r="575" spans="35:50">
      <c r="AI575" s="22"/>
      <c r="AJ575" s="22"/>
      <c r="AK575" s="22"/>
      <c r="AL575" s="22"/>
      <c r="AM575" s="22"/>
      <c r="AN575" s="22"/>
      <c r="AO575" s="22"/>
      <c r="AP575" s="22"/>
      <c r="AQ575"/>
      <c r="AR575"/>
      <c r="AS575"/>
      <c r="AT575"/>
      <c r="AU575"/>
      <c r="AV575"/>
      <c r="AW575"/>
      <c r="AX575"/>
    </row>
    <row r="576" spans="35:50">
      <c r="AI576" s="22"/>
      <c r="AJ576" s="22"/>
      <c r="AK576" s="22"/>
      <c r="AL576" s="22"/>
      <c r="AM576" s="22"/>
      <c r="AN576" s="22"/>
      <c r="AO576" s="22"/>
      <c r="AP576" s="22"/>
      <c r="AQ576"/>
      <c r="AR576"/>
      <c r="AS576"/>
      <c r="AT576"/>
      <c r="AU576"/>
      <c r="AV576"/>
      <c r="AW576"/>
      <c r="AX576"/>
    </row>
    <row r="577" spans="35:50">
      <c r="AI577" s="22"/>
      <c r="AJ577" s="22"/>
      <c r="AK577" s="22"/>
      <c r="AL577" s="22"/>
      <c r="AM577" s="22"/>
      <c r="AN577" s="22"/>
      <c r="AO577" s="22"/>
      <c r="AP577" s="22"/>
      <c r="AQ577"/>
      <c r="AR577"/>
      <c r="AS577"/>
      <c r="AT577"/>
      <c r="AU577"/>
      <c r="AV577"/>
      <c r="AW577"/>
      <c r="AX577"/>
    </row>
    <row r="578" spans="35:50">
      <c r="AI578" s="22"/>
      <c r="AJ578" s="22"/>
      <c r="AK578" s="22"/>
      <c r="AL578" s="22"/>
      <c r="AM578" s="22"/>
      <c r="AN578" s="22"/>
      <c r="AO578" s="22"/>
      <c r="AP578" s="22"/>
      <c r="AQ578"/>
      <c r="AR578"/>
      <c r="AS578"/>
      <c r="AT578"/>
      <c r="AU578"/>
      <c r="AV578"/>
      <c r="AW578"/>
      <c r="AX578"/>
    </row>
    <row r="579" spans="35:50">
      <c r="AI579" s="22"/>
      <c r="AJ579" s="22"/>
      <c r="AK579" s="22"/>
      <c r="AL579" s="22"/>
      <c r="AM579" s="22"/>
      <c r="AN579" s="22"/>
      <c r="AO579" s="22"/>
      <c r="AP579" s="22"/>
      <c r="AQ579"/>
      <c r="AR579"/>
      <c r="AS579"/>
      <c r="AT579"/>
      <c r="AU579"/>
      <c r="AV579"/>
      <c r="AW579"/>
      <c r="AX579"/>
    </row>
    <row r="580" spans="35:50">
      <c r="AI580" s="22"/>
      <c r="AJ580" s="22"/>
      <c r="AK580" s="22"/>
      <c r="AL580" s="22"/>
      <c r="AM580" s="22"/>
      <c r="AN580" s="22"/>
      <c r="AO580" s="22"/>
      <c r="AP580" s="22"/>
      <c r="AQ580"/>
      <c r="AR580"/>
      <c r="AS580"/>
      <c r="AT580"/>
      <c r="AU580"/>
      <c r="AV580"/>
      <c r="AW580"/>
      <c r="AX580"/>
    </row>
    <row r="581" spans="35:50">
      <c r="AI581" s="22"/>
      <c r="AJ581" s="22"/>
      <c r="AK581" s="22"/>
      <c r="AL581" s="22"/>
      <c r="AM581" s="22"/>
      <c r="AN581" s="22"/>
      <c r="AO581" s="22"/>
      <c r="AP581" s="22"/>
      <c r="AQ581"/>
      <c r="AR581"/>
      <c r="AS581"/>
      <c r="AT581"/>
      <c r="AU581"/>
      <c r="AV581"/>
      <c r="AW581"/>
      <c r="AX581"/>
    </row>
    <row r="582" spans="35:50">
      <c r="AI582" s="22"/>
      <c r="AJ582" s="22"/>
      <c r="AK582" s="22"/>
      <c r="AL582" s="22"/>
      <c r="AM582" s="22"/>
      <c r="AN582" s="22"/>
      <c r="AO582" s="22"/>
      <c r="AP582" s="22"/>
      <c r="AQ582"/>
      <c r="AR582"/>
      <c r="AS582"/>
      <c r="AT582"/>
      <c r="AU582"/>
      <c r="AV582"/>
      <c r="AW582"/>
      <c r="AX582"/>
    </row>
    <row r="583" spans="35:50">
      <c r="AI583" s="22"/>
      <c r="AJ583" s="22"/>
      <c r="AK583" s="22"/>
      <c r="AL583" s="22"/>
      <c r="AM583" s="22"/>
      <c r="AN583" s="22"/>
      <c r="AO583" s="22"/>
      <c r="AP583" s="22"/>
      <c r="AQ583"/>
      <c r="AR583"/>
      <c r="AS583"/>
      <c r="AT583"/>
      <c r="AU583"/>
      <c r="AV583"/>
      <c r="AW583"/>
      <c r="AX583"/>
    </row>
    <row r="584" spans="35:50">
      <c r="AI584" s="22"/>
      <c r="AJ584" s="22"/>
      <c r="AK584" s="22"/>
      <c r="AL584" s="22"/>
      <c r="AM584" s="22"/>
      <c r="AN584" s="22"/>
      <c r="AO584" s="22"/>
      <c r="AP584" s="22"/>
      <c r="AQ584"/>
      <c r="AR584"/>
      <c r="AS584"/>
      <c r="AT584"/>
      <c r="AU584"/>
      <c r="AV584"/>
      <c r="AW584"/>
      <c r="AX584"/>
    </row>
    <row r="585" spans="35:50">
      <c r="AI585" s="22"/>
      <c r="AJ585" s="22"/>
      <c r="AK585" s="22"/>
      <c r="AL585" s="22"/>
      <c r="AM585" s="22"/>
      <c r="AN585" s="22"/>
      <c r="AO585" s="22"/>
      <c r="AP585" s="22"/>
      <c r="AQ585"/>
      <c r="AR585"/>
      <c r="AS585"/>
      <c r="AT585"/>
      <c r="AU585"/>
      <c r="AV585"/>
      <c r="AW585"/>
      <c r="AX585"/>
    </row>
    <row r="586" spans="35:50">
      <c r="AI586" s="22"/>
      <c r="AJ586" s="22"/>
      <c r="AK586" s="22"/>
      <c r="AL586" s="22"/>
      <c r="AM586" s="22"/>
      <c r="AN586" s="22"/>
      <c r="AO586" s="22"/>
      <c r="AP586" s="22"/>
      <c r="AQ586"/>
      <c r="AR586"/>
      <c r="AS586"/>
      <c r="AT586"/>
      <c r="AU586"/>
      <c r="AV586"/>
      <c r="AW586"/>
      <c r="AX586"/>
    </row>
    <row r="587" spans="35:50">
      <c r="AI587" s="22"/>
      <c r="AJ587" s="22"/>
      <c r="AK587" s="22"/>
      <c r="AL587" s="22"/>
      <c r="AM587" s="22"/>
      <c r="AN587" s="22"/>
      <c r="AO587" s="22"/>
      <c r="AP587" s="22"/>
      <c r="AQ587"/>
      <c r="AR587"/>
      <c r="AS587"/>
      <c r="AT587"/>
      <c r="AU587"/>
      <c r="AV587"/>
      <c r="AW587"/>
      <c r="AX587"/>
    </row>
    <row r="588" spans="35:50">
      <c r="AI588" s="22"/>
      <c r="AJ588" s="22"/>
      <c r="AK588" s="22"/>
      <c r="AL588" s="22"/>
      <c r="AM588" s="22"/>
      <c r="AN588" s="22"/>
      <c r="AO588" s="22"/>
      <c r="AP588" s="22"/>
      <c r="AQ588"/>
      <c r="AR588"/>
      <c r="AS588"/>
      <c r="AT588"/>
      <c r="AU588"/>
      <c r="AV588"/>
      <c r="AW588"/>
      <c r="AX588"/>
    </row>
    <row r="589" spans="35:50">
      <c r="AI589" s="22"/>
      <c r="AJ589" s="22"/>
      <c r="AK589" s="22"/>
      <c r="AL589" s="22"/>
      <c r="AM589" s="22"/>
      <c r="AN589" s="22"/>
      <c r="AO589" s="22"/>
      <c r="AP589" s="22"/>
      <c r="AQ589"/>
      <c r="AR589"/>
      <c r="AS589"/>
      <c r="AT589"/>
      <c r="AU589"/>
      <c r="AV589"/>
      <c r="AW589"/>
      <c r="AX589"/>
    </row>
    <row r="590" spans="35:50">
      <c r="AI590" s="22"/>
      <c r="AJ590" s="22"/>
      <c r="AK590" s="22"/>
      <c r="AL590" s="22"/>
      <c r="AM590" s="22"/>
      <c r="AN590" s="22"/>
      <c r="AO590" s="22"/>
      <c r="AP590" s="22"/>
      <c r="AQ590"/>
      <c r="AR590"/>
      <c r="AS590"/>
      <c r="AT590"/>
      <c r="AU590"/>
      <c r="AV590"/>
      <c r="AW590"/>
      <c r="AX590"/>
    </row>
    <row r="591" spans="35:50">
      <c r="AI591" s="22"/>
      <c r="AJ591" s="22"/>
      <c r="AK591" s="22"/>
      <c r="AL591" s="22"/>
      <c r="AM591" s="22"/>
      <c r="AN591" s="22"/>
      <c r="AO591" s="22"/>
      <c r="AP591" s="22"/>
      <c r="AQ591"/>
      <c r="AR591"/>
      <c r="AS591"/>
      <c r="AT591"/>
      <c r="AU591"/>
      <c r="AV591"/>
      <c r="AW591"/>
      <c r="AX591"/>
    </row>
    <row r="592" spans="35:50">
      <c r="AI592" s="22"/>
      <c r="AJ592" s="22"/>
      <c r="AK592" s="22"/>
      <c r="AL592" s="22"/>
      <c r="AM592" s="22"/>
      <c r="AN592" s="22"/>
      <c r="AO592" s="22"/>
      <c r="AP592" s="22"/>
      <c r="AQ592"/>
      <c r="AR592"/>
      <c r="AS592"/>
      <c r="AT592"/>
      <c r="AU592"/>
      <c r="AV592"/>
      <c r="AW592"/>
      <c r="AX592"/>
    </row>
    <row r="593" spans="35:50">
      <c r="AI593" s="22"/>
      <c r="AJ593" s="22"/>
      <c r="AK593" s="22"/>
      <c r="AL593" s="22"/>
      <c r="AM593" s="22"/>
      <c r="AN593" s="22"/>
      <c r="AO593" s="22"/>
      <c r="AP593" s="22"/>
      <c r="AQ593"/>
      <c r="AR593"/>
      <c r="AS593"/>
      <c r="AT593"/>
      <c r="AU593"/>
      <c r="AV593"/>
      <c r="AW593"/>
      <c r="AX593"/>
    </row>
    <row r="594" spans="35:50">
      <c r="AI594" s="22"/>
      <c r="AJ594" s="22"/>
      <c r="AK594" s="22"/>
      <c r="AL594" s="22"/>
      <c r="AM594" s="22"/>
      <c r="AN594" s="22"/>
      <c r="AO594" s="22"/>
      <c r="AP594" s="22"/>
      <c r="AQ594"/>
      <c r="AR594"/>
      <c r="AS594"/>
      <c r="AT594"/>
      <c r="AU594"/>
      <c r="AV594"/>
      <c r="AW594"/>
      <c r="AX594"/>
    </row>
    <row r="595" spans="35:50">
      <c r="AI595" s="22"/>
      <c r="AJ595" s="22"/>
      <c r="AK595" s="22"/>
      <c r="AL595" s="22"/>
      <c r="AM595" s="22"/>
      <c r="AN595" s="22"/>
      <c r="AO595" s="22"/>
      <c r="AP595" s="22"/>
      <c r="AQ595"/>
      <c r="AR595"/>
      <c r="AS595"/>
      <c r="AT595"/>
      <c r="AU595"/>
      <c r="AV595"/>
      <c r="AW595"/>
      <c r="AX595"/>
    </row>
    <row r="596" spans="35:50">
      <c r="AI596" s="22"/>
      <c r="AJ596" s="22"/>
      <c r="AK596" s="22"/>
      <c r="AL596" s="22"/>
      <c r="AM596" s="22"/>
      <c r="AN596" s="22"/>
      <c r="AO596" s="22"/>
      <c r="AP596" s="22"/>
      <c r="AQ596"/>
      <c r="AR596"/>
      <c r="AS596"/>
      <c r="AT596"/>
      <c r="AU596"/>
      <c r="AV596"/>
      <c r="AW596"/>
      <c r="AX596"/>
    </row>
    <row r="597" spans="35:50">
      <c r="AI597" s="22"/>
      <c r="AJ597" s="22"/>
      <c r="AK597" s="22"/>
      <c r="AL597" s="22"/>
      <c r="AM597" s="22"/>
      <c r="AN597" s="22"/>
      <c r="AO597" s="22"/>
      <c r="AP597" s="22"/>
      <c r="AQ597"/>
      <c r="AR597"/>
      <c r="AS597"/>
      <c r="AT597"/>
      <c r="AU597"/>
      <c r="AV597"/>
      <c r="AW597"/>
      <c r="AX597"/>
    </row>
    <row r="598" spans="35:50">
      <c r="AI598" s="22"/>
      <c r="AJ598" s="22"/>
      <c r="AK598" s="22"/>
      <c r="AL598" s="22"/>
      <c r="AM598" s="22"/>
      <c r="AN598" s="22"/>
      <c r="AO598" s="22"/>
      <c r="AP598" s="22"/>
      <c r="AQ598"/>
      <c r="AR598"/>
      <c r="AS598"/>
      <c r="AT598"/>
      <c r="AU598"/>
      <c r="AV598"/>
      <c r="AW598"/>
      <c r="AX598"/>
    </row>
    <row r="599" spans="35:50">
      <c r="AI599" s="22"/>
      <c r="AJ599" s="22"/>
      <c r="AK599" s="22"/>
      <c r="AL599" s="22"/>
      <c r="AM599" s="22"/>
      <c r="AN599" s="22"/>
      <c r="AO599" s="22"/>
      <c r="AP599" s="22"/>
      <c r="AQ599"/>
      <c r="AR599"/>
      <c r="AS599"/>
      <c r="AT599"/>
      <c r="AU599"/>
      <c r="AV599"/>
      <c r="AW599"/>
      <c r="AX599"/>
    </row>
    <row r="600" spans="35:50">
      <c r="AI600" s="22"/>
      <c r="AJ600" s="22"/>
      <c r="AK600" s="22"/>
      <c r="AL600" s="22"/>
      <c r="AM600" s="22"/>
      <c r="AN600" s="22"/>
      <c r="AO600" s="22"/>
      <c r="AP600" s="22"/>
      <c r="AQ600"/>
      <c r="AR600"/>
      <c r="AS600"/>
      <c r="AT600"/>
      <c r="AU600"/>
      <c r="AV600"/>
      <c r="AW600"/>
      <c r="AX600"/>
    </row>
    <row r="601" spans="35:50">
      <c r="AI601" s="22"/>
      <c r="AJ601" s="22"/>
      <c r="AK601" s="22"/>
      <c r="AL601" s="22"/>
      <c r="AM601" s="22"/>
      <c r="AN601" s="22"/>
      <c r="AO601" s="22"/>
      <c r="AP601" s="22"/>
      <c r="AQ601"/>
      <c r="AR601"/>
      <c r="AS601"/>
      <c r="AT601"/>
      <c r="AU601"/>
      <c r="AV601"/>
      <c r="AW601"/>
      <c r="AX601"/>
    </row>
    <row r="602" spans="35:50">
      <c r="AI602" s="22"/>
      <c r="AJ602" s="22"/>
      <c r="AK602" s="22"/>
      <c r="AL602" s="22"/>
      <c r="AM602" s="22"/>
      <c r="AN602" s="22"/>
      <c r="AO602" s="22"/>
      <c r="AP602" s="22"/>
      <c r="AQ602"/>
      <c r="AR602"/>
      <c r="AS602"/>
      <c r="AT602"/>
      <c r="AU602"/>
      <c r="AV602"/>
      <c r="AW602"/>
      <c r="AX602"/>
    </row>
    <row r="603" spans="35:50">
      <c r="AI603" s="22"/>
      <c r="AJ603" s="22"/>
      <c r="AK603" s="22"/>
      <c r="AL603" s="22"/>
      <c r="AM603" s="22"/>
      <c r="AN603" s="22"/>
      <c r="AO603" s="22"/>
      <c r="AP603" s="22"/>
      <c r="AQ603"/>
      <c r="AR603"/>
      <c r="AS603"/>
      <c r="AT603"/>
      <c r="AU603"/>
      <c r="AV603"/>
      <c r="AW603"/>
      <c r="AX603"/>
    </row>
    <row r="604" spans="35:50">
      <c r="AI604" s="22"/>
      <c r="AJ604" s="22"/>
      <c r="AK604" s="22"/>
      <c r="AL604" s="22"/>
      <c r="AM604" s="22"/>
      <c r="AN604" s="22"/>
      <c r="AO604" s="22"/>
      <c r="AP604" s="22"/>
      <c r="AQ604"/>
      <c r="AR604"/>
      <c r="AS604"/>
      <c r="AT604"/>
      <c r="AU604"/>
      <c r="AV604"/>
      <c r="AW604"/>
      <c r="AX604"/>
    </row>
    <row r="605" spans="35:50">
      <c r="AI605" s="22"/>
      <c r="AJ605" s="22"/>
      <c r="AK605" s="22"/>
      <c r="AL605" s="22"/>
      <c r="AM605" s="22"/>
      <c r="AN605" s="22"/>
      <c r="AO605" s="22"/>
      <c r="AP605" s="22"/>
      <c r="AQ605"/>
      <c r="AR605"/>
      <c r="AS605"/>
      <c r="AT605"/>
      <c r="AU605"/>
      <c r="AV605"/>
      <c r="AW605"/>
      <c r="AX605"/>
    </row>
    <row r="606" spans="35:50">
      <c r="AI606" s="22"/>
      <c r="AJ606" s="22"/>
      <c r="AK606" s="22"/>
      <c r="AL606" s="22"/>
      <c r="AM606" s="22"/>
      <c r="AN606" s="22"/>
      <c r="AO606" s="22"/>
      <c r="AP606" s="22"/>
      <c r="AQ606"/>
      <c r="AR606"/>
      <c r="AS606"/>
      <c r="AT606"/>
      <c r="AU606"/>
      <c r="AV606"/>
      <c r="AW606"/>
      <c r="AX606"/>
    </row>
    <row r="607" spans="35:50">
      <c r="AI607" s="22"/>
      <c r="AJ607" s="22"/>
      <c r="AK607" s="22"/>
      <c r="AL607" s="22"/>
      <c r="AM607" s="22"/>
      <c r="AN607" s="22"/>
      <c r="AO607" s="22"/>
      <c r="AP607" s="22"/>
      <c r="AQ607"/>
      <c r="AR607"/>
      <c r="AS607"/>
      <c r="AT607"/>
      <c r="AU607"/>
      <c r="AV607"/>
      <c r="AW607"/>
      <c r="AX607"/>
    </row>
    <row r="608" spans="35:50">
      <c r="AI608" s="22"/>
      <c r="AJ608" s="22"/>
      <c r="AK608" s="22"/>
      <c r="AL608" s="22"/>
      <c r="AM608" s="22"/>
      <c r="AN608" s="22"/>
      <c r="AO608" s="22"/>
      <c r="AP608" s="22"/>
      <c r="AQ608"/>
      <c r="AR608"/>
      <c r="AS608"/>
      <c r="AT608"/>
      <c r="AU608"/>
      <c r="AV608"/>
      <c r="AW608"/>
      <c r="AX608"/>
    </row>
    <row r="609" spans="35:50">
      <c r="AI609" s="22"/>
      <c r="AJ609" s="22"/>
      <c r="AK609" s="22"/>
      <c r="AL609" s="22"/>
      <c r="AM609" s="22"/>
      <c r="AN609" s="22"/>
      <c r="AO609" s="22"/>
      <c r="AP609" s="22"/>
      <c r="AQ609"/>
      <c r="AR609"/>
      <c r="AS609"/>
      <c r="AT609"/>
      <c r="AU609"/>
      <c r="AV609"/>
      <c r="AW609"/>
      <c r="AX609"/>
    </row>
    <row r="610" spans="35:50">
      <c r="AI610" s="22"/>
      <c r="AJ610" s="22"/>
      <c r="AK610" s="22"/>
      <c r="AL610" s="22"/>
      <c r="AM610" s="22"/>
      <c r="AN610" s="22"/>
      <c r="AO610" s="22"/>
      <c r="AP610" s="22"/>
      <c r="AQ610"/>
      <c r="AR610"/>
      <c r="AS610"/>
      <c r="AT610"/>
      <c r="AU610"/>
      <c r="AV610"/>
      <c r="AW610"/>
      <c r="AX610"/>
    </row>
    <row r="611" spans="35:50">
      <c r="AI611" s="22"/>
      <c r="AJ611" s="22"/>
      <c r="AK611" s="22"/>
      <c r="AL611" s="22"/>
      <c r="AM611" s="22"/>
      <c r="AN611" s="22"/>
      <c r="AO611" s="22"/>
      <c r="AP611" s="22"/>
      <c r="AQ611"/>
      <c r="AR611"/>
      <c r="AS611"/>
      <c r="AT611"/>
      <c r="AU611"/>
      <c r="AV611"/>
      <c r="AW611"/>
      <c r="AX611"/>
    </row>
    <row r="612" spans="35:50">
      <c r="AI612" s="22"/>
      <c r="AJ612" s="22"/>
      <c r="AK612" s="22"/>
      <c r="AL612" s="22"/>
      <c r="AM612" s="22"/>
      <c r="AN612" s="22"/>
      <c r="AO612" s="22"/>
      <c r="AP612" s="22"/>
      <c r="AQ612"/>
      <c r="AR612"/>
      <c r="AS612"/>
      <c r="AT612"/>
      <c r="AU612"/>
      <c r="AV612"/>
      <c r="AW612"/>
      <c r="AX612"/>
    </row>
    <row r="613" spans="35:50">
      <c r="AI613" s="22"/>
      <c r="AJ613" s="22"/>
      <c r="AK613" s="22"/>
      <c r="AL613" s="22"/>
      <c r="AM613" s="22"/>
      <c r="AN613" s="22"/>
      <c r="AO613" s="22"/>
      <c r="AP613" s="22"/>
      <c r="AQ613"/>
      <c r="AR613"/>
      <c r="AS613"/>
      <c r="AT613"/>
      <c r="AU613"/>
      <c r="AV613"/>
      <c r="AW613"/>
      <c r="AX613"/>
    </row>
    <row r="614" spans="35:50">
      <c r="AI614" s="22"/>
      <c r="AJ614" s="22"/>
      <c r="AK614" s="22"/>
      <c r="AL614" s="22"/>
      <c r="AM614" s="22"/>
      <c r="AN614" s="22"/>
      <c r="AO614" s="22"/>
      <c r="AP614" s="22"/>
      <c r="AQ614"/>
      <c r="AR614"/>
      <c r="AS614"/>
      <c r="AT614"/>
      <c r="AU614"/>
      <c r="AV614"/>
      <c r="AW614"/>
      <c r="AX614"/>
    </row>
    <row r="615" spans="35:50">
      <c r="AI615" s="22"/>
      <c r="AJ615" s="22"/>
      <c r="AK615" s="22"/>
      <c r="AL615" s="22"/>
      <c r="AM615" s="22"/>
      <c r="AN615" s="22"/>
      <c r="AO615" s="22"/>
      <c r="AP615" s="22"/>
      <c r="AQ615"/>
      <c r="AR615"/>
      <c r="AS615"/>
      <c r="AT615"/>
      <c r="AU615"/>
      <c r="AV615"/>
      <c r="AW615"/>
      <c r="AX615"/>
    </row>
    <row r="616" spans="35:50">
      <c r="AI616" s="22"/>
      <c r="AJ616" s="22"/>
      <c r="AK616" s="22"/>
      <c r="AL616" s="22"/>
      <c r="AM616" s="22"/>
      <c r="AN616" s="22"/>
      <c r="AO616" s="22"/>
      <c r="AP616" s="22"/>
      <c r="AQ616"/>
      <c r="AR616"/>
      <c r="AS616"/>
      <c r="AT616"/>
      <c r="AU616"/>
      <c r="AV616"/>
      <c r="AW616"/>
      <c r="AX616"/>
    </row>
    <row r="617" spans="35:50">
      <c r="AI617" s="22"/>
      <c r="AJ617" s="22"/>
      <c r="AK617" s="22"/>
      <c r="AL617" s="22"/>
      <c r="AM617" s="22"/>
      <c r="AN617" s="22"/>
      <c r="AO617" s="22"/>
      <c r="AP617" s="22"/>
      <c r="AQ617"/>
      <c r="AR617"/>
      <c r="AS617"/>
      <c r="AT617"/>
      <c r="AU617"/>
      <c r="AV617"/>
      <c r="AW617"/>
      <c r="AX617"/>
    </row>
    <row r="618" spans="35:50">
      <c r="AI618" s="22"/>
      <c r="AJ618" s="22"/>
      <c r="AK618" s="22"/>
      <c r="AL618" s="22"/>
      <c r="AM618" s="22"/>
      <c r="AN618" s="22"/>
      <c r="AO618" s="22"/>
      <c r="AP618" s="22"/>
      <c r="AQ618"/>
      <c r="AR618"/>
      <c r="AS618"/>
      <c r="AT618"/>
      <c r="AU618"/>
      <c r="AV618"/>
      <c r="AW618"/>
      <c r="AX618"/>
    </row>
    <row r="619" spans="35:50">
      <c r="AI619" s="22"/>
      <c r="AJ619" s="22"/>
      <c r="AK619" s="22"/>
      <c r="AL619" s="22"/>
      <c r="AM619" s="22"/>
      <c r="AN619" s="22"/>
      <c r="AO619" s="22"/>
      <c r="AP619" s="22"/>
      <c r="AQ619"/>
      <c r="AR619"/>
      <c r="AS619"/>
      <c r="AT619"/>
      <c r="AU619"/>
      <c r="AV619"/>
      <c r="AW619"/>
      <c r="AX619"/>
    </row>
    <row r="620" spans="35:50">
      <c r="AI620" s="22"/>
      <c r="AJ620" s="22"/>
      <c r="AK620" s="22"/>
      <c r="AL620" s="22"/>
      <c r="AM620" s="22"/>
      <c r="AN620" s="22"/>
      <c r="AO620" s="22"/>
      <c r="AP620" s="22"/>
      <c r="AQ620"/>
      <c r="AR620"/>
      <c r="AS620"/>
      <c r="AT620"/>
      <c r="AU620"/>
      <c r="AV620"/>
      <c r="AW620"/>
      <c r="AX620"/>
    </row>
    <row r="621" spans="35:50">
      <c r="AI621" s="22"/>
      <c r="AJ621" s="22"/>
      <c r="AK621" s="22"/>
      <c r="AL621" s="22"/>
      <c r="AM621" s="22"/>
      <c r="AN621" s="22"/>
      <c r="AO621" s="22"/>
      <c r="AP621" s="22"/>
      <c r="AQ621"/>
      <c r="AR621"/>
      <c r="AS621"/>
      <c r="AT621"/>
      <c r="AU621"/>
      <c r="AV621"/>
      <c r="AW621"/>
      <c r="AX621"/>
    </row>
    <row r="622" spans="35:50">
      <c r="AI622" s="22"/>
      <c r="AJ622" s="22"/>
      <c r="AK622" s="22"/>
      <c r="AL622" s="22"/>
      <c r="AM622" s="22"/>
      <c r="AN622" s="22"/>
      <c r="AO622" s="22"/>
      <c r="AP622" s="22"/>
      <c r="AQ622"/>
      <c r="AR622"/>
      <c r="AS622"/>
      <c r="AT622"/>
      <c r="AU622"/>
      <c r="AV622"/>
      <c r="AW622"/>
      <c r="AX622"/>
    </row>
    <row r="623" spans="35:50">
      <c r="AI623" s="22"/>
      <c r="AJ623" s="22"/>
      <c r="AK623" s="22"/>
      <c r="AL623" s="22"/>
      <c r="AM623" s="22"/>
      <c r="AN623" s="22"/>
      <c r="AO623" s="22"/>
      <c r="AP623" s="22"/>
      <c r="AQ623"/>
      <c r="AR623"/>
      <c r="AS623"/>
      <c r="AT623"/>
      <c r="AU623"/>
      <c r="AV623"/>
      <c r="AW623"/>
      <c r="AX623"/>
    </row>
    <row r="624" spans="35:50">
      <c r="AI624" s="22"/>
      <c r="AJ624" s="22"/>
      <c r="AK624" s="22"/>
      <c r="AL624" s="22"/>
      <c r="AM624" s="22"/>
      <c r="AN624" s="22"/>
      <c r="AO624" s="22"/>
      <c r="AP624" s="22"/>
      <c r="AQ624"/>
      <c r="AR624"/>
      <c r="AS624"/>
      <c r="AT624"/>
      <c r="AU624"/>
      <c r="AV624"/>
      <c r="AW624"/>
      <c r="AX624"/>
    </row>
    <row r="625" spans="35:50">
      <c r="AI625" s="22"/>
      <c r="AJ625" s="22"/>
      <c r="AK625" s="22"/>
      <c r="AL625" s="22"/>
      <c r="AM625" s="22"/>
      <c r="AN625" s="22"/>
      <c r="AO625" s="22"/>
      <c r="AP625" s="22"/>
      <c r="AQ625"/>
      <c r="AR625"/>
      <c r="AS625"/>
      <c r="AT625"/>
      <c r="AU625"/>
      <c r="AV625"/>
      <c r="AW625"/>
      <c r="AX625"/>
    </row>
    <row r="626" spans="35:50">
      <c r="AI626" s="22"/>
      <c r="AJ626" s="22"/>
      <c r="AK626" s="22"/>
      <c r="AL626" s="22"/>
      <c r="AM626" s="22"/>
      <c r="AN626" s="22"/>
      <c r="AO626" s="22"/>
      <c r="AP626" s="22"/>
      <c r="AQ626"/>
      <c r="AR626"/>
      <c r="AS626"/>
      <c r="AT626"/>
      <c r="AU626"/>
      <c r="AV626"/>
      <c r="AW626"/>
      <c r="AX626"/>
    </row>
    <row r="627" spans="35:50">
      <c r="AI627" s="22"/>
      <c r="AJ627" s="22"/>
      <c r="AK627" s="22"/>
      <c r="AL627" s="22"/>
      <c r="AM627" s="22"/>
      <c r="AN627" s="22"/>
      <c r="AO627" s="22"/>
      <c r="AP627" s="22"/>
      <c r="AQ627"/>
      <c r="AR627"/>
      <c r="AS627"/>
      <c r="AT627"/>
      <c r="AU627"/>
      <c r="AV627"/>
      <c r="AW627"/>
      <c r="AX627"/>
    </row>
    <row r="628" spans="35:50">
      <c r="AI628" s="22"/>
      <c r="AJ628" s="22"/>
      <c r="AK628" s="22"/>
      <c r="AL628" s="22"/>
      <c r="AM628" s="22"/>
      <c r="AN628" s="22"/>
      <c r="AO628" s="22"/>
      <c r="AP628" s="22"/>
      <c r="AQ628"/>
      <c r="AR628"/>
      <c r="AS628"/>
      <c r="AT628"/>
      <c r="AU628"/>
      <c r="AV628"/>
      <c r="AW628"/>
      <c r="AX628"/>
    </row>
    <row r="629" spans="35:50">
      <c r="AI629" s="22"/>
      <c r="AJ629" s="22"/>
      <c r="AK629" s="22"/>
      <c r="AL629" s="22"/>
      <c r="AM629" s="22"/>
      <c r="AN629" s="22"/>
      <c r="AO629" s="22"/>
      <c r="AP629" s="22"/>
      <c r="AQ629"/>
      <c r="AR629"/>
      <c r="AS629"/>
      <c r="AT629"/>
      <c r="AU629"/>
      <c r="AV629"/>
      <c r="AW629"/>
      <c r="AX629"/>
    </row>
    <row r="630" spans="35:50">
      <c r="AI630" s="22"/>
      <c r="AJ630" s="22"/>
      <c r="AK630" s="22"/>
      <c r="AL630" s="22"/>
      <c r="AM630" s="22"/>
      <c r="AN630" s="22"/>
      <c r="AO630" s="22"/>
      <c r="AP630" s="22"/>
      <c r="AQ630"/>
      <c r="AR630"/>
      <c r="AS630"/>
      <c r="AT630"/>
      <c r="AU630"/>
      <c r="AV630"/>
      <c r="AW630"/>
      <c r="AX630"/>
    </row>
    <row r="631" spans="35:50">
      <c r="AI631" s="22"/>
      <c r="AJ631" s="22"/>
      <c r="AK631" s="22"/>
      <c r="AL631" s="22"/>
      <c r="AM631" s="22"/>
      <c r="AN631" s="22"/>
      <c r="AO631" s="22"/>
      <c r="AP631" s="22"/>
      <c r="AQ631"/>
      <c r="AR631"/>
      <c r="AS631"/>
      <c r="AT631"/>
      <c r="AU631"/>
      <c r="AV631"/>
      <c r="AW631"/>
      <c r="AX631"/>
    </row>
    <row r="632" spans="35:50">
      <c r="AI632" s="22"/>
      <c r="AJ632" s="22"/>
      <c r="AK632" s="22"/>
      <c r="AL632" s="22"/>
      <c r="AM632" s="22"/>
      <c r="AN632" s="22"/>
      <c r="AO632" s="22"/>
      <c r="AP632" s="22"/>
      <c r="AQ632"/>
      <c r="AR632"/>
      <c r="AS632"/>
      <c r="AT632"/>
      <c r="AU632"/>
      <c r="AV632"/>
      <c r="AW632"/>
      <c r="AX632"/>
    </row>
    <row r="633" spans="35:50">
      <c r="AI633" s="22"/>
      <c r="AJ633" s="22"/>
      <c r="AK633" s="22"/>
      <c r="AL633" s="22"/>
      <c r="AM633" s="22"/>
      <c r="AN633" s="22"/>
      <c r="AO633" s="22"/>
      <c r="AP633" s="22"/>
      <c r="AQ633"/>
      <c r="AR633"/>
      <c r="AS633"/>
      <c r="AT633"/>
      <c r="AU633"/>
      <c r="AV633"/>
      <c r="AW633"/>
      <c r="AX633"/>
    </row>
    <row r="634" spans="35:50">
      <c r="AI634" s="22"/>
      <c r="AJ634" s="22"/>
      <c r="AK634" s="22"/>
      <c r="AL634" s="22"/>
      <c r="AM634" s="22"/>
      <c r="AN634" s="22"/>
      <c r="AO634" s="22"/>
      <c r="AP634" s="22"/>
      <c r="AQ634"/>
      <c r="AR634"/>
      <c r="AS634"/>
      <c r="AT634"/>
      <c r="AU634"/>
      <c r="AV634"/>
      <c r="AW634"/>
      <c r="AX634"/>
    </row>
    <row r="635" spans="35:50">
      <c r="AI635" s="22"/>
      <c r="AJ635" s="22"/>
      <c r="AK635" s="22"/>
      <c r="AL635" s="22"/>
      <c r="AM635" s="22"/>
      <c r="AN635" s="22"/>
      <c r="AO635" s="22"/>
      <c r="AP635" s="22"/>
      <c r="AQ635"/>
      <c r="AR635"/>
      <c r="AS635"/>
      <c r="AT635"/>
      <c r="AU635"/>
      <c r="AV635"/>
      <c r="AW635"/>
      <c r="AX635"/>
    </row>
    <row r="636" spans="35:50">
      <c r="AI636" s="22"/>
      <c r="AJ636" s="22"/>
      <c r="AK636" s="22"/>
      <c r="AL636" s="22"/>
      <c r="AM636" s="22"/>
      <c r="AN636" s="22"/>
      <c r="AO636" s="22"/>
      <c r="AP636" s="22"/>
      <c r="AQ636"/>
      <c r="AR636"/>
      <c r="AS636"/>
      <c r="AT636"/>
      <c r="AU636"/>
      <c r="AV636"/>
      <c r="AW636"/>
      <c r="AX636"/>
    </row>
    <row r="637" spans="35:50">
      <c r="AI637" s="22"/>
      <c r="AJ637" s="22"/>
      <c r="AK637" s="22"/>
      <c r="AL637" s="22"/>
      <c r="AM637" s="22"/>
      <c r="AN637" s="22"/>
      <c r="AO637" s="22"/>
      <c r="AP637" s="22"/>
      <c r="AQ637"/>
      <c r="AR637"/>
      <c r="AS637"/>
      <c r="AT637"/>
      <c r="AU637"/>
      <c r="AV637"/>
      <c r="AW637"/>
      <c r="AX637"/>
    </row>
    <row r="638" spans="35:50">
      <c r="AI638" s="22"/>
      <c r="AJ638" s="22"/>
      <c r="AK638" s="22"/>
      <c r="AL638" s="22"/>
      <c r="AM638" s="22"/>
      <c r="AN638" s="22"/>
      <c r="AO638" s="22"/>
      <c r="AP638" s="22"/>
      <c r="AQ638"/>
      <c r="AR638"/>
      <c r="AS638"/>
      <c r="AT638"/>
      <c r="AU638"/>
      <c r="AV638"/>
      <c r="AW638"/>
      <c r="AX638"/>
    </row>
    <row r="639" spans="35:50">
      <c r="AI639" s="22"/>
      <c r="AJ639" s="22"/>
      <c r="AK639" s="22"/>
      <c r="AL639" s="22"/>
      <c r="AM639" s="22"/>
      <c r="AN639" s="22"/>
      <c r="AO639" s="22"/>
      <c r="AP639" s="22"/>
      <c r="AQ639"/>
      <c r="AR639"/>
      <c r="AS639"/>
      <c r="AT639"/>
      <c r="AU639"/>
      <c r="AV639"/>
      <c r="AW639"/>
      <c r="AX639"/>
    </row>
    <row r="640" spans="35:50">
      <c r="AI640" s="22"/>
      <c r="AJ640" s="22"/>
      <c r="AK640" s="22"/>
      <c r="AL640" s="22"/>
      <c r="AM640" s="22"/>
      <c r="AN640" s="22"/>
      <c r="AO640" s="22"/>
      <c r="AP640" s="22"/>
      <c r="AQ640"/>
      <c r="AR640"/>
      <c r="AS640"/>
      <c r="AT640"/>
      <c r="AU640"/>
      <c r="AV640"/>
      <c r="AW640"/>
      <c r="AX640"/>
    </row>
    <row r="641" spans="35:50">
      <c r="AI641" s="22"/>
      <c r="AJ641" s="22"/>
      <c r="AK641" s="22"/>
      <c r="AL641" s="22"/>
      <c r="AM641" s="22"/>
      <c r="AN641" s="22"/>
      <c r="AO641" s="22"/>
      <c r="AP641" s="22"/>
      <c r="AQ641"/>
      <c r="AR641"/>
      <c r="AS641"/>
      <c r="AT641"/>
      <c r="AU641"/>
      <c r="AV641"/>
      <c r="AW641"/>
      <c r="AX641"/>
    </row>
    <row r="642" spans="35:50">
      <c r="AI642" s="22"/>
      <c r="AJ642" s="22"/>
      <c r="AK642" s="22"/>
      <c r="AL642" s="22"/>
      <c r="AM642" s="22"/>
      <c r="AN642" s="22"/>
      <c r="AO642" s="22"/>
      <c r="AP642" s="22"/>
      <c r="AQ642"/>
      <c r="AR642"/>
      <c r="AS642"/>
      <c r="AT642"/>
      <c r="AU642"/>
      <c r="AV642"/>
      <c r="AW642"/>
      <c r="AX642"/>
    </row>
    <row r="643" spans="35:50">
      <c r="AI643" s="22"/>
      <c r="AJ643" s="22"/>
      <c r="AK643" s="22"/>
      <c r="AL643" s="22"/>
      <c r="AM643" s="22"/>
      <c r="AN643" s="22"/>
      <c r="AO643" s="22"/>
      <c r="AP643" s="22"/>
      <c r="AQ643"/>
      <c r="AR643"/>
      <c r="AS643"/>
      <c r="AT643"/>
      <c r="AU643"/>
      <c r="AV643"/>
      <c r="AW643"/>
      <c r="AX643"/>
    </row>
    <row r="644" spans="35:50">
      <c r="AI644" s="22"/>
      <c r="AJ644" s="22"/>
      <c r="AK644" s="22"/>
      <c r="AL644" s="22"/>
      <c r="AM644" s="22"/>
      <c r="AN644" s="22"/>
      <c r="AO644" s="22"/>
      <c r="AP644" s="22"/>
      <c r="AQ644"/>
      <c r="AR644"/>
      <c r="AS644"/>
      <c r="AT644"/>
      <c r="AU644"/>
      <c r="AV644"/>
      <c r="AW644"/>
      <c r="AX644"/>
    </row>
    <row r="645" spans="35:50">
      <c r="AI645" s="22"/>
      <c r="AJ645" s="22"/>
      <c r="AK645" s="22"/>
      <c r="AL645" s="22"/>
      <c r="AM645" s="22"/>
      <c r="AN645" s="22"/>
      <c r="AO645" s="22"/>
      <c r="AP645" s="22"/>
      <c r="AQ645"/>
      <c r="AR645"/>
      <c r="AS645"/>
      <c r="AT645"/>
      <c r="AU645"/>
      <c r="AV645"/>
      <c r="AW645"/>
      <c r="AX645"/>
    </row>
    <row r="646" spans="35:50">
      <c r="AI646" s="22"/>
      <c r="AJ646" s="22"/>
      <c r="AK646" s="22"/>
      <c r="AL646" s="22"/>
      <c r="AM646" s="22"/>
      <c r="AN646" s="22"/>
      <c r="AO646" s="22"/>
      <c r="AP646" s="22"/>
      <c r="AQ646"/>
      <c r="AR646"/>
      <c r="AS646"/>
      <c r="AT646"/>
      <c r="AU646"/>
      <c r="AV646"/>
      <c r="AW646"/>
      <c r="AX646"/>
    </row>
    <row r="647" spans="35:50">
      <c r="AI647" s="22"/>
      <c r="AJ647" s="22"/>
      <c r="AK647" s="22"/>
      <c r="AL647" s="22"/>
      <c r="AM647" s="22"/>
      <c r="AN647" s="22"/>
      <c r="AO647" s="22"/>
      <c r="AP647" s="22"/>
      <c r="AQ647"/>
      <c r="AR647"/>
      <c r="AS647"/>
      <c r="AT647"/>
      <c r="AU647"/>
      <c r="AV647"/>
      <c r="AW647"/>
      <c r="AX647"/>
    </row>
    <row r="648" spans="35:50">
      <c r="AI648" s="22"/>
      <c r="AJ648" s="22"/>
      <c r="AK648" s="22"/>
      <c r="AL648" s="22"/>
      <c r="AM648" s="22"/>
      <c r="AN648" s="22"/>
      <c r="AO648" s="22"/>
      <c r="AP648" s="22"/>
      <c r="AQ648"/>
      <c r="AR648"/>
      <c r="AS648"/>
      <c r="AT648"/>
      <c r="AU648"/>
      <c r="AV648"/>
      <c r="AW648"/>
      <c r="AX648"/>
    </row>
    <row r="649" spans="35:50">
      <c r="AI649" s="22"/>
      <c r="AJ649" s="22"/>
      <c r="AK649" s="22"/>
      <c r="AL649" s="22"/>
      <c r="AM649" s="22"/>
      <c r="AN649" s="22"/>
      <c r="AO649" s="22"/>
      <c r="AP649" s="22"/>
      <c r="AQ649"/>
      <c r="AR649"/>
      <c r="AS649"/>
      <c r="AT649"/>
      <c r="AU649"/>
      <c r="AV649"/>
      <c r="AW649"/>
      <c r="AX649"/>
    </row>
    <row r="650" spans="35:50">
      <c r="AI650" s="22"/>
      <c r="AJ650" s="22"/>
      <c r="AK650" s="22"/>
      <c r="AL650" s="22"/>
      <c r="AM650" s="22"/>
      <c r="AN650" s="22"/>
      <c r="AO650" s="22"/>
      <c r="AP650" s="22"/>
      <c r="AQ650"/>
      <c r="AR650"/>
      <c r="AS650"/>
      <c r="AT650"/>
      <c r="AU650"/>
      <c r="AV650"/>
      <c r="AW650"/>
      <c r="AX650"/>
    </row>
    <row r="651" spans="35:50">
      <c r="AI651" s="22"/>
      <c r="AJ651" s="22"/>
      <c r="AK651" s="22"/>
      <c r="AL651" s="22"/>
      <c r="AM651" s="22"/>
      <c r="AN651" s="22"/>
      <c r="AO651" s="22"/>
      <c r="AP651" s="22"/>
      <c r="AQ651"/>
      <c r="AR651"/>
      <c r="AS651"/>
      <c r="AT651"/>
      <c r="AU651"/>
      <c r="AV651"/>
      <c r="AW651"/>
      <c r="AX651"/>
    </row>
    <row r="652" spans="35:50">
      <c r="AI652" s="22"/>
      <c r="AJ652" s="22"/>
      <c r="AK652" s="22"/>
      <c r="AL652" s="22"/>
      <c r="AM652" s="22"/>
      <c r="AN652" s="22"/>
      <c r="AO652" s="22"/>
      <c r="AP652" s="22"/>
      <c r="AQ652"/>
      <c r="AR652"/>
      <c r="AS652"/>
      <c r="AT652"/>
      <c r="AU652"/>
      <c r="AV652"/>
      <c r="AW652"/>
      <c r="AX652"/>
    </row>
    <row r="653" spans="35:50">
      <c r="AI653" s="22"/>
      <c r="AJ653" s="22"/>
      <c r="AK653" s="22"/>
      <c r="AL653" s="22"/>
      <c r="AM653" s="22"/>
      <c r="AN653" s="22"/>
      <c r="AO653" s="22"/>
      <c r="AP653" s="22"/>
      <c r="AQ653"/>
      <c r="AR653"/>
      <c r="AS653"/>
      <c r="AT653"/>
      <c r="AU653"/>
      <c r="AV653"/>
      <c r="AW653"/>
      <c r="AX653"/>
    </row>
    <row r="654" spans="35:50">
      <c r="AI654" s="22"/>
      <c r="AJ654" s="22"/>
      <c r="AK654" s="22"/>
      <c r="AL654" s="22"/>
      <c r="AM654" s="22"/>
      <c r="AN654" s="22"/>
      <c r="AO654" s="22"/>
      <c r="AP654" s="22"/>
      <c r="AQ654"/>
      <c r="AR654"/>
      <c r="AS654"/>
      <c r="AT654"/>
      <c r="AU654"/>
      <c r="AV654"/>
      <c r="AW654"/>
      <c r="AX654"/>
    </row>
    <row r="655" spans="35:50">
      <c r="AI655" s="22"/>
      <c r="AJ655" s="22"/>
      <c r="AK655" s="22"/>
      <c r="AL655" s="22"/>
      <c r="AM655" s="22"/>
      <c r="AN655" s="22"/>
      <c r="AO655" s="22"/>
      <c r="AP655" s="22"/>
      <c r="AQ655"/>
      <c r="AR655"/>
      <c r="AS655"/>
      <c r="AT655"/>
      <c r="AU655"/>
      <c r="AV655"/>
      <c r="AW655"/>
      <c r="AX655"/>
    </row>
    <row r="656" spans="35:50">
      <c r="AI656" s="22"/>
      <c r="AJ656" s="22"/>
      <c r="AK656" s="22"/>
      <c r="AL656" s="22"/>
      <c r="AM656" s="22"/>
      <c r="AN656" s="22"/>
      <c r="AO656" s="22"/>
      <c r="AP656" s="22"/>
      <c r="AQ656"/>
      <c r="AR656"/>
      <c r="AS656"/>
      <c r="AT656"/>
      <c r="AU656"/>
      <c r="AV656"/>
      <c r="AW656"/>
      <c r="AX656"/>
    </row>
    <row r="657" spans="35:50">
      <c r="AI657" s="22"/>
      <c r="AJ657" s="22"/>
      <c r="AK657" s="22"/>
      <c r="AL657" s="22"/>
      <c r="AM657" s="22"/>
      <c r="AN657" s="22"/>
      <c r="AO657" s="22"/>
      <c r="AP657" s="22"/>
      <c r="AQ657"/>
      <c r="AR657"/>
      <c r="AS657"/>
      <c r="AT657"/>
      <c r="AU657"/>
      <c r="AV657"/>
      <c r="AW657"/>
      <c r="AX657"/>
    </row>
    <row r="658" spans="35:50">
      <c r="AI658" s="22"/>
      <c r="AJ658" s="22"/>
      <c r="AK658" s="22"/>
      <c r="AL658" s="22"/>
      <c r="AM658" s="22"/>
      <c r="AN658" s="22"/>
      <c r="AO658" s="22"/>
      <c r="AP658" s="22"/>
      <c r="AQ658"/>
      <c r="AR658"/>
      <c r="AS658"/>
      <c r="AT658"/>
      <c r="AU658"/>
      <c r="AV658"/>
      <c r="AW658"/>
      <c r="AX658"/>
    </row>
    <row r="659" spans="35:50">
      <c r="AI659" s="22"/>
      <c r="AJ659" s="22"/>
      <c r="AK659" s="22"/>
      <c r="AL659" s="22"/>
      <c r="AM659" s="22"/>
      <c r="AN659" s="22"/>
      <c r="AO659" s="22"/>
      <c r="AP659" s="22"/>
      <c r="AQ659"/>
      <c r="AR659"/>
      <c r="AS659"/>
      <c r="AT659"/>
      <c r="AU659"/>
      <c r="AV659"/>
      <c r="AW659"/>
      <c r="AX659"/>
    </row>
    <row r="660" spans="35:50">
      <c r="AI660" s="22"/>
      <c r="AJ660" s="22"/>
      <c r="AK660" s="22"/>
      <c r="AL660" s="22"/>
      <c r="AM660" s="22"/>
      <c r="AN660" s="22"/>
      <c r="AO660" s="22"/>
      <c r="AP660" s="22"/>
      <c r="AQ660"/>
      <c r="AR660"/>
      <c r="AS660"/>
      <c r="AT660"/>
      <c r="AU660"/>
      <c r="AV660"/>
      <c r="AW660"/>
      <c r="AX660"/>
    </row>
    <row r="661" spans="35:50">
      <c r="AI661" s="22"/>
      <c r="AJ661" s="22"/>
      <c r="AK661" s="22"/>
      <c r="AL661" s="22"/>
      <c r="AM661" s="22"/>
      <c r="AN661" s="22"/>
      <c r="AO661" s="22"/>
      <c r="AP661" s="22"/>
      <c r="AQ661"/>
      <c r="AR661"/>
      <c r="AS661"/>
      <c r="AT661"/>
      <c r="AU661"/>
      <c r="AV661"/>
      <c r="AW661"/>
      <c r="AX661"/>
    </row>
    <row r="662" spans="35:50">
      <c r="AI662" s="22"/>
      <c r="AJ662" s="22"/>
      <c r="AK662" s="22"/>
      <c r="AL662" s="22"/>
      <c r="AM662" s="22"/>
      <c r="AN662" s="22"/>
      <c r="AO662" s="22"/>
      <c r="AP662" s="22"/>
      <c r="AQ662"/>
      <c r="AR662"/>
      <c r="AS662"/>
      <c r="AT662"/>
      <c r="AU662"/>
      <c r="AV662"/>
      <c r="AW662"/>
      <c r="AX662"/>
    </row>
    <row r="663" spans="35:50">
      <c r="AI663" s="22"/>
      <c r="AJ663" s="22"/>
      <c r="AK663" s="22"/>
      <c r="AL663" s="22"/>
      <c r="AM663" s="22"/>
      <c r="AN663" s="22"/>
      <c r="AO663" s="22"/>
      <c r="AP663" s="22"/>
      <c r="AQ663"/>
      <c r="AR663"/>
      <c r="AS663"/>
      <c r="AT663"/>
      <c r="AU663"/>
      <c r="AV663"/>
      <c r="AW663"/>
      <c r="AX663"/>
    </row>
    <row r="664" spans="35:50">
      <c r="AI664" s="22"/>
      <c r="AJ664" s="22"/>
      <c r="AK664" s="22"/>
      <c r="AL664" s="22"/>
      <c r="AM664" s="22"/>
      <c r="AN664" s="22"/>
      <c r="AO664" s="22"/>
      <c r="AP664" s="22"/>
      <c r="AQ664"/>
      <c r="AR664"/>
      <c r="AS664"/>
      <c r="AT664"/>
      <c r="AU664"/>
      <c r="AV664"/>
      <c r="AW664"/>
      <c r="AX664"/>
    </row>
    <row r="665" spans="35:50">
      <c r="AI665" s="22"/>
      <c r="AJ665" s="22"/>
      <c r="AK665" s="22"/>
      <c r="AL665" s="22"/>
      <c r="AM665" s="22"/>
      <c r="AN665" s="22"/>
      <c r="AO665" s="22"/>
      <c r="AP665" s="22"/>
      <c r="AQ665"/>
      <c r="AR665"/>
      <c r="AS665"/>
      <c r="AT665"/>
      <c r="AU665"/>
      <c r="AV665"/>
      <c r="AW665"/>
      <c r="AX665"/>
    </row>
    <row r="666" spans="35:50">
      <c r="AI666" s="22"/>
      <c r="AJ666" s="22"/>
      <c r="AK666" s="22"/>
      <c r="AL666" s="22"/>
      <c r="AM666" s="22"/>
      <c r="AN666" s="22"/>
      <c r="AO666" s="22"/>
      <c r="AP666" s="22"/>
      <c r="AQ666"/>
      <c r="AR666"/>
      <c r="AS666"/>
      <c r="AT666"/>
      <c r="AU666"/>
      <c r="AV666"/>
      <c r="AW666"/>
      <c r="AX666"/>
    </row>
    <row r="667" spans="35:50">
      <c r="AI667" s="22"/>
      <c r="AJ667" s="22"/>
      <c r="AK667" s="22"/>
      <c r="AL667" s="22"/>
      <c r="AM667" s="22"/>
      <c r="AN667" s="22"/>
      <c r="AO667" s="22"/>
      <c r="AP667" s="22"/>
      <c r="AQ667"/>
      <c r="AR667"/>
      <c r="AS667"/>
      <c r="AT667"/>
      <c r="AU667"/>
      <c r="AV667"/>
      <c r="AW667"/>
      <c r="AX667"/>
    </row>
    <row r="668" spans="35:50">
      <c r="AI668" s="22"/>
      <c r="AJ668" s="22"/>
      <c r="AK668" s="22"/>
      <c r="AL668" s="22"/>
      <c r="AM668" s="22"/>
      <c r="AN668" s="22"/>
      <c r="AO668" s="22"/>
      <c r="AP668" s="22"/>
      <c r="AQ668"/>
      <c r="AR668"/>
      <c r="AS668"/>
      <c r="AT668"/>
      <c r="AU668"/>
      <c r="AV668"/>
      <c r="AW668"/>
      <c r="AX668"/>
    </row>
    <row r="669" spans="35:50">
      <c r="AI669" s="22"/>
      <c r="AJ669" s="22"/>
      <c r="AK669" s="22"/>
      <c r="AL669" s="22"/>
      <c r="AM669" s="22"/>
      <c r="AN669" s="22"/>
      <c r="AO669" s="22"/>
      <c r="AP669" s="22"/>
      <c r="AQ669"/>
      <c r="AR669"/>
      <c r="AS669"/>
      <c r="AT669"/>
      <c r="AU669"/>
      <c r="AV669"/>
      <c r="AW669"/>
      <c r="AX669"/>
    </row>
    <row r="670" spans="35:50">
      <c r="AI670" s="22"/>
      <c r="AJ670" s="22"/>
      <c r="AK670" s="22"/>
      <c r="AL670" s="22"/>
      <c r="AM670" s="22"/>
      <c r="AN670" s="22"/>
      <c r="AO670" s="22"/>
      <c r="AP670" s="22"/>
      <c r="AQ670"/>
      <c r="AR670"/>
      <c r="AS670"/>
      <c r="AT670"/>
      <c r="AU670"/>
      <c r="AV670"/>
      <c r="AW670"/>
      <c r="AX670"/>
    </row>
    <row r="671" spans="35:50">
      <c r="AI671" s="22"/>
      <c r="AJ671" s="22"/>
      <c r="AK671" s="22"/>
      <c r="AL671" s="22"/>
      <c r="AM671" s="22"/>
      <c r="AN671" s="22"/>
      <c r="AO671" s="22"/>
      <c r="AP671" s="22"/>
      <c r="AQ671"/>
      <c r="AR671"/>
      <c r="AS671"/>
      <c r="AT671"/>
      <c r="AU671"/>
      <c r="AV671"/>
      <c r="AW671"/>
      <c r="AX671"/>
    </row>
    <row r="672" spans="35:50">
      <c r="AI672" s="22"/>
      <c r="AJ672" s="22"/>
      <c r="AK672" s="22"/>
      <c r="AL672" s="22"/>
      <c r="AM672" s="22"/>
      <c r="AN672" s="22"/>
      <c r="AO672" s="22"/>
      <c r="AP672" s="22"/>
      <c r="AQ672"/>
      <c r="AR672"/>
      <c r="AS672"/>
      <c r="AT672"/>
      <c r="AU672"/>
      <c r="AV672"/>
      <c r="AW672"/>
      <c r="AX672"/>
    </row>
    <row r="673" spans="35:50">
      <c r="AI673" s="22"/>
      <c r="AJ673" s="22"/>
      <c r="AK673" s="22"/>
      <c r="AL673" s="22"/>
      <c r="AM673" s="22"/>
      <c r="AN673" s="22"/>
      <c r="AO673" s="22"/>
      <c r="AP673" s="22"/>
      <c r="AQ673"/>
      <c r="AR673"/>
      <c r="AS673"/>
      <c r="AT673"/>
      <c r="AU673"/>
      <c r="AV673"/>
      <c r="AW673"/>
      <c r="AX673"/>
    </row>
    <row r="674" spans="35:50">
      <c r="AI674" s="22"/>
      <c r="AJ674" s="22"/>
      <c r="AK674" s="22"/>
      <c r="AL674" s="22"/>
      <c r="AM674" s="22"/>
      <c r="AN674" s="22"/>
      <c r="AO674" s="22"/>
      <c r="AP674" s="22"/>
      <c r="AQ674"/>
      <c r="AR674"/>
      <c r="AS674"/>
      <c r="AT674"/>
      <c r="AU674"/>
      <c r="AV674"/>
      <c r="AW674"/>
      <c r="AX674"/>
    </row>
    <row r="675" spans="35:50">
      <c r="AI675" s="22"/>
      <c r="AJ675" s="22"/>
      <c r="AK675" s="22"/>
      <c r="AL675" s="22"/>
      <c r="AM675" s="22"/>
      <c r="AN675" s="22"/>
      <c r="AO675" s="22"/>
      <c r="AP675" s="22"/>
      <c r="AQ675"/>
      <c r="AR675"/>
      <c r="AS675"/>
      <c r="AT675"/>
      <c r="AU675"/>
      <c r="AV675"/>
      <c r="AW675"/>
      <c r="AX675"/>
    </row>
    <row r="676" spans="35:50">
      <c r="AI676" s="22"/>
      <c r="AJ676" s="22"/>
      <c r="AK676" s="22"/>
      <c r="AL676" s="22"/>
      <c r="AM676" s="22"/>
      <c r="AN676" s="22"/>
      <c r="AO676" s="22"/>
      <c r="AP676" s="22"/>
      <c r="AQ676"/>
      <c r="AR676"/>
      <c r="AS676"/>
      <c r="AT676"/>
      <c r="AU676"/>
      <c r="AV676"/>
      <c r="AW676"/>
      <c r="AX676"/>
    </row>
    <row r="677" spans="35:50">
      <c r="AI677" s="22"/>
      <c r="AJ677" s="22"/>
      <c r="AK677" s="22"/>
      <c r="AL677" s="22"/>
      <c r="AM677" s="22"/>
      <c r="AN677" s="22"/>
      <c r="AO677" s="22"/>
      <c r="AP677" s="22"/>
      <c r="AQ677"/>
      <c r="AR677"/>
      <c r="AS677"/>
      <c r="AT677"/>
      <c r="AU677"/>
      <c r="AV677"/>
      <c r="AW677"/>
      <c r="AX677"/>
    </row>
    <row r="678" spans="35:50">
      <c r="AI678" s="22"/>
      <c r="AJ678" s="22"/>
      <c r="AK678" s="22"/>
      <c r="AL678" s="22"/>
      <c r="AM678" s="22"/>
      <c r="AN678" s="22"/>
      <c r="AO678" s="22"/>
      <c r="AP678" s="22"/>
      <c r="AQ678"/>
      <c r="AR678"/>
      <c r="AS678"/>
      <c r="AT678"/>
      <c r="AU678"/>
      <c r="AV678"/>
      <c r="AW678"/>
      <c r="AX678"/>
    </row>
    <row r="679" spans="35:50">
      <c r="AI679" s="22"/>
      <c r="AJ679" s="22"/>
      <c r="AK679" s="22"/>
      <c r="AL679" s="22"/>
      <c r="AM679" s="22"/>
      <c r="AN679" s="22"/>
      <c r="AO679" s="22"/>
      <c r="AP679" s="22"/>
      <c r="AQ679"/>
      <c r="AR679"/>
      <c r="AS679"/>
      <c r="AT679"/>
      <c r="AU679"/>
      <c r="AV679"/>
      <c r="AW679"/>
      <c r="AX679"/>
    </row>
    <row r="680" spans="35:50">
      <c r="AI680" s="22"/>
      <c r="AJ680" s="22"/>
      <c r="AK680" s="22"/>
      <c r="AL680" s="22"/>
      <c r="AM680" s="22"/>
      <c r="AN680" s="22"/>
      <c r="AO680" s="22"/>
      <c r="AP680" s="22"/>
      <c r="AQ680"/>
      <c r="AR680"/>
      <c r="AS680"/>
      <c r="AT680"/>
      <c r="AU680"/>
      <c r="AV680"/>
      <c r="AW680"/>
      <c r="AX680"/>
    </row>
    <row r="681" spans="35:50">
      <c r="AI681" s="22"/>
      <c r="AJ681" s="22"/>
      <c r="AK681" s="22"/>
      <c r="AL681" s="22"/>
      <c r="AM681" s="22"/>
      <c r="AN681" s="22"/>
      <c r="AO681" s="22"/>
      <c r="AP681" s="22"/>
      <c r="AQ681"/>
      <c r="AR681"/>
      <c r="AS681"/>
      <c r="AT681"/>
      <c r="AU681"/>
      <c r="AV681"/>
      <c r="AW681"/>
      <c r="AX681"/>
    </row>
    <row r="682" spans="35:50">
      <c r="AI682" s="22"/>
      <c r="AJ682" s="22"/>
      <c r="AK682" s="22"/>
      <c r="AL682" s="22"/>
      <c r="AM682" s="22"/>
      <c r="AN682" s="22"/>
      <c r="AO682" s="22"/>
      <c r="AP682" s="22"/>
      <c r="AQ682"/>
      <c r="AR682"/>
      <c r="AS682"/>
      <c r="AT682"/>
      <c r="AU682"/>
      <c r="AV682"/>
      <c r="AW682"/>
      <c r="AX682"/>
    </row>
    <row r="683" spans="35:50">
      <c r="AI683" s="22"/>
      <c r="AJ683" s="22"/>
      <c r="AK683" s="22"/>
      <c r="AL683" s="22"/>
      <c r="AM683" s="22"/>
      <c r="AN683" s="22"/>
      <c r="AO683" s="22"/>
      <c r="AP683" s="22"/>
      <c r="AQ683"/>
      <c r="AR683"/>
      <c r="AS683"/>
      <c r="AT683"/>
      <c r="AU683"/>
      <c r="AV683"/>
      <c r="AW683"/>
      <c r="AX683"/>
    </row>
    <row r="684" spans="35:50">
      <c r="AI684" s="22"/>
      <c r="AJ684" s="22"/>
      <c r="AK684" s="22"/>
      <c r="AL684" s="22"/>
      <c r="AM684" s="22"/>
      <c r="AN684" s="22"/>
      <c r="AO684" s="22"/>
      <c r="AP684" s="22"/>
      <c r="AQ684"/>
      <c r="AR684"/>
      <c r="AS684"/>
      <c r="AT684"/>
      <c r="AU684"/>
      <c r="AV684"/>
      <c r="AW684"/>
      <c r="AX684"/>
    </row>
    <row r="685" spans="35:50">
      <c r="AI685" s="22"/>
      <c r="AJ685" s="22"/>
      <c r="AK685" s="22"/>
      <c r="AL685" s="22"/>
      <c r="AM685" s="22"/>
      <c r="AN685" s="22"/>
      <c r="AO685" s="22"/>
      <c r="AP685" s="22"/>
      <c r="AQ685"/>
      <c r="AR685"/>
      <c r="AS685"/>
      <c r="AT685"/>
      <c r="AU685"/>
      <c r="AV685"/>
      <c r="AW685"/>
      <c r="AX685"/>
    </row>
    <row r="686" spans="35:50">
      <c r="AI686" s="22"/>
      <c r="AJ686" s="22"/>
      <c r="AK686" s="22"/>
      <c r="AL686" s="22"/>
      <c r="AM686" s="22"/>
      <c r="AN686" s="22"/>
      <c r="AO686" s="22"/>
      <c r="AP686" s="22"/>
      <c r="AQ686"/>
      <c r="AR686"/>
      <c r="AS686"/>
      <c r="AT686"/>
      <c r="AU686"/>
      <c r="AV686"/>
      <c r="AW686"/>
      <c r="AX686"/>
    </row>
    <row r="687" spans="35:50">
      <c r="AI687" s="22"/>
      <c r="AJ687" s="22"/>
      <c r="AK687" s="22"/>
      <c r="AL687" s="22"/>
      <c r="AM687" s="22"/>
      <c r="AN687" s="22"/>
      <c r="AO687" s="22"/>
      <c r="AP687" s="22"/>
      <c r="AQ687"/>
      <c r="AR687"/>
      <c r="AS687"/>
      <c r="AT687"/>
      <c r="AU687"/>
      <c r="AV687"/>
      <c r="AW687"/>
      <c r="AX687"/>
    </row>
    <row r="688" spans="35:50">
      <c r="AI688" s="22"/>
      <c r="AJ688" s="22"/>
      <c r="AK688" s="22"/>
      <c r="AL688" s="22"/>
      <c r="AM688" s="22"/>
      <c r="AN688" s="22"/>
      <c r="AO688" s="22"/>
      <c r="AP688" s="22"/>
      <c r="AQ688"/>
      <c r="AR688"/>
      <c r="AS688"/>
      <c r="AT688"/>
      <c r="AU688"/>
      <c r="AV688"/>
      <c r="AW688"/>
      <c r="AX688"/>
    </row>
    <row r="689" spans="35:50">
      <c r="AI689" s="22"/>
      <c r="AJ689" s="22"/>
      <c r="AK689" s="22"/>
      <c r="AL689" s="22"/>
      <c r="AM689" s="22"/>
      <c r="AN689" s="22"/>
      <c r="AO689" s="22"/>
      <c r="AP689" s="22"/>
      <c r="AQ689"/>
      <c r="AR689"/>
      <c r="AS689"/>
      <c r="AT689"/>
      <c r="AU689"/>
      <c r="AV689"/>
      <c r="AW689"/>
      <c r="AX689"/>
    </row>
    <row r="690" spans="35:50">
      <c r="AI690" s="22"/>
      <c r="AJ690" s="22"/>
      <c r="AK690" s="22"/>
      <c r="AL690" s="22"/>
      <c r="AM690" s="22"/>
      <c r="AN690" s="22"/>
      <c r="AO690" s="22"/>
      <c r="AP690" s="22"/>
      <c r="AQ690"/>
      <c r="AR690"/>
      <c r="AS690"/>
      <c r="AT690"/>
      <c r="AU690"/>
      <c r="AV690"/>
      <c r="AW690"/>
      <c r="AX690"/>
    </row>
    <row r="691" spans="35:50">
      <c r="AI691" s="22"/>
      <c r="AJ691" s="22"/>
      <c r="AK691" s="22"/>
      <c r="AL691" s="22"/>
      <c r="AM691" s="22"/>
      <c r="AN691" s="22"/>
      <c r="AO691" s="22"/>
      <c r="AP691" s="22"/>
      <c r="AQ691"/>
      <c r="AR691"/>
      <c r="AS691"/>
      <c r="AT691"/>
      <c r="AU691"/>
      <c r="AV691"/>
      <c r="AW691"/>
      <c r="AX691"/>
    </row>
    <row r="692" spans="35:50">
      <c r="AI692" s="22"/>
      <c r="AJ692" s="22"/>
      <c r="AK692" s="22"/>
      <c r="AL692" s="22"/>
      <c r="AM692" s="22"/>
      <c r="AN692" s="22"/>
      <c r="AO692" s="22"/>
      <c r="AP692" s="22"/>
      <c r="AQ692"/>
      <c r="AR692"/>
      <c r="AS692"/>
      <c r="AT692"/>
      <c r="AU692"/>
      <c r="AV692"/>
      <c r="AW692"/>
      <c r="AX692"/>
    </row>
    <row r="693" spans="35:50">
      <c r="AI693" s="22"/>
      <c r="AJ693" s="22"/>
      <c r="AK693" s="22"/>
      <c r="AL693" s="22"/>
      <c r="AM693" s="22"/>
      <c r="AN693" s="22"/>
      <c r="AO693" s="22"/>
      <c r="AP693" s="22"/>
      <c r="AQ693"/>
      <c r="AR693"/>
      <c r="AS693"/>
      <c r="AT693"/>
      <c r="AU693"/>
      <c r="AV693"/>
      <c r="AW693"/>
      <c r="AX693"/>
    </row>
    <row r="694" spans="35:50">
      <c r="AI694" s="22"/>
      <c r="AJ694" s="22"/>
      <c r="AK694" s="22"/>
      <c r="AL694" s="22"/>
      <c r="AM694" s="22"/>
      <c r="AN694" s="22"/>
      <c r="AO694" s="22"/>
      <c r="AP694" s="22"/>
      <c r="AQ694"/>
      <c r="AR694"/>
      <c r="AS694"/>
      <c r="AT694"/>
      <c r="AU694"/>
      <c r="AV694"/>
      <c r="AW694"/>
      <c r="AX694"/>
    </row>
    <row r="695" spans="35:50">
      <c r="AI695" s="22"/>
      <c r="AJ695" s="22"/>
      <c r="AK695" s="22"/>
      <c r="AL695" s="22"/>
      <c r="AM695" s="22"/>
      <c r="AN695" s="22"/>
      <c r="AO695" s="22"/>
      <c r="AP695" s="22"/>
      <c r="AQ695"/>
      <c r="AR695"/>
      <c r="AS695"/>
      <c r="AT695"/>
      <c r="AU695"/>
      <c r="AV695"/>
      <c r="AW695"/>
      <c r="AX695"/>
    </row>
    <row r="696" spans="35:50">
      <c r="AI696" s="22"/>
      <c r="AJ696" s="22"/>
      <c r="AK696" s="22"/>
      <c r="AL696" s="22"/>
      <c r="AM696" s="22"/>
      <c r="AN696" s="22"/>
      <c r="AO696" s="22"/>
      <c r="AP696" s="22"/>
      <c r="AQ696"/>
      <c r="AR696"/>
      <c r="AS696"/>
      <c r="AT696"/>
      <c r="AU696"/>
      <c r="AV696"/>
      <c r="AW696"/>
      <c r="AX696"/>
    </row>
    <row r="697" spans="35:50">
      <c r="AI697" s="22"/>
      <c r="AJ697" s="22"/>
      <c r="AK697" s="22"/>
      <c r="AL697" s="22"/>
      <c r="AM697" s="22"/>
      <c r="AN697" s="22"/>
      <c r="AO697" s="22"/>
      <c r="AP697" s="22"/>
      <c r="AQ697"/>
      <c r="AR697"/>
      <c r="AS697"/>
      <c r="AT697"/>
      <c r="AU697"/>
      <c r="AV697"/>
      <c r="AW697"/>
      <c r="AX697"/>
    </row>
    <row r="698" spans="35:50">
      <c r="AI698" s="22"/>
      <c r="AJ698" s="22"/>
      <c r="AK698" s="22"/>
      <c r="AL698" s="22"/>
      <c r="AM698" s="22"/>
      <c r="AN698" s="22"/>
      <c r="AO698" s="22"/>
      <c r="AP698" s="22"/>
      <c r="AQ698"/>
      <c r="AR698"/>
      <c r="AS698"/>
      <c r="AT698"/>
      <c r="AU698"/>
      <c r="AV698"/>
      <c r="AW698"/>
      <c r="AX698"/>
    </row>
    <row r="699" spans="35:50">
      <c r="AI699" s="22"/>
      <c r="AJ699" s="22"/>
      <c r="AK699" s="22"/>
      <c r="AL699" s="22"/>
      <c r="AM699" s="22"/>
      <c r="AN699" s="22"/>
      <c r="AO699" s="22"/>
      <c r="AP699" s="22"/>
      <c r="AQ699"/>
      <c r="AR699"/>
      <c r="AS699"/>
      <c r="AT699"/>
      <c r="AU699"/>
      <c r="AV699"/>
      <c r="AW699"/>
      <c r="AX699"/>
    </row>
    <row r="700" spans="35:50">
      <c r="AI700" s="22"/>
      <c r="AJ700" s="22"/>
      <c r="AK700" s="22"/>
      <c r="AL700" s="22"/>
      <c r="AM700" s="22"/>
      <c r="AN700" s="22"/>
      <c r="AO700" s="22"/>
      <c r="AP700" s="22"/>
      <c r="AQ700"/>
      <c r="AR700"/>
      <c r="AS700"/>
      <c r="AT700"/>
      <c r="AU700"/>
      <c r="AV700"/>
      <c r="AW700"/>
      <c r="AX700"/>
    </row>
    <row r="701" spans="35:50">
      <c r="AI701" s="22"/>
      <c r="AJ701" s="22"/>
      <c r="AK701" s="22"/>
      <c r="AL701" s="22"/>
      <c r="AM701" s="22"/>
      <c r="AN701" s="22"/>
      <c r="AO701" s="22"/>
      <c r="AP701" s="22"/>
      <c r="AQ701"/>
      <c r="AR701"/>
      <c r="AS701"/>
      <c r="AT701"/>
      <c r="AU701"/>
      <c r="AV701"/>
      <c r="AW701"/>
      <c r="AX701"/>
    </row>
    <row r="702" spans="35:50">
      <c r="AI702" s="22"/>
      <c r="AJ702" s="22"/>
      <c r="AK702" s="22"/>
      <c r="AL702" s="22"/>
      <c r="AM702" s="22"/>
      <c r="AN702" s="22"/>
      <c r="AO702" s="22"/>
      <c r="AP702" s="22"/>
      <c r="AQ702"/>
      <c r="AR702"/>
      <c r="AS702"/>
      <c r="AT702"/>
      <c r="AU702"/>
      <c r="AV702"/>
      <c r="AW702"/>
      <c r="AX702"/>
    </row>
    <row r="703" spans="35:50">
      <c r="AI703" s="22"/>
      <c r="AJ703" s="22"/>
      <c r="AK703" s="22"/>
      <c r="AL703" s="22"/>
      <c r="AM703" s="22"/>
      <c r="AN703" s="22"/>
      <c r="AO703" s="22"/>
      <c r="AP703" s="22"/>
      <c r="AQ703"/>
      <c r="AR703"/>
      <c r="AS703"/>
      <c r="AT703"/>
      <c r="AU703"/>
      <c r="AV703"/>
      <c r="AW703"/>
      <c r="AX703"/>
    </row>
    <row r="704" spans="35:50">
      <c r="AI704" s="22"/>
      <c r="AJ704" s="22"/>
      <c r="AK704" s="22"/>
      <c r="AL704" s="22"/>
      <c r="AM704" s="22"/>
      <c r="AN704" s="22"/>
      <c r="AO704" s="22"/>
      <c r="AP704" s="22"/>
      <c r="AQ704"/>
      <c r="AR704"/>
      <c r="AS704"/>
      <c r="AT704"/>
      <c r="AU704"/>
      <c r="AV704"/>
      <c r="AW704"/>
      <c r="AX704"/>
    </row>
    <row r="705" spans="35:50">
      <c r="AI705" s="22"/>
      <c r="AJ705" s="22"/>
      <c r="AK705" s="22"/>
      <c r="AL705" s="22"/>
      <c r="AM705" s="22"/>
      <c r="AN705" s="22"/>
      <c r="AO705" s="22"/>
      <c r="AP705" s="22"/>
      <c r="AQ705"/>
      <c r="AR705"/>
      <c r="AS705"/>
      <c r="AT705"/>
      <c r="AU705"/>
      <c r="AV705"/>
      <c r="AW705"/>
      <c r="AX705"/>
    </row>
    <row r="706" spans="35:50">
      <c r="AI706" s="22"/>
      <c r="AJ706" s="22"/>
      <c r="AK706" s="22"/>
      <c r="AL706" s="22"/>
      <c r="AM706" s="22"/>
      <c r="AN706" s="22"/>
      <c r="AO706" s="22"/>
      <c r="AP706" s="22"/>
      <c r="AQ706"/>
      <c r="AR706"/>
      <c r="AS706"/>
      <c r="AT706"/>
      <c r="AU706"/>
      <c r="AV706"/>
      <c r="AW706"/>
      <c r="AX706"/>
    </row>
    <row r="707" spans="35:50">
      <c r="AI707" s="22"/>
      <c r="AJ707" s="22"/>
      <c r="AK707" s="22"/>
      <c r="AL707" s="22"/>
      <c r="AM707" s="22"/>
      <c r="AN707" s="22"/>
      <c r="AO707" s="22"/>
      <c r="AP707" s="22"/>
      <c r="AQ707"/>
      <c r="AR707"/>
      <c r="AS707"/>
      <c r="AT707"/>
      <c r="AU707"/>
      <c r="AV707"/>
      <c r="AW707"/>
      <c r="AX707"/>
    </row>
    <row r="708" spans="35:50">
      <c r="AI708" s="22"/>
      <c r="AJ708" s="22"/>
      <c r="AK708" s="22"/>
      <c r="AL708" s="22"/>
      <c r="AM708" s="22"/>
      <c r="AN708" s="22"/>
      <c r="AO708" s="22"/>
      <c r="AP708" s="22"/>
      <c r="AQ708"/>
      <c r="AR708"/>
      <c r="AS708"/>
      <c r="AT708"/>
      <c r="AU708"/>
      <c r="AV708"/>
      <c r="AW708"/>
      <c r="AX708"/>
    </row>
    <row r="709" spans="35:50">
      <c r="AI709" s="22"/>
      <c r="AJ709" s="22"/>
      <c r="AK709" s="22"/>
      <c r="AL709" s="22"/>
      <c r="AM709" s="22"/>
      <c r="AN709" s="22"/>
      <c r="AO709" s="22"/>
      <c r="AP709" s="22"/>
      <c r="AQ709"/>
      <c r="AR709"/>
      <c r="AS709"/>
      <c r="AT709"/>
      <c r="AU709"/>
      <c r="AV709"/>
      <c r="AW709"/>
      <c r="AX709"/>
    </row>
    <row r="710" spans="35:50">
      <c r="AI710" s="22"/>
      <c r="AJ710" s="22"/>
      <c r="AK710" s="22"/>
      <c r="AL710" s="22"/>
      <c r="AM710" s="22"/>
      <c r="AN710" s="22"/>
      <c r="AO710" s="22"/>
      <c r="AP710" s="22"/>
      <c r="AQ710"/>
      <c r="AR710"/>
      <c r="AS710"/>
      <c r="AT710"/>
      <c r="AU710"/>
      <c r="AV710"/>
      <c r="AW710"/>
      <c r="AX710"/>
    </row>
    <row r="711" spans="35:50">
      <c r="AI711" s="22"/>
      <c r="AJ711" s="22"/>
      <c r="AK711" s="22"/>
      <c r="AL711" s="22"/>
      <c r="AM711" s="22"/>
      <c r="AN711" s="22"/>
      <c r="AO711" s="22"/>
      <c r="AP711" s="22"/>
      <c r="AQ711"/>
      <c r="AR711"/>
      <c r="AS711"/>
      <c r="AT711"/>
      <c r="AU711"/>
      <c r="AV711"/>
      <c r="AW711"/>
      <c r="AX711"/>
    </row>
    <row r="712" spans="35:50">
      <c r="AI712" s="22"/>
      <c r="AJ712" s="22"/>
      <c r="AK712" s="22"/>
      <c r="AL712" s="22"/>
      <c r="AM712" s="22"/>
      <c r="AN712" s="22"/>
      <c r="AO712" s="22"/>
      <c r="AP712" s="22"/>
      <c r="AQ712"/>
      <c r="AR712"/>
      <c r="AS712"/>
      <c r="AT712"/>
      <c r="AU712"/>
      <c r="AV712"/>
      <c r="AW712"/>
      <c r="AX712"/>
    </row>
    <row r="713" spans="35:50">
      <c r="AI713" s="22"/>
      <c r="AJ713" s="22"/>
      <c r="AK713" s="22"/>
      <c r="AL713" s="22"/>
      <c r="AM713" s="22"/>
      <c r="AN713" s="22"/>
      <c r="AO713" s="22"/>
      <c r="AP713" s="22"/>
      <c r="AQ713"/>
      <c r="AR713"/>
      <c r="AS713"/>
      <c r="AT713"/>
      <c r="AU713"/>
      <c r="AV713"/>
      <c r="AW713"/>
      <c r="AX713"/>
    </row>
    <row r="714" spans="35:50">
      <c r="AI714" s="22"/>
      <c r="AJ714" s="22"/>
      <c r="AK714" s="22"/>
      <c r="AL714" s="22"/>
      <c r="AM714" s="22"/>
      <c r="AN714" s="22"/>
      <c r="AO714" s="22"/>
      <c r="AP714" s="22"/>
      <c r="AQ714"/>
      <c r="AR714"/>
      <c r="AS714"/>
      <c r="AT714"/>
      <c r="AU714"/>
      <c r="AV714"/>
      <c r="AW714"/>
      <c r="AX714"/>
    </row>
    <row r="715" spans="35:50">
      <c r="AI715" s="22"/>
      <c r="AJ715" s="22"/>
      <c r="AK715" s="22"/>
      <c r="AL715" s="22"/>
      <c r="AM715" s="22"/>
      <c r="AN715" s="22"/>
      <c r="AO715" s="22"/>
      <c r="AP715" s="22"/>
      <c r="AQ715"/>
      <c r="AR715"/>
      <c r="AS715"/>
      <c r="AT715"/>
      <c r="AU715"/>
      <c r="AV715"/>
      <c r="AW715"/>
      <c r="AX715"/>
    </row>
    <row r="716" spans="35:50">
      <c r="AI716" s="22"/>
      <c r="AJ716" s="22"/>
      <c r="AK716" s="22"/>
      <c r="AL716" s="22"/>
      <c r="AM716" s="22"/>
      <c r="AN716" s="22"/>
      <c r="AO716" s="22"/>
      <c r="AP716" s="22"/>
      <c r="AQ716"/>
      <c r="AR716"/>
      <c r="AS716"/>
      <c r="AT716"/>
      <c r="AU716"/>
      <c r="AV716"/>
      <c r="AW716"/>
      <c r="AX716"/>
    </row>
    <row r="717" spans="35:50">
      <c r="AI717" s="22"/>
      <c r="AJ717" s="22"/>
      <c r="AK717" s="22"/>
      <c r="AL717" s="22"/>
      <c r="AM717" s="22"/>
      <c r="AN717" s="22"/>
      <c r="AO717" s="22"/>
      <c r="AP717" s="22"/>
      <c r="AQ717"/>
      <c r="AR717"/>
      <c r="AS717"/>
      <c r="AT717"/>
      <c r="AU717"/>
      <c r="AV717"/>
      <c r="AW717"/>
      <c r="AX717"/>
    </row>
    <row r="718" spans="35:50">
      <c r="AI718" s="22"/>
      <c r="AJ718" s="22"/>
      <c r="AK718" s="22"/>
      <c r="AL718" s="22"/>
      <c r="AM718" s="22"/>
      <c r="AN718" s="22"/>
      <c r="AO718" s="22"/>
      <c r="AP718" s="22"/>
      <c r="AQ718"/>
      <c r="AR718"/>
      <c r="AS718"/>
      <c r="AT718"/>
      <c r="AU718"/>
      <c r="AV718"/>
      <c r="AW718"/>
      <c r="AX718"/>
    </row>
    <row r="719" spans="35:50">
      <c r="AI719" s="22"/>
      <c r="AJ719" s="22"/>
      <c r="AK719" s="22"/>
      <c r="AL719" s="22"/>
      <c r="AM719" s="22"/>
      <c r="AN719" s="22"/>
      <c r="AO719" s="22"/>
      <c r="AP719" s="22"/>
      <c r="AQ719"/>
      <c r="AR719"/>
      <c r="AS719"/>
      <c r="AT719"/>
      <c r="AU719"/>
      <c r="AV719"/>
      <c r="AW719"/>
      <c r="AX719"/>
    </row>
    <row r="720" spans="35:50">
      <c r="AI720" s="22"/>
      <c r="AJ720" s="22"/>
      <c r="AK720" s="22"/>
      <c r="AL720" s="22"/>
      <c r="AM720" s="22"/>
      <c r="AN720" s="22"/>
      <c r="AO720" s="22"/>
      <c r="AP720" s="22"/>
      <c r="AQ720"/>
      <c r="AR720"/>
      <c r="AS720"/>
      <c r="AT720"/>
      <c r="AU720"/>
      <c r="AV720"/>
      <c r="AW720"/>
      <c r="AX720"/>
    </row>
    <row r="721" spans="35:50">
      <c r="AI721" s="22"/>
      <c r="AJ721" s="22"/>
      <c r="AK721" s="22"/>
      <c r="AL721" s="22"/>
      <c r="AM721" s="22"/>
      <c r="AN721" s="22"/>
      <c r="AO721" s="22"/>
      <c r="AP721" s="22"/>
      <c r="AQ721"/>
      <c r="AR721"/>
      <c r="AS721"/>
      <c r="AT721"/>
      <c r="AU721"/>
      <c r="AV721"/>
      <c r="AW721"/>
      <c r="AX721"/>
    </row>
    <row r="722" spans="35:50">
      <c r="AI722" s="22"/>
      <c r="AJ722" s="22"/>
      <c r="AK722" s="22"/>
      <c r="AL722" s="22"/>
      <c r="AM722" s="22"/>
      <c r="AN722" s="22"/>
      <c r="AO722" s="22"/>
      <c r="AP722" s="22"/>
      <c r="AQ722"/>
      <c r="AR722"/>
      <c r="AS722"/>
      <c r="AT722"/>
      <c r="AU722"/>
      <c r="AV722"/>
      <c r="AW722"/>
      <c r="AX722"/>
    </row>
    <row r="723" spans="35:50">
      <c r="AI723" s="22"/>
      <c r="AJ723" s="22"/>
      <c r="AK723" s="22"/>
      <c r="AL723" s="22"/>
      <c r="AM723" s="22"/>
      <c r="AN723" s="22"/>
      <c r="AO723" s="22"/>
      <c r="AP723" s="22"/>
      <c r="AQ723"/>
      <c r="AR723"/>
      <c r="AS723"/>
      <c r="AT723"/>
      <c r="AU723"/>
      <c r="AV723"/>
      <c r="AW723"/>
      <c r="AX723"/>
    </row>
    <row r="724" spans="35:50">
      <c r="AI724" s="22"/>
      <c r="AJ724" s="22"/>
      <c r="AK724" s="22"/>
      <c r="AL724" s="22"/>
      <c r="AM724" s="22"/>
      <c r="AN724" s="22"/>
      <c r="AO724" s="22"/>
      <c r="AP724" s="22"/>
      <c r="AQ724"/>
      <c r="AR724"/>
      <c r="AS724"/>
      <c r="AT724"/>
      <c r="AU724"/>
      <c r="AV724"/>
      <c r="AW724"/>
      <c r="AX724"/>
    </row>
    <row r="725" spans="35:50">
      <c r="AI725" s="22"/>
      <c r="AJ725" s="22"/>
      <c r="AK725" s="22"/>
      <c r="AL725" s="22"/>
      <c r="AM725" s="22"/>
      <c r="AN725" s="22"/>
      <c r="AO725" s="22"/>
      <c r="AP725" s="22"/>
      <c r="AQ725"/>
      <c r="AR725"/>
      <c r="AS725"/>
      <c r="AT725"/>
      <c r="AU725"/>
      <c r="AV725"/>
      <c r="AW725"/>
      <c r="AX725"/>
    </row>
    <row r="726" spans="35:50">
      <c r="AI726" s="22"/>
      <c r="AJ726" s="22"/>
      <c r="AK726" s="22"/>
      <c r="AL726" s="22"/>
      <c r="AM726" s="22"/>
      <c r="AN726" s="22"/>
      <c r="AO726" s="22"/>
      <c r="AP726" s="22"/>
      <c r="AQ726"/>
      <c r="AR726"/>
      <c r="AS726"/>
      <c r="AT726"/>
      <c r="AU726"/>
      <c r="AV726"/>
      <c r="AW726"/>
      <c r="AX726"/>
    </row>
    <row r="727" spans="35:50">
      <c r="AI727" s="22"/>
      <c r="AJ727" s="22"/>
      <c r="AK727" s="22"/>
      <c r="AL727" s="22"/>
      <c r="AM727" s="22"/>
      <c r="AN727" s="22"/>
      <c r="AO727" s="22"/>
      <c r="AP727" s="22"/>
      <c r="AQ727"/>
      <c r="AR727"/>
      <c r="AS727"/>
      <c r="AT727"/>
      <c r="AU727"/>
      <c r="AV727"/>
      <c r="AW727"/>
      <c r="AX727"/>
    </row>
    <row r="728" spans="35:50">
      <c r="AI728" s="22"/>
      <c r="AJ728" s="22"/>
      <c r="AK728" s="22"/>
      <c r="AL728" s="22"/>
      <c r="AM728" s="22"/>
      <c r="AN728" s="22"/>
      <c r="AO728" s="22"/>
      <c r="AP728" s="22"/>
      <c r="AQ728"/>
      <c r="AR728"/>
      <c r="AS728"/>
      <c r="AT728"/>
      <c r="AU728"/>
      <c r="AV728"/>
      <c r="AW728"/>
      <c r="AX728"/>
    </row>
    <row r="729" spans="35:50">
      <c r="AI729" s="22"/>
      <c r="AJ729" s="22"/>
      <c r="AK729" s="22"/>
      <c r="AL729" s="22"/>
      <c r="AM729" s="22"/>
      <c r="AN729" s="22"/>
      <c r="AO729" s="22"/>
      <c r="AP729" s="22"/>
      <c r="AQ729"/>
      <c r="AR729"/>
      <c r="AS729"/>
      <c r="AT729"/>
      <c r="AU729"/>
      <c r="AV729"/>
      <c r="AW729"/>
      <c r="AX729"/>
    </row>
    <row r="730" spans="35:50">
      <c r="AI730" s="22"/>
      <c r="AJ730" s="22"/>
      <c r="AK730" s="22"/>
      <c r="AL730" s="22"/>
      <c r="AM730" s="22"/>
      <c r="AN730" s="22"/>
      <c r="AO730" s="22"/>
      <c r="AP730" s="22"/>
      <c r="AQ730"/>
      <c r="AR730"/>
      <c r="AS730"/>
      <c r="AT730"/>
      <c r="AU730"/>
      <c r="AV730"/>
      <c r="AW730"/>
      <c r="AX730"/>
    </row>
    <row r="731" spans="35:50">
      <c r="AI731" s="22"/>
      <c r="AJ731" s="22"/>
      <c r="AK731" s="22"/>
      <c r="AL731" s="22"/>
      <c r="AM731" s="22"/>
      <c r="AN731" s="22"/>
      <c r="AO731" s="22"/>
      <c r="AP731" s="22"/>
      <c r="AQ731"/>
      <c r="AR731"/>
      <c r="AS731"/>
      <c r="AT731"/>
      <c r="AU731"/>
      <c r="AV731"/>
      <c r="AW731"/>
      <c r="AX731"/>
    </row>
    <row r="732" spans="35:50">
      <c r="AI732" s="22"/>
      <c r="AJ732" s="22"/>
      <c r="AK732" s="22"/>
      <c r="AL732" s="22"/>
      <c r="AM732" s="22"/>
      <c r="AN732" s="22"/>
      <c r="AO732" s="22"/>
      <c r="AP732" s="22"/>
      <c r="AQ732"/>
      <c r="AR732"/>
      <c r="AS732"/>
      <c r="AT732"/>
      <c r="AU732"/>
      <c r="AV732"/>
      <c r="AW732"/>
      <c r="AX732"/>
    </row>
    <row r="733" spans="35:50">
      <c r="AI733" s="22"/>
      <c r="AJ733" s="22"/>
      <c r="AK733" s="22"/>
      <c r="AL733" s="22"/>
      <c r="AM733" s="22"/>
      <c r="AN733" s="22"/>
      <c r="AO733" s="22"/>
      <c r="AP733" s="22"/>
      <c r="AQ733"/>
      <c r="AR733"/>
      <c r="AS733"/>
      <c r="AT733"/>
      <c r="AU733"/>
      <c r="AV733"/>
      <c r="AW733"/>
      <c r="AX733"/>
    </row>
    <row r="734" spans="35:50">
      <c r="AI734" s="22"/>
      <c r="AJ734" s="22"/>
      <c r="AK734" s="22"/>
      <c r="AL734" s="22"/>
      <c r="AM734" s="22"/>
      <c r="AN734" s="22"/>
      <c r="AO734" s="22"/>
      <c r="AP734" s="22"/>
      <c r="AQ734"/>
      <c r="AR734"/>
      <c r="AS734"/>
      <c r="AT734"/>
      <c r="AU734"/>
      <c r="AV734"/>
      <c r="AW734"/>
      <c r="AX734"/>
    </row>
    <row r="735" spans="35:50">
      <c r="AI735" s="22"/>
      <c r="AJ735" s="22"/>
      <c r="AK735" s="22"/>
      <c r="AL735" s="22"/>
      <c r="AM735" s="22"/>
      <c r="AN735" s="22"/>
      <c r="AO735" s="22"/>
      <c r="AP735" s="22"/>
      <c r="AQ735"/>
      <c r="AR735"/>
      <c r="AS735"/>
      <c r="AT735"/>
      <c r="AU735"/>
      <c r="AV735"/>
      <c r="AW735"/>
      <c r="AX735"/>
    </row>
    <row r="736" spans="35:50">
      <c r="AI736" s="22"/>
      <c r="AJ736" s="22"/>
      <c r="AK736" s="22"/>
      <c r="AL736" s="22"/>
      <c r="AM736" s="22"/>
      <c r="AN736" s="22"/>
      <c r="AO736" s="22"/>
      <c r="AP736" s="22"/>
      <c r="AQ736"/>
      <c r="AR736"/>
      <c r="AS736"/>
      <c r="AT736"/>
      <c r="AU736"/>
      <c r="AV736"/>
      <c r="AW736"/>
      <c r="AX736"/>
    </row>
    <row r="737" spans="35:50">
      <c r="AI737" s="22"/>
      <c r="AJ737" s="22"/>
      <c r="AK737" s="22"/>
      <c r="AL737" s="22"/>
      <c r="AM737" s="22"/>
      <c r="AN737" s="22"/>
      <c r="AO737" s="22"/>
      <c r="AP737" s="22"/>
      <c r="AQ737"/>
      <c r="AR737"/>
      <c r="AS737"/>
      <c r="AT737"/>
      <c r="AU737"/>
      <c r="AV737"/>
      <c r="AW737"/>
      <c r="AX737"/>
    </row>
    <row r="738" spans="35:50">
      <c r="AI738" s="22"/>
      <c r="AJ738" s="22"/>
      <c r="AK738" s="22"/>
      <c r="AL738" s="22"/>
      <c r="AM738" s="22"/>
      <c r="AN738" s="22"/>
      <c r="AO738" s="22"/>
      <c r="AP738" s="22"/>
      <c r="AQ738"/>
      <c r="AR738"/>
      <c r="AS738"/>
      <c r="AT738"/>
      <c r="AU738"/>
      <c r="AV738"/>
      <c r="AW738"/>
      <c r="AX738"/>
    </row>
    <row r="739" spans="35:50">
      <c r="AI739" s="22"/>
      <c r="AJ739" s="22"/>
      <c r="AK739" s="22"/>
      <c r="AL739" s="22"/>
      <c r="AM739" s="22"/>
      <c r="AN739" s="22"/>
      <c r="AO739" s="22"/>
      <c r="AP739" s="22"/>
      <c r="AQ739"/>
      <c r="AR739"/>
      <c r="AS739"/>
      <c r="AT739"/>
      <c r="AU739"/>
      <c r="AV739"/>
      <c r="AW739"/>
      <c r="AX739"/>
    </row>
    <row r="740" spans="35:50">
      <c r="AI740" s="22"/>
      <c r="AJ740" s="22"/>
      <c r="AK740" s="22"/>
      <c r="AL740" s="22"/>
      <c r="AM740" s="22"/>
      <c r="AN740" s="22"/>
      <c r="AO740" s="22"/>
      <c r="AP740" s="22"/>
      <c r="AQ740"/>
      <c r="AR740"/>
      <c r="AS740"/>
      <c r="AT740"/>
      <c r="AU740"/>
      <c r="AV740"/>
      <c r="AW740"/>
      <c r="AX740"/>
    </row>
    <row r="741" spans="35:50">
      <c r="AI741" s="22"/>
      <c r="AJ741" s="22"/>
      <c r="AK741" s="22"/>
      <c r="AL741" s="22"/>
      <c r="AM741" s="22"/>
      <c r="AN741" s="22"/>
      <c r="AO741" s="22"/>
      <c r="AP741" s="22"/>
      <c r="AQ741"/>
      <c r="AR741"/>
      <c r="AS741"/>
      <c r="AT741"/>
      <c r="AU741"/>
      <c r="AV741"/>
      <c r="AW741"/>
      <c r="AX741"/>
    </row>
    <row r="742" spans="35:50">
      <c r="AI742" s="22"/>
      <c r="AJ742" s="22"/>
      <c r="AK742" s="22"/>
      <c r="AL742" s="22"/>
      <c r="AM742" s="22"/>
      <c r="AN742" s="22"/>
      <c r="AO742" s="22"/>
      <c r="AP742" s="22"/>
      <c r="AQ742"/>
      <c r="AR742"/>
      <c r="AS742"/>
      <c r="AT742"/>
      <c r="AU742"/>
      <c r="AV742"/>
      <c r="AW742"/>
      <c r="AX742"/>
    </row>
    <row r="743" spans="35:50">
      <c r="AI743" s="22"/>
      <c r="AJ743" s="22"/>
      <c r="AK743" s="22"/>
      <c r="AL743" s="22"/>
      <c r="AM743" s="22"/>
      <c r="AN743" s="22"/>
      <c r="AO743" s="22"/>
      <c r="AP743" s="22"/>
      <c r="AQ743"/>
      <c r="AR743"/>
      <c r="AS743"/>
      <c r="AT743"/>
      <c r="AU743"/>
      <c r="AV743"/>
      <c r="AW743"/>
      <c r="AX743"/>
    </row>
    <row r="744" spans="35:50">
      <c r="AI744" s="22"/>
      <c r="AJ744" s="22"/>
      <c r="AK744" s="22"/>
      <c r="AL744" s="22"/>
      <c r="AM744" s="22"/>
      <c r="AN744" s="22"/>
      <c r="AO744" s="22"/>
      <c r="AP744" s="22"/>
      <c r="AQ744"/>
      <c r="AR744"/>
      <c r="AS744"/>
      <c r="AT744"/>
      <c r="AU744"/>
      <c r="AV744"/>
      <c r="AW744"/>
      <c r="AX744"/>
    </row>
    <row r="745" spans="35:50">
      <c r="AI745" s="22"/>
      <c r="AJ745" s="22"/>
      <c r="AK745" s="22"/>
      <c r="AL745" s="22"/>
      <c r="AM745" s="22"/>
      <c r="AN745" s="22"/>
      <c r="AO745" s="22"/>
      <c r="AP745" s="22"/>
      <c r="AQ745"/>
      <c r="AR745"/>
      <c r="AS745"/>
      <c r="AT745"/>
      <c r="AU745"/>
      <c r="AV745"/>
      <c r="AW745"/>
      <c r="AX745"/>
    </row>
    <row r="746" spans="35:50">
      <c r="AI746" s="22"/>
      <c r="AJ746" s="22"/>
      <c r="AK746" s="22"/>
      <c r="AL746" s="22"/>
      <c r="AM746" s="22"/>
      <c r="AN746" s="22"/>
      <c r="AO746" s="22"/>
      <c r="AP746" s="22"/>
      <c r="AQ746"/>
      <c r="AR746"/>
      <c r="AS746"/>
      <c r="AT746"/>
      <c r="AU746"/>
      <c r="AV746"/>
      <c r="AW746"/>
      <c r="AX746"/>
    </row>
    <row r="747" spans="35:50">
      <c r="AI747" s="22"/>
      <c r="AJ747" s="22"/>
      <c r="AK747" s="22"/>
      <c r="AL747" s="22"/>
      <c r="AM747" s="22"/>
      <c r="AN747" s="22"/>
      <c r="AO747" s="22"/>
      <c r="AP747" s="22"/>
      <c r="AQ747"/>
      <c r="AR747"/>
      <c r="AS747"/>
      <c r="AT747"/>
      <c r="AU747"/>
      <c r="AV747"/>
      <c r="AW747"/>
      <c r="AX747"/>
    </row>
    <row r="748" spans="35:50">
      <c r="AI748" s="22"/>
      <c r="AJ748" s="22"/>
      <c r="AK748" s="22"/>
      <c r="AL748" s="22"/>
      <c r="AM748" s="22"/>
      <c r="AN748" s="22"/>
      <c r="AO748" s="22"/>
      <c r="AP748" s="22"/>
      <c r="AQ748"/>
      <c r="AR748"/>
      <c r="AS748"/>
      <c r="AT748"/>
      <c r="AU748"/>
      <c r="AV748"/>
      <c r="AW748"/>
      <c r="AX748"/>
    </row>
    <row r="749" spans="35:50">
      <c r="AI749" s="22"/>
      <c r="AJ749" s="22"/>
      <c r="AK749" s="22"/>
      <c r="AL749" s="22"/>
      <c r="AM749" s="22"/>
      <c r="AN749" s="22"/>
      <c r="AO749" s="22"/>
      <c r="AP749" s="22"/>
      <c r="AQ749"/>
      <c r="AR749"/>
      <c r="AS749"/>
      <c r="AT749"/>
      <c r="AU749"/>
      <c r="AV749"/>
      <c r="AW749"/>
      <c r="AX749"/>
    </row>
    <row r="750" spans="35:50">
      <c r="AI750" s="22"/>
      <c r="AJ750" s="22"/>
      <c r="AK750" s="22"/>
      <c r="AL750" s="22"/>
      <c r="AM750" s="22"/>
      <c r="AN750" s="22"/>
      <c r="AO750" s="22"/>
      <c r="AP750" s="22"/>
      <c r="AQ750"/>
      <c r="AR750"/>
      <c r="AS750"/>
      <c r="AT750"/>
      <c r="AU750"/>
      <c r="AV750"/>
      <c r="AW750"/>
      <c r="AX750"/>
    </row>
    <row r="751" spans="35:50">
      <c r="AI751" s="22"/>
      <c r="AJ751" s="22"/>
      <c r="AK751" s="22"/>
      <c r="AL751" s="22"/>
      <c r="AM751" s="22"/>
      <c r="AN751" s="22"/>
      <c r="AO751" s="22"/>
      <c r="AP751" s="22"/>
      <c r="AQ751"/>
      <c r="AR751"/>
      <c r="AS751"/>
      <c r="AT751"/>
      <c r="AU751"/>
      <c r="AV751"/>
      <c r="AW751"/>
      <c r="AX751"/>
    </row>
    <row r="752" spans="35:50">
      <c r="AI752" s="22"/>
      <c r="AJ752" s="22"/>
      <c r="AK752" s="22"/>
      <c r="AL752" s="22"/>
      <c r="AM752" s="22"/>
      <c r="AN752" s="22"/>
      <c r="AO752" s="22"/>
      <c r="AP752" s="22"/>
      <c r="AQ752"/>
      <c r="AR752"/>
      <c r="AS752"/>
      <c r="AT752"/>
      <c r="AU752"/>
      <c r="AV752"/>
      <c r="AW752"/>
      <c r="AX752"/>
    </row>
    <row r="753" spans="35:50">
      <c r="AI753" s="22"/>
      <c r="AJ753" s="22"/>
      <c r="AK753" s="22"/>
      <c r="AL753" s="22"/>
      <c r="AM753" s="22"/>
      <c r="AN753" s="22"/>
      <c r="AO753" s="22"/>
      <c r="AP753" s="22"/>
      <c r="AQ753"/>
      <c r="AR753"/>
      <c r="AS753"/>
      <c r="AT753"/>
      <c r="AU753"/>
      <c r="AV753"/>
      <c r="AW753"/>
      <c r="AX753"/>
    </row>
    <row r="754" spans="35:50">
      <c r="AI754" s="22"/>
      <c r="AJ754" s="22"/>
      <c r="AK754" s="22"/>
      <c r="AL754" s="22"/>
      <c r="AM754" s="22"/>
      <c r="AN754" s="22"/>
      <c r="AO754" s="22"/>
      <c r="AP754" s="22"/>
      <c r="AQ754"/>
      <c r="AR754"/>
      <c r="AS754"/>
      <c r="AT754"/>
      <c r="AU754"/>
      <c r="AV754"/>
      <c r="AW754"/>
      <c r="AX754"/>
    </row>
    <row r="755" spans="35:50">
      <c r="AI755" s="22"/>
      <c r="AJ755" s="22"/>
      <c r="AK755" s="22"/>
      <c r="AL755" s="22"/>
      <c r="AM755" s="22"/>
      <c r="AN755" s="22"/>
      <c r="AO755" s="22"/>
      <c r="AP755" s="22"/>
      <c r="AQ755"/>
      <c r="AR755"/>
      <c r="AS755"/>
      <c r="AT755"/>
      <c r="AU755"/>
      <c r="AV755"/>
      <c r="AW755"/>
      <c r="AX755"/>
    </row>
    <row r="756" spans="35:50">
      <c r="AI756" s="22"/>
      <c r="AJ756" s="22"/>
      <c r="AK756" s="22"/>
      <c r="AL756" s="22"/>
      <c r="AM756" s="22"/>
      <c r="AN756" s="22"/>
      <c r="AO756" s="22"/>
      <c r="AP756" s="22"/>
      <c r="AQ756"/>
      <c r="AR756"/>
      <c r="AS756"/>
      <c r="AT756"/>
      <c r="AU756"/>
      <c r="AV756"/>
      <c r="AW756"/>
      <c r="AX756"/>
    </row>
    <row r="757" spans="35:50">
      <c r="AI757" s="22"/>
      <c r="AJ757" s="22"/>
      <c r="AK757" s="22"/>
      <c r="AL757" s="22"/>
      <c r="AM757" s="22"/>
      <c r="AN757" s="22"/>
      <c r="AO757" s="22"/>
      <c r="AP757" s="22"/>
      <c r="AQ757"/>
      <c r="AR757"/>
      <c r="AS757"/>
      <c r="AT757"/>
      <c r="AU757"/>
      <c r="AV757"/>
      <c r="AW757"/>
      <c r="AX757"/>
    </row>
    <row r="758" spans="35:50">
      <c r="AI758" s="22"/>
      <c r="AJ758" s="22"/>
      <c r="AK758" s="22"/>
      <c r="AL758" s="22"/>
      <c r="AM758" s="22"/>
      <c r="AN758" s="22"/>
      <c r="AO758" s="22"/>
      <c r="AP758" s="22"/>
      <c r="AQ758"/>
      <c r="AR758"/>
      <c r="AS758"/>
      <c r="AT758"/>
      <c r="AU758"/>
      <c r="AV758"/>
      <c r="AW758"/>
      <c r="AX758"/>
    </row>
    <row r="759" spans="35:50">
      <c r="AI759" s="22"/>
      <c r="AJ759" s="22"/>
      <c r="AK759" s="22"/>
      <c r="AL759" s="22"/>
      <c r="AM759" s="22"/>
      <c r="AN759" s="22"/>
      <c r="AO759" s="22"/>
      <c r="AP759" s="22"/>
      <c r="AQ759"/>
      <c r="AR759"/>
      <c r="AS759"/>
      <c r="AT759"/>
      <c r="AU759"/>
      <c r="AV759"/>
      <c r="AW759"/>
      <c r="AX759"/>
    </row>
    <row r="760" spans="35:50">
      <c r="AI760" s="22"/>
      <c r="AJ760" s="22"/>
      <c r="AK760" s="22"/>
      <c r="AL760" s="22"/>
      <c r="AM760" s="22"/>
      <c r="AN760" s="22"/>
      <c r="AO760" s="22"/>
      <c r="AP760" s="22"/>
      <c r="AQ760"/>
      <c r="AR760"/>
      <c r="AS760"/>
      <c r="AT760"/>
      <c r="AU760"/>
      <c r="AV760"/>
      <c r="AW760"/>
      <c r="AX760"/>
    </row>
    <row r="761" spans="35:50">
      <c r="AI761" s="22"/>
      <c r="AJ761" s="22"/>
      <c r="AK761" s="22"/>
      <c r="AL761" s="22"/>
      <c r="AM761" s="22"/>
      <c r="AN761" s="22"/>
      <c r="AO761" s="22"/>
      <c r="AP761" s="22"/>
      <c r="AQ761"/>
      <c r="AR761"/>
      <c r="AS761"/>
      <c r="AT761"/>
      <c r="AU761"/>
      <c r="AV761"/>
      <c r="AW761"/>
      <c r="AX761"/>
    </row>
    <row r="762" spans="35:50">
      <c r="AI762" s="22"/>
      <c r="AJ762" s="22"/>
      <c r="AK762" s="22"/>
      <c r="AL762" s="22"/>
      <c r="AM762" s="22"/>
      <c r="AN762" s="22"/>
      <c r="AO762" s="22"/>
      <c r="AP762" s="22"/>
      <c r="AQ762"/>
      <c r="AR762"/>
      <c r="AS762"/>
      <c r="AT762"/>
      <c r="AU762"/>
      <c r="AV762"/>
      <c r="AW762"/>
      <c r="AX762"/>
    </row>
    <row r="763" spans="35:50">
      <c r="AI763" s="22"/>
      <c r="AJ763" s="22"/>
      <c r="AK763" s="22"/>
      <c r="AL763" s="22"/>
      <c r="AM763" s="22"/>
      <c r="AN763" s="22"/>
      <c r="AO763" s="22"/>
      <c r="AP763" s="22"/>
      <c r="AQ763"/>
      <c r="AR763"/>
      <c r="AS763"/>
      <c r="AT763"/>
      <c r="AU763"/>
      <c r="AV763"/>
      <c r="AW763"/>
      <c r="AX763"/>
    </row>
    <row r="764" spans="35:50">
      <c r="AI764" s="22"/>
      <c r="AJ764" s="22"/>
      <c r="AK764" s="22"/>
      <c r="AL764" s="22"/>
      <c r="AM764" s="22"/>
      <c r="AN764" s="22"/>
      <c r="AO764" s="22"/>
      <c r="AP764" s="22"/>
      <c r="AQ764"/>
      <c r="AR764"/>
      <c r="AS764"/>
      <c r="AT764"/>
      <c r="AU764"/>
      <c r="AV764"/>
      <c r="AW764"/>
      <c r="AX764"/>
    </row>
    <row r="765" spans="35:50">
      <c r="AI765" s="22"/>
      <c r="AJ765" s="22"/>
      <c r="AK765" s="22"/>
      <c r="AL765" s="22"/>
      <c r="AM765" s="22"/>
      <c r="AN765" s="22"/>
      <c r="AO765" s="22"/>
      <c r="AP765" s="22"/>
      <c r="AQ765"/>
      <c r="AR765"/>
      <c r="AS765"/>
      <c r="AT765"/>
      <c r="AU765"/>
      <c r="AV765"/>
      <c r="AW765"/>
      <c r="AX765"/>
    </row>
    <row r="766" spans="35:50">
      <c r="AI766" s="22"/>
      <c r="AJ766" s="22"/>
      <c r="AK766" s="22"/>
      <c r="AL766" s="22"/>
      <c r="AM766" s="22"/>
      <c r="AN766" s="22"/>
      <c r="AO766" s="22"/>
      <c r="AP766" s="22"/>
      <c r="AQ766"/>
      <c r="AR766"/>
      <c r="AS766"/>
      <c r="AT766"/>
      <c r="AU766"/>
      <c r="AV766"/>
      <c r="AW766"/>
      <c r="AX766"/>
    </row>
    <row r="767" spans="35:50">
      <c r="AI767" s="22"/>
      <c r="AJ767" s="22"/>
      <c r="AK767" s="22"/>
      <c r="AL767" s="22"/>
      <c r="AM767" s="22"/>
      <c r="AN767" s="22"/>
      <c r="AO767" s="22"/>
      <c r="AP767" s="22"/>
      <c r="AQ767"/>
      <c r="AR767"/>
      <c r="AS767"/>
      <c r="AT767"/>
      <c r="AU767"/>
      <c r="AV767"/>
      <c r="AW767"/>
      <c r="AX767"/>
    </row>
    <row r="768" spans="35:50">
      <c r="AI768" s="22"/>
      <c r="AJ768" s="22"/>
      <c r="AK768" s="22"/>
      <c r="AL768" s="22"/>
      <c r="AM768" s="22"/>
      <c r="AN768" s="22"/>
      <c r="AO768" s="22"/>
      <c r="AP768" s="22"/>
      <c r="AQ768"/>
      <c r="AR768"/>
      <c r="AS768"/>
      <c r="AT768"/>
      <c r="AU768"/>
      <c r="AV768"/>
      <c r="AW768"/>
      <c r="AX768"/>
    </row>
    <row r="769" spans="35:50">
      <c r="AI769" s="22"/>
      <c r="AJ769" s="22"/>
      <c r="AK769" s="22"/>
      <c r="AL769" s="22"/>
      <c r="AM769" s="22"/>
      <c r="AN769" s="22"/>
      <c r="AO769" s="22"/>
      <c r="AP769" s="22"/>
      <c r="AQ769"/>
      <c r="AR769"/>
      <c r="AS769"/>
      <c r="AT769"/>
      <c r="AU769"/>
      <c r="AV769"/>
      <c r="AW769"/>
      <c r="AX769"/>
    </row>
    <row r="770" spans="35:50">
      <c r="AI770" s="22"/>
      <c r="AJ770" s="22"/>
      <c r="AK770" s="22"/>
      <c r="AL770" s="22"/>
      <c r="AM770" s="22"/>
      <c r="AN770" s="22"/>
      <c r="AO770" s="22"/>
      <c r="AP770" s="22"/>
      <c r="AQ770"/>
      <c r="AR770"/>
      <c r="AS770"/>
      <c r="AT770"/>
      <c r="AU770"/>
      <c r="AV770"/>
      <c r="AW770"/>
      <c r="AX770"/>
    </row>
    <row r="771" spans="35:50">
      <c r="AI771" s="22"/>
      <c r="AJ771" s="22"/>
      <c r="AK771" s="22"/>
      <c r="AL771" s="22"/>
      <c r="AM771" s="22"/>
      <c r="AN771" s="22"/>
      <c r="AO771" s="22"/>
      <c r="AP771" s="22"/>
      <c r="AQ771"/>
      <c r="AR771"/>
      <c r="AS771"/>
      <c r="AT771"/>
      <c r="AU771"/>
      <c r="AV771"/>
      <c r="AW771"/>
      <c r="AX771"/>
    </row>
    <row r="772" spans="35:50">
      <c r="AI772" s="22"/>
      <c r="AJ772" s="22"/>
      <c r="AK772" s="22"/>
      <c r="AL772" s="22"/>
      <c r="AM772" s="22"/>
      <c r="AN772" s="22"/>
      <c r="AO772" s="22"/>
      <c r="AP772" s="22"/>
      <c r="AQ772"/>
      <c r="AR772"/>
      <c r="AS772"/>
      <c r="AT772"/>
      <c r="AU772"/>
      <c r="AV772"/>
      <c r="AW772"/>
      <c r="AX772"/>
    </row>
    <row r="773" spans="35:50">
      <c r="AI773" s="22"/>
      <c r="AJ773" s="22"/>
      <c r="AK773" s="22"/>
      <c r="AL773" s="22"/>
      <c r="AM773" s="22"/>
      <c r="AN773" s="22"/>
      <c r="AO773" s="22"/>
      <c r="AP773" s="22"/>
      <c r="AQ773"/>
      <c r="AR773"/>
      <c r="AS773"/>
      <c r="AT773"/>
      <c r="AU773"/>
      <c r="AV773"/>
      <c r="AW773"/>
      <c r="AX773"/>
    </row>
    <row r="774" spans="35:50">
      <c r="AI774" s="22"/>
      <c r="AJ774" s="22"/>
      <c r="AK774" s="22"/>
      <c r="AL774" s="22"/>
      <c r="AM774" s="22"/>
      <c r="AN774" s="22"/>
      <c r="AO774" s="22"/>
      <c r="AP774" s="22"/>
      <c r="AQ774"/>
      <c r="AR774"/>
      <c r="AS774"/>
      <c r="AT774"/>
      <c r="AU774"/>
      <c r="AV774"/>
      <c r="AW774"/>
      <c r="AX774"/>
    </row>
    <row r="775" spans="35:50">
      <c r="AI775" s="22"/>
      <c r="AJ775" s="22"/>
      <c r="AK775" s="22"/>
      <c r="AL775" s="22"/>
      <c r="AM775" s="22"/>
      <c r="AN775" s="22"/>
      <c r="AO775" s="22"/>
      <c r="AP775" s="22"/>
      <c r="AQ775"/>
      <c r="AR775"/>
      <c r="AS775"/>
      <c r="AT775"/>
      <c r="AU775"/>
      <c r="AV775"/>
      <c r="AW775"/>
      <c r="AX775"/>
    </row>
    <row r="776" spans="35:50">
      <c r="AI776" s="22"/>
      <c r="AJ776" s="22"/>
      <c r="AK776" s="22"/>
      <c r="AL776" s="22"/>
      <c r="AM776" s="22"/>
      <c r="AN776" s="22"/>
      <c r="AO776" s="22"/>
      <c r="AP776" s="22"/>
      <c r="AQ776"/>
      <c r="AR776"/>
      <c r="AS776"/>
      <c r="AT776"/>
      <c r="AU776"/>
      <c r="AV776"/>
      <c r="AW776"/>
      <c r="AX776"/>
    </row>
    <row r="777" spans="35:50">
      <c r="AI777" s="22"/>
      <c r="AJ777" s="22"/>
      <c r="AK777" s="22"/>
      <c r="AL777" s="22"/>
      <c r="AM777" s="22"/>
      <c r="AN777" s="22"/>
      <c r="AO777" s="22"/>
      <c r="AP777" s="22"/>
      <c r="AQ777"/>
      <c r="AR777"/>
      <c r="AS777"/>
      <c r="AT777"/>
      <c r="AU777"/>
      <c r="AV777"/>
      <c r="AW777"/>
      <c r="AX777"/>
    </row>
    <row r="778" spans="35:50">
      <c r="AI778" s="22"/>
      <c r="AJ778" s="22"/>
      <c r="AK778" s="22"/>
      <c r="AL778" s="22"/>
      <c r="AM778" s="22"/>
      <c r="AN778" s="22"/>
      <c r="AO778" s="22"/>
      <c r="AP778" s="22"/>
      <c r="AQ778"/>
      <c r="AR778"/>
      <c r="AS778"/>
      <c r="AT778"/>
      <c r="AU778"/>
      <c r="AV778"/>
      <c r="AW778"/>
      <c r="AX778"/>
    </row>
    <row r="779" spans="35:50">
      <c r="AI779" s="22"/>
      <c r="AJ779" s="22"/>
      <c r="AK779" s="22"/>
      <c r="AL779" s="22"/>
      <c r="AM779" s="22"/>
      <c r="AN779" s="22"/>
      <c r="AO779" s="22"/>
      <c r="AP779" s="22"/>
      <c r="AQ779"/>
      <c r="AR779"/>
      <c r="AS779"/>
      <c r="AT779"/>
      <c r="AU779"/>
      <c r="AV779"/>
      <c r="AW779"/>
      <c r="AX779"/>
    </row>
    <row r="780" spans="35:50">
      <c r="AI780" s="22"/>
      <c r="AJ780" s="22"/>
      <c r="AK780" s="22"/>
      <c r="AL780" s="22"/>
      <c r="AM780" s="22"/>
      <c r="AN780" s="22"/>
      <c r="AO780" s="22"/>
      <c r="AP780" s="22"/>
      <c r="AQ780"/>
      <c r="AR780"/>
      <c r="AS780"/>
      <c r="AT780"/>
      <c r="AU780"/>
      <c r="AV780"/>
      <c r="AW780"/>
      <c r="AX780"/>
    </row>
    <row r="781" spans="35:50">
      <c r="AI781" s="22"/>
      <c r="AJ781" s="22"/>
      <c r="AK781" s="22"/>
      <c r="AL781" s="22"/>
      <c r="AM781" s="22"/>
      <c r="AN781" s="22"/>
      <c r="AO781" s="22"/>
      <c r="AP781" s="22"/>
      <c r="AQ781"/>
      <c r="AR781"/>
      <c r="AS781"/>
      <c r="AT781"/>
      <c r="AU781"/>
      <c r="AV781"/>
      <c r="AW781"/>
      <c r="AX781"/>
    </row>
    <row r="782" spans="35:50">
      <c r="AI782" s="22"/>
      <c r="AJ782" s="22"/>
      <c r="AK782" s="22"/>
      <c r="AL782" s="22"/>
      <c r="AM782" s="22"/>
      <c r="AN782" s="22"/>
      <c r="AO782" s="22"/>
      <c r="AP782" s="22"/>
      <c r="AQ782"/>
      <c r="AR782"/>
      <c r="AS782"/>
      <c r="AT782"/>
      <c r="AU782"/>
      <c r="AV782"/>
      <c r="AW782"/>
      <c r="AX782"/>
    </row>
    <row r="783" spans="35:50">
      <c r="AI783" s="22"/>
      <c r="AJ783" s="22"/>
      <c r="AK783" s="22"/>
      <c r="AL783" s="22"/>
      <c r="AM783" s="22"/>
      <c r="AN783" s="22"/>
      <c r="AO783" s="22"/>
      <c r="AP783" s="22"/>
      <c r="AQ783"/>
      <c r="AR783"/>
      <c r="AS783"/>
      <c r="AT783"/>
      <c r="AU783"/>
      <c r="AV783"/>
      <c r="AW783"/>
      <c r="AX783"/>
    </row>
    <row r="784" spans="35:50">
      <c r="AI784" s="22"/>
      <c r="AJ784" s="22"/>
      <c r="AK784" s="22"/>
      <c r="AL784" s="22"/>
      <c r="AM784" s="22"/>
      <c r="AN784" s="22"/>
      <c r="AO784" s="22"/>
      <c r="AP784" s="22"/>
      <c r="AQ784"/>
      <c r="AR784"/>
      <c r="AS784"/>
      <c r="AT784"/>
      <c r="AU784"/>
      <c r="AV784"/>
      <c r="AW784"/>
      <c r="AX784"/>
    </row>
    <row r="785" spans="35:50">
      <c r="AI785" s="22"/>
      <c r="AJ785" s="22"/>
      <c r="AK785" s="22"/>
      <c r="AL785" s="22"/>
      <c r="AM785" s="22"/>
      <c r="AN785" s="22"/>
      <c r="AO785" s="22"/>
      <c r="AP785" s="22"/>
      <c r="AQ785"/>
      <c r="AR785"/>
      <c r="AS785"/>
      <c r="AT785"/>
      <c r="AU785"/>
      <c r="AV785"/>
      <c r="AW785"/>
      <c r="AX785"/>
    </row>
    <row r="786" spans="35:50">
      <c r="AI786" s="22"/>
      <c r="AJ786" s="22"/>
      <c r="AK786" s="22"/>
      <c r="AL786" s="22"/>
      <c r="AM786" s="22"/>
      <c r="AN786" s="22"/>
      <c r="AO786" s="22"/>
      <c r="AP786" s="22"/>
      <c r="AQ786"/>
      <c r="AR786"/>
      <c r="AS786"/>
      <c r="AT786"/>
      <c r="AU786"/>
      <c r="AV786"/>
      <c r="AW786"/>
      <c r="AX786"/>
    </row>
    <row r="787" spans="35:50">
      <c r="AI787" s="22"/>
      <c r="AJ787" s="22"/>
      <c r="AK787" s="22"/>
      <c r="AL787" s="22"/>
      <c r="AM787" s="22"/>
      <c r="AN787" s="22"/>
      <c r="AO787" s="22"/>
      <c r="AP787" s="22"/>
      <c r="AQ787"/>
      <c r="AR787"/>
      <c r="AS787"/>
      <c r="AT787"/>
      <c r="AU787"/>
      <c r="AV787"/>
      <c r="AW787"/>
      <c r="AX787"/>
    </row>
    <row r="788" spans="35:50">
      <c r="AI788" s="22"/>
      <c r="AJ788" s="22"/>
      <c r="AK788" s="22"/>
      <c r="AL788" s="22"/>
      <c r="AM788" s="22"/>
      <c r="AN788" s="22"/>
      <c r="AO788" s="22"/>
      <c r="AP788" s="22"/>
      <c r="AQ788"/>
      <c r="AR788"/>
      <c r="AS788"/>
      <c r="AT788"/>
      <c r="AU788"/>
      <c r="AV788"/>
      <c r="AW788"/>
      <c r="AX788"/>
    </row>
    <row r="789" spans="35:50">
      <c r="AI789" s="22"/>
      <c r="AJ789" s="22"/>
      <c r="AK789" s="22"/>
      <c r="AL789" s="22"/>
      <c r="AM789" s="22"/>
      <c r="AN789" s="22"/>
      <c r="AO789" s="22"/>
      <c r="AP789" s="22"/>
      <c r="AQ789"/>
      <c r="AR789"/>
      <c r="AS789"/>
      <c r="AT789"/>
      <c r="AU789"/>
      <c r="AV789"/>
      <c r="AW789"/>
      <c r="AX789"/>
    </row>
    <row r="790" spans="35:50">
      <c r="AI790" s="22"/>
      <c r="AJ790" s="22"/>
      <c r="AK790" s="22"/>
      <c r="AL790" s="22"/>
      <c r="AM790" s="22"/>
      <c r="AN790" s="22"/>
      <c r="AO790" s="22"/>
      <c r="AP790" s="22"/>
      <c r="AQ790"/>
      <c r="AR790"/>
      <c r="AS790"/>
      <c r="AT790"/>
      <c r="AU790"/>
      <c r="AV790"/>
      <c r="AW790"/>
      <c r="AX790"/>
    </row>
    <row r="791" spans="35:50">
      <c r="AI791" s="22"/>
      <c r="AJ791" s="22"/>
      <c r="AK791" s="22"/>
      <c r="AL791" s="22"/>
      <c r="AM791" s="22"/>
      <c r="AN791" s="22"/>
      <c r="AO791" s="22"/>
      <c r="AP791" s="22"/>
      <c r="AQ791"/>
      <c r="AR791"/>
      <c r="AS791"/>
      <c r="AT791"/>
      <c r="AU791"/>
      <c r="AV791"/>
      <c r="AW791"/>
      <c r="AX791"/>
    </row>
    <row r="792" spans="35:50">
      <c r="AI792" s="22"/>
      <c r="AJ792" s="22"/>
      <c r="AK792" s="22"/>
      <c r="AL792" s="22"/>
      <c r="AM792" s="22"/>
      <c r="AN792" s="22"/>
      <c r="AO792" s="22"/>
      <c r="AP792" s="22"/>
      <c r="AQ792"/>
      <c r="AR792"/>
      <c r="AS792"/>
      <c r="AT792"/>
      <c r="AU792"/>
      <c r="AV792"/>
      <c r="AW792"/>
      <c r="AX792"/>
    </row>
    <row r="793" spans="35:50">
      <c r="AI793" s="22"/>
      <c r="AJ793" s="22"/>
      <c r="AK793" s="22"/>
      <c r="AL793" s="22"/>
      <c r="AM793" s="22"/>
      <c r="AN793" s="22"/>
      <c r="AO793" s="22"/>
      <c r="AP793" s="22"/>
      <c r="AQ793"/>
      <c r="AR793"/>
      <c r="AS793"/>
      <c r="AT793"/>
      <c r="AU793"/>
      <c r="AV793"/>
      <c r="AW793"/>
      <c r="AX793"/>
    </row>
    <row r="794" spans="35:50">
      <c r="AI794" s="22"/>
      <c r="AJ794" s="22"/>
      <c r="AK794" s="22"/>
      <c r="AL794" s="22"/>
      <c r="AM794" s="22"/>
      <c r="AN794" s="22"/>
      <c r="AO794" s="22"/>
      <c r="AP794" s="22"/>
      <c r="AQ794"/>
      <c r="AR794"/>
      <c r="AS794"/>
      <c r="AT794"/>
      <c r="AU794"/>
      <c r="AV794"/>
      <c r="AW794"/>
      <c r="AX794"/>
    </row>
    <row r="795" spans="35:50">
      <c r="AI795" s="22"/>
      <c r="AJ795" s="22"/>
      <c r="AK795" s="22"/>
      <c r="AL795" s="22"/>
      <c r="AM795" s="22"/>
      <c r="AN795" s="22"/>
      <c r="AO795" s="22"/>
      <c r="AP795" s="22"/>
      <c r="AQ795"/>
      <c r="AR795"/>
      <c r="AS795"/>
      <c r="AT795"/>
      <c r="AU795"/>
      <c r="AV795"/>
      <c r="AW795"/>
      <c r="AX795"/>
    </row>
    <row r="796" spans="35:50">
      <c r="AI796" s="22"/>
      <c r="AJ796" s="22"/>
      <c r="AK796" s="22"/>
      <c r="AL796" s="22"/>
      <c r="AM796" s="22"/>
      <c r="AN796" s="22"/>
      <c r="AO796" s="22"/>
      <c r="AP796" s="22"/>
      <c r="AQ796"/>
      <c r="AR796"/>
      <c r="AS796"/>
      <c r="AT796"/>
      <c r="AU796"/>
      <c r="AV796"/>
      <c r="AW796"/>
      <c r="AX796"/>
    </row>
    <row r="797" spans="35:50">
      <c r="AI797" s="22"/>
      <c r="AJ797" s="22"/>
      <c r="AK797" s="22"/>
      <c r="AL797" s="22"/>
      <c r="AM797" s="22"/>
      <c r="AN797" s="22"/>
      <c r="AO797" s="22"/>
      <c r="AP797" s="22"/>
      <c r="AQ797"/>
      <c r="AR797"/>
      <c r="AS797"/>
      <c r="AT797"/>
      <c r="AU797"/>
      <c r="AV797"/>
      <c r="AW797"/>
      <c r="AX797"/>
    </row>
    <row r="798" spans="35:50">
      <c r="AI798" s="22"/>
      <c r="AJ798" s="22"/>
      <c r="AK798" s="22"/>
      <c r="AL798" s="22"/>
      <c r="AM798" s="22"/>
      <c r="AN798" s="22"/>
      <c r="AO798" s="22"/>
      <c r="AP798" s="22"/>
      <c r="AQ798"/>
      <c r="AR798"/>
      <c r="AS798"/>
      <c r="AT798"/>
      <c r="AU798"/>
      <c r="AV798"/>
      <c r="AW798"/>
      <c r="AX798"/>
    </row>
    <row r="799" spans="35:50">
      <c r="AI799" s="22"/>
      <c r="AJ799" s="22"/>
      <c r="AK799" s="22"/>
      <c r="AL799" s="22"/>
      <c r="AM799" s="22"/>
      <c r="AN799" s="22"/>
      <c r="AO799" s="22"/>
      <c r="AP799" s="22"/>
      <c r="AQ799"/>
      <c r="AR799"/>
      <c r="AS799"/>
      <c r="AT799"/>
      <c r="AU799"/>
      <c r="AV799"/>
      <c r="AW799"/>
      <c r="AX799"/>
    </row>
    <row r="800" spans="35:50">
      <c r="AI800" s="22"/>
      <c r="AJ800" s="22"/>
      <c r="AK800" s="22"/>
      <c r="AL800" s="22"/>
      <c r="AM800" s="22"/>
      <c r="AN800" s="22"/>
      <c r="AO800" s="22"/>
      <c r="AP800" s="22"/>
      <c r="AQ800"/>
      <c r="AR800"/>
      <c r="AS800"/>
      <c r="AT800"/>
      <c r="AU800"/>
      <c r="AV800"/>
      <c r="AW800"/>
      <c r="AX800"/>
    </row>
    <row r="801" spans="35:50">
      <c r="AI801" s="22"/>
      <c r="AJ801" s="22"/>
      <c r="AK801" s="22"/>
      <c r="AL801" s="22"/>
      <c r="AM801" s="22"/>
      <c r="AN801" s="22"/>
      <c r="AO801" s="22"/>
      <c r="AP801" s="22"/>
      <c r="AQ801"/>
      <c r="AR801"/>
      <c r="AS801"/>
      <c r="AT801"/>
      <c r="AU801"/>
      <c r="AV801"/>
      <c r="AW801"/>
      <c r="AX801"/>
    </row>
    <row r="802" spans="35:50">
      <c r="AI802" s="22"/>
      <c r="AJ802" s="22"/>
      <c r="AK802" s="22"/>
      <c r="AL802" s="22"/>
      <c r="AM802" s="22"/>
      <c r="AN802" s="22"/>
      <c r="AO802" s="22"/>
      <c r="AP802" s="22"/>
      <c r="AQ802"/>
      <c r="AR802"/>
      <c r="AS802"/>
      <c r="AT802"/>
      <c r="AU802"/>
      <c r="AV802"/>
      <c r="AW802"/>
      <c r="AX802"/>
    </row>
    <row r="803" spans="35:50">
      <c r="AI803" s="22"/>
      <c r="AJ803" s="22"/>
      <c r="AK803" s="22"/>
      <c r="AL803" s="22"/>
      <c r="AM803" s="22"/>
      <c r="AN803" s="22"/>
      <c r="AO803" s="22"/>
      <c r="AP803" s="22"/>
      <c r="AQ803"/>
      <c r="AR803"/>
      <c r="AS803"/>
      <c r="AT803"/>
      <c r="AU803"/>
      <c r="AV803"/>
      <c r="AW803"/>
      <c r="AX803"/>
    </row>
    <row r="804" spans="35:50">
      <c r="AI804" s="22"/>
      <c r="AJ804" s="22"/>
      <c r="AK804" s="22"/>
      <c r="AL804" s="22"/>
      <c r="AM804" s="22"/>
      <c r="AN804" s="22"/>
      <c r="AO804" s="22"/>
      <c r="AP804" s="22"/>
      <c r="AQ804"/>
      <c r="AR804"/>
      <c r="AS804"/>
      <c r="AT804"/>
      <c r="AU804"/>
      <c r="AV804"/>
      <c r="AW804"/>
      <c r="AX804"/>
    </row>
    <row r="805" spans="35:50">
      <c r="AI805" s="22"/>
      <c r="AJ805" s="22"/>
      <c r="AK805" s="22"/>
      <c r="AL805" s="22"/>
      <c r="AM805" s="22"/>
      <c r="AN805" s="22"/>
      <c r="AO805" s="22"/>
      <c r="AP805" s="22"/>
      <c r="AQ805"/>
      <c r="AR805"/>
      <c r="AS805"/>
      <c r="AT805"/>
      <c r="AU805"/>
      <c r="AV805"/>
      <c r="AW805"/>
      <c r="AX805"/>
    </row>
    <row r="806" spans="35:50">
      <c r="AI806" s="22"/>
      <c r="AJ806" s="22"/>
      <c r="AK806" s="22"/>
      <c r="AL806" s="22"/>
      <c r="AM806" s="22"/>
      <c r="AN806" s="22"/>
      <c r="AO806" s="22"/>
      <c r="AP806" s="22"/>
      <c r="AQ806"/>
      <c r="AR806"/>
      <c r="AS806"/>
      <c r="AT806"/>
      <c r="AU806"/>
      <c r="AV806"/>
      <c r="AW806"/>
      <c r="AX806"/>
    </row>
    <row r="807" spans="35:50">
      <c r="AI807" s="22"/>
      <c r="AJ807" s="22"/>
      <c r="AK807" s="22"/>
      <c r="AL807" s="22"/>
      <c r="AM807" s="22"/>
      <c r="AN807" s="22"/>
      <c r="AO807" s="22"/>
      <c r="AP807" s="22"/>
      <c r="AQ807"/>
      <c r="AR807"/>
      <c r="AS807"/>
      <c r="AT807"/>
      <c r="AU807"/>
      <c r="AV807"/>
      <c r="AW807"/>
      <c r="AX807"/>
    </row>
    <row r="808" spans="35:50">
      <c r="AI808" s="22"/>
      <c r="AJ808" s="22"/>
      <c r="AK808" s="22"/>
      <c r="AL808" s="22"/>
      <c r="AM808" s="22"/>
      <c r="AN808" s="22"/>
      <c r="AO808" s="22"/>
      <c r="AP808" s="22"/>
      <c r="AQ808"/>
      <c r="AR808"/>
      <c r="AS808"/>
      <c r="AT808"/>
      <c r="AU808"/>
      <c r="AV808"/>
      <c r="AW808"/>
      <c r="AX808"/>
    </row>
    <row r="809" spans="35:50">
      <c r="AI809" s="22"/>
      <c r="AJ809" s="22"/>
      <c r="AK809" s="22"/>
      <c r="AL809" s="22"/>
      <c r="AM809" s="22"/>
      <c r="AN809" s="22"/>
      <c r="AO809" s="22"/>
      <c r="AP809" s="22"/>
      <c r="AQ809"/>
      <c r="AR809"/>
      <c r="AS809"/>
      <c r="AT809"/>
      <c r="AU809"/>
      <c r="AV809"/>
      <c r="AW809"/>
      <c r="AX809"/>
    </row>
    <row r="810" spans="35:50">
      <c r="AI810" s="22"/>
      <c r="AJ810" s="22"/>
      <c r="AK810" s="22"/>
      <c r="AL810" s="22"/>
      <c r="AM810" s="22"/>
      <c r="AN810" s="22"/>
      <c r="AO810" s="22"/>
      <c r="AP810" s="22"/>
      <c r="AQ810"/>
      <c r="AR810"/>
      <c r="AS810"/>
      <c r="AT810"/>
      <c r="AU810"/>
      <c r="AV810"/>
      <c r="AW810"/>
      <c r="AX810"/>
    </row>
    <row r="811" spans="35:50">
      <c r="AI811" s="22"/>
      <c r="AJ811" s="22"/>
      <c r="AK811" s="22"/>
      <c r="AL811" s="22"/>
      <c r="AM811" s="22"/>
      <c r="AN811" s="22"/>
      <c r="AO811" s="22"/>
      <c r="AP811" s="22"/>
      <c r="AQ811"/>
      <c r="AR811"/>
      <c r="AS811"/>
      <c r="AT811"/>
      <c r="AU811"/>
      <c r="AV811"/>
      <c r="AW811"/>
      <c r="AX811"/>
    </row>
    <row r="812" spans="35:50">
      <c r="AI812" s="22"/>
      <c r="AJ812" s="22"/>
      <c r="AK812" s="22"/>
      <c r="AL812" s="22"/>
      <c r="AM812" s="22"/>
      <c r="AN812" s="22"/>
      <c r="AO812" s="22"/>
      <c r="AP812" s="22"/>
      <c r="AQ812"/>
      <c r="AR812"/>
      <c r="AS812"/>
      <c r="AT812"/>
      <c r="AU812"/>
      <c r="AV812"/>
      <c r="AW812"/>
      <c r="AX812"/>
    </row>
    <row r="813" spans="35:50">
      <c r="AI813" s="22"/>
      <c r="AJ813" s="22"/>
      <c r="AK813" s="22"/>
      <c r="AL813" s="22"/>
      <c r="AM813" s="22"/>
      <c r="AN813" s="22"/>
      <c r="AO813" s="22"/>
      <c r="AP813" s="22"/>
      <c r="AQ813"/>
      <c r="AR813"/>
      <c r="AS813"/>
      <c r="AT813"/>
      <c r="AU813"/>
      <c r="AV813"/>
      <c r="AW813"/>
      <c r="AX813"/>
    </row>
    <row r="814" spans="35:50">
      <c r="AI814" s="22"/>
      <c r="AJ814" s="22"/>
      <c r="AK814" s="22"/>
      <c r="AL814" s="22"/>
      <c r="AM814" s="22"/>
      <c r="AN814" s="22"/>
      <c r="AO814" s="22"/>
      <c r="AP814" s="22"/>
      <c r="AQ814"/>
      <c r="AR814"/>
      <c r="AS814"/>
      <c r="AT814"/>
      <c r="AU814"/>
      <c r="AV814"/>
      <c r="AW814"/>
      <c r="AX814"/>
    </row>
    <row r="815" spans="35:50">
      <c r="AI815" s="22"/>
      <c r="AJ815" s="22"/>
      <c r="AK815" s="22"/>
      <c r="AL815" s="22"/>
      <c r="AM815" s="22"/>
      <c r="AN815" s="22"/>
      <c r="AO815" s="22"/>
      <c r="AP815" s="22"/>
      <c r="AQ815"/>
      <c r="AR815"/>
      <c r="AS815"/>
      <c r="AT815"/>
      <c r="AU815"/>
      <c r="AV815"/>
      <c r="AW815"/>
      <c r="AX815"/>
    </row>
    <row r="816" spans="35:50">
      <c r="AI816" s="22"/>
      <c r="AJ816" s="22"/>
      <c r="AK816" s="22"/>
      <c r="AL816" s="22"/>
      <c r="AM816" s="22"/>
      <c r="AN816" s="22"/>
      <c r="AO816" s="22"/>
      <c r="AP816" s="22"/>
      <c r="AQ816"/>
      <c r="AR816"/>
      <c r="AS816"/>
      <c r="AT816"/>
      <c r="AU816"/>
      <c r="AV816"/>
      <c r="AW816"/>
      <c r="AX816"/>
    </row>
    <row r="817" spans="35:50">
      <c r="AI817" s="22"/>
      <c r="AJ817" s="22"/>
      <c r="AK817" s="22"/>
      <c r="AL817" s="22"/>
      <c r="AM817" s="22"/>
      <c r="AN817" s="22"/>
      <c r="AO817" s="22"/>
      <c r="AP817" s="22"/>
      <c r="AQ817"/>
      <c r="AR817"/>
      <c r="AS817"/>
      <c r="AT817"/>
      <c r="AU817"/>
      <c r="AV817"/>
      <c r="AW817"/>
      <c r="AX817"/>
    </row>
    <row r="818" spans="35:50">
      <c r="AI818" s="22"/>
      <c r="AJ818" s="22"/>
      <c r="AK818" s="22"/>
      <c r="AL818" s="22"/>
      <c r="AM818" s="22"/>
      <c r="AN818" s="22"/>
      <c r="AO818" s="22"/>
      <c r="AP818" s="22"/>
      <c r="AQ818"/>
      <c r="AR818"/>
      <c r="AS818"/>
      <c r="AT818"/>
      <c r="AU818"/>
      <c r="AV818"/>
      <c r="AW818"/>
      <c r="AX818"/>
    </row>
    <row r="819" spans="35:50">
      <c r="AI819" s="22"/>
      <c r="AJ819" s="22"/>
      <c r="AK819" s="22"/>
      <c r="AL819" s="22"/>
      <c r="AM819" s="22"/>
      <c r="AN819" s="22"/>
      <c r="AO819" s="22"/>
      <c r="AP819" s="22"/>
      <c r="AQ819"/>
      <c r="AR819"/>
      <c r="AS819"/>
      <c r="AT819"/>
      <c r="AU819"/>
      <c r="AV819"/>
      <c r="AW819"/>
      <c r="AX819"/>
    </row>
    <row r="820" spans="35:50">
      <c r="AI820" s="22"/>
      <c r="AJ820" s="22"/>
      <c r="AK820" s="22"/>
      <c r="AL820" s="22"/>
      <c r="AM820" s="22"/>
      <c r="AN820" s="22"/>
      <c r="AO820" s="22"/>
      <c r="AP820" s="22"/>
      <c r="AQ820"/>
      <c r="AR820"/>
      <c r="AS820"/>
      <c r="AT820"/>
      <c r="AU820"/>
      <c r="AV820"/>
      <c r="AW820"/>
      <c r="AX820"/>
    </row>
    <row r="821" spans="35:50">
      <c r="AI821" s="22"/>
      <c r="AJ821" s="22"/>
      <c r="AK821" s="22"/>
      <c r="AL821" s="22"/>
      <c r="AM821" s="22"/>
      <c r="AN821" s="22"/>
      <c r="AO821" s="22"/>
      <c r="AP821" s="22"/>
      <c r="AQ821"/>
      <c r="AR821"/>
      <c r="AS821"/>
      <c r="AT821"/>
      <c r="AU821"/>
      <c r="AV821"/>
      <c r="AW821"/>
      <c r="AX821"/>
    </row>
    <row r="822" spans="35:50">
      <c r="AI822" s="22"/>
      <c r="AJ822" s="22"/>
      <c r="AK822" s="22"/>
      <c r="AL822" s="22"/>
      <c r="AM822" s="22"/>
      <c r="AN822" s="22"/>
      <c r="AO822" s="22"/>
      <c r="AP822" s="22"/>
      <c r="AQ822"/>
      <c r="AR822"/>
      <c r="AS822"/>
      <c r="AT822"/>
      <c r="AU822"/>
      <c r="AV822"/>
      <c r="AW822"/>
      <c r="AX822"/>
    </row>
    <row r="823" spans="35:50">
      <c r="AI823" s="22"/>
      <c r="AJ823" s="22"/>
      <c r="AK823" s="22"/>
      <c r="AL823" s="22"/>
      <c r="AM823" s="22"/>
      <c r="AN823" s="22"/>
      <c r="AO823" s="22"/>
      <c r="AP823" s="22"/>
      <c r="AQ823"/>
      <c r="AR823"/>
      <c r="AS823"/>
      <c r="AT823"/>
      <c r="AU823"/>
      <c r="AV823"/>
      <c r="AW823"/>
      <c r="AX823"/>
    </row>
    <row r="824" spans="35:50">
      <c r="AI824" s="22"/>
      <c r="AJ824" s="22"/>
      <c r="AK824" s="22"/>
      <c r="AL824" s="22"/>
      <c r="AM824" s="22"/>
      <c r="AN824" s="22"/>
      <c r="AO824" s="22"/>
      <c r="AP824" s="22"/>
      <c r="AQ824"/>
      <c r="AR824"/>
      <c r="AS824"/>
      <c r="AT824"/>
      <c r="AU824"/>
      <c r="AV824"/>
      <c r="AW824"/>
      <c r="AX824"/>
    </row>
    <row r="825" spans="35:50">
      <c r="AI825" s="22"/>
      <c r="AJ825" s="22"/>
      <c r="AK825" s="22"/>
      <c r="AL825" s="22"/>
      <c r="AM825" s="22"/>
      <c r="AN825" s="22"/>
      <c r="AO825" s="22"/>
      <c r="AP825" s="22"/>
      <c r="AQ825"/>
      <c r="AR825"/>
      <c r="AS825"/>
      <c r="AT825"/>
      <c r="AU825"/>
      <c r="AV825"/>
      <c r="AW825"/>
      <c r="AX825"/>
    </row>
    <row r="826" spans="35:50">
      <c r="AI826" s="22"/>
      <c r="AJ826" s="22"/>
      <c r="AK826" s="22"/>
      <c r="AL826" s="22"/>
      <c r="AM826" s="22"/>
      <c r="AN826" s="22"/>
      <c r="AO826" s="22"/>
      <c r="AP826" s="22"/>
      <c r="AQ826"/>
      <c r="AR826"/>
      <c r="AS826"/>
      <c r="AT826"/>
      <c r="AU826"/>
      <c r="AV826"/>
      <c r="AW826"/>
      <c r="AX826"/>
    </row>
    <row r="827" spans="35:50">
      <c r="AI827" s="22"/>
      <c r="AJ827" s="22"/>
      <c r="AK827" s="22"/>
      <c r="AL827" s="22"/>
      <c r="AM827" s="22"/>
      <c r="AN827" s="22"/>
      <c r="AO827" s="22"/>
      <c r="AP827" s="22"/>
      <c r="AQ827"/>
      <c r="AR827"/>
      <c r="AS827"/>
      <c r="AT827"/>
      <c r="AU827"/>
      <c r="AV827"/>
      <c r="AW827"/>
      <c r="AX827"/>
    </row>
    <row r="828" spans="35:50">
      <c r="AI828" s="22"/>
      <c r="AJ828" s="22"/>
      <c r="AK828" s="22"/>
      <c r="AL828" s="22"/>
      <c r="AM828" s="22"/>
      <c r="AN828" s="22"/>
      <c r="AO828" s="22"/>
      <c r="AP828" s="22"/>
      <c r="AQ828"/>
      <c r="AR828"/>
      <c r="AS828"/>
      <c r="AT828"/>
      <c r="AU828"/>
      <c r="AV828"/>
      <c r="AW828"/>
      <c r="AX828"/>
    </row>
    <row r="829" spans="35:50">
      <c r="AI829" s="22"/>
      <c r="AJ829" s="22"/>
      <c r="AK829" s="22"/>
      <c r="AL829" s="22"/>
      <c r="AM829" s="22"/>
      <c r="AN829" s="22"/>
      <c r="AO829" s="22"/>
      <c r="AP829" s="22"/>
      <c r="AQ829"/>
      <c r="AR829"/>
      <c r="AS829"/>
      <c r="AT829"/>
      <c r="AU829"/>
      <c r="AV829"/>
      <c r="AW829"/>
      <c r="AX829"/>
    </row>
    <row r="830" spans="35:50">
      <c r="AI830" s="22"/>
      <c r="AJ830" s="22"/>
      <c r="AK830" s="22"/>
      <c r="AL830" s="22"/>
      <c r="AM830" s="22"/>
      <c r="AN830" s="22"/>
      <c r="AO830" s="22"/>
      <c r="AP830" s="22"/>
      <c r="AQ830"/>
      <c r="AR830"/>
      <c r="AS830"/>
      <c r="AT830"/>
      <c r="AU830"/>
      <c r="AV830"/>
      <c r="AW830"/>
      <c r="AX830"/>
    </row>
    <row r="831" spans="35:50">
      <c r="AI831" s="22"/>
      <c r="AJ831" s="22"/>
      <c r="AK831" s="22"/>
      <c r="AL831" s="22"/>
      <c r="AM831" s="22"/>
      <c r="AN831" s="22"/>
      <c r="AO831" s="22"/>
      <c r="AP831" s="22"/>
      <c r="AQ831"/>
      <c r="AR831"/>
      <c r="AS831"/>
      <c r="AT831"/>
      <c r="AU831"/>
      <c r="AV831"/>
      <c r="AW831"/>
      <c r="AX831"/>
    </row>
    <row r="832" spans="35:50">
      <c r="AI832" s="22"/>
      <c r="AJ832" s="22"/>
      <c r="AK832" s="22"/>
      <c r="AL832" s="22"/>
      <c r="AM832" s="22"/>
      <c r="AN832" s="22"/>
      <c r="AO832" s="22"/>
      <c r="AP832" s="22"/>
      <c r="AQ832"/>
      <c r="AR832"/>
      <c r="AS832"/>
      <c r="AT832"/>
      <c r="AU832"/>
      <c r="AV832"/>
      <c r="AW832"/>
      <c r="AX832"/>
    </row>
    <row r="833" spans="35:50">
      <c r="AI833" s="22"/>
      <c r="AJ833" s="22"/>
      <c r="AK833" s="22"/>
      <c r="AL833" s="22"/>
      <c r="AM833" s="22"/>
      <c r="AN833" s="22"/>
      <c r="AO833" s="22"/>
      <c r="AP833" s="22"/>
      <c r="AQ833"/>
      <c r="AR833"/>
      <c r="AS833"/>
      <c r="AT833"/>
      <c r="AU833"/>
      <c r="AV833"/>
      <c r="AW833"/>
      <c r="AX833"/>
    </row>
    <row r="834" spans="35:50">
      <c r="AI834" s="22"/>
      <c r="AJ834" s="22"/>
      <c r="AK834" s="22"/>
      <c r="AL834" s="22"/>
      <c r="AM834" s="22"/>
      <c r="AN834" s="22"/>
      <c r="AO834" s="22"/>
      <c r="AP834" s="22"/>
      <c r="AQ834"/>
      <c r="AR834"/>
      <c r="AS834"/>
      <c r="AT834"/>
      <c r="AU834"/>
      <c r="AV834"/>
      <c r="AW834"/>
      <c r="AX834"/>
    </row>
    <row r="835" spans="35:50">
      <c r="AI835" s="22"/>
      <c r="AJ835" s="22"/>
      <c r="AK835" s="22"/>
      <c r="AL835" s="22"/>
      <c r="AM835" s="22"/>
      <c r="AN835" s="22"/>
      <c r="AO835" s="22"/>
      <c r="AP835" s="22"/>
      <c r="AQ835"/>
      <c r="AR835"/>
      <c r="AS835"/>
      <c r="AT835"/>
      <c r="AU835"/>
      <c r="AV835"/>
      <c r="AW835"/>
      <c r="AX835"/>
    </row>
    <row r="836" spans="35:50">
      <c r="AI836" s="22"/>
      <c r="AJ836" s="22"/>
      <c r="AK836" s="22"/>
      <c r="AL836" s="22"/>
      <c r="AM836" s="22"/>
      <c r="AN836" s="22"/>
      <c r="AO836" s="22"/>
      <c r="AP836" s="22"/>
      <c r="AQ836"/>
      <c r="AR836"/>
      <c r="AS836"/>
      <c r="AT836"/>
      <c r="AU836"/>
      <c r="AV836"/>
      <c r="AW836"/>
      <c r="AX836"/>
    </row>
    <row r="837" spans="35:50">
      <c r="AI837" s="22"/>
      <c r="AJ837" s="22"/>
      <c r="AK837" s="22"/>
      <c r="AL837" s="22"/>
      <c r="AM837" s="22"/>
      <c r="AN837" s="22"/>
      <c r="AO837" s="22"/>
      <c r="AP837" s="22"/>
      <c r="AQ837"/>
      <c r="AR837"/>
      <c r="AS837"/>
      <c r="AT837"/>
      <c r="AU837"/>
      <c r="AV837"/>
      <c r="AW837"/>
      <c r="AX837"/>
    </row>
    <row r="838" spans="35:50">
      <c r="AI838" s="22"/>
      <c r="AJ838" s="22"/>
      <c r="AK838" s="22"/>
      <c r="AL838" s="22"/>
      <c r="AM838" s="22"/>
      <c r="AN838" s="22"/>
      <c r="AO838" s="22"/>
      <c r="AP838" s="22"/>
      <c r="AQ838"/>
      <c r="AR838"/>
      <c r="AS838"/>
      <c r="AT838"/>
      <c r="AU838"/>
      <c r="AV838"/>
      <c r="AW838"/>
      <c r="AX838"/>
    </row>
    <row r="839" spans="35:50">
      <c r="AI839" s="22"/>
      <c r="AJ839" s="22"/>
      <c r="AK839" s="22"/>
      <c r="AL839" s="22"/>
      <c r="AM839" s="22"/>
      <c r="AN839" s="22"/>
      <c r="AO839" s="22"/>
      <c r="AP839" s="22"/>
      <c r="AQ839"/>
      <c r="AR839"/>
      <c r="AS839"/>
      <c r="AT839"/>
      <c r="AU839"/>
      <c r="AV839"/>
      <c r="AW839"/>
      <c r="AX839"/>
    </row>
    <row r="840" spans="35:50">
      <c r="AI840" s="22"/>
      <c r="AJ840" s="22"/>
      <c r="AK840" s="22"/>
      <c r="AL840" s="22"/>
      <c r="AM840" s="22"/>
      <c r="AN840" s="22"/>
      <c r="AO840" s="22"/>
      <c r="AP840" s="22"/>
      <c r="AQ840"/>
      <c r="AR840"/>
      <c r="AS840"/>
      <c r="AT840"/>
      <c r="AU840"/>
      <c r="AV840"/>
      <c r="AW840"/>
      <c r="AX840"/>
    </row>
    <row r="841" spans="35:50">
      <c r="AI841" s="22"/>
      <c r="AJ841" s="22"/>
      <c r="AK841" s="22"/>
      <c r="AL841" s="22"/>
      <c r="AM841" s="22"/>
      <c r="AN841" s="22"/>
      <c r="AO841" s="22"/>
      <c r="AP841" s="22"/>
      <c r="AQ841"/>
      <c r="AR841"/>
      <c r="AS841"/>
      <c r="AT841"/>
      <c r="AU841"/>
      <c r="AV841"/>
      <c r="AW841"/>
      <c r="AX841"/>
    </row>
    <row r="842" spans="35:50">
      <c r="AI842" s="22"/>
      <c r="AJ842" s="22"/>
      <c r="AK842" s="22"/>
      <c r="AL842" s="22"/>
      <c r="AM842" s="22"/>
      <c r="AN842" s="22"/>
      <c r="AO842" s="22"/>
      <c r="AP842" s="22"/>
      <c r="AQ842"/>
      <c r="AR842"/>
      <c r="AS842"/>
      <c r="AT842"/>
      <c r="AU842"/>
      <c r="AV842"/>
      <c r="AW842"/>
      <c r="AX842"/>
    </row>
    <row r="843" spans="35:50">
      <c r="AI843" s="22"/>
      <c r="AJ843" s="22"/>
      <c r="AK843" s="22"/>
      <c r="AL843" s="22"/>
      <c r="AM843" s="22"/>
      <c r="AN843" s="22"/>
      <c r="AO843" s="22"/>
      <c r="AP843" s="22"/>
      <c r="AQ843"/>
      <c r="AR843"/>
      <c r="AS843"/>
      <c r="AT843"/>
      <c r="AU843"/>
      <c r="AV843"/>
      <c r="AW843"/>
      <c r="AX843"/>
    </row>
    <row r="844" spans="35:50">
      <c r="AI844" s="22"/>
      <c r="AJ844" s="22"/>
      <c r="AK844" s="22"/>
      <c r="AL844" s="22"/>
      <c r="AM844" s="22"/>
      <c r="AN844" s="22"/>
      <c r="AO844" s="22"/>
      <c r="AP844" s="22"/>
      <c r="AQ844"/>
      <c r="AR844"/>
      <c r="AS844"/>
      <c r="AT844"/>
      <c r="AU844"/>
      <c r="AV844"/>
      <c r="AW844"/>
      <c r="AX844"/>
    </row>
    <row r="845" spans="35:50">
      <c r="AI845" s="22"/>
      <c r="AJ845" s="22"/>
      <c r="AK845" s="22"/>
      <c r="AL845" s="22"/>
      <c r="AM845" s="22"/>
      <c r="AN845" s="22"/>
      <c r="AO845" s="22"/>
      <c r="AP845" s="22"/>
      <c r="AQ845"/>
      <c r="AR845"/>
      <c r="AS845"/>
      <c r="AT845"/>
      <c r="AU845"/>
      <c r="AV845"/>
      <c r="AW845"/>
      <c r="AX845"/>
    </row>
    <row r="846" spans="35:50">
      <c r="AI846" s="22"/>
      <c r="AJ846" s="22"/>
      <c r="AK846" s="22"/>
      <c r="AL846" s="22"/>
      <c r="AM846" s="22"/>
      <c r="AN846" s="22"/>
      <c r="AO846" s="22"/>
      <c r="AP846" s="22"/>
      <c r="AQ846"/>
      <c r="AR846"/>
      <c r="AS846"/>
      <c r="AT846"/>
      <c r="AU846"/>
      <c r="AV846"/>
      <c r="AW846"/>
      <c r="AX846"/>
    </row>
    <row r="847" spans="35:50">
      <c r="AI847" s="22"/>
      <c r="AJ847" s="22"/>
      <c r="AK847" s="22"/>
      <c r="AL847" s="22"/>
      <c r="AM847" s="22"/>
      <c r="AN847" s="22"/>
      <c r="AO847" s="22"/>
      <c r="AP847" s="22"/>
      <c r="AQ847"/>
      <c r="AR847"/>
      <c r="AS847"/>
      <c r="AT847"/>
      <c r="AU847"/>
      <c r="AV847"/>
      <c r="AW847"/>
      <c r="AX847"/>
    </row>
    <row r="848" spans="35:50">
      <c r="AI848" s="22"/>
      <c r="AJ848" s="22"/>
      <c r="AK848" s="22"/>
      <c r="AL848" s="22"/>
      <c r="AM848" s="22"/>
      <c r="AN848" s="22"/>
      <c r="AO848" s="22"/>
      <c r="AP848" s="22"/>
      <c r="AQ848"/>
      <c r="AR848"/>
      <c r="AS848"/>
      <c r="AT848"/>
      <c r="AU848"/>
      <c r="AV848"/>
      <c r="AW848"/>
      <c r="AX848"/>
    </row>
    <row r="849" spans="35:50">
      <c r="AI849" s="22"/>
      <c r="AJ849" s="22"/>
      <c r="AK849" s="22"/>
      <c r="AL849" s="22"/>
      <c r="AM849" s="22"/>
      <c r="AN849" s="22"/>
      <c r="AO849" s="22"/>
      <c r="AP849" s="22"/>
      <c r="AQ849"/>
      <c r="AR849"/>
      <c r="AS849"/>
      <c r="AT849"/>
      <c r="AU849"/>
      <c r="AV849"/>
      <c r="AW849"/>
      <c r="AX849"/>
    </row>
    <row r="850" spans="35:50">
      <c r="AI850" s="22"/>
      <c r="AJ850" s="22"/>
      <c r="AK850" s="22"/>
      <c r="AL850" s="22"/>
      <c r="AM850" s="22"/>
      <c r="AN850" s="22"/>
      <c r="AO850" s="22"/>
      <c r="AP850" s="22"/>
      <c r="AQ850"/>
      <c r="AR850"/>
      <c r="AS850"/>
      <c r="AT850"/>
      <c r="AU850"/>
      <c r="AV850"/>
      <c r="AW850"/>
      <c r="AX850"/>
    </row>
    <row r="851" spans="35:50">
      <c r="AI851" s="22"/>
      <c r="AJ851" s="22"/>
      <c r="AK851" s="22"/>
      <c r="AL851" s="22"/>
      <c r="AM851" s="22"/>
      <c r="AN851" s="22"/>
      <c r="AO851" s="22"/>
      <c r="AP851" s="22"/>
      <c r="AQ851"/>
      <c r="AR851"/>
      <c r="AS851"/>
      <c r="AT851"/>
      <c r="AU851"/>
      <c r="AV851"/>
      <c r="AW851"/>
      <c r="AX851"/>
    </row>
    <row r="852" spans="35:50">
      <c r="AI852" s="22"/>
      <c r="AJ852" s="22"/>
      <c r="AK852" s="22"/>
      <c r="AL852" s="22"/>
      <c r="AM852" s="22"/>
      <c r="AN852" s="22"/>
      <c r="AO852" s="22"/>
      <c r="AP852" s="22"/>
      <c r="AQ852"/>
      <c r="AR852"/>
      <c r="AS852"/>
      <c r="AT852"/>
      <c r="AU852"/>
      <c r="AV852"/>
      <c r="AW852"/>
      <c r="AX852"/>
    </row>
    <row r="853" spans="35:50">
      <c r="AI853" s="22"/>
      <c r="AJ853" s="22"/>
      <c r="AK853" s="22"/>
      <c r="AL853" s="22"/>
      <c r="AM853" s="22"/>
      <c r="AN853" s="22"/>
      <c r="AO853" s="22"/>
      <c r="AP853" s="22"/>
      <c r="AQ853"/>
      <c r="AR853"/>
      <c r="AS853"/>
      <c r="AT853"/>
      <c r="AU853"/>
      <c r="AV853"/>
      <c r="AW853"/>
      <c r="AX853"/>
    </row>
    <row r="854" spans="35:50">
      <c r="AI854" s="22"/>
      <c r="AJ854" s="22"/>
      <c r="AK854" s="22"/>
      <c r="AL854" s="22"/>
      <c r="AM854" s="22"/>
      <c r="AN854" s="22"/>
      <c r="AO854" s="22"/>
      <c r="AP854" s="22"/>
      <c r="AQ854"/>
      <c r="AR854"/>
      <c r="AS854"/>
      <c r="AT854"/>
      <c r="AU854"/>
      <c r="AV854"/>
      <c r="AW854"/>
      <c r="AX854"/>
    </row>
    <row r="855" spans="35:50">
      <c r="AI855" s="22"/>
      <c r="AJ855" s="22"/>
      <c r="AK855" s="22"/>
      <c r="AL855" s="22"/>
      <c r="AM855" s="22"/>
      <c r="AN855" s="22"/>
      <c r="AO855" s="22"/>
      <c r="AP855" s="22"/>
      <c r="AQ855"/>
      <c r="AR855"/>
      <c r="AS855"/>
      <c r="AT855"/>
      <c r="AU855"/>
      <c r="AV855"/>
      <c r="AW855"/>
      <c r="AX855"/>
    </row>
    <row r="856" spans="35:50">
      <c r="AI856" s="22"/>
      <c r="AJ856" s="22"/>
      <c r="AK856" s="22"/>
      <c r="AL856" s="22"/>
      <c r="AM856" s="22"/>
      <c r="AN856" s="22"/>
      <c r="AO856" s="22"/>
      <c r="AP856" s="22"/>
      <c r="AQ856"/>
      <c r="AR856"/>
      <c r="AS856"/>
      <c r="AT856"/>
      <c r="AU856"/>
      <c r="AV856"/>
      <c r="AW856"/>
      <c r="AX856"/>
    </row>
    <row r="857" spans="35:50">
      <c r="AI857" s="22"/>
      <c r="AJ857" s="22"/>
      <c r="AK857" s="22"/>
      <c r="AL857" s="22"/>
      <c r="AM857" s="22"/>
      <c r="AN857" s="22"/>
      <c r="AO857" s="22"/>
      <c r="AP857" s="22"/>
      <c r="AQ857"/>
      <c r="AR857"/>
      <c r="AS857"/>
      <c r="AT857"/>
      <c r="AU857"/>
      <c r="AV857"/>
      <c r="AW857"/>
      <c r="AX857"/>
    </row>
    <row r="858" spans="35:50">
      <c r="AI858" s="22"/>
      <c r="AJ858" s="22"/>
      <c r="AK858" s="22"/>
      <c r="AL858" s="22"/>
      <c r="AM858" s="22"/>
      <c r="AN858" s="22"/>
      <c r="AO858" s="22"/>
      <c r="AP858" s="22"/>
      <c r="AQ858"/>
      <c r="AR858"/>
      <c r="AS858"/>
      <c r="AT858"/>
      <c r="AU858"/>
      <c r="AV858"/>
      <c r="AW858"/>
      <c r="AX858"/>
    </row>
    <row r="859" spans="35:50">
      <c r="AI859" s="22"/>
      <c r="AJ859" s="22"/>
      <c r="AK859" s="22"/>
      <c r="AL859" s="22"/>
      <c r="AM859" s="22"/>
      <c r="AN859" s="22"/>
      <c r="AO859" s="22"/>
      <c r="AP859" s="22"/>
      <c r="AQ859"/>
      <c r="AR859"/>
      <c r="AS859"/>
      <c r="AT859"/>
      <c r="AU859"/>
      <c r="AV859"/>
      <c r="AW859"/>
      <c r="AX859"/>
    </row>
    <row r="860" spans="35:50">
      <c r="AI860" s="22"/>
      <c r="AJ860" s="22"/>
      <c r="AK860" s="22"/>
      <c r="AL860" s="22"/>
      <c r="AM860" s="22"/>
      <c r="AN860" s="22"/>
      <c r="AO860" s="22"/>
      <c r="AP860" s="22"/>
      <c r="AQ860"/>
      <c r="AR860"/>
      <c r="AS860"/>
      <c r="AT860"/>
      <c r="AU860"/>
      <c r="AV860"/>
      <c r="AW860"/>
      <c r="AX860"/>
    </row>
    <row r="861" spans="35:50">
      <c r="AI861" s="22"/>
      <c r="AJ861" s="22"/>
      <c r="AK861" s="22"/>
      <c r="AL861" s="22"/>
      <c r="AM861" s="22"/>
      <c r="AN861" s="22"/>
      <c r="AO861" s="22"/>
      <c r="AP861" s="22"/>
      <c r="AQ861"/>
      <c r="AR861"/>
      <c r="AS861"/>
      <c r="AT861"/>
      <c r="AU861"/>
      <c r="AV861"/>
      <c r="AW861"/>
      <c r="AX861"/>
    </row>
    <row r="862" spans="35:50">
      <c r="AI862" s="22"/>
      <c r="AJ862" s="22"/>
      <c r="AK862" s="22"/>
      <c r="AL862" s="22"/>
      <c r="AM862" s="22"/>
      <c r="AN862" s="22"/>
      <c r="AO862" s="22"/>
      <c r="AP862" s="22"/>
      <c r="AQ862"/>
      <c r="AR862"/>
      <c r="AS862"/>
      <c r="AT862"/>
      <c r="AU862"/>
      <c r="AV862"/>
      <c r="AW862"/>
      <c r="AX862"/>
    </row>
    <row r="863" spans="35:50">
      <c r="AI863" s="22"/>
      <c r="AJ863" s="22"/>
      <c r="AK863" s="22"/>
      <c r="AL863" s="22"/>
      <c r="AM863" s="22"/>
      <c r="AN863" s="22"/>
      <c r="AO863" s="22"/>
      <c r="AP863" s="22"/>
      <c r="AQ863"/>
      <c r="AR863"/>
      <c r="AS863"/>
      <c r="AT863"/>
      <c r="AU863"/>
      <c r="AV863"/>
      <c r="AW863"/>
      <c r="AX863"/>
    </row>
    <row r="864" spans="35:50">
      <c r="AI864" s="22"/>
      <c r="AJ864" s="22"/>
      <c r="AK864" s="22"/>
      <c r="AL864" s="22"/>
      <c r="AM864" s="22"/>
      <c r="AN864" s="22"/>
      <c r="AO864" s="22"/>
      <c r="AP864" s="22"/>
      <c r="AQ864"/>
      <c r="AR864"/>
      <c r="AS864"/>
      <c r="AT864"/>
      <c r="AU864"/>
      <c r="AV864"/>
      <c r="AW864"/>
      <c r="AX864"/>
    </row>
    <row r="865" spans="35:50">
      <c r="AI865" s="22"/>
      <c r="AJ865" s="22"/>
      <c r="AK865" s="22"/>
      <c r="AL865" s="22"/>
      <c r="AM865" s="22"/>
      <c r="AN865" s="22"/>
      <c r="AO865" s="22"/>
      <c r="AP865" s="22"/>
      <c r="AQ865"/>
      <c r="AR865"/>
      <c r="AS865"/>
      <c r="AT865"/>
      <c r="AU865"/>
      <c r="AV865"/>
      <c r="AW865"/>
      <c r="AX865"/>
    </row>
    <row r="866" spans="35:50">
      <c r="AI866" s="22"/>
      <c r="AJ866" s="22"/>
      <c r="AK866" s="22"/>
      <c r="AL866" s="22"/>
      <c r="AM866" s="22"/>
      <c r="AN866" s="22"/>
      <c r="AO866" s="22"/>
      <c r="AP866" s="22"/>
      <c r="AQ866"/>
      <c r="AR866"/>
      <c r="AS866"/>
      <c r="AT866"/>
      <c r="AU866"/>
      <c r="AV866"/>
      <c r="AW866"/>
      <c r="AX866"/>
    </row>
    <row r="867" spans="35:50">
      <c r="AI867" s="22"/>
      <c r="AJ867" s="22"/>
      <c r="AK867" s="22"/>
      <c r="AL867" s="22"/>
      <c r="AM867" s="22"/>
      <c r="AN867" s="22"/>
      <c r="AO867" s="22"/>
      <c r="AP867" s="22"/>
      <c r="AQ867"/>
      <c r="AR867"/>
      <c r="AS867"/>
      <c r="AT867"/>
      <c r="AU867"/>
      <c r="AV867"/>
      <c r="AW867"/>
      <c r="AX867"/>
    </row>
    <row r="868" spans="35:50">
      <c r="AI868" s="22"/>
      <c r="AJ868" s="22"/>
      <c r="AK868" s="22"/>
      <c r="AL868" s="22"/>
      <c r="AM868" s="22"/>
      <c r="AN868" s="22"/>
      <c r="AO868" s="22"/>
      <c r="AP868" s="22"/>
      <c r="AQ868"/>
      <c r="AR868"/>
      <c r="AS868"/>
      <c r="AT868"/>
      <c r="AU868"/>
      <c r="AV868"/>
      <c r="AW868"/>
      <c r="AX868"/>
    </row>
    <row r="869" spans="35:50">
      <c r="AI869" s="22"/>
      <c r="AJ869" s="22"/>
      <c r="AK869" s="22"/>
      <c r="AL869" s="22"/>
      <c r="AM869" s="22"/>
      <c r="AN869" s="22"/>
      <c r="AO869" s="22"/>
      <c r="AP869" s="22"/>
      <c r="AQ869"/>
      <c r="AR869"/>
      <c r="AS869"/>
      <c r="AT869"/>
      <c r="AU869"/>
      <c r="AV869"/>
      <c r="AW869"/>
      <c r="AX869"/>
    </row>
    <row r="870" spans="35:50">
      <c r="AI870" s="22"/>
      <c r="AJ870" s="22"/>
      <c r="AK870" s="22"/>
      <c r="AL870" s="22"/>
      <c r="AM870" s="22"/>
      <c r="AN870" s="22"/>
      <c r="AO870" s="22"/>
      <c r="AP870" s="22"/>
      <c r="AQ870"/>
      <c r="AR870"/>
      <c r="AS870"/>
      <c r="AT870"/>
      <c r="AU870"/>
      <c r="AV870"/>
      <c r="AW870"/>
      <c r="AX870"/>
    </row>
    <row r="871" spans="35:50">
      <c r="AI871" s="22"/>
      <c r="AJ871" s="22"/>
      <c r="AK871" s="22"/>
      <c r="AL871" s="22"/>
      <c r="AM871" s="22"/>
      <c r="AN871" s="22"/>
      <c r="AO871" s="22"/>
      <c r="AP871" s="22"/>
      <c r="AQ871"/>
      <c r="AR871"/>
      <c r="AS871"/>
      <c r="AT871"/>
      <c r="AU871"/>
      <c r="AV871"/>
      <c r="AW871"/>
      <c r="AX871"/>
    </row>
    <row r="872" spans="35:50">
      <c r="AI872" s="22"/>
      <c r="AJ872" s="22"/>
      <c r="AK872" s="22"/>
      <c r="AL872" s="22"/>
      <c r="AM872" s="22"/>
      <c r="AN872" s="22"/>
      <c r="AO872" s="22"/>
      <c r="AP872" s="22"/>
      <c r="AQ872"/>
      <c r="AR872"/>
      <c r="AS872"/>
      <c r="AT872"/>
      <c r="AU872"/>
      <c r="AV872"/>
      <c r="AW872"/>
      <c r="AX872"/>
    </row>
    <row r="873" spans="35:50">
      <c r="AI873" s="22"/>
      <c r="AJ873" s="22"/>
      <c r="AK873" s="22"/>
      <c r="AL873" s="22"/>
      <c r="AM873" s="22"/>
      <c r="AN873" s="22"/>
      <c r="AO873" s="22"/>
      <c r="AP873" s="22"/>
      <c r="AQ873"/>
      <c r="AR873"/>
      <c r="AS873"/>
      <c r="AT873"/>
      <c r="AU873"/>
      <c r="AV873"/>
      <c r="AW873"/>
      <c r="AX873"/>
    </row>
    <row r="874" spans="35:50">
      <c r="AI874" s="22"/>
      <c r="AJ874" s="22"/>
      <c r="AK874" s="22"/>
      <c r="AL874" s="22"/>
      <c r="AM874" s="22"/>
      <c r="AN874" s="22"/>
      <c r="AO874" s="22"/>
      <c r="AP874" s="22"/>
      <c r="AQ874"/>
      <c r="AR874"/>
      <c r="AS874"/>
      <c r="AT874"/>
      <c r="AU874"/>
      <c r="AV874"/>
      <c r="AW874"/>
      <c r="AX874"/>
    </row>
    <row r="875" spans="35:50">
      <c r="AI875" s="22"/>
      <c r="AJ875" s="22"/>
      <c r="AK875" s="22"/>
      <c r="AL875" s="22"/>
      <c r="AM875" s="22"/>
      <c r="AN875" s="22"/>
      <c r="AO875" s="22"/>
      <c r="AP875" s="22"/>
      <c r="AQ875"/>
      <c r="AR875"/>
      <c r="AS875"/>
      <c r="AT875"/>
      <c r="AU875"/>
      <c r="AV875"/>
      <c r="AW875"/>
      <c r="AX875"/>
    </row>
    <row r="876" spans="35:50">
      <c r="AI876" s="22"/>
      <c r="AJ876" s="22"/>
      <c r="AK876" s="22"/>
      <c r="AL876" s="22"/>
      <c r="AM876" s="22"/>
      <c r="AN876" s="22"/>
      <c r="AO876" s="22"/>
      <c r="AP876" s="22"/>
      <c r="AQ876"/>
      <c r="AR876"/>
      <c r="AS876"/>
      <c r="AT876"/>
      <c r="AU876"/>
      <c r="AV876"/>
      <c r="AW876"/>
      <c r="AX876"/>
    </row>
    <row r="877" spans="35:50">
      <c r="AI877" s="22"/>
      <c r="AJ877" s="22"/>
      <c r="AK877" s="22"/>
      <c r="AL877" s="22"/>
      <c r="AM877" s="22"/>
      <c r="AN877" s="22"/>
      <c r="AO877" s="22"/>
      <c r="AP877" s="22"/>
      <c r="AQ877"/>
      <c r="AR877"/>
      <c r="AS877"/>
      <c r="AT877"/>
      <c r="AU877"/>
      <c r="AV877"/>
      <c r="AW877"/>
      <c r="AX877"/>
    </row>
    <row r="878" spans="35:50">
      <c r="AI878" s="22"/>
      <c r="AJ878" s="22"/>
      <c r="AK878" s="22"/>
      <c r="AL878" s="22"/>
      <c r="AM878" s="22"/>
      <c r="AN878" s="22"/>
      <c r="AO878" s="22"/>
      <c r="AP878" s="22"/>
      <c r="AQ878"/>
      <c r="AR878"/>
      <c r="AS878"/>
      <c r="AT878"/>
      <c r="AU878"/>
      <c r="AV878"/>
      <c r="AW878"/>
      <c r="AX878"/>
    </row>
    <row r="879" spans="35:50">
      <c r="AI879" s="22"/>
      <c r="AJ879" s="22"/>
      <c r="AK879" s="22"/>
      <c r="AL879" s="22"/>
      <c r="AM879" s="22"/>
      <c r="AN879" s="22"/>
      <c r="AO879" s="22"/>
      <c r="AP879" s="22"/>
      <c r="AQ879"/>
      <c r="AR879"/>
      <c r="AS879"/>
      <c r="AT879"/>
      <c r="AU879"/>
      <c r="AV879"/>
      <c r="AW879"/>
      <c r="AX879"/>
    </row>
    <row r="880" spans="35:50">
      <c r="AI880" s="22"/>
      <c r="AJ880" s="22"/>
      <c r="AK880" s="22"/>
      <c r="AL880" s="22"/>
      <c r="AM880" s="22"/>
      <c r="AN880" s="22"/>
      <c r="AO880" s="22"/>
      <c r="AP880" s="22"/>
      <c r="AQ880"/>
      <c r="AR880"/>
      <c r="AS880"/>
      <c r="AT880"/>
      <c r="AU880"/>
      <c r="AV880"/>
      <c r="AW880"/>
      <c r="AX880"/>
    </row>
    <row r="881" spans="35:50">
      <c r="AI881" s="22"/>
      <c r="AJ881" s="22"/>
      <c r="AK881" s="22"/>
      <c r="AL881" s="22"/>
      <c r="AM881" s="22"/>
      <c r="AN881" s="22"/>
      <c r="AO881" s="22"/>
      <c r="AP881" s="22"/>
      <c r="AQ881"/>
      <c r="AR881"/>
      <c r="AS881"/>
      <c r="AT881"/>
      <c r="AU881"/>
      <c r="AV881"/>
      <c r="AW881"/>
      <c r="AX881"/>
    </row>
    <row r="882" spans="35:50">
      <c r="AI882" s="22"/>
      <c r="AJ882" s="22"/>
      <c r="AK882" s="22"/>
      <c r="AL882" s="22"/>
      <c r="AM882" s="22"/>
      <c r="AN882" s="22"/>
      <c r="AO882" s="22"/>
      <c r="AP882" s="22"/>
      <c r="AQ882"/>
      <c r="AR882"/>
      <c r="AS882"/>
      <c r="AT882"/>
      <c r="AU882"/>
      <c r="AV882"/>
      <c r="AW882"/>
      <c r="AX882"/>
    </row>
    <row r="883" spans="35:50">
      <c r="AI883" s="22"/>
      <c r="AJ883" s="22"/>
      <c r="AK883" s="22"/>
      <c r="AL883" s="22"/>
      <c r="AM883" s="22"/>
      <c r="AN883" s="22"/>
      <c r="AO883" s="22"/>
      <c r="AP883" s="22"/>
      <c r="AQ883"/>
      <c r="AR883"/>
      <c r="AS883"/>
      <c r="AT883"/>
      <c r="AU883"/>
      <c r="AV883"/>
      <c r="AW883"/>
      <c r="AX883"/>
    </row>
    <row r="884" spans="35:50">
      <c r="AI884" s="22"/>
      <c r="AJ884" s="22"/>
      <c r="AK884" s="22"/>
      <c r="AL884" s="22"/>
      <c r="AM884" s="22"/>
      <c r="AN884" s="22"/>
      <c r="AO884" s="22"/>
      <c r="AP884" s="22"/>
      <c r="AQ884"/>
      <c r="AR884"/>
      <c r="AS884"/>
      <c r="AT884"/>
      <c r="AU884"/>
      <c r="AV884"/>
      <c r="AW884"/>
      <c r="AX884"/>
    </row>
    <row r="885" spans="35:50">
      <c r="AI885" s="22"/>
      <c r="AJ885" s="22"/>
      <c r="AK885" s="22"/>
      <c r="AL885" s="22"/>
      <c r="AM885" s="22"/>
      <c r="AN885" s="22"/>
      <c r="AO885" s="22"/>
      <c r="AP885" s="22"/>
      <c r="AQ885"/>
      <c r="AR885"/>
      <c r="AS885"/>
      <c r="AT885"/>
      <c r="AU885"/>
      <c r="AV885"/>
      <c r="AW885"/>
      <c r="AX885"/>
    </row>
    <row r="886" spans="35:50">
      <c r="AI886" s="22"/>
      <c r="AJ886" s="22"/>
      <c r="AK886" s="22"/>
      <c r="AL886" s="22"/>
      <c r="AM886" s="22"/>
      <c r="AN886" s="22"/>
      <c r="AO886" s="22"/>
      <c r="AP886" s="22"/>
      <c r="AQ886"/>
      <c r="AR886"/>
      <c r="AS886"/>
      <c r="AT886"/>
      <c r="AU886"/>
      <c r="AV886"/>
      <c r="AW886"/>
      <c r="AX886"/>
    </row>
    <row r="887" spans="35:50">
      <c r="AI887" s="22"/>
      <c r="AJ887" s="22"/>
      <c r="AK887" s="22"/>
      <c r="AL887" s="22"/>
      <c r="AM887" s="22"/>
      <c r="AN887" s="22"/>
      <c r="AO887" s="22"/>
      <c r="AP887" s="22"/>
      <c r="AQ887"/>
      <c r="AR887"/>
      <c r="AS887"/>
      <c r="AT887"/>
      <c r="AU887"/>
      <c r="AV887"/>
      <c r="AW887"/>
      <c r="AX887"/>
    </row>
    <row r="888" spans="35:50">
      <c r="AI888" s="22"/>
      <c r="AJ888" s="22"/>
      <c r="AK888" s="22"/>
      <c r="AL888" s="22"/>
      <c r="AM888" s="22"/>
      <c r="AN888" s="22"/>
      <c r="AO888" s="22"/>
      <c r="AP888" s="22"/>
      <c r="AQ888"/>
      <c r="AR888"/>
      <c r="AS888"/>
      <c r="AT888"/>
      <c r="AU888"/>
      <c r="AV888"/>
      <c r="AW888"/>
      <c r="AX888"/>
    </row>
    <row r="889" spans="35:50">
      <c r="AI889" s="22"/>
      <c r="AJ889" s="22"/>
      <c r="AK889" s="22"/>
      <c r="AL889" s="22"/>
      <c r="AM889" s="22"/>
      <c r="AN889" s="22"/>
      <c r="AO889" s="22"/>
      <c r="AP889" s="22"/>
      <c r="AQ889"/>
      <c r="AR889"/>
      <c r="AS889"/>
      <c r="AT889"/>
      <c r="AU889"/>
      <c r="AV889"/>
      <c r="AW889"/>
      <c r="AX889"/>
    </row>
    <row r="890" spans="35:50">
      <c r="AI890" s="22"/>
      <c r="AJ890" s="22"/>
      <c r="AK890" s="22"/>
      <c r="AL890" s="22"/>
      <c r="AM890" s="22"/>
      <c r="AN890" s="22"/>
      <c r="AO890" s="22"/>
      <c r="AP890" s="22"/>
      <c r="AQ890"/>
      <c r="AR890"/>
      <c r="AS890"/>
      <c r="AT890"/>
      <c r="AU890"/>
      <c r="AV890"/>
      <c r="AW890"/>
      <c r="AX890"/>
    </row>
    <row r="891" spans="35:50">
      <c r="AI891" s="22"/>
      <c r="AJ891" s="22"/>
      <c r="AK891" s="22"/>
      <c r="AL891" s="22"/>
      <c r="AM891" s="22"/>
      <c r="AN891" s="22"/>
      <c r="AO891" s="22"/>
      <c r="AP891" s="22"/>
      <c r="AQ891"/>
      <c r="AR891"/>
      <c r="AS891"/>
      <c r="AT891"/>
      <c r="AU891"/>
      <c r="AV891"/>
      <c r="AW891"/>
      <c r="AX891"/>
    </row>
    <row r="892" spans="35:50">
      <c r="AI892" s="22"/>
      <c r="AJ892" s="22"/>
      <c r="AK892" s="22"/>
      <c r="AL892" s="22"/>
      <c r="AM892" s="22"/>
      <c r="AN892" s="22"/>
      <c r="AO892" s="22"/>
      <c r="AP892" s="22"/>
      <c r="AQ892"/>
      <c r="AR892"/>
      <c r="AS892"/>
      <c r="AT892"/>
      <c r="AU892"/>
      <c r="AV892"/>
      <c r="AW892"/>
      <c r="AX892"/>
    </row>
    <row r="893" spans="35:50">
      <c r="AI893" s="22"/>
      <c r="AJ893" s="22"/>
      <c r="AK893" s="22"/>
      <c r="AL893" s="22"/>
      <c r="AM893" s="22"/>
      <c r="AN893" s="22"/>
      <c r="AO893" s="22"/>
      <c r="AP893" s="22"/>
      <c r="AQ893"/>
      <c r="AR893"/>
      <c r="AS893"/>
      <c r="AT893"/>
      <c r="AU893"/>
      <c r="AV893"/>
      <c r="AW893"/>
      <c r="AX893"/>
    </row>
    <row r="894" spans="35:50">
      <c r="AI894" s="22"/>
      <c r="AJ894" s="22"/>
      <c r="AK894" s="22"/>
      <c r="AL894" s="22"/>
      <c r="AM894" s="22"/>
      <c r="AN894" s="22"/>
      <c r="AO894" s="22"/>
      <c r="AP894" s="22"/>
      <c r="AQ894"/>
      <c r="AR894"/>
      <c r="AS894"/>
      <c r="AT894"/>
      <c r="AU894"/>
      <c r="AV894"/>
      <c r="AW894"/>
      <c r="AX894"/>
    </row>
    <row r="895" spans="35:50">
      <c r="AI895" s="22"/>
      <c r="AJ895" s="22"/>
      <c r="AK895" s="22"/>
      <c r="AL895" s="22"/>
      <c r="AM895" s="22"/>
      <c r="AN895" s="22"/>
      <c r="AO895" s="22"/>
      <c r="AP895" s="22"/>
      <c r="AQ895"/>
      <c r="AR895"/>
      <c r="AS895"/>
      <c r="AT895"/>
      <c r="AU895"/>
      <c r="AV895"/>
      <c r="AW895"/>
      <c r="AX895"/>
    </row>
    <row r="896" spans="35:50">
      <c r="AI896" s="22"/>
      <c r="AJ896" s="22"/>
      <c r="AK896" s="22"/>
      <c r="AL896" s="22"/>
      <c r="AM896" s="22"/>
      <c r="AN896" s="22"/>
      <c r="AO896" s="22"/>
      <c r="AP896" s="22"/>
      <c r="AQ896"/>
      <c r="AR896"/>
      <c r="AS896"/>
      <c r="AT896"/>
      <c r="AU896"/>
      <c r="AV896"/>
      <c r="AW896"/>
      <c r="AX896"/>
    </row>
    <row r="897" spans="35:50">
      <c r="AI897" s="22"/>
      <c r="AJ897" s="22"/>
      <c r="AK897" s="22"/>
      <c r="AL897" s="22"/>
      <c r="AM897" s="22"/>
      <c r="AN897" s="22"/>
      <c r="AO897" s="22"/>
      <c r="AP897" s="22"/>
      <c r="AQ897"/>
      <c r="AR897"/>
      <c r="AS897"/>
      <c r="AT897"/>
      <c r="AU897"/>
      <c r="AV897"/>
      <c r="AW897"/>
      <c r="AX897"/>
    </row>
    <row r="898" spans="35:50">
      <c r="AI898" s="22"/>
      <c r="AJ898" s="22"/>
      <c r="AK898" s="22"/>
      <c r="AL898" s="22"/>
      <c r="AM898" s="22"/>
      <c r="AN898" s="22"/>
      <c r="AO898" s="22"/>
      <c r="AP898" s="22"/>
      <c r="AQ898"/>
      <c r="AR898"/>
      <c r="AS898"/>
      <c r="AT898"/>
      <c r="AU898"/>
      <c r="AV898"/>
      <c r="AW898"/>
      <c r="AX898"/>
    </row>
    <row r="899" spans="35:50">
      <c r="AI899" s="22"/>
      <c r="AJ899" s="22"/>
      <c r="AK899" s="22"/>
      <c r="AL899" s="22"/>
      <c r="AM899" s="22"/>
      <c r="AN899" s="22"/>
      <c r="AO899" s="22"/>
      <c r="AP899" s="22"/>
      <c r="AQ899"/>
      <c r="AR899"/>
      <c r="AS899"/>
      <c r="AT899"/>
      <c r="AU899"/>
      <c r="AV899"/>
      <c r="AW899"/>
      <c r="AX899"/>
    </row>
    <row r="900" spans="35:50">
      <c r="AI900" s="22"/>
      <c r="AJ900" s="22"/>
      <c r="AK900" s="22"/>
      <c r="AL900" s="22"/>
      <c r="AM900" s="22"/>
      <c r="AN900" s="22"/>
      <c r="AO900" s="22"/>
      <c r="AP900" s="22"/>
      <c r="AQ900"/>
      <c r="AR900"/>
      <c r="AS900"/>
      <c r="AT900"/>
      <c r="AU900"/>
      <c r="AV900"/>
      <c r="AW900"/>
      <c r="AX900"/>
    </row>
    <row r="901" spans="35:50">
      <c r="AI901" s="22"/>
      <c r="AJ901" s="22"/>
      <c r="AK901" s="22"/>
      <c r="AL901" s="22"/>
      <c r="AM901" s="22"/>
      <c r="AN901" s="22"/>
      <c r="AO901" s="22"/>
      <c r="AP901" s="22"/>
      <c r="AQ901"/>
      <c r="AR901"/>
      <c r="AS901"/>
      <c r="AT901"/>
      <c r="AU901"/>
      <c r="AV901"/>
      <c r="AW901"/>
      <c r="AX901"/>
    </row>
    <row r="902" spans="35:50">
      <c r="AI902" s="22"/>
      <c r="AJ902" s="22"/>
      <c r="AK902" s="22"/>
      <c r="AL902" s="22"/>
      <c r="AM902" s="22"/>
      <c r="AN902" s="22"/>
      <c r="AO902" s="22"/>
      <c r="AP902" s="22"/>
      <c r="AQ902"/>
      <c r="AR902"/>
      <c r="AS902"/>
      <c r="AT902"/>
      <c r="AU902"/>
      <c r="AV902"/>
      <c r="AW902"/>
      <c r="AX902"/>
    </row>
    <row r="903" spans="35:50">
      <c r="AI903" s="22"/>
      <c r="AJ903" s="22"/>
      <c r="AK903" s="22"/>
      <c r="AL903" s="22"/>
      <c r="AM903" s="22"/>
      <c r="AN903" s="22"/>
      <c r="AO903" s="22"/>
      <c r="AP903" s="22"/>
      <c r="AQ903"/>
      <c r="AR903"/>
      <c r="AS903"/>
      <c r="AT903"/>
      <c r="AU903"/>
      <c r="AV903"/>
      <c r="AW903"/>
      <c r="AX903"/>
    </row>
    <row r="904" spans="35:50">
      <c r="AI904" s="22"/>
      <c r="AJ904" s="22"/>
      <c r="AK904" s="22"/>
      <c r="AL904" s="22"/>
      <c r="AM904" s="22"/>
      <c r="AN904" s="22"/>
      <c r="AO904" s="22"/>
      <c r="AP904" s="22"/>
      <c r="AQ904"/>
      <c r="AR904"/>
      <c r="AS904"/>
      <c r="AT904"/>
      <c r="AU904"/>
      <c r="AV904"/>
      <c r="AW904"/>
      <c r="AX904"/>
    </row>
    <row r="905" spans="35:50">
      <c r="AI905" s="22"/>
      <c r="AJ905" s="22"/>
      <c r="AK905" s="22"/>
      <c r="AL905" s="22"/>
      <c r="AM905" s="22"/>
      <c r="AN905" s="22"/>
      <c r="AO905" s="22"/>
      <c r="AP905" s="22"/>
      <c r="AQ905"/>
      <c r="AR905"/>
      <c r="AS905"/>
      <c r="AT905"/>
      <c r="AU905"/>
      <c r="AV905"/>
      <c r="AW905"/>
      <c r="AX905"/>
    </row>
    <row r="906" spans="35:50">
      <c r="AI906" s="22"/>
      <c r="AJ906" s="22"/>
      <c r="AK906" s="22"/>
      <c r="AL906" s="22"/>
      <c r="AM906" s="22"/>
      <c r="AN906" s="22"/>
      <c r="AO906" s="22"/>
      <c r="AP906" s="22"/>
      <c r="AQ906"/>
      <c r="AR906"/>
      <c r="AS906"/>
      <c r="AT906"/>
      <c r="AU906"/>
      <c r="AV906"/>
      <c r="AW906"/>
      <c r="AX906"/>
    </row>
    <row r="907" spans="35:50">
      <c r="AI907" s="22"/>
      <c r="AJ907" s="22"/>
      <c r="AK907" s="22"/>
      <c r="AL907" s="22"/>
      <c r="AM907" s="22"/>
      <c r="AN907" s="22"/>
      <c r="AO907" s="22"/>
      <c r="AP907" s="22"/>
      <c r="AQ907"/>
      <c r="AR907"/>
      <c r="AS907"/>
      <c r="AT907"/>
      <c r="AU907"/>
      <c r="AV907"/>
      <c r="AW907"/>
      <c r="AX907"/>
    </row>
    <row r="908" spans="35:50">
      <c r="AI908" s="22"/>
      <c r="AJ908" s="22"/>
      <c r="AK908" s="22"/>
      <c r="AL908" s="22"/>
      <c r="AM908" s="22"/>
      <c r="AN908" s="22"/>
      <c r="AO908" s="22"/>
      <c r="AP908" s="22"/>
      <c r="AQ908"/>
      <c r="AR908"/>
      <c r="AS908"/>
      <c r="AT908"/>
      <c r="AU908"/>
      <c r="AV908"/>
      <c r="AW908"/>
      <c r="AX908"/>
    </row>
    <row r="909" spans="35:50">
      <c r="AI909" s="22"/>
      <c r="AJ909" s="22"/>
      <c r="AK909" s="22"/>
      <c r="AL909" s="22"/>
      <c r="AM909" s="22"/>
      <c r="AN909" s="22"/>
      <c r="AO909" s="22"/>
      <c r="AP909" s="22"/>
      <c r="AQ909"/>
      <c r="AR909"/>
      <c r="AS909"/>
      <c r="AT909"/>
      <c r="AU909"/>
      <c r="AV909"/>
      <c r="AW909"/>
      <c r="AX909"/>
    </row>
    <row r="910" spans="35:50">
      <c r="AI910" s="22"/>
      <c r="AJ910" s="22"/>
      <c r="AK910" s="22"/>
      <c r="AL910" s="22"/>
      <c r="AM910" s="22"/>
      <c r="AN910" s="22"/>
      <c r="AO910" s="22"/>
      <c r="AP910" s="22"/>
      <c r="AQ910"/>
      <c r="AR910"/>
      <c r="AS910"/>
      <c r="AT910"/>
      <c r="AU910"/>
      <c r="AV910"/>
      <c r="AW910"/>
      <c r="AX910"/>
    </row>
    <row r="911" spans="35:50">
      <c r="AI911" s="22"/>
      <c r="AJ911" s="22"/>
      <c r="AK911" s="22"/>
      <c r="AL911" s="22"/>
      <c r="AM911" s="22"/>
      <c r="AN911" s="22"/>
      <c r="AO911" s="22"/>
      <c r="AP911" s="22"/>
      <c r="AQ911"/>
      <c r="AR911"/>
      <c r="AS911"/>
      <c r="AT911"/>
      <c r="AU911"/>
      <c r="AV911"/>
      <c r="AW911"/>
      <c r="AX911"/>
    </row>
    <row r="912" spans="35:50">
      <c r="AI912" s="22"/>
      <c r="AJ912" s="22"/>
      <c r="AK912" s="22"/>
      <c r="AL912" s="22"/>
      <c r="AM912" s="22"/>
      <c r="AN912" s="22"/>
      <c r="AO912" s="22"/>
      <c r="AP912" s="22"/>
      <c r="AQ912"/>
      <c r="AR912"/>
      <c r="AS912"/>
      <c r="AT912"/>
      <c r="AU912"/>
      <c r="AV912"/>
      <c r="AW912"/>
      <c r="AX912"/>
    </row>
    <row r="913" spans="35:50">
      <c r="AI913" s="22"/>
      <c r="AJ913" s="22"/>
      <c r="AK913" s="22"/>
      <c r="AL913" s="22"/>
      <c r="AM913" s="22"/>
      <c r="AN913" s="22"/>
      <c r="AO913" s="22"/>
      <c r="AP913" s="22"/>
      <c r="AQ913"/>
      <c r="AR913"/>
      <c r="AS913"/>
      <c r="AT913"/>
      <c r="AU913"/>
      <c r="AV913"/>
      <c r="AW913"/>
      <c r="AX913"/>
    </row>
    <row r="914" spans="35:50">
      <c r="AI914" s="22"/>
      <c r="AJ914" s="22"/>
      <c r="AK914" s="22"/>
      <c r="AL914" s="22"/>
      <c r="AM914" s="22"/>
      <c r="AN914" s="22"/>
      <c r="AO914" s="22"/>
      <c r="AP914" s="22"/>
      <c r="AQ914"/>
      <c r="AR914"/>
      <c r="AS914"/>
      <c r="AT914"/>
      <c r="AU914"/>
      <c r="AV914"/>
      <c r="AW914"/>
      <c r="AX914"/>
    </row>
    <row r="915" spans="35:50">
      <c r="AI915" s="22"/>
      <c r="AJ915" s="22"/>
      <c r="AK915" s="22"/>
      <c r="AL915" s="22"/>
      <c r="AM915" s="22"/>
      <c r="AN915" s="22"/>
      <c r="AO915" s="22"/>
      <c r="AP915" s="22"/>
      <c r="AQ915"/>
      <c r="AR915"/>
      <c r="AS915"/>
      <c r="AT915"/>
      <c r="AU915"/>
      <c r="AV915"/>
      <c r="AW915"/>
      <c r="AX915"/>
    </row>
    <row r="916" spans="35:50">
      <c r="AI916" s="22"/>
      <c r="AJ916" s="22"/>
      <c r="AK916" s="22"/>
      <c r="AL916" s="22"/>
      <c r="AM916" s="22"/>
      <c r="AN916" s="22"/>
      <c r="AO916" s="22"/>
      <c r="AP916" s="22"/>
      <c r="AQ916"/>
      <c r="AR916"/>
      <c r="AS916"/>
      <c r="AT916"/>
      <c r="AU916"/>
      <c r="AV916"/>
      <c r="AW916"/>
      <c r="AX916"/>
    </row>
    <row r="917" spans="35:50">
      <c r="AI917" s="22"/>
      <c r="AJ917" s="22"/>
      <c r="AK917" s="22"/>
      <c r="AL917" s="22"/>
      <c r="AM917" s="22"/>
      <c r="AN917" s="22"/>
      <c r="AO917" s="22"/>
      <c r="AP917" s="22"/>
      <c r="AQ917"/>
      <c r="AR917"/>
      <c r="AS917"/>
      <c r="AT917"/>
      <c r="AU917"/>
      <c r="AV917"/>
      <c r="AW917"/>
      <c r="AX917"/>
    </row>
    <row r="918" spans="35:50">
      <c r="AI918" s="22"/>
      <c r="AJ918" s="22"/>
      <c r="AK918" s="22"/>
      <c r="AL918" s="22"/>
      <c r="AM918" s="22"/>
      <c r="AN918" s="22"/>
      <c r="AO918" s="22"/>
      <c r="AP918" s="22"/>
      <c r="AQ918"/>
      <c r="AR918"/>
      <c r="AS918"/>
      <c r="AT918"/>
      <c r="AU918"/>
      <c r="AV918"/>
      <c r="AW918"/>
      <c r="AX918"/>
    </row>
    <row r="919" spans="35:50">
      <c r="AI919" s="22"/>
      <c r="AJ919" s="22"/>
      <c r="AK919" s="22"/>
      <c r="AL919" s="22"/>
      <c r="AM919" s="22"/>
      <c r="AN919" s="22"/>
      <c r="AO919" s="22"/>
      <c r="AP919" s="22"/>
      <c r="AQ919"/>
      <c r="AR919"/>
      <c r="AS919"/>
      <c r="AT919"/>
      <c r="AU919"/>
      <c r="AV919"/>
      <c r="AW919"/>
      <c r="AX919"/>
    </row>
    <row r="920" spans="35:50">
      <c r="AI920" s="22"/>
      <c r="AJ920" s="22"/>
      <c r="AK920" s="22"/>
      <c r="AL920" s="22"/>
      <c r="AM920" s="22"/>
      <c r="AN920" s="22"/>
      <c r="AO920" s="22"/>
      <c r="AP920" s="22"/>
      <c r="AQ920"/>
      <c r="AR920"/>
      <c r="AS920"/>
      <c r="AT920"/>
      <c r="AU920"/>
      <c r="AV920"/>
      <c r="AW920"/>
      <c r="AX920"/>
    </row>
    <row r="921" spans="35:50">
      <c r="AI921" s="22"/>
      <c r="AJ921" s="22"/>
      <c r="AK921" s="22"/>
      <c r="AL921" s="22"/>
      <c r="AM921" s="22"/>
      <c r="AN921" s="22"/>
      <c r="AO921" s="22"/>
      <c r="AP921" s="22"/>
      <c r="AQ921"/>
      <c r="AR921"/>
      <c r="AS921"/>
      <c r="AT921"/>
      <c r="AU921"/>
      <c r="AV921"/>
      <c r="AW921"/>
      <c r="AX921"/>
    </row>
    <row r="922" spans="35:50">
      <c r="AI922" s="22"/>
      <c r="AJ922" s="22"/>
      <c r="AK922" s="22"/>
      <c r="AL922" s="22"/>
      <c r="AM922" s="22"/>
      <c r="AN922" s="22"/>
      <c r="AO922" s="22"/>
      <c r="AP922" s="22"/>
      <c r="AQ922"/>
      <c r="AR922"/>
      <c r="AS922"/>
      <c r="AT922"/>
      <c r="AU922"/>
      <c r="AV922"/>
      <c r="AW922"/>
      <c r="AX922"/>
    </row>
    <row r="923" spans="35:50">
      <c r="AI923" s="22"/>
      <c r="AJ923" s="22"/>
      <c r="AK923" s="22"/>
      <c r="AL923" s="22"/>
      <c r="AM923" s="22"/>
      <c r="AN923" s="22"/>
      <c r="AO923" s="22"/>
      <c r="AP923" s="22"/>
      <c r="AQ923"/>
      <c r="AR923"/>
      <c r="AS923"/>
      <c r="AT923"/>
      <c r="AU923"/>
      <c r="AV923"/>
      <c r="AW923"/>
      <c r="AX923"/>
    </row>
    <row r="924" spans="35:50">
      <c r="AI924" s="22"/>
      <c r="AJ924" s="22"/>
      <c r="AK924" s="22"/>
      <c r="AL924" s="22"/>
      <c r="AM924" s="22"/>
      <c r="AN924" s="22"/>
      <c r="AO924" s="22"/>
      <c r="AP924" s="22"/>
      <c r="AQ924"/>
      <c r="AR924"/>
      <c r="AS924"/>
      <c r="AT924"/>
      <c r="AU924"/>
      <c r="AV924"/>
      <c r="AW924"/>
      <c r="AX924"/>
    </row>
    <row r="925" spans="35:50">
      <c r="AI925" s="22"/>
      <c r="AJ925" s="22"/>
      <c r="AK925" s="22"/>
      <c r="AL925" s="22"/>
      <c r="AM925" s="22"/>
      <c r="AN925" s="22"/>
      <c r="AO925" s="22"/>
      <c r="AP925" s="22"/>
      <c r="AQ925"/>
      <c r="AR925"/>
      <c r="AS925"/>
      <c r="AT925"/>
      <c r="AU925"/>
      <c r="AV925"/>
      <c r="AW925"/>
      <c r="AX925"/>
    </row>
    <row r="926" spans="35:50">
      <c r="AI926" s="22"/>
      <c r="AJ926" s="22"/>
      <c r="AK926" s="22"/>
      <c r="AL926" s="22"/>
      <c r="AM926" s="22"/>
      <c r="AN926" s="22"/>
      <c r="AO926" s="22"/>
      <c r="AP926" s="22"/>
      <c r="AQ926"/>
      <c r="AR926"/>
      <c r="AS926"/>
      <c r="AT926"/>
      <c r="AU926"/>
      <c r="AV926"/>
      <c r="AW926"/>
      <c r="AX926"/>
    </row>
    <row r="927" spans="35:50">
      <c r="AI927" s="22"/>
      <c r="AJ927" s="22"/>
      <c r="AK927" s="22"/>
      <c r="AL927" s="22"/>
      <c r="AM927" s="22"/>
      <c r="AN927" s="22"/>
      <c r="AO927" s="22"/>
      <c r="AP927" s="22"/>
      <c r="AQ927"/>
      <c r="AR927"/>
      <c r="AS927"/>
      <c r="AT927"/>
      <c r="AU927"/>
      <c r="AV927"/>
      <c r="AW927"/>
      <c r="AX927"/>
    </row>
    <row r="928" spans="35:50">
      <c r="AI928" s="22"/>
      <c r="AJ928" s="22"/>
      <c r="AK928" s="22"/>
      <c r="AL928" s="22"/>
      <c r="AM928" s="22"/>
      <c r="AN928" s="22"/>
      <c r="AO928" s="22"/>
      <c r="AP928" s="22"/>
      <c r="AQ928"/>
      <c r="AR928"/>
      <c r="AS928"/>
      <c r="AT928"/>
      <c r="AU928"/>
      <c r="AV928"/>
      <c r="AW928"/>
      <c r="AX928"/>
    </row>
    <row r="929" spans="35:50">
      <c r="AI929" s="22"/>
      <c r="AJ929" s="22"/>
      <c r="AK929" s="22"/>
      <c r="AL929" s="22"/>
      <c r="AM929" s="22"/>
      <c r="AN929" s="22"/>
      <c r="AO929" s="22"/>
      <c r="AP929" s="22"/>
      <c r="AQ929"/>
      <c r="AR929"/>
      <c r="AS929"/>
      <c r="AT929"/>
      <c r="AU929"/>
      <c r="AV929"/>
      <c r="AW929"/>
      <c r="AX929"/>
    </row>
    <row r="930" spans="35:50">
      <c r="AI930" s="22"/>
      <c r="AJ930" s="22"/>
      <c r="AK930" s="22"/>
      <c r="AL930" s="22"/>
      <c r="AM930" s="22"/>
      <c r="AN930" s="22"/>
      <c r="AO930" s="22"/>
      <c r="AP930" s="22"/>
      <c r="AQ930"/>
      <c r="AR930"/>
      <c r="AS930"/>
      <c r="AT930"/>
      <c r="AU930"/>
      <c r="AV930"/>
      <c r="AW930"/>
      <c r="AX930"/>
    </row>
    <row r="931" spans="35:50">
      <c r="AI931" s="22"/>
      <c r="AJ931" s="22"/>
      <c r="AK931" s="22"/>
      <c r="AL931" s="22"/>
      <c r="AM931" s="22"/>
      <c r="AN931" s="22"/>
      <c r="AO931" s="22"/>
      <c r="AP931" s="22"/>
      <c r="AQ931"/>
      <c r="AR931"/>
      <c r="AS931"/>
      <c r="AT931"/>
      <c r="AU931"/>
      <c r="AV931"/>
      <c r="AW931"/>
      <c r="AX931"/>
    </row>
    <row r="932" spans="35:50">
      <c r="AI932" s="22"/>
      <c r="AJ932" s="22"/>
      <c r="AK932" s="22"/>
      <c r="AL932" s="22"/>
      <c r="AM932" s="22"/>
      <c r="AN932" s="22"/>
      <c r="AO932" s="22"/>
      <c r="AP932" s="22"/>
      <c r="AQ932"/>
      <c r="AR932"/>
      <c r="AS932"/>
      <c r="AT932"/>
      <c r="AU932"/>
      <c r="AV932"/>
      <c r="AW932"/>
      <c r="AX932"/>
    </row>
    <row r="933" spans="35:50">
      <c r="AI933" s="22"/>
      <c r="AJ933" s="22"/>
      <c r="AK933" s="22"/>
      <c r="AL933" s="22"/>
      <c r="AM933" s="22"/>
      <c r="AN933" s="22"/>
      <c r="AO933" s="22"/>
      <c r="AP933" s="22"/>
      <c r="AQ933"/>
      <c r="AR933"/>
      <c r="AS933"/>
      <c r="AT933"/>
      <c r="AU933"/>
      <c r="AV933"/>
      <c r="AW933"/>
      <c r="AX933"/>
    </row>
    <row r="934" spans="35:50">
      <c r="AI934" s="22"/>
      <c r="AJ934" s="22"/>
      <c r="AK934" s="22"/>
      <c r="AL934" s="22"/>
      <c r="AM934" s="22"/>
      <c r="AN934" s="22"/>
      <c r="AO934" s="22"/>
      <c r="AP934" s="22"/>
      <c r="AQ934"/>
      <c r="AR934"/>
      <c r="AS934"/>
      <c r="AT934"/>
      <c r="AU934"/>
      <c r="AV934"/>
      <c r="AW934"/>
      <c r="AX934"/>
    </row>
    <row r="935" spans="35:50">
      <c r="AI935" s="22"/>
      <c r="AJ935" s="22"/>
      <c r="AK935" s="22"/>
      <c r="AL935" s="22"/>
      <c r="AM935" s="22"/>
      <c r="AN935" s="22"/>
      <c r="AO935" s="22"/>
      <c r="AP935" s="22"/>
      <c r="AQ935"/>
      <c r="AR935"/>
      <c r="AS935"/>
      <c r="AT935"/>
      <c r="AU935"/>
      <c r="AV935"/>
      <c r="AW935"/>
      <c r="AX935"/>
    </row>
    <row r="936" spans="35:50">
      <c r="AI936" s="22"/>
      <c r="AJ936" s="22"/>
      <c r="AK936" s="22"/>
      <c r="AL936" s="22"/>
      <c r="AM936" s="22"/>
      <c r="AN936" s="22"/>
      <c r="AO936" s="22"/>
      <c r="AP936" s="22"/>
      <c r="AQ936"/>
      <c r="AR936"/>
      <c r="AS936"/>
      <c r="AT936"/>
      <c r="AU936"/>
      <c r="AV936"/>
      <c r="AW936"/>
      <c r="AX936"/>
    </row>
    <row r="937" spans="35:50">
      <c r="AI937" s="22"/>
      <c r="AJ937" s="22"/>
      <c r="AK937" s="22"/>
      <c r="AL937" s="22"/>
      <c r="AM937" s="22"/>
      <c r="AN937" s="22"/>
      <c r="AO937" s="22"/>
      <c r="AP937" s="22"/>
      <c r="AQ937"/>
      <c r="AR937"/>
      <c r="AS937"/>
      <c r="AT937"/>
      <c r="AU937"/>
      <c r="AV937"/>
      <c r="AW937"/>
      <c r="AX937"/>
    </row>
    <row r="938" spans="35:50">
      <c r="AI938" s="22"/>
      <c r="AJ938" s="22"/>
      <c r="AK938" s="22"/>
      <c r="AL938" s="22"/>
      <c r="AM938" s="22"/>
      <c r="AN938" s="22"/>
      <c r="AO938" s="22"/>
      <c r="AP938" s="22"/>
      <c r="AQ938"/>
      <c r="AR938"/>
      <c r="AS938"/>
      <c r="AT938"/>
      <c r="AU938"/>
      <c r="AV938"/>
      <c r="AW938"/>
      <c r="AX938"/>
    </row>
    <row r="939" spans="35:50">
      <c r="AI939" s="22"/>
      <c r="AJ939" s="22"/>
      <c r="AK939" s="22"/>
      <c r="AL939" s="22"/>
      <c r="AM939" s="22"/>
      <c r="AN939" s="22"/>
      <c r="AO939" s="22"/>
      <c r="AP939" s="22"/>
      <c r="AQ939"/>
      <c r="AR939"/>
      <c r="AS939"/>
      <c r="AT939"/>
      <c r="AU939"/>
      <c r="AV939"/>
      <c r="AW939"/>
      <c r="AX939"/>
    </row>
    <row r="940" spans="35:50">
      <c r="AI940" s="22"/>
      <c r="AJ940" s="22"/>
      <c r="AK940" s="22"/>
      <c r="AL940" s="22"/>
      <c r="AM940" s="22"/>
      <c r="AN940" s="22"/>
      <c r="AO940" s="22"/>
      <c r="AP940" s="22"/>
      <c r="AQ940"/>
      <c r="AR940"/>
      <c r="AS940"/>
      <c r="AT940"/>
      <c r="AU940"/>
      <c r="AV940"/>
      <c r="AW940"/>
      <c r="AX940"/>
    </row>
    <row r="941" spans="35:50">
      <c r="AI941" s="22"/>
      <c r="AJ941" s="22"/>
      <c r="AK941" s="22"/>
      <c r="AL941" s="22"/>
      <c r="AM941" s="22"/>
      <c r="AN941" s="22"/>
      <c r="AO941" s="22"/>
      <c r="AP941" s="22"/>
      <c r="AQ941"/>
      <c r="AR941"/>
      <c r="AS941"/>
      <c r="AT941"/>
      <c r="AU941"/>
      <c r="AV941"/>
      <c r="AW941"/>
      <c r="AX941"/>
    </row>
    <row r="942" spans="35:50">
      <c r="AI942" s="22"/>
      <c r="AJ942" s="22"/>
      <c r="AK942" s="22"/>
      <c r="AL942" s="22"/>
      <c r="AM942" s="22"/>
      <c r="AN942" s="22"/>
      <c r="AO942" s="22"/>
      <c r="AP942" s="22"/>
      <c r="AQ942"/>
      <c r="AR942"/>
      <c r="AS942"/>
      <c r="AT942"/>
      <c r="AU942"/>
      <c r="AV942"/>
      <c r="AW942"/>
      <c r="AX942"/>
    </row>
    <row r="943" spans="35:50">
      <c r="AI943" s="22"/>
      <c r="AJ943" s="22"/>
      <c r="AK943" s="22"/>
      <c r="AL943" s="22"/>
      <c r="AM943" s="22"/>
      <c r="AN943" s="22"/>
      <c r="AO943" s="22"/>
      <c r="AP943" s="22"/>
      <c r="AQ943"/>
      <c r="AR943"/>
      <c r="AS943"/>
      <c r="AT943"/>
      <c r="AU943"/>
      <c r="AV943"/>
      <c r="AW943"/>
      <c r="AX943"/>
    </row>
    <row r="944" spans="35:50">
      <c r="AI944" s="22"/>
      <c r="AJ944" s="22"/>
      <c r="AK944" s="22"/>
      <c r="AL944" s="22"/>
      <c r="AM944" s="22"/>
      <c r="AN944" s="22"/>
      <c r="AO944" s="22"/>
      <c r="AP944" s="22"/>
      <c r="AQ944"/>
      <c r="AR944"/>
      <c r="AS944"/>
      <c r="AT944"/>
      <c r="AU944"/>
      <c r="AV944"/>
      <c r="AW944"/>
      <c r="AX944"/>
    </row>
    <row r="945" spans="35:50">
      <c r="AI945" s="22"/>
      <c r="AJ945" s="22"/>
      <c r="AK945" s="22"/>
      <c r="AL945" s="22"/>
      <c r="AM945" s="22"/>
      <c r="AN945" s="22"/>
      <c r="AO945" s="22"/>
      <c r="AP945" s="22"/>
      <c r="AQ945"/>
      <c r="AR945"/>
      <c r="AS945"/>
      <c r="AT945"/>
      <c r="AU945"/>
      <c r="AV945"/>
      <c r="AW945"/>
      <c r="AX945"/>
    </row>
    <row r="946" spans="35:50">
      <c r="AI946" s="22"/>
      <c r="AJ946" s="22"/>
      <c r="AK946" s="22"/>
      <c r="AL946" s="22"/>
      <c r="AM946" s="22"/>
      <c r="AN946" s="22"/>
      <c r="AO946" s="22"/>
      <c r="AP946" s="22"/>
      <c r="AQ946"/>
      <c r="AR946"/>
      <c r="AS946"/>
      <c r="AT946"/>
      <c r="AU946"/>
      <c r="AV946"/>
      <c r="AW946"/>
      <c r="AX946"/>
    </row>
    <row r="947" spans="35:50">
      <c r="AI947" s="22"/>
      <c r="AJ947" s="22"/>
      <c r="AK947" s="22"/>
      <c r="AL947" s="22"/>
      <c r="AM947" s="22"/>
      <c r="AN947" s="22"/>
      <c r="AO947" s="22"/>
      <c r="AP947" s="22"/>
      <c r="AQ947"/>
      <c r="AR947"/>
      <c r="AS947"/>
      <c r="AT947"/>
      <c r="AU947"/>
      <c r="AV947"/>
      <c r="AW947"/>
      <c r="AX947"/>
    </row>
    <row r="948" spans="35:50">
      <c r="AI948" s="22"/>
      <c r="AJ948" s="22"/>
      <c r="AK948" s="22"/>
      <c r="AL948" s="22"/>
      <c r="AM948" s="22"/>
      <c r="AN948" s="22"/>
      <c r="AO948" s="22"/>
      <c r="AP948" s="22"/>
      <c r="AQ948"/>
      <c r="AR948"/>
      <c r="AS948"/>
      <c r="AT948"/>
      <c r="AU948"/>
      <c r="AV948"/>
      <c r="AW948"/>
      <c r="AX948"/>
    </row>
    <row r="949" spans="35:50">
      <c r="AI949" s="22"/>
      <c r="AJ949" s="22"/>
      <c r="AK949" s="22"/>
      <c r="AL949" s="22"/>
      <c r="AM949" s="22"/>
      <c r="AN949" s="22"/>
      <c r="AO949" s="22"/>
      <c r="AP949" s="22"/>
      <c r="AQ949"/>
      <c r="AR949"/>
      <c r="AS949"/>
      <c r="AT949"/>
      <c r="AU949"/>
      <c r="AV949"/>
      <c r="AW949"/>
      <c r="AX949"/>
    </row>
    <row r="950" spans="35:50">
      <c r="AI950" s="22"/>
      <c r="AJ950" s="22"/>
      <c r="AK950" s="22"/>
      <c r="AL950" s="22"/>
      <c r="AM950" s="22"/>
      <c r="AN950" s="22"/>
      <c r="AO950" s="22"/>
      <c r="AP950" s="22"/>
      <c r="AQ950"/>
      <c r="AR950"/>
      <c r="AS950"/>
      <c r="AT950"/>
      <c r="AU950"/>
      <c r="AV950"/>
      <c r="AW950"/>
      <c r="AX950"/>
    </row>
    <row r="951" spans="35:50">
      <c r="AI951" s="22"/>
      <c r="AJ951" s="22"/>
      <c r="AK951" s="22"/>
      <c r="AL951" s="22"/>
      <c r="AM951" s="22"/>
      <c r="AN951" s="22"/>
      <c r="AO951" s="22"/>
      <c r="AP951" s="22"/>
      <c r="AQ951"/>
      <c r="AR951"/>
      <c r="AS951"/>
      <c r="AT951"/>
      <c r="AU951"/>
      <c r="AV951"/>
      <c r="AW951"/>
      <c r="AX951"/>
    </row>
    <row r="952" spans="35:50">
      <c r="AI952" s="22"/>
      <c r="AJ952" s="22"/>
      <c r="AK952" s="22"/>
      <c r="AL952" s="22"/>
      <c r="AM952" s="22"/>
      <c r="AN952" s="22"/>
      <c r="AO952" s="22"/>
      <c r="AP952" s="22"/>
      <c r="AQ952"/>
      <c r="AR952"/>
      <c r="AS952"/>
      <c r="AT952"/>
      <c r="AU952"/>
      <c r="AV952"/>
      <c r="AW952"/>
      <c r="AX952"/>
    </row>
    <row r="953" spans="35:50">
      <c r="AI953" s="22"/>
      <c r="AJ953" s="22"/>
      <c r="AK953" s="22"/>
      <c r="AL953" s="22"/>
      <c r="AM953" s="22"/>
      <c r="AN953" s="22"/>
      <c r="AO953" s="22"/>
      <c r="AP953" s="22"/>
      <c r="AQ953"/>
      <c r="AR953"/>
      <c r="AS953"/>
      <c r="AT953"/>
      <c r="AU953"/>
      <c r="AV953"/>
      <c r="AW953"/>
      <c r="AX953"/>
    </row>
    <row r="954" spans="35:50">
      <c r="AI954" s="22"/>
      <c r="AJ954" s="22"/>
      <c r="AK954" s="22"/>
      <c r="AL954" s="22"/>
      <c r="AM954" s="22"/>
      <c r="AN954" s="22"/>
      <c r="AO954" s="22"/>
      <c r="AP954" s="22"/>
      <c r="AQ954"/>
      <c r="AR954"/>
      <c r="AS954"/>
      <c r="AT954"/>
      <c r="AU954"/>
      <c r="AV954"/>
      <c r="AW954"/>
      <c r="AX954"/>
    </row>
    <row r="955" spans="35:50">
      <c r="AI955" s="22"/>
      <c r="AJ955" s="22"/>
      <c r="AK955" s="22"/>
      <c r="AL955" s="22"/>
      <c r="AM955" s="22"/>
      <c r="AN955" s="22"/>
      <c r="AO955" s="22"/>
      <c r="AP955" s="22"/>
      <c r="AQ955"/>
      <c r="AR955"/>
      <c r="AS955"/>
      <c r="AT955"/>
      <c r="AU955"/>
      <c r="AV955"/>
      <c r="AW955"/>
      <c r="AX955"/>
    </row>
    <row r="956" spans="35:50">
      <c r="AI956" s="22"/>
      <c r="AJ956" s="22"/>
      <c r="AK956" s="22"/>
      <c r="AL956" s="22"/>
      <c r="AM956" s="22"/>
      <c r="AN956" s="22"/>
      <c r="AO956" s="22"/>
      <c r="AP956" s="22"/>
      <c r="AQ956"/>
      <c r="AR956"/>
      <c r="AS956"/>
      <c r="AT956"/>
      <c r="AU956"/>
      <c r="AV956"/>
      <c r="AW956"/>
      <c r="AX956"/>
    </row>
    <row r="957" spans="35:50">
      <c r="AI957" s="22"/>
      <c r="AJ957" s="22"/>
      <c r="AK957" s="22"/>
      <c r="AL957" s="22"/>
      <c r="AM957" s="22"/>
      <c r="AN957" s="22"/>
      <c r="AO957" s="22"/>
      <c r="AP957" s="22"/>
      <c r="AQ957"/>
      <c r="AR957"/>
      <c r="AS957"/>
      <c r="AT957"/>
      <c r="AU957"/>
      <c r="AV957"/>
      <c r="AW957"/>
      <c r="AX957"/>
    </row>
    <row r="958" spans="35:50">
      <c r="AI958" s="22"/>
      <c r="AJ958" s="22"/>
      <c r="AK958" s="22"/>
      <c r="AL958" s="22"/>
      <c r="AM958" s="22"/>
      <c r="AN958" s="22"/>
      <c r="AO958" s="22"/>
      <c r="AP958" s="22"/>
      <c r="AQ958"/>
      <c r="AR958"/>
      <c r="AS958"/>
      <c r="AT958"/>
      <c r="AU958"/>
      <c r="AV958"/>
      <c r="AW958"/>
      <c r="AX958"/>
    </row>
    <row r="959" spans="35:50">
      <c r="AI959" s="22"/>
      <c r="AJ959" s="22"/>
      <c r="AK959" s="22"/>
      <c r="AL959" s="22"/>
      <c r="AM959" s="22"/>
      <c r="AN959" s="22"/>
      <c r="AO959" s="22"/>
      <c r="AP959" s="22"/>
      <c r="AQ959"/>
      <c r="AR959"/>
      <c r="AS959"/>
      <c r="AT959"/>
      <c r="AU959"/>
      <c r="AV959"/>
      <c r="AW959"/>
      <c r="AX959"/>
    </row>
    <row r="960" spans="35:50">
      <c r="AI960" s="22"/>
      <c r="AJ960" s="22"/>
      <c r="AK960" s="22"/>
      <c r="AL960" s="22"/>
      <c r="AM960" s="22"/>
      <c r="AN960" s="22"/>
      <c r="AO960" s="22"/>
      <c r="AP960" s="22"/>
      <c r="AQ960"/>
      <c r="AR960"/>
      <c r="AS960"/>
      <c r="AT960"/>
      <c r="AU960"/>
      <c r="AV960"/>
      <c r="AW960"/>
      <c r="AX960"/>
    </row>
    <row r="961" spans="35:50">
      <c r="AI961" s="22"/>
      <c r="AJ961" s="22"/>
      <c r="AK961" s="22"/>
      <c r="AL961" s="22"/>
      <c r="AM961" s="22"/>
      <c r="AN961" s="22"/>
      <c r="AO961" s="22"/>
      <c r="AP961" s="22"/>
      <c r="AQ961"/>
      <c r="AR961"/>
      <c r="AS961"/>
      <c r="AT961"/>
      <c r="AU961"/>
      <c r="AV961"/>
      <c r="AW961"/>
      <c r="AX961"/>
    </row>
    <row r="962" spans="35:50">
      <c r="AI962" s="22"/>
      <c r="AJ962" s="22"/>
      <c r="AK962" s="22"/>
      <c r="AL962" s="22"/>
      <c r="AM962" s="22"/>
      <c r="AN962" s="22"/>
      <c r="AO962" s="22"/>
      <c r="AP962" s="22"/>
      <c r="AQ962"/>
      <c r="AR962"/>
      <c r="AS962"/>
      <c r="AT962"/>
      <c r="AU962"/>
      <c r="AV962"/>
      <c r="AW962"/>
      <c r="AX962"/>
    </row>
    <row r="963" spans="35:50">
      <c r="AI963" s="22"/>
      <c r="AJ963" s="22"/>
      <c r="AK963" s="22"/>
      <c r="AL963" s="22"/>
      <c r="AM963" s="22"/>
      <c r="AN963" s="22"/>
      <c r="AO963" s="22"/>
      <c r="AP963" s="22"/>
      <c r="AQ963"/>
      <c r="AR963"/>
      <c r="AS963"/>
      <c r="AT963"/>
      <c r="AU963"/>
      <c r="AV963"/>
      <c r="AW963"/>
      <c r="AX963"/>
    </row>
    <row r="964" spans="35:50">
      <c r="AI964" s="22"/>
      <c r="AJ964" s="22"/>
      <c r="AK964" s="22"/>
      <c r="AL964" s="22"/>
      <c r="AM964" s="22"/>
      <c r="AN964" s="22"/>
      <c r="AO964" s="22"/>
      <c r="AP964" s="22"/>
      <c r="AQ964"/>
      <c r="AR964"/>
      <c r="AS964"/>
      <c r="AT964"/>
      <c r="AU964"/>
      <c r="AV964"/>
      <c r="AW964"/>
      <c r="AX964"/>
    </row>
    <row r="965" spans="35:50">
      <c r="AI965" s="22"/>
      <c r="AJ965" s="22"/>
      <c r="AK965" s="22"/>
      <c r="AL965" s="22"/>
      <c r="AM965" s="22"/>
      <c r="AN965" s="22"/>
      <c r="AO965" s="22"/>
      <c r="AP965" s="22"/>
      <c r="AQ965"/>
      <c r="AR965"/>
      <c r="AS965"/>
      <c r="AT965"/>
      <c r="AU965"/>
      <c r="AV965"/>
      <c r="AW965"/>
      <c r="AX965"/>
    </row>
    <row r="966" spans="35:50">
      <c r="AI966" s="22"/>
      <c r="AJ966" s="22"/>
      <c r="AK966" s="22"/>
      <c r="AL966" s="22"/>
      <c r="AM966" s="22"/>
      <c r="AN966" s="22"/>
      <c r="AO966" s="22"/>
      <c r="AP966" s="22"/>
      <c r="AQ966"/>
      <c r="AR966"/>
      <c r="AS966"/>
      <c r="AT966"/>
      <c r="AU966"/>
      <c r="AV966"/>
      <c r="AW966"/>
      <c r="AX966"/>
    </row>
    <row r="967" spans="35:50">
      <c r="AI967" s="22"/>
      <c r="AJ967" s="22"/>
      <c r="AK967" s="22"/>
      <c r="AL967" s="22"/>
      <c r="AM967" s="22"/>
      <c r="AN967" s="22"/>
      <c r="AO967" s="22"/>
      <c r="AP967" s="22"/>
      <c r="AQ967"/>
      <c r="AR967"/>
      <c r="AS967"/>
      <c r="AT967"/>
      <c r="AU967"/>
      <c r="AV967"/>
      <c r="AW967"/>
      <c r="AX967"/>
    </row>
    <row r="968" spans="35:50">
      <c r="AI968" s="22"/>
      <c r="AJ968" s="22"/>
      <c r="AK968" s="22"/>
      <c r="AL968" s="22"/>
      <c r="AM968" s="22"/>
      <c r="AN968" s="22"/>
      <c r="AO968" s="22"/>
      <c r="AP968" s="22"/>
      <c r="AQ968"/>
      <c r="AR968"/>
      <c r="AS968"/>
      <c r="AT968"/>
      <c r="AU968"/>
      <c r="AV968"/>
      <c r="AW968"/>
      <c r="AX968"/>
    </row>
    <row r="969" spans="35:50">
      <c r="AI969" s="22"/>
      <c r="AJ969" s="22"/>
      <c r="AK969" s="22"/>
      <c r="AL969" s="22"/>
      <c r="AM969" s="22"/>
      <c r="AN969" s="22"/>
      <c r="AO969" s="22"/>
      <c r="AP969" s="22"/>
      <c r="AQ969"/>
      <c r="AR969"/>
      <c r="AS969"/>
      <c r="AT969"/>
      <c r="AU969"/>
      <c r="AV969"/>
      <c r="AW969"/>
      <c r="AX969"/>
    </row>
    <row r="970" spans="35:50">
      <c r="AI970" s="22"/>
      <c r="AJ970" s="22"/>
      <c r="AK970" s="22"/>
      <c r="AL970" s="22"/>
      <c r="AM970" s="22"/>
      <c r="AN970" s="22"/>
      <c r="AO970" s="22"/>
      <c r="AP970" s="22"/>
      <c r="AQ970"/>
      <c r="AR970"/>
      <c r="AS970"/>
      <c r="AT970"/>
      <c r="AU970"/>
      <c r="AV970"/>
      <c r="AW970"/>
      <c r="AX970"/>
    </row>
    <row r="971" spans="35:50">
      <c r="AI971" s="22"/>
      <c r="AJ971" s="22"/>
      <c r="AK971" s="22"/>
      <c r="AL971" s="22"/>
      <c r="AM971" s="22"/>
      <c r="AN971" s="22"/>
      <c r="AO971" s="22"/>
      <c r="AP971" s="22"/>
      <c r="AQ971"/>
      <c r="AR971"/>
      <c r="AS971"/>
      <c r="AT971"/>
      <c r="AU971"/>
      <c r="AV971"/>
      <c r="AW971"/>
      <c r="AX971"/>
    </row>
    <row r="972" spans="35:50">
      <c r="AI972" s="22"/>
      <c r="AJ972" s="22"/>
      <c r="AK972" s="22"/>
      <c r="AL972" s="22"/>
      <c r="AM972" s="22"/>
      <c r="AN972" s="22"/>
      <c r="AO972" s="22"/>
      <c r="AP972" s="22"/>
      <c r="AQ972"/>
      <c r="AR972"/>
      <c r="AS972"/>
      <c r="AT972"/>
      <c r="AU972"/>
      <c r="AV972"/>
      <c r="AW972"/>
      <c r="AX972"/>
    </row>
    <row r="973" spans="35:50">
      <c r="AI973" s="22"/>
      <c r="AJ973" s="22"/>
      <c r="AK973" s="22"/>
      <c r="AL973" s="22"/>
      <c r="AM973" s="22"/>
      <c r="AN973" s="22"/>
      <c r="AO973" s="22"/>
      <c r="AP973" s="22"/>
      <c r="AQ973"/>
      <c r="AR973"/>
      <c r="AS973"/>
      <c r="AT973"/>
      <c r="AU973"/>
      <c r="AV973"/>
      <c r="AW973"/>
      <c r="AX973"/>
    </row>
    <row r="974" spans="35:50">
      <c r="AI974" s="22"/>
      <c r="AJ974" s="22"/>
      <c r="AK974" s="22"/>
      <c r="AL974" s="22"/>
      <c r="AM974" s="22"/>
      <c r="AN974" s="22"/>
      <c r="AO974" s="22"/>
      <c r="AP974" s="22"/>
      <c r="AQ974"/>
      <c r="AR974"/>
      <c r="AS974"/>
      <c r="AT974"/>
      <c r="AU974"/>
      <c r="AV974"/>
      <c r="AW974"/>
      <c r="AX974"/>
    </row>
    <row r="975" spans="35:50">
      <c r="AI975" s="22"/>
      <c r="AJ975" s="22"/>
      <c r="AK975" s="22"/>
      <c r="AL975" s="22"/>
      <c r="AM975" s="22"/>
      <c r="AN975" s="22"/>
      <c r="AO975" s="22"/>
      <c r="AP975" s="22"/>
      <c r="AQ975"/>
      <c r="AR975"/>
      <c r="AS975"/>
      <c r="AT975"/>
      <c r="AU975"/>
      <c r="AV975"/>
      <c r="AW975"/>
      <c r="AX975"/>
    </row>
    <row r="976" spans="35:50">
      <c r="AI976" s="22"/>
      <c r="AJ976" s="22"/>
      <c r="AK976" s="22"/>
      <c r="AL976" s="22"/>
      <c r="AM976" s="22"/>
      <c r="AN976" s="22"/>
      <c r="AO976" s="22"/>
      <c r="AP976" s="22"/>
      <c r="AQ976"/>
      <c r="AR976"/>
      <c r="AS976"/>
      <c r="AT976"/>
      <c r="AU976"/>
      <c r="AV976"/>
      <c r="AW976"/>
      <c r="AX976"/>
    </row>
    <row r="977" spans="35:50">
      <c r="AI977" s="22"/>
      <c r="AJ977" s="22"/>
      <c r="AK977" s="22"/>
      <c r="AL977" s="22"/>
      <c r="AM977" s="22"/>
      <c r="AN977" s="22"/>
      <c r="AO977" s="22"/>
      <c r="AP977" s="22"/>
      <c r="AQ977"/>
      <c r="AR977"/>
      <c r="AS977"/>
      <c r="AT977"/>
      <c r="AU977"/>
      <c r="AV977"/>
      <c r="AW977"/>
      <c r="AX977"/>
    </row>
    <row r="978" spans="35:50">
      <c r="AI978" s="22"/>
      <c r="AJ978" s="22"/>
      <c r="AK978" s="22"/>
      <c r="AL978" s="22"/>
      <c r="AM978" s="22"/>
      <c r="AN978" s="22"/>
      <c r="AO978" s="22"/>
      <c r="AP978" s="22"/>
      <c r="AQ978"/>
      <c r="AR978"/>
      <c r="AS978"/>
      <c r="AT978"/>
      <c r="AU978"/>
      <c r="AV978"/>
      <c r="AW978"/>
      <c r="AX978"/>
    </row>
    <row r="979" spans="35:50">
      <c r="AI979" s="22"/>
      <c r="AJ979" s="22"/>
      <c r="AK979" s="22"/>
      <c r="AL979" s="22"/>
      <c r="AM979" s="22"/>
      <c r="AN979" s="22"/>
      <c r="AO979" s="22"/>
      <c r="AP979" s="22"/>
      <c r="AQ979"/>
      <c r="AR979"/>
      <c r="AS979"/>
      <c r="AT979"/>
      <c r="AU979"/>
      <c r="AV979"/>
      <c r="AW979"/>
      <c r="AX979"/>
    </row>
    <row r="980" spans="35:50">
      <c r="AI980" s="22"/>
      <c r="AJ980" s="22"/>
      <c r="AK980" s="22"/>
      <c r="AL980" s="22"/>
      <c r="AM980" s="22"/>
      <c r="AN980" s="22"/>
      <c r="AO980" s="22"/>
      <c r="AP980" s="22"/>
      <c r="AQ980"/>
      <c r="AR980"/>
      <c r="AS980"/>
      <c r="AT980"/>
      <c r="AU980"/>
      <c r="AV980"/>
      <c r="AW980"/>
      <c r="AX980"/>
    </row>
    <row r="981" spans="35:50">
      <c r="AI981" s="22"/>
      <c r="AJ981" s="22"/>
      <c r="AK981" s="22"/>
      <c r="AL981" s="22"/>
      <c r="AM981" s="22"/>
      <c r="AN981" s="22"/>
      <c r="AO981" s="22"/>
      <c r="AP981" s="22"/>
      <c r="AQ981"/>
      <c r="AR981"/>
      <c r="AS981"/>
      <c r="AT981"/>
      <c r="AU981"/>
      <c r="AV981"/>
      <c r="AW981"/>
      <c r="AX981"/>
    </row>
    <row r="982" spans="35:50">
      <c r="AI982" s="22"/>
      <c r="AJ982" s="22"/>
      <c r="AK982" s="22"/>
      <c r="AL982" s="22"/>
      <c r="AM982" s="22"/>
      <c r="AN982" s="22"/>
      <c r="AO982" s="22"/>
      <c r="AP982" s="22"/>
      <c r="AQ982"/>
      <c r="AR982"/>
      <c r="AS982"/>
      <c r="AT982"/>
      <c r="AU982"/>
      <c r="AV982"/>
      <c r="AW982"/>
      <c r="AX982"/>
    </row>
    <row r="983" spans="35:50">
      <c r="AI983" s="22"/>
      <c r="AJ983" s="22"/>
      <c r="AK983" s="22"/>
      <c r="AL983" s="22"/>
      <c r="AM983" s="22"/>
      <c r="AN983" s="22"/>
      <c r="AO983" s="22"/>
      <c r="AP983" s="22"/>
      <c r="AQ983"/>
      <c r="AR983"/>
      <c r="AS983"/>
      <c r="AT983"/>
      <c r="AU983"/>
      <c r="AV983"/>
      <c r="AW983"/>
      <c r="AX983"/>
    </row>
    <row r="984" spans="35:50">
      <c r="AI984" s="22"/>
      <c r="AJ984" s="22"/>
      <c r="AK984" s="22"/>
      <c r="AL984" s="22"/>
      <c r="AM984" s="22"/>
      <c r="AN984" s="22"/>
      <c r="AO984" s="22"/>
      <c r="AP984" s="22"/>
      <c r="AQ984"/>
      <c r="AR984"/>
      <c r="AS984"/>
      <c r="AT984"/>
      <c r="AU984"/>
      <c r="AV984"/>
      <c r="AW984"/>
      <c r="AX984"/>
    </row>
    <row r="985" spans="35:50">
      <c r="AI985" s="22"/>
      <c r="AJ985" s="22"/>
      <c r="AK985" s="22"/>
      <c r="AL985" s="22"/>
      <c r="AM985" s="22"/>
      <c r="AN985" s="22"/>
      <c r="AO985" s="22"/>
      <c r="AP985" s="22"/>
      <c r="AQ985"/>
      <c r="AR985"/>
      <c r="AS985"/>
      <c r="AT985"/>
      <c r="AU985"/>
      <c r="AV985"/>
      <c r="AW985"/>
      <c r="AX985"/>
    </row>
    <row r="986" spans="35:50">
      <c r="AI986" s="22"/>
      <c r="AJ986" s="22"/>
      <c r="AK986" s="22"/>
      <c r="AL986" s="22"/>
      <c r="AM986" s="22"/>
      <c r="AN986" s="22"/>
      <c r="AO986" s="22"/>
      <c r="AP986" s="22"/>
      <c r="AQ986"/>
      <c r="AR986"/>
      <c r="AS986"/>
      <c r="AT986"/>
      <c r="AU986"/>
      <c r="AV986"/>
      <c r="AW986"/>
      <c r="AX986"/>
    </row>
    <row r="987" spans="35:50">
      <c r="AI987" s="22"/>
      <c r="AJ987" s="22"/>
      <c r="AK987" s="22"/>
      <c r="AL987" s="22"/>
      <c r="AM987" s="22"/>
      <c r="AN987" s="22"/>
      <c r="AO987" s="22"/>
      <c r="AP987" s="22"/>
      <c r="AQ987"/>
      <c r="AR987"/>
      <c r="AS987"/>
      <c r="AT987"/>
      <c r="AU987"/>
      <c r="AV987"/>
      <c r="AW987"/>
      <c r="AX987"/>
    </row>
    <row r="988" spans="35:50">
      <c r="AI988" s="22"/>
      <c r="AJ988" s="22"/>
      <c r="AK988" s="22"/>
      <c r="AL988" s="22"/>
      <c r="AM988" s="22"/>
      <c r="AN988" s="22"/>
      <c r="AO988" s="22"/>
      <c r="AP988" s="22"/>
      <c r="AQ988"/>
      <c r="AR988"/>
      <c r="AS988"/>
      <c r="AT988"/>
      <c r="AU988"/>
      <c r="AV988"/>
      <c r="AW988"/>
      <c r="AX988"/>
    </row>
    <row r="989" spans="35:50">
      <c r="AI989" s="22"/>
      <c r="AJ989" s="22"/>
      <c r="AK989" s="22"/>
      <c r="AL989" s="22"/>
      <c r="AM989" s="22"/>
      <c r="AN989" s="22"/>
      <c r="AO989" s="22"/>
      <c r="AP989" s="22"/>
      <c r="AQ989"/>
      <c r="AR989"/>
      <c r="AS989"/>
      <c r="AT989"/>
      <c r="AU989"/>
      <c r="AV989"/>
      <c r="AW989"/>
      <c r="AX989"/>
    </row>
    <row r="990" spans="35:50">
      <c r="AI990" s="22"/>
      <c r="AJ990" s="22"/>
      <c r="AK990" s="22"/>
      <c r="AL990" s="22"/>
      <c r="AM990" s="22"/>
      <c r="AN990" s="22"/>
      <c r="AO990" s="22"/>
      <c r="AP990" s="22"/>
      <c r="AQ990"/>
      <c r="AR990"/>
      <c r="AS990"/>
      <c r="AT990"/>
      <c r="AU990"/>
      <c r="AV990"/>
      <c r="AW990"/>
      <c r="AX990"/>
    </row>
    <row r="991" spans="35:50">
      <c r="AI991" s="22"/>
      <c r="AJ991" s="22"/>
      <c r="AK991" s="22"/>
      <c r="AL991" s="22"/>
      <c r="AM991" s="22"/>
      <c r="AN991" s="22"/>
      <c r="AO991" s="22"/>
      <c r="AP991" s="22"/>
      <c r="AQ991"/>
      <c r="AR991"/>
      <c r="AS991"/>
      <c r="AT991"/>
      <c r="AU991"/>
      <c r="AV991"/>
      <c r="AW991"/>
      <c r="AX991"/>
    </row>
    <row r="992" spans="35:50">
      <c r="AI992" s="22"/>
      <c r="AJ992" s="22"/>
      <c r="AK992" s="22"/>
      <c r="AL992" s="22"/>
      <c r="AM992" s="22"/>
      <c r="AN992" s="22"/>
      <c r="AO992" s="22"/>
      <c r="AP992" s="22"/>
      <c r="AQ992"/>
      <c r="AR992"/>
      <c r="AS992"/>
      <c r="AT992"/>
      <c r="AU992"/>
      <c r="AV992"/>
      <c r="AW992"/>
      <c r="AX992"/>
    </row>
    <row r="993" spans="35:50">
      <c r="AI993" s="22"/>
      <c r="AJ993" s="22"/>
      <c r="AK993" s="22"/>
      <c r="AL993" s="22"/>
      <c r="AM993" s="22"/>
      <c r="AN993" s="22"/>
      <c r="AO993" s="22"/>
      <c r="AP993" s="22"/>
      <c r="AQ993"/>
      <c r="AR993"/>
      <c r="AS993"/>
      <c r="AT993"/>
      <c r="AU993"/>
      <c r="AV993"/>
      <c r="AW993"/>
      <c r="AX993"/>
    </row>
    <row r="994" spans="35:50">
      <c r="AI994" s="22"/>
      <c r="AJ994" s="22"/>
      <c r="AK994" s="22"/>
      <c r="AL994" s="22"/>
      <c r="AM994" s="22"/>
      <c r="AN994" s="22"/>
      <c r="AO994" s="22"/>
      <c r="AP994" s="22"/>
      <c r="AQ994"/>
      <c r="AR994"/>
      <c r="AS994"/>
      <c r="AT994"/>
      <c r="AU994"/>
      <c r="AV994"/>
      <c r="AW994"/>
      <c r="AX994"/>
    </row>
    <row r="995" spans="35:50">
      <c r="AI995" s="22"/>
      <c r="AJ995" s="22"/>
      <c r="AK995" s="22"/>
      <c r="AL995" s="22"/>
      <c r="AM995" s="22"/>
      <c r="AN995" s="22"/>
      <c r="AO995" s="22"/>
      <c r="AP995" s="22"/>
      <c r="AQ995"/>
      <c r="AR995"/>
      <c r="AS995"/>
      <c r="AT995"/>
      <c r="AU995"/>
      <c r="AV995"/>
      <c r="AW995"/>
      <c r="AX995"/>
    </row>
    <row r="996" spans="35:50">
      <c r="AI996" s="22"/>
      <c r="AJ996" s="22"/>
      <c r="AK996" s="22"/>
      <c r="AL996" s="22"/>
      <c r="AM996" s="22"/>
      <c r="AN996" s="22"/>
      <c r="AO996" s="22"/>
      <c r="AP996" s="22"/>
      <c r="AQ996"/>
      <c r="AR996"/>
      <c r="AS996"/>
      <c r="AT996"/>
      <c r="AU996"/>
      <c r="AV996"/>
      <c r="AW996"/>
      <c r="AX996"/>
    </row>
    <row r="997" spans="35:50">
      <c r="AI997" s="22"/>
      <c r="AJ997" s="22"/>
      <c r="AK997" s="22"/>
      <c r="AL997" s="22"/>
      <c r="AM997" s="22"/>
      <c r="AN997" s="22"/>
      <c r="AO997" s="22"/>
      <c r="AP997" s="22"/>
      <c r="AQ997"/>
      <c r="AR997"/>
      <c r="AS997"/>
      <c r="AT997"/>
      <c r="AU997"/>
      <c r="AV997"/>
      <c r="AW997"/>
      <c r="AX997"/>
    </row>
    <row r="998" spans="35:50">
      <c r="AI998" s="22"/>
      <c r="AJ998" s="22"/>
      <c r="AK998" s="22"/>
      <c r="AL998" s="22"/>
      <c r="AM998" s="22"/>
      <c r="AN998" s="22"/>
      <c r="AO998" s="22"/>
      <c r="AP998" s="22"/>
      <c r="AQ998"/>
      <c r="AR998"/>
      <c r="AS998"/>
      <c r="AT998"/>
      <c r="AU998"/>
      <c r="AV998"/>
      <c r="AW998"/>
      <c r="AX998"/>
    </row>
    <row r="999" spans="35:50">
      <c r="AI999" s="22"/>
      <c r="AJ999" s="22"/>
      <c r="AK999" s="22"/>
      <c r="AL999" s="22"/>
      <c r="AM999" s="22"/>
      <c r="AN999" s="22"/>
      <c r="AO999" s="22"/>
      <c r="AP999" s="22"/>
      <c r="AQ999"/>
      <c r="AR999"/>
      <c r="AS999"/>
      <c r="AT999"/>
      <c r="AU999"/>
      <c r="AV999"/>
      <c r="AW999"/>
      <c r="AX999"/>
    </row>
    <row r="1000" spans="35:50">
      <c r="AI1000" s="22"/>
      <c r="AJ1000" s="22"/>
      <c r="AK1000" s="22"/>
      <c r="AL1000" s="22"/>
      <c r="AM1000" s="22"/>
      <c r="AN1000" s="22"/>
      <c r="AO1000" s="22"/>
      <c r="AP1000" s="22"/>
      <c r="AQ1000"/>
      <c r="AR1000"/>
      <c r="AS1000"/>
      <c r="AT1000"/>
      <c r="AU1000"/>
      <c r="AV1000"/>
      <c r="AW1000"/>
      <c r="AX1000"/>
    </row>
    <row r="1001" spans="35:50">
      <c r="AI1001" s="22"/>
      <c r="AJ1001" s="22"/>
      <c r="AK1001" s="22"/>
      <c r="AL1001" s="22"/>
      <c r="AM1001" s="22"/>
      <c r="AN1001" s="22"/>
      <c r="AO1001" s="22"/>
      <c r="AP1001" s="22"/>
      <c r="AQ1001"/>
      <c r="AR1001"/>
      <c r="AS1001"/>
      <c r="AT1001"/>
      <c r="AU1001"/>
      <c r="AV1001"/>
      <c r="AW1001"/>
      <c r="AX1001"/>
    </row>
    <row r="1002" spans="35:50">
      <c r="AI1002" s="22"/>
      <c r="AJ1002" s="22"/>
      <c r="AK1002" s="22"/>
      <c r="AL1002" s="22"/>
      <c r="AM1002" s="22"/>
      <c r="AN1002" s="22"/>
      <c r="AO1002" s="22"/>
      <c r="AP1002" s="22"/>
      <c r="AQ1002"/>
      <c r="AR1002"/>
      <c r="AS1002"/>
      <c r="AT1002"/>
      <c r="AU1002"/>
      <c r="AV1002"/>
      <c r="AW1002"/>
      <c r="AX1002"/>
    </row>
    <row r="1003" spans="35:50">
      <c r="AI1003" s="22"/>
      <c r="AJ1003" s="22"/>
      <c r="AK1003" s="22"/>
      <c r="AL1003" s="22"/>
      <c r="AM1003" s="22"/>
      <c r="AN1003" s="22"/>
      <c r="AO1003" s="22"/>
      <c r="AP1003" s="22"/>
      <c r="AQ1003"/>
      <c r="AR1003"/>
      <c r="AS1003"/>
      <c r="AT1003"/>
      <c r="AU1003"/>
      <c r="AV1003"/>
      <c r="AW1003"/>
      <c r="AX1003"/>
    </row>
    <row r="1004" spans="35:50">
      <c r="AI1004" s="22"/>
      <c r="AJ1004" s="22"/>
      <c r="AK1004" s="22"/>
      <c r="AL1004" s="22"/>
      <c r="AM1004" s="22"/>
      <c r="AN1004" s="22"/>
      <c r="AO1004" s="22"/>
      <c r="AP1004" s="22"/>
      <c r="AQ1004"/>
      <c r="AR1004"/>
      <c r="AS1004"/>
      <c r="AT1004"/>
      <c r="AU1004"/>
      <c r="AV1004"/>
      <c r="AW1004"/>
      <c r="AX1004"/>
    </row>
    <row r="1005" spans="35:50">
      <c r="AI1005" s="22"/>
      <c r="AJ1005" s="22"/>
      <c r="AK1005" s="22"/>
      <c r="AL1005" s="22"/>
      <c r="AM1005" s="22"/>
      <c r="AN1005" s="22"/>
      <c r="AO1005" s="22"/>
      <c r="AP1005" s="22"/>
      <c r="AQ1005"/>
      <c r="AR1005"/>
      <c r="AS1005"/>
      <c r="AT1005"/>
      <c r="AU1005"/>
      <c r="AV1005"/>
      <c r="AW1005"/>
      <c r="AX1005"/>
    </row>
    <row r="1006" spans="35:50">
      <c r="AI1006" s="22"/>
      <c r="AJ1006" s="22"/>
      <c r="AK1006" s="22"/>
      <c r="AL1006" s="22"/>
      <c r="AM1006" s="22"/>
      <c r="AN1006" s="22"/>
      <c r="AO1006" s="22"/>
      <c r="AP1006" s="22"/>
      <c r="AQ1006"/>
      <c r="AR1006"/>
      <c r="AS1006"/>
      <c r="AT1006"/>
      <c r="AU1006"/>
      <c r="AV1006"/>
      <c r="AW1006"/>
      <c r="AX1006"/>
    </row>
    <row r="1007" spans="35:50">
      <c r="AI1007" s="22"/>
      <c r="AJ1007" s="22"/>
      <c r="AK1007" s="22"/>
      <c r="AL1007" s="22"/>
      <c r="AM1007" s="22"/>
      <c r="AN1007" s="22"/>
      <c r="AO1007" s="22"/>
      <c r="AP1007" s="22"/>
      <c r="AQ1007"/>
      <c r="AR1007"/>
      <c r="AS1007"/>
      <c r="AT1007"/>
      <c r="AU1007"/>
      <c r="AV1007"/>
      <c r="AW1007"/>
      <c r="AX1007"/>
    </row>
    <row r="1008" spans="35:50">
      <c r="AI1008" s="22"/>
      <c r="AJ1008" s="22"/>
      <c r="AK1008" s="22"/>
      <c r="AL1008" s="22"/>
      <c r="AM1008" s="22"/>
      <c r="AN1008" s="22"/>
      <c r="AO1008" s="22"/>
      <c r="AP1008" s="22"/>
      <c r="AQ1008"/>
      <c r="AR1008"/>
      <c r="AS1008"/>
      <c r="AT1008"/>
      <c r="AU1008"/>
      <c r="AV1008"/>
      <c r="AW1008"/>
      <c r="AX1008"/>
    </row>
    <row r="1009" spans="35:50">
      <c r="AI1009" s="22"/>
      <c r="AJ1009" s="22"/>
      <c r="AK1009" s="22"/>
      <c r="AL1009" s="22"/>
      <c r="AM1009" s="22"/>
      <c r="AN1009" s="22"/>
      <c r="AO1009" s="22"/>
      <c r="AP1009" s="22"/>
      <c r="AQ1009"/>
      <c r="AR1009"/>
      <c r="AS1009"/>
      <c r="AT1009"/>
      <c r="AU1009"/>
      <c r="AV1009"/>
      <c r="AW1009"/>
      <c r="AX1009"/>
    </row>
    <row r="1010" spans="35:50">
      <c r="AI1010" s="22"/>
      <c r="AJ1010" s="22"/>
      <c r="AK1010" s="22"/>
      <c r="AL1010" s="22"/>
      <c r="AM1010" s="22"/>
      <c r="AN1010" s="22"/>
      <c r="AO1010" s="22"/>
      <c r="AP1010" s="22"/>
      <c r="AQ1010"/>
      <c r="AR1010"/>
      <c r="AS1010"/>
      <c r="AT1010"/>
      <c r="AU1010"/>
      <c r="AV1010"/>
      <c r="AW1010"/>
      <c r="AX1010"/>
    </row>
    <row r="1011" spans="35:50">
      <c r="AI1011" s="22"/>
      <c r="AJ1011" s="22"/>
      <c r="AK1011" s="22"/>
      <c r="AL1011" s="22"/>
      <c r="AM1011" s="22"/>
      <c r="AN1011" s="22"/>
      <c r="AO1011" s="22"/>
      <c r="AP1011" s="22"/>
      <c r="AQ1011"/>
      <c r="AR1011"/>
      <c r="AS1011"/>
      <c r="AT1011"/>
      <c r="AU1011"/>
      <c r="AV1011"/>
      <c r="AW1011"/>
      <c r="AX1011"/>
    </row>
    <row r="1012" spans="35:50">
      <c r="AI1012" s="22"/>
      <c r="AJ1012" s="22"/>
      <c r="AK1012" s="22"/>
      <c r="AL1012" s="22"/>
      <c r="AM1012" s="22"/>
      <c r="AN1012" s="22"/>
      <c r="AO1012" s="22"/>
      <c r="AP1012" s="22"/>
      <c r="AQ1012"/>
      <c r="AR1012"/>
      <c r="AS1012"/>
      <c r="AT1012"/>
      <c r="AU1012"/>
      <c r="AV1012"/>
      <c r="AW1012"/>
      <c r="AX1012"/>
    </row>
    <row r="1013" spans="35:50">
      <c r="AI1013" s="22"/>
      <c r="AJ1013" s="22"/>
      <c r="AK1013" s="22"/>
      <c r="AL1013" s="22"/>
      <c r="AM1013" s="22"/>
      <c r="AN1013" s="22"/>
      <c r="AO1013" s="22"/>
      <c r="AP1013" s="22"/>
      <c r="AQ1013"/>
      <c r="AR1013"/>
      <c r="AS1013"/>
      <c r="AT1013"/>
      <c r="AU1013"/>
      <c r="AV1013"/>
      <c r="AW1013"/>
      <c r="AX1013"/>
    </row>
    <row r="1014" spans="35:50">
      <c r="AI1014" s="22"/>
      <c r="AJ1014" s="22"/>
      <c r="AK1014" s="22"/>
      <c r="AL1014" s="22"/>
      <c r="AM1014" s="22"/>
      <c r="AN1014" s="22"/>
      <c r="AO1014" s="22"/>
      <c r="AP1014" s="22"/>
      <c r="AQ1014"/>
      <c r="AR1014"/>
      <c r="AS1014"/>
      <c r="AT1014"/>
      <c r="AU1014"/>
      <c r="AV1014"/>
      <c r="AW1014"/>
      <c r="AX1014"/>
    </row>
    <row r="1015" spans="35:50">
      <c r="AI1015" s="22"/>
      <c r="AJ1015" s="22"/>
      <c r="AK1015" s="22"/>
      <c r="AL1015" s="22"/>
      <c r="AM1015" s="22"/>
      <c r="AN1015" s="22"/>
      <c r="AO1015" s="22"/>
      <c r="AP1015" s="22"/>
      <c r="AQ1015"/>
      <c r="AR1015"/>
      <c r="AS1015"/>
      <c r="AT1015"/>
      <c r="AU1015"/>
      <c r="AV1015"/>
      <c r="AW1015"/>
      <c r="AX1015"/>
    </row>
    <row r="1016" spans="35:50">
      <c r="AI1016" s="22"/>
      <c r="AJ1016" s="22"/>
      <c r="AK1016" s="22"/>
      <c r="AL1016" s="22"/>
      <c r="AM1016" s="22"/>
      <c r="AN1016" s="22"/>
      <c r="AO1016" s="22"/>
      <c r="AP1016" s="22"/>
      <c r="AQ1016"/>
      <c r="AR1016"/>
      <c r="AS1016"/>
      <c r="AT1016"/>
      <c r="AU1016"/>
      <c r="AV1016"/>
      <c r="AW1016"/>
      <c r="AX1016"/>
    </row>
    <row r="1017" spans="35:50">
      <c r="AI1017" s="22"/>
      <c r="AJ1017" s="22"/>
      <c r="AK1017" s="22"/>
      <c r="AL1017" s="22"/>
      <c r="AM1017" s="22"/>
      <c r="AN1017" s="22"/>
      <c r="AO1017" s="22"/>
      <c r="AP1017" s="22"/>
      <c r="AQ1017"/>
      <c r="AR1017"/>
      <c r="AS1017"/>
      <c r="AT1017"/>
      <c r="AU1017"/>
      <c r="AV1017"/>
      <c r="AW1017"/>
      <c r="AX1017"/>
    </row>
    <row r="1018" spans="35:50">
      <c r="AI1018" s="22"/>
      <c r="AJ1018" s="22"/>
      <c r="AK1018" s="22"/>
      <c r="AL1018" s="22"/>
      <c r="AM1018" s="22"/>
      <c r="AN1018" s="22"/>
      <c r="AO1018" s="22"/>
      <c r="AP1018" s="22"/>
      <c r="AQ1018"/>
      <c r="AR1018"/>
      <c r="AS1018"/>
      <c r="AT1018"/>
      <c r="AU1018"/>
      <c r="AV1018"/>
      <c r="AW1018"/>
      <c r="AX1018"/>
    </row>
    <row r="1019" spans="35:50">
      <c r="AI1019" s="22"/>
      <c r="AJ1019" s="22"/>
      <c r="AK1019" s="22"/>
      <c r="AL1019" s="22"/>
      <c r="AM1019" s="22"/>
      <c r="AN1019" s="22"/>
      <c r="AO1019" s="22"/>
      <c r="AP1019" s="22"/>
      <c r="AQ1019"/>
      <c r="AR1019"/>
      <c r="AS1019"/>
      <c r="AT1019"/>
      <c r="AU1019"/>
      <c r="AV1019"/>
      <c r="AW1019"/>
      <c r="AX1019"/>
    </row>
    <row r="1020" spans="35:50">
      <c r="AI1020" s="22"/>
      <c r="AJ1020" s="22"/>
      <c r="AK1020" s="22"/>
      <c r="AL1020" s="22"/>
      <c r="AM1020" s="22"/>
      <c r="AN1020" s="22"/>
      <c r="AO1020" s="22"/>
      <c r="AP1020" s="22"/>
      <c r="AQ1020"/>
      <c r="AR1020"/>
      <c r="AS1020"/>
      <c r="AT1020"/>
      <c r="AU1020"/>
      <c r="AV1020"/>
      <c r="AW1020"/>
      <c r="AX1020"/>
    </row>
    <row r="1021" spans="35:50">
      <c r="AI1021" s="22"/>
      <c r="AJ1021" s="22"/>
      <c r="AK1021" s="22"/>
      <c r="AL1021" s="22"/>
      <c r="AM1021" s="22"/>
      <c r="AN1021" s="22"/>
      <c r="AO1021" s="22"/>
      <c r="AP1021" s="22"/>
      <c r="AQ1021"/>
      <c r="AR1021"/>
      <c r="AS1021"/>
      <c r="AT1021"/>
      <c r="AU1021"/>
      <c r="AV1021"/>
      <c r="AW1021"/>
      <c r="AX1021"/>
    </row>
    <row r="1022" spans="35:50">
      <c r="AI1022" s="22"/>
      <c r="AJ1022" s="22"/>
      <c r="AK1022" s="22"/>
      <c r="AL1022" s="22"/>
      <c r="AM1022" s="22"/>
      <c r="AN1022" s="22"/>
      <c r="AO1022" s="22"/>
      <c r="AP1022" s="22"/>
      <c r="AQ1022"/>
      <c r="AR1022"/>
      <c r="AS1022"/>
      <c r="AT1022"/>
      <c r="AU1022"/>
      <c r="AV1022"/>
      <c r="AW1022"/>
      <c r="AX1022"/>
    </row>
    <row r="1023" spans="35:50">
      <c r="AI1023" s="22"/>
      <c r="AJ1023" s="22"/>
      <c r="AK1023" s="22"/>
      <c r="AL1023" s="22"/>
      <c r="AM1023" s="22"/>
      <c r="AN1023" s="22"/>
      <c r="AO1023" s="22"/>
      <c r="AP1023" s="22"/>
      <c r="AQ1023"/>
      <c r="AR1023"/>
      <c r="AS1023"/>
      <c r="AT1023"/>
      <c r="AU1023"/>
      <c r="AV1023"/>
      <c r="AW1023"/>
      <c r="AX1023"/>
    </row>
    <row r="1024" spans="35:50">
      <c r="AI1024" s="22"/>
      <c r="AJ1024" s="22"/>
      <c r="AK1024" s="22"/>
      <c r="AL1024" s="22"/>
      <c r="AM1024" s="22"/>
      <c r="AN1024" s="22"/>
      <c r="AO1024" s="22"/>
      <c r="AP1024" s="22"/>
      <c r="AQ1024"/>
      <c r="AR1024"/>
      <c r="AS1024"/>
      <c r="AT1024"/>
      <c r="AU1024"/>
      <c r="AV1024"/>
      <c r="AW1024"/>
      <c r="AX1024"/>
    </row>
    <row r="1025" spans="35:50">
      <c r="AI1025" s="22"/>
      <c r="AJ1025" s="22"/>
      <c r="AK1025" s="22"/>
      <c r="AL1025" s="22"/>
      <c r="AM1025" s="22"/>
      <c r="AN1025" s="22"/>
      <c r="AO1025" s="22"/>
      <c r="AP1025" s="22"/>
      <c r="AQ1025"/>
      <c r="AR1025"/>
      <c r="AS1025"/>
      <c r="AT1025"/>
      <c r="AU1025"/>
      <c r="AV1025"/>
      <c r="AW1025"/>
      <c r="AX1025"/>
    </row>
    <row r="1026" spans="35:50">
      <c r="AI1026" s="22"/>
      <c r="AJ1026" s="22"/>
      <c r="AK1026" s="22"/>
      <c r="AL1026" s="22"/>
      <c r="AM1026" s="22"/>
      <c r="AN1026" s="22"/>
      <c r="AO1026" s="22"/>
      <c r="AP1026" s="22"/>
      <c r="AQ1026"/>
      <c r="AR1026"/>
      <c r="AS1026"/>
      <c r="AT1026"/>
      <c r="AU1026"/>
      <c r="AV1026"/>
      <c r="AW1026"/>
      <c r="AX1026"/>
    </row>
    <row r="1027" spans="35:50">
      <c r="AI1027" s="22"/>
      <c r="AJ1027" s="22"/>
      <c r="AK1027" s="22"/>
      <c r="AL1027" s="22"/>
      <c r="AM1027" s="22"/>
      <c r="AN1027" s="22"/>
      <c r="AO1027" s="22"/>
      <c r="AP1027" s="22"/>
      <c r="AQ1027"/>
      <c r="AR1027"/>
      <c r="AS1027"/>
      <c r="AT1027"/>
      <c r="AU1027"/>
      <c r="AV1027"/>
      <c r="AW1027"/>
      <c r="AX1027"/>
    </row>
    <row r="1028" spans="35:50">
      <c r="AI1028" s="22"/>
      <c r="AJ1028" s="22"/>
      <c r="AK1028" s="22"/>
      <c r="AL1028" s="22"/>
      <c r="AM1028" s="22"/>
      <c r="AN1028" s="22"/>
      <c r="AO1028" s="22"/>
      <c r="AP1028" s="22"/>
      <c r="AQ1028"/>
      <c r="AR1028"/>
      <c r="AS1028"/>
      <c r="AT1028"/>
      <c r="AU1028"/>
      <c r="AV1028"/>
      <c r="AW1028"/>
      <c r="AX1028"/>
    </row>
    <row r="1029" spans="35:50">
      <c r="AI1029" s="22"/>
      <c r="AJ1029" s="22"/>
      <c r="AK1029" s="22"/>
      <c r="AL1029" s="22"/>
      <c r="AM1029" s="22"/>
      <c r="AN1029" s="22"/>
      <c r="AO1029" s="22"/>
      <c r="AP1029" s="22"/>
      <c r="AQ1029"/>
      <c r="AR1029"/>
      <c r="AS1029"/>
      <c r="AT1029"/>
      <c r="AU1029"/>
      <c r="AV1029"/>
      <c r="AW1029"/>
      <c r="AX1029"/>
    </row>
    <row r="1030" spans="35:50">
      <c r="AI1030" s="22"/>
      <c r="AJ1030" s="22"/>
      <c r="AK1030" s="22"/>
      <c r="AL1030" s="22"/>
      <c r="AM1030" s="22"/>
      <c r="AN1030" s="22"/>
      <c r="AO1030" s="22"/>
      <c r="AP1030" s="22"/>
      <c r="AQ1030"/>
      <c r="AR1030"/>
      <c r="AS1030"/>
      <c r="AT1030"/>
      <c r="AU1030"/>
      <c r="AV1030"/>
      <c r="AW1030"/>
      <c r="AX1030"/>
    </row>
    <row r="1031" spans="35:50">
      <c r="AI1031" s="22"/>
      <c r="AJ1031" s="22"/>
      <c r="AK1031" s="22"/>
      <c r="AL1031" s="22"/>
      <c r="AM1031" s="22"/>
      <c r="AN1031" s="22"/>
      <c r="AO1031" s="22"/>
      <c r="AP1031" s="22"/>
      <c r="AQ1031"/>
      <c r="AR1031"/>
      <c r="AS1031"/>
      <c r="AT1031"/>
      <c r="AU1031"/>
      <c r="AV1031"/>
      <c r="AW1031"/>
      <c r="AX1031"/>
    </row>
    <row r="1032" spans="35:50">
      <c r="AI1032" s="22"/>
      <c r="AJ1032" s="22"/>
      <c r="AK1032" s="22"/>
      <c r="AL1032" s="22"/>
      <c r="AM1032" s="22"/>
      <c r="AN1032" s="22"/>
      <c r="AO1032" s="22"/>
      <c r="AP1032" s="22"/>
      <c r="AQ1032"/>
      <c r="AR1032"/>
      <c r="AS1032"/>
      <c r="AT1032"/>
      <c r="AU1032"/>
      <c r="AV1032"/>
      <c r="AW1032"/>
      <c r="AX1032"/>
    </row>
    <row r="1033" spans="35:50">
      <c r="AI1033" s="22"/>
      <c r="AJ1033" s="22"/>
      <c r="AK1033" s="22"/>
      <c r="AL1033" s="22"/>
      <c r="AM1033" s="22"/>
      <c r="AN1033" s="22"/>
      <c r="AO1033" s="22"/>
      <c r="AP1033" s="22"/>
      <c r="AQ1033"/>
      <c r="AR1033"/>
      <c r="AS1033"/>
      <c r="AT1033"/>
      <c r="AU1033"/>
      <c r="AV1033"/>
      <c r="AW1033"/>
      <c r="AX1033"/>
    </row>
    <row r="1034" spans="35:50">
      <c r="AI1034" s="22"/>
      <c r="AJ1034" s="22"/>
      <c r="AK1034" s="22"/>
      <c r="AL1034" s="22"/>
      <c r="AM1034" s="22"/>
      <c r="AN1034" s="22"/>
      <c r="AO1034" s="22"/>
      <c r="AP1034" s="22"/>
      <c r="AQ1034"/>
      <c r="AR1034"/>
      <c r="AS1034"/>
      <c r="AT1034"/>
      <c r="AU1034"/>
      <c r="AV1034"/>
      <c r="AW1034"/>
      <c r="AX1034"/>
    </row>
    <row r="1035" spans="35:50">
      <c r="AI1035" s="22"/>
      <c r="AJ1035" s="22"/>
      <c r="AK1035" s="22"/>
      <c r="AL1035" s="22"/>
      <c r="AM1035" s="22"/>
      <c r="AN1035" s="22"/>
      <c r="AO1035" s="22"/>
      <c r="AP1035" s="22"/>
      <c r="AQ1035"/>
      <c r="AR1035"/>
      <c r="AS1035"/>
      <c r="AT1035"/>
      <c r="AU1035"/>
      <c r="AV1035"/>
      <c r="AW1035"/>
      <c r="AX1035"/>
    </row>
    <row r="1036" spans="35:50">
      <c r="AI1036" s="22"/>
      <c r="AJ1036" s="22"/>
      <c r="AK1036" s="22"/>
      <c r="AL1036" s="22"/>
      <c r="AM1036" s="22"/>
      <c r="AN1036" s="22"/>
      <c r="AO1036" s="22"/>
      <c r="AP1036" s="22"/>
      <c r="AQ1036"/>
      <c r="AR1036"/>
      <c r="AS1036"/>
      <c r="AT1036"/>
      <c r="AU1036"/>
      <c r="AV1036"/>
      <c r="AW1036"/>
      <c r="AX1036"/>
    </row>
    <row r="1037" spans="35:50">
      <c r="AI1037" s="22"/>
      <c r="AJ1037" s="22"/>
      <c r="AK1037" s="22"/>
      <c r="AL1037" s="22"/>
      <c r="AM1037" s="22"/>
      <c r="AN1037" s="22"/>
      <c r="AO1037" s="22"/>
      <c r="AP1037" s="22"/>
      <c r="AQ1037"/>
      <c r="AR1037"/>
      <c r="AS1037"/>
      <c r="AT1037"/>
      <c r="AU1037"/>
      <c r="AV1037"/>
      <c r="AW1037"/>
      <c r="AX1037"/>
    </row>
    <row r="1038" spans="35:50">
      <c r="AI1038" s="22"/>
      <c r="AJ1038" s="22"/>
      <c r="AK1038" s="22"/>
      <c r="AL1038" s="22"/>
      <c r="AM1038" s="22"/>
      <c r="AN1038" s="22"/>
      <c r="AO1038" s="22"/>
      <c r="AP1038" s="22"/>
      <c r="AQ1038"/>
      <c r="AR1038"/>
      <c r="AS1038"/>
      <c r="AT1038"/>
      <c r="AU1038"/>
      <c r="AV1038"/>
      <c r="AW1038"/>
      <c r="AX1038"/>
    </row>
    <row r="1039" spans="35:50">
      <c r="AI1039" s="22"/>
      <c r="AJ1039" s="22"/>
      <c r="AK1039" s="22"/>
      <c r="AL1039" s="22"/>
      <c r="AM1039" s="22"/>
      <c r="AN1039" s="22"/>
      <c r="AO1039" s="22"/>
      <c r="AP1039" s="22"/>
      <c r="AQ1039"/>
      <c r="AR1039"/>
      <c r="AS1039"/>
      <c r="AT1039"/>
      <c r="AU1039"/>
      <c r="AV1039"/>
      <c r="AW1039"/>
      <c r="AX1039"/>
    </row>
    <row r="1040" spans="35:50">
      <c r="AI1040" s="22"/>
      <c r="AJ1040" s="22"/>
      <c r="AK1040" s="22"/>
      <c r="AL1040" s="22"/>
      <c r="AM1040" s="22"/>
      <c r="AN1040" s="22"/>
      <c r="AO1040" s="22"/>
      <c r="AP1040" s="22"/>
      <c r="AQ1040"/>
      <c r="AR1040"/>
      <c r="AS1040"/>
      <c r="AT1040"/>
      <c r="AU1040"/>
      <c r="AV1040"/>
      <c r="AW1040"/>
      <c r="AX1040"/>
    </row>
    <row r="1041" spans="35:50">
      <c r="AI1041" s="22"/>
      <c r="AJ1041" s="22"/>
      <c r="AK1041" s="22"/>
      <c r="AL1041" s="22"/>
      <c r="AM1041" s="22"/>
      <c r="AN1041" s="22"/>
      <c r="AO1041" s="22"/>
      <c r="AP1041" s="22"/>
      <c r="AQ1041"/>
      <c r="AR1041"/>
      <c r="AS1041"/>
      <c r="AT1041"/>
      <c r="AU1041"/>
      <c r="AV1041"/>
      <c r="AW1041"/>
      <c r="AX1041"/>
    </row>
    <row r="1042" spans="35:50">
      <c r="AI1042" s="22"/>
      <c r="AJ1042" s="22"/>
      <c r="AK1042" s="22"/>
      <c r="AL1042" s="22"/>
      <c r="AM1042" s="22"/>
      <c r="AN1042" s="22"/>
      <c r="AO1042" s="22"/>
      <c r="AP1042" s="22"/>
      <c r="AQ1042"/>
      <c r="AR1042"/>
      <c r="AS1042"/>
      <c r="AT1042"/>
      <c r="AU1042"/>
      <c r="AV1042"/>
      <c r="AW1042"/>
      <c r="AX1042"/>
    </row>
    <row r="1043" spans="35:50">
      <c r="AI1043" s="22"/>
      <c r="AJ1043" s="22"/>
      <c r="AK1043" s="22"/>
      <c r="AL1043" s="22"/>
      <c r="AM1043" s="22"/>
      <c r="AN1043" s="22"/>
      <c r="AO1043" s="22"/>
      <c r="AP1043" s="22"/>
      <c r="AQ1043"/>
      <c r="AR1043"/>
      <c r="AS1043"/>
      <c r="AT1043"/>
      <c r="AU1043"/>
      <c r="AV1043"/>
      <c r="AW1043"/>
      <c r="AX1043"/>
    </row>
    <row r="1044" spans="35:50">
      <c r="AI1044" s="22"/>
      <c r="AJ1044" s="22"/>
      <c r="AK1044" s="22"/>
      <c r="AL1044" s="22"/>
      <c r="AM1044" s="22"/>
      <c r="AN1044" s="22"/>
      <c r="AO1044" s="22"/>
      <c r="AP1044" s="22"/>
      <c r="AQ1044"/>
      <c r="AR1044"/>
      <c r="AS1044"/>
      <c r="AT1044"/>
      <c r="AU1044"/>
      <c r="AV1044"/>
      <c r="AW1044"/>
      <c r="AX1044"/>
    </row>
    <row r="1045" spans="35:50">
      <c r="AI1045" s="22"/>
      <c r="AJ1045" s="22"/>
      <c r="AK1045" s="22"/>
      <c r="AL1045" s="22"/>
      <c r="AM1045" s="22"/>
      <c r="AN1045" s="22"/>
      <c r="AO1045" s="22"/>
      <c r="AP1045" s="22"/>
      <c r="AQ1045"/>
      <c r="AR1045"/>
      <c r="AS1045"/>
      <c r="AT1045"/>
      <c r="AU1045"/>
      <c r="AV1045"/>
      <c r="AW1045"/>
      <c r="AX1045"/>
    </row>
    <row r="1046" spans="35:50">
      <c r="AI1046" s="22"/>
      <c r="AJ1046" s="22"/>
      <c r="AK1046" s="22"/>
      <c r="AL1046" s="22"/>
      <c r="AM1046" s="22"/>
      <c r="AN1046" s="22"/>
      <c r="AO1046" s="22"/>
      <c r="AP1046" s="22"/>
      <c r="AQ1046"/>
      <c r="AR1046"/>
      <c r="AS1046"/>
      <c r="AT1046"/>
      <c r="AU1046"/>
      <c r="AV1046"/>
      <c r="AW1046"/>
      <c r="AX1046"/>
    </row>
    <row r="1047" spans="35:50">
      <c r="AI1047" s="22"/>
      <c r="AJ1047" s="22"/>
      <c r="AK1047" s="22"/>
      <c r="AL1047" s="22"/>
      <c r="AM1047" s="22"/>
      <c r="AN1047" s="22"/>
      <c r="AO1047" s="22"/>
      <c r="AP1047" s="22"/>
      <c r="AQ1047"/>
      <c r="AR1047"/>
      <c r="AS1047"/>
      <c r="AT1047"/>
      <c r="AU1047"/>
      <c r="AV1047"/>
      <c r="AW1047"/>
      <c r="AX1047"/>
    </row>
    <row r="1048" spans="35:50">
      <c r="AI1048" s="22"/>
      <c r="AJ1048" s="22"/>
      <c r="AK1048" s="22"/>
      <c r="AL1048" s="22"/>
      <c r="AM1048" s="22"/>
      <c r="AN1048" s="22"/>
      <c r="AO1048" s="22"/>
      <c r="AP1048" s="22"/>
      <c r="AQ1048"/>
      <c r="AR1048"/>
      <c r="AS1048"/>
      <c r="AT1048"/>
      <c r="AU1048"/>
      <c r="AV1048"/>
      <c r="AW1048"/>
      <c r="AX1048"/>
    </row>
    <row r="1049" spans="35:50">
      <c r="AI1049" s="22"/>
      <c r="AJ1049" s="22"/>
      <c r="AK1049" s="22"/>
      <c r="AL1049" s="22"/>
      <c r="AM1049" s="22"/>
      <c r="AN1049" s="22"/>
      <c r="AO1049" s="22"/>
      <c r="AP1049" s="22"/>
      <c r="AQ1049"/>
      <c r="AR1049"/>
      <c r="AS1049"/>
      <c r="AT1049"/>
      <c r="AU1049"/>
      <c r="AV1049"/>
      <c r="AW1049"/>
      <c r="AX1049"/>
    </row>
    <row r="1050" spans="35:50">
      <c r="AI1050" s="22"/>
      <c r="AJ1050" s="22"/>
      <c r="AK1050" s="22"/>
      <c r="AL1050" s="22"/>
      <c r="AM1050" s="22"/>
      <c r="AN1050" s="22"/>
      <c r="AO1050" s="22"/>
      <c r="AP1050" s="22"/>
      <c r="AQ1050"/>
      <c r="AR1050"/>
      <c r="AS1050"/>
      <c r="AT1050"/>
      <c r="AU1050"/>
      <c r="AV1050"/>
      <c r="AW1050"/>
      <c r="AX1050"/>
    </row>
    <row r="1051" spans="35:50">
      <c r="AI1051" s="22"/>
      <c r="AJ1051" s="22"/>
      <c r="AK1051" s="22"/>
      <c r="AL1051" s="22"/>
      <c r="AM1051" s="22"/>
      <c r="AN1051" s="22"/>
      <c r="AO1051" s="22"/>
      <c r="AP1051" s="22"/>
      <c r="AQ1051"/>
      <c r="AR1051"/>
      <c r="AS1051"/>
      <c r="AT1051"/>
      <c r="AU1051"/>
      <c r="AV1051"/>
      <c r="AW1051"/>
      <c r="AX1051"/>
    </row>
    <row r="1052" spans="35:50">
      <c r="AI1052" s="22"/>
      <c r="AJ1052" s="22"/>
      <c r="AK1052" s="22"/>
      <c r="AL1052" s="22"/>
      <c r="AM1052" s="22"/>
      <c r="AN1052" s="22"/>
      <c r="AO1052" s="22"/>
      <c r="AP1052" s="22"/>
      <c r="AQ1052"/>
      <c r="AR1052"/>
      <c r="AS1052"/>
      <c r="AT1052"/>
      <c r="AU1052"/>
      <c r="AV1052"/>
      <c r="AW1052"/>
      <c r="AX1052"/>
    </row>
    <row r="1053" spans="35:50">
      <c r="AI1053" s="22"/>
      <c r="AJ1053" s="22"/>
      <c r="AK1053" s="22"/>
      <c r="AL1053" s="22"/>
      <c r="AM1053" s="22"/>
      <c r="AN1053" s="22"/>
      <c r="AO1053" s="22"/>
      <c r="AP1053" s="22"/>
      <c r="AQ1053"/>
      <c r="AR1053"/>
      <c r="AS1053"/>
      <c r="AT1053"/>
      <c r="AU1053"/>
      <c r="AV1053"/>
      <c r="AW1053"/>
      <c r="AX1053"/>
    </row>
    <row r="1054" spans="35:50">
      <c r="AI1054" s="22"/>
      <c r="AJ1054" s="22"/>
      <c r="AK1054" s="22"/>
      <c r="AL1054" s="22"/>
      <c r="AM1054" s="22"/>
      <c r="AN1054" s="22"/>
      <c r="AO1054" s="22"/>
      <c r="AP1054" s="22"/>
      <c r="AQ1054"/>
      <c r="AR1054"/>
      <c r="AS1054"/>
      <c r="AT1054"/>
      <c r="AU1054"/>
      <c r="AV1054"/>
      <c r="AW1054"/>
      <c r="AX1054"/>
    </row>
    <row r="1055" spans="35:50">
      <c r="AI1055" s="22"/>
      <c r="AJ1055" s="22"/>
      <c r="AK1055" s="22"/>
      <c r="AL1055" s="22"/>
      <c r="AM1055" s="22"/>
      <c r="AN1055" s="22"/>
      <c r="AO1055" s="22"/>
      <c r="AP1055" s="22"/>
      <c r="AQ1055"/>
      <c r="AR1055"/>
      <c r="AS1055"/>
      <c r="AT1055"/>
      <c r="AU1055"/>
      <c r="AV1055"/>
      <c r="AW1055"/>
      <c r="AX1055"/>
    </row>
    <row r="1056" spans="35:50">
      <c r="AI1056" s="22"/>
      <c r="AJ1056" s="22"/>
      <c r="AK1056" s="22"/>
      <c r="AL1056" s="22"/>
      <c r="AM1056" s="22"/>
      <c r="AN1056" s="22"/>
      <c r="AO1056" s="22"/>
      <c r="AP1056" s="22"/>
      <c r="AQ1056"/>
      <c r="AR1056"/>
      <c r="AS1056"/>
      <c r="AT1056"/>
      <c r="AU1056"/>
      <c r="AV1056"/>
      <c r="AW1056"/>
      <c r="AX1056"/>
    </row>
    <row r="1057" spans="35:50">
      <c r="AI1057" s="22"/>
      <c r="AJ1057" s="22"/>
      <c r="AK1057" s="22"/>
      <c r="AL1057" s="22"/>
      <c r="AM1057" s="22"/>
      <c r="AN1057" s="22"/>
      <c r="AO1057" s="22"/>
      <c r="AP1057" s="22"/>
      <c r="AQ1057"/>
      <c r="AR1057"/>
      <c r="AS1057"/>
      <c r="AT1057"/>
      <c r="AU1057"/>
      <c r="AV1057"/>
      <c r="AW1057"/>
      <c r="AX1057"/>
    </row>
    <row r="1058" spans="35:50">
      <c r="AI1058" s="22"/>
      <c r="AJ1058" s="22"/>
      <c r="AK1058" s="22"/>
      <c r="AL1058" s="22"/>
      <c r="AM1058" s="22"/>
      <c r="AN1058" s="22"/>
      <c r="AO1058" s="22"/>
      <c r="AP1058" s="22"/>
      <c r="AQ1058"/>
      <c r="AR1058"/>
      <c r="AS1058"/>
      <c r="AT1058"/>
      <c r="AU1058"/>
      <c r="AV1058"/>
      <c r="AW1058"/>
      <c r="AX1058"/>
    </row>
    <row r="1059" spans="35:50">
      <c r="AI1059" s="22"/>
      <c r="AJ1059" s="22"/>
      <c r="AK1059" s="22"/>
      <c r="AL1059" s="22"/>
      <c r="AM1059" s="22"/>
      <c r="AN1059" s="22"/>
      <c r="AO1059" s="22"/>
      <c r="AP1059" s="22"/>
      <c r="AQ1059"/>
      <c r="AR1059"/>
      <c r="AS1059"/>
      <c r="AT1059"/>
      <c r="AU1059"/>
      <c r="AV1059"/>
      <c r="AW1059"/>
      <c r="AX1059"/>
    </row>
    <row r="1060" spans="35:50">
      <c r="AI1060" s="22"/>
      <c r="AJ1060" s="22"/>
      <c r="AK1060" s="22"/>
      <c r="AL1060" s="22"/>
      <c r="AM1060" s="22"/>
      <c r="AN1060" s="22"/>
      <c r="AO1060" s="22"/>
      <c r="AP1060" s="22"/>
      <c r="AQ1060"/>
      <c r="AR1060"/>
      <c r="AS1060"/>
      <c r="AT1060"/>
      <c r="AU1060"/>
      <c r="AV1060"/>
      <c r="AW1060"/>
      <c r="AX1060"/>
    </row>
    <row r="1061" spans="35:50">
      <c r="AI1061" s="22"/>
      <c r="AJ1061" s="22"/>
      <c r="AK1061" s="22"/>
      <c r="AL1061" s="22"/>
      <c r="AM1061" s="22"/>
      <c r="AN1061" s="22"/>
      <c r="AO1061" s="22"/>
      <c r="AP1061" s="22"/>
      <c r="AQ1061"/>
      <c r="AR1061"/>
      <c r="AS1061"/>
      <c r="AT1061"/>
      <c r="AU1061"/>
      <c r="AV1061"/>
      <c r="AW1061"/>
      <c r="AX1061"/>
    </row>
    <row r="1062" spans="35:50">
      <c r="AI1062" s="22"/>
      <c r="AJ1062" s="22"/>
      <c r="AK1062" s="22"/>
      <c r="AL1062" s="22"/>
      <c r="AM1062" s="22"/>
      <c r="AN1062" s="22"/>
      <c r="AO1062" s="22"/>
      <c r="AP1062" s="22"/>
      <c r="AQ1062"/>
      <c r="AR1062"/>
      <c r="AS1062"/>
      <c r="AT1062"/>
      <c r="AU1062"/>
      <c r="AV1062"/>
      <c r="AW1062"/>
      <c r="AX1062"/>
    </row>
    <row r="1063" spans="35:50">
      <c r="AI1063" s="22"/>
      <c r="AJ1063" s="22"/>
      <c r="AK1063" s="22"/>
      <c r="AL1063" s="22"/>
      <c r="AM1063" s="22"/>
      <c r="AN1063" s="22"/>
      <c r="AO1063" s="22"/>
      <c r="AP1063" s="22"/>
      <c r="AQ1063"/>
      <c r="AR1063"/>
      <c r="AS1063"/>
      <c r="AT1063"/>
      <c r="AU1063"/>
      <c r="AV1063"/>
      <c r="AW1063"/>
      <c r="AX1063"/>
    </row>
    <row r="1064" spans="35:50">
      <c r="AI1064" s="22"/>
      <c r="AJ1064" s="22"/>
      <c r="AK1064" s="22"/>
      <c r="AL1064" s="22"/>
      <c r="AM1064" s="22"/>
      <c r="AN1064" s="22"/>
      <c r="AO1064" s="22"/>
      <c r="AP1064" s="22"/>
      <c r="AQ1064"/>
      <c r="AR1064"/>
      <c r="AS1064"/>
      <c r="AT1064"/>
      <c r="AU1064"/>
      <c r="AV1064"/>
      <c r="AW1064"/>
      <c r="AX1064"/>
    </row>
    <row r="1065" spans="35:50">
      <c r="AI1065" s="22"/>
      <c r="AJ1065" s="22"/>
      <c r="AK1065" s="22"/>
      <c r="AL1065" s="22"/>
      <c r="AM1065" s="22"/>
      <c r="AN1065" s="22"/>
      <c r="AO1065" s="22"/>
      <c r="AP1065" s="22"/>
      <c r="AQ1065"/>
      <c r="AR1065"/>
      <c r="AS1065"/>
      <c r="AT1065"/>
      <c r="AU1065"/>
      <c r="AV1065"/>
      <c r="AW1065"/>
      <c r="AX1065"/>
    </row>
    <row r="1066" spans="35:50">
      <c r="AI1066" s="22"/>
      <c r="AJ1066" s="22"/>
      <c r="AK1066" s="22"/>
      <c r="AL1066" s="22"/>
      <c r="AM1066" s="22"/>
      <c r="AN1066" s="22"/>
      <c r="AO1066" s="22"/>
      <c r="AP1066" s="22"/>
      <c r="AQ1066"/>
      <c r="AR1066"/>
      <c r="AS1066"/>
      <c r="AT1066"/>
      <c r="AU1066"/>
      <c r="AV1066"/>
      <c r="AW1066"/>
      <c r="AX1066"/>
    </row>
    <row r="1067" spans="35:50">
      <c r="AI1067" s="22"/>
      <c r="AJ1067" s="22"/>
      <c r="AK1067" s="22"/>
      <c r="AL1067" s="22"/>
      <c r="AM1067" s="22"/>
      <c r="AN1067" s="22"/>
      <c r="AO1067" s="22"/>
      <c r="AP1067" s="22"/>
      <c r="AQ1067"/>
      <c r="AR1067"/>
      <c r="AS1067"/>
      <c r="AT1067"/>
      <c r="AU1067"/>
      <c r="AV1067"/>
      <c r="AW1067"/>
      <c r="AX1067"/>
    </row>
    <row r="1068" spans="35:50">
      <c r="AI1068" s="22"/>
      <c r="AJ1068" s="22"/>
      <c r="AK1068" s="22"/>
      <c r="AL1068" s="22"/>
      <c r="AM1068" s="22"/>
      <c r="AN1068" s="22"/>
      <c r="AO1068" s="22"/>
      <c r="AP1068" s="22"/>
      <c r="AQ1068"/>
      <c r="AR1068"/>
      <c r="AS1068"/>
      <c r="AT1068"/>
      <c r="AU1068"/>
      <c r="AV1068"/>
      <c r="AW1068"/>
      <c r="AX1068"/>
    </row>
    <row r="1069" spans="35:50">
      <c r="AI1069" s="22"/>
      <c r="AJ1069" s="22"/>
      <c r="AK1069" s="22"/>
      <c r="AL1069" s="22"/>
      <c r="AM1069" s="22"/>
      <c r="AN1069" s="22"/>
      <c r="AO1069" s="22"/>
      <c r="AP1069" s="22"/>
      <c r="AQ1069"/>
      <c r="AR1069"/>
      <c r="AS1069"/>
      <c r="AT1069"/>
      <c r="AU1069"/>
      <c r="AV1069"/>
      <c r="AW1069"/>
      <c r="AX1069"/>
    </row>
    <row r="1070" spans="35:50">
      <c r="AI1070" s="22"/>
      <c r="AJ1070" s="22"/>
      <c r="AK1070" s="22"/>
      <c r="AL1070" s="22"/>
      <c r="AM1070" s="22"/>
      <c r="AN1070" s="22"/>
      <c r="AO1070" s="22"/>
      <c r="AP1070" s="22"/>
      <c r="AQ1070"/>
      <c r="AR1070"/>
      <c r="AS1070"/>
      <c r="AT1070"/>
      <c r="AU1070"/>
      <c r="AV1070"/>
      <c r="AW1070"/>
      <c r="AX1070"/>
    </row>
    <row r="1071" spans="35:50">
      <c r="AI1071" s="22"/>
      <c r="AJ1071" s="22"/>
      <c r="AK1071" s="22"/>
      <c r="AL1071" s="22"/>
      <c r="AM1071" s="22"/>
      <c r="AN1071" s="22"/>
      <c r="AO1071" s="22"/>
      <c r="AP1071" s="22"/>
      <c r="AQ1071"/>
      <c r="AR1071"/>
      <c r="AS1071"/>
      <c r="AT1071"/>
      <c r="AU1071"/>
      <c r="AV1071"/>
      <c r="AW1071"/>
      <c r="AX1071"/>
    </row>
    <row r="1072" spans="35:50">
      <c r="AI1072" s="22"/>
      <c r="AJ1072" s="22"/>
      <c r="AK1072" s="22"/>
      <c r="AL1072" s="22"/>
      <c r="AM1072" s="22"/>
      <c r="AN1072" s="22"/>
      <c r="AO1072" s="22"/>
      <c r="AP1072" s="22"/>
      <c r="AQ1072"/>
      <c r="AR1072"/>
      <c r="AS1072"/>
      <c r="AT1072"/>
      <c r="AU1072"/>
      <c r="AV1072"/>
      <c r="AW1072"/>
      <c r="AX1072"/>
    </row>
    <row r="1073" spans="35:50">
      <c r="AI1073" s="22"/>
      <c r="AJ1073" s="22"/>
      <c r="AK1073" s="22"/>
      <c r="AL1073" s="22"/>
      <c r="AM1073" s="22"/>
      <c r="AN1073" s="22"/>
      <c r="AO1073" s="22"/>
      <c r="AP1073" s="22"/>
      <c r="AQ1073"/>
      <c r="AR1073"/>
      <c r="AS1073"/>
      <c r="AT1073"/>
      <c r="AU1073"/>
      <c r="AV1073"/>
      <c r="AW1073"/>
      <c r="AX1073"/>
    </row>
    <row r="1074" spans="35:50">
      <c r="AI1074" s="22"/>
      <c r="AJ1074" s="22"/>
      <c r="AK1074" s="22"/>
      <c r="AL1074" s="22"/>
      <c r="AM1074" s="22"/>
      <c r="AN1074" s="22"/>
      <c r="AO1074" s="22"/>
      <c r="AP1074" s="22"/>
      <c r="AQ1074"/>
      <c r="AR1074"/>
      <c r="AS1074"/>
      <c r="AT1074"/>
      <c r="AU1074"/>
      <c r="AV1074"/>
      <c r="AW1074"/>
      <c r="AX1074"/>
    </row>
    <row r="1075" spans="35:50">
      <c r="AI1075" s="22"/>
      <c r="AJ1075" s="22"/>
      <c r="AK1075" s="22"/>
      <c r="AL1075" s="22"/>
      <c r="AM1075" s="22"/>
      <c r="AN1075" s="22"/>
      <c r="AO1075" s="22"/>
      <c r="AP1075" s="22"/>
      <c r="AQ1075"/>
      <c r="AR1075"/>
      <c r="AS1075"/>
      <c r="AT1075"/>
      <c r="AU1075"/>
      <c r="AV1075"/>
      <c r="AW1075"/>
      <c r="AX1075"/>
    </row>
    <row r="1076" spans="35:50">
      <c r="AI1076" s="22"/>
      <c r="AJ1076" s="22"/>
      <c r="AK1076" s="22"/>
      <c r="AL1076" s="22"/>
      <c r="AM1076" s="22"/>
      <c r="AN1076" s="22"/>
      <c r="AO1076" s="22"/>
      <c r="AP1076" s="22"/>
      <c r="AQ1076"/>
      <c r="AR1076"/>
      <c r="AS1076"/>
      <c r="AT1076"/>
      <c r="AU1076"/>
      <c r="AV1076"/>
      <c r="AW1076"/>
      <c r="AX1076"/>
    </row>
    <row r="1077" spans="35:50">
      <c r="AI1077" s="22"/>
      <c r="AJ1077" s="22"/>
      <c r="AK1077" s="22"/>
      <c r="AL1077" s="22"/>
      <c r="AM1077" s="22"/>
      <c r="AN1077" s="22"/>
      <c r="AO1077" s="22"/>
      <c r="AP1077" s="22"/>
      <c r="AQ1077"/>
      <c r="AR1077"/>
      <c r="AS1077"/>
      <c r="AT1077"/>
      <c r="AU1077"/>
      <c r="AV1077"/>
      <c r="AW1077"/>
      <c r="AX1077"/>
    </row>
    <row r="1078" spans="35:50">
      <c r="AI1078" s="22"/>
      <c r="AJ1078" s="22"/>
      <c r="AK1078" s="22"/>
      <c r="AL1078" s="22"/>
      <c r="AM1078" s="22"/>
      <c r="AN1078" s="22"/>
      <c r="AO1078" s="22"/>
      <c r="AP1078" s="22"/>
      <c r="AQ1078"/>
      <c r="AR1078"/>
      <c r="AS1078"/>
      <c r="AT1078"/>
      <c r="AU1078"/>
      <c r="AV1078"/>
      <c r="AW1078"/>
      <c r="AX1078"/>
    </row>
    <row r="1079" spans="35:50">
      <c r="AI1079" s="22"/>
      <c r="AJ1079" s="22"/>
      <c r="AK1079" s="22"/>
      <c r="AL1079" s="22"/>
      <c r="AM1079" s="22"/>
      <c r="AN1079" s="22"/>
      <c r="AO1079" s="22"/>
      <c r="AP1079" s="22"/>
      <c r="AQ1079"/>
      <c r="AR1079"/>
      <c r="AS1079"/>
      <c r="AT1079"/>
      <c r="AU1079"/>
      <c r="AV1079"/>
      <c r="AW1079"/>
      <c r="AX1079"/>
    </row>
    <row r="1080" spans="35:50">
      <c r="AI1080" s="22"/>
      <c r="AJ1080" s="22"/>
      <c r="AK1080" s="22"/>
      <c r="AL1080" s="22"/>
      <c r="AM1080" s="22"/>
      <c r="AN1080" s="22"/>
      <c r="AO1080" s="22"/>
      <c r="AP1080" s="22"/>
      <c r="AQ1080"/>
      <c r="AR1080"/>
      <c r="AS1080"/>
      <c r="AT1080"/>
      <c r="AU1080"/>
      <c r="AV1080"/>
      <c r="AW1080"/>
      <c r="AX1080"/>
    </row>
    <row r="1081" spans="35:50">
      <c r="AI1081" s="22"/>
      <c r="AJ1081" s="22"/>
      <c r="AK1081" s="22"/>
      <c r="AL1081" s="22"/>
      <c r="AM1081" s="22"/>
      <c r="AN1081" s="22"/>
      <c r="AO1081" s="22"/>
      <c r="AP1081" s="22"/>
      <c r="AQ1081"/>
      <c r="AR1081"/>
      <c r="AS1081"/>
      <c r="AT1081"/>
      <c r="AU1081"/>
      <c r="AV1081"/>
      <c r="AW1081"/>
      <c r="AX1081"/>
    </row>
    <row r="1082" spans="35:50">
      <c r="AI1082" s="22"/>
      <c r="AJ1082" s="22"/>
      <c r="AK1082" s="22"/>
      <c r="AL1082" s="22"/>
      <c r="AM1082" s="22"/>
      <c r="AN1082" s="22"/>
      <c r="AO1082" s="22"/>
      <c r="AP1082" s="22"/>
      <c r="AQ1082"/>
      <c r="AR1082"/>
      <c r="AS1082"/>
      <c r="AT1082"/>
      <c r="AU1082"/>
      <c r="AV1082"/>
      <c r="AW1082"/>
      <c r="AX1082"/>
    </row>
    <row r="1083" spans="35:50">
      <c r="AI1083" s="22"/>
      <c r="AJ1083" s="22"/>
      <c r="AK1083" s="22"/>
      <c r="AL1083" s="22"/>
      <c r="AM1083" s="22"/>
      <c r="AN1083" s="22"/>
      <c r="AO1083" s="22"/>
      <c r="AP1083" s="22"/>
      <c r="AQ1083"/>
      <c r="AR1083"/>
      <c r="AS1083"/>
      <c r="AT1083"/>
      <c r="AU1083"/>
      <c r="AV1083"/>
      <c r="AW1083"/>
      <c r="AX1083"/>
    </row>
    <row r="1084" spans="35:50">
      <c r="AI1084" s="22"/>
      <c r="AJ1084" s="22"/>
      <c r="AK1084" s="22"/>
      <c r="AL1084" s="22"/>
      <c r="AM1084" s="22"/>
      <c r="AN1084" s="22"/>
      <c r="AO1084" s="22"/>
      <c r="AP1084" s="22"/>
      <c r="AQ1084"/>
      <c r="AR1084"/>
      <c r="AS1084"/>
      <c r="AT1084"/>
      <c r="AU1084"/>
      <c r="AV1084"/>
      <c r="AW1084"/>
      <c r="AX1084"/>
    </row>
    <row r="1085" spans="35:50">
      <c r="AI1085" s="22"/>
      <c r="AJ1085" s="22"/>
      <c r="AK1085" s="22"/>
      <c r="AL1085" s="22"/>
      <c r="AM1085" s="22"/>
      <c r="AN1085" s="22"/>
      <c r="AO1085" s="22"/>
      <c r="AP1085" s="22"/>
      <c r="AQ1085"/>
      <c r="AR1085"/>
      <c r="AS1085"/>
      <c r="AT1085"/>
      <c r="AU1085"/>
      <c r="AV1085"/>
      <c r="AW1085"/>
      <c r="AX1085"/>
    </row>
    <row r="1086" spans="35:50">
      <c r="AI1086" s="22"/>
      <c r="AJ1086" s="22"/>
      <c r="AK1086" s="22"/>
      <c r="AL1086" s="22"/>
      <c r="AM1086" s="22"/>
      <c r="AN1086" s="22"/>
      <c r="AO1086" s="22"/>
      <c r="AP1086" s="22"/>
      <c r="AQ1086"/>
      <c r="AR1086"/>
      <c r="AS1086"/>
      <c r="AT1086"/>
      <c r="AU1086"/>
      <c r="AV1086"/>
      <c r="AW1086"/>
      <c r="AX1086"/>
    </row>
    <row r="1087" spans="35:50">
      <c r="AI1087" s="22"/>
      <c r="AJ1087" s="22"/>
      <c r="AK1087" s="22"/>
      <c r="AL1087" s="22"/>
      <c r="AM1087" s="22"/>
      <c r="AN1087" s="22"/>
      <c r="AO1087" s="22"/>
      <c r="AP1087" s="22"/>
      <c r="AQ1087"/>
      <c r="AR1087"/>
      <c r="AS1087"/>
      <c r="AT1087"/>
      <c r="AU1087"/>
      <c r="AV1087"/>
      <c r="AW1087"/>
      <c r="AX1087"/>
    </row>
    <row r="1088" spans="35:50">
      <c r="AI1088" s="22"/>
      <c r="AJ1088" s="22"/>
      <c r="AK1088" s="22"/>
      <c r="AL1088" s="22"/>
      <c r="AM1088" s="22"/>
      <c r="AN1088" s="22"/>
      <c r="AO1088" s="22"/>
      <c r="AP1088" s="22"/>
      <c r="AQ1088"/>
      <c r="AR1088"/>
      <c r="AS1088"/>
      <c r="AT1088"/>
      <c r="AU1088"/>
      <c r="AV1088"/>
      <c r="AW1088"/>
      <c r="AX1088"/>
    </row>
    <row r="1089" spans="35:50">
      <c r="AI1089" s="22"/>
      <c r="AJ1089" s="22"/>
      <c r="AK1089" s="22"/>
      <c r="AL1089" s="22"/>
      <c r="AM1089" s="22"/>
      <c r="AN1089" s="22"/>
      <c r="AO1089" s="22"/>
      <c r="AP1089" s="22"/>
      <c r="AQ1089"/>
      <c r="AR1089"/>
      <c r="AS1089"/>
      <c r="AT1089"/>
      <c r="AU1089"/>
      <c r="AV1089"/>
      <c r="AW1089"/>
      <c r="AX1089"/>
    </row>
    <row r="1090" spans="35:50">
      <c r="AI1090" s="22"/>
      <c r="AJ1090" s="22"/>
      <c r="AK1090" s="22"/>
      <c r="AL1090" s="22"/>
      <c r="AM1090" s="22"/>
      <c r="AN1090" s="22"/>
      <c r="AO1090" s="22"/>
      <c r="AP1090" s="22"/>
      <c r="AQ1090"/>
      <c r="AR1090"/>
      <c r="AS1090"/>
      <c r="AT1090"/>
      <c r="AU1090"/>
      <c r="AV1090"/>
      <c r="AW1090"/>
      <c r="AX1090"/>
    </row>
    <row r="1091" spans="35:50">
      <c r="AI1091" s="22"/>
      <c r="AJ1091" s="22"/>
      <c r="AK1091" s="22"/>
      <c r="AL1091" s="22"/>
      <c r="AM1091" s="22"/>
      <c r="AN1091" s="22"/>
      <c r="AO1091" s="22"/>
      <c r="AP1091" s="22"/>
      <c r="AQ1091"/>
      <c r="AR1091"/>
      <c r="AS1091"/>
      <c r="AT1091"/>
      <c r="AU1091"/>
      <c r="AV1091"/>
      <c r="AW1091"/>
      <c r="AX1091"/>
    </row>
    <row r="1092" spans="35:50">
      <c r="AI1092" s="22"/>
      <c r="AJ1092" s="22"/>
      <c r="AK1092" s="22"/>
      <c r="AL1092" s="22"/>
      <c r="AM1092" s="22"/>
      <c r="AN1092" s="22"/>
      <c r="AO1092" s="22"/>
      <c r="AP1092" s="22"/>
      <c r="AQ1092"/>
      <c r="AR1092"/>
      <c r="AS1092"/>
      <c r="AT1092"/>
      <c r="AU1092"/>
      <c r="AV1092"/>
      <c r="AW1092"/>
      <c r="AX1092"/>
    </row>
    <row r="1093" spans="35:50">
      <c r="AI1093" s="22"/>
      <c r="AJ1093" s="22"/>
      <c r="AK1093" s="22"/>
      <c r="AL1093" s="22"/>
      <c r="AM1093" s="22"/>
      <c r="AN1093" s="22"/>
      <c r="AO1093" s="22"/>
      <c r="AP1093" s="22"/>
      <c r="AQ1093"/>
      <c r="AR1093"/>
      <c r="AS1093"/>
      <c r="AT1093"/>
      <c r="AU1093"/>
      <c r="AV1093"/>
      <c r="AW1093"/>
      <c r="AX1093"/>
    </row>
    <row r="1094" spans="35:50">
      <c r="AI1094" s="22"/>
      <c r="AJ1094" s="22"/>
      <c r="AK1094" s="22"/>
      <c r="AL1094" s="22"/>
      <c r="AM1094" s="22"/>
      <c r="AN1094" s="22"/>
      <c r="AO1094" s="22"/>
      <c r="AP1094" s="22"/>
      <c r="AQ1094"/>
      <c r="AR1094"/>
      <c r="AS1094"/>
      <c r="AT1094"/>
      <c r="AU1094"/>
      <c r="AV1094"/>
      <c r="AW1094"/>
      <c r="AX1094"/>
    </row>
    <row r="1095" spans="35:50">
      <c r="AI1095" s="22"/>
      <c r="AJ1095" s="22"/>
      <c r="AK1095" s="22"/>
      <c r="AL1095" s="22"/>
      <c r="AM1095" s="22"/>
      <c r="AN1095" s="22"/>
      <c r="AO1095" s="22"/>
      <c r="AP1095" s="22"/>
      <c r="AQ1095"/>
      <c r="AR1095"/>
      <c r="AS1095"/>
      <c r="AT1095"/>
      <c r="AU1095"/>
      <c r="AV1095"/>
      <c r="AW1095"/>
      <c r="AX1095"/>
    </row>
    <row r="1096" spans="35:50">
      <c r="AI1096" s="22"/>
      <c r="AJ1096" s="22"/>
      <c r="AK1096" s="22"/>
      <c r="AL1096" s="22"/>
      <c r="AM1096" s="22"/>
      <c r="AN1096" s="22"/>
      <c r="AO1096" s="22"/>
      <c r="AP1096" s="22"/>
      <c r="AQ1096"/>
      <c r="AR1096"/>
      <c r="AS1096"/>
      <c r="AT1096"/>
      <c r="AU1096"/>
      <c r="AV1096"/>
      <c r="AW1096"/>
      <c r="AX1096"/>
    </row>
    <row r="1097" spans="35:50">
      <c r="AI1097" s="22"/>
      <c r="AJ1097" s="22"/>
      <c r="AK1097" s="22"/>
      <c r="AL1097" s="22"/>
      <c r="AM1097" s="22"/>
      <c r="AN1097" s="22"/>
      <c r="AO1097" s="22"/>
      <c r="AP1097" s="22"/>
      <c r="AQ1097"/>
      <c r="AR1097"/>
      <c r="AS1097"/>
      <c r="AT1097"/>
      <c r="AU1097"/>
      <c r="AV1097"/>
      <c r="AW1097"/>
      <c r="AX1097"/>
    </row>
    <row r="1098" spans="35:50">
      <c r="AI1098" s="22"/>
      <c r="AJ1098" s="22"/>
      <c r="AK1098" s="22"/>
      <c r="AL1098" s="22"/>
      <c r="AM1098" s="22"/>
      <c r="AN1098" s="22"/>
      <c r="AO1098" s="22"/>
      <c r="AP1098" s="22"/>
      <c r="AQ1098"/>
      <c r="AR1098"/>
      <c r="AS1098"/>
      <c r="AT1098"/>
      <c r="AU1098"/>
      <c r="AV1098"/>
      <c r="AW1098"/>
      <c r="AX1098"/>
    </row>
    <row r="1099" spans="35:50">
      <c r="AI1099" s="22"/>
      <c r="AJ1099" s="22"/>
      <c r="AK1099" s="22"/>
      <c r="AL1099" s="22"/>
      <c r="AM1099" s="22"/>
      <c r="AN1099" s="22"/>
      <c r="AO1099" s="22"/>
      <c r="AP1099" s="22"/>
      <c r="AQ1099"/>
      <c r="AR1099"/>
      <c r="AS1099"/>
      <c r="AT1099"/>
      <c r="AU1099"/>
      <c r="AV1099"/>
      <c r="AW1099"/>
      <c r="AX1099"/>
    </row>
    <row r="1100" spans="35:50">
      <c r="AI1100" s="22"/>
      <c r="AJ1100" s="22"/>
      <c r="AK1100" s="22"/>
      <c r="AL1100" s="22"/>
      <c r="AM1100" s="22"/>
      <c r="AN1100" s="22"/>
      <c r="AO1100" s="22"/>
      <c r="AP1100" s="22"/>
      <c r="AQ1100"/>
      <c r="AR1100"/>
      <c r="AS1100"/>
      <c r="AT1100"/>
      <c r="AU1100"/>
      <c r="AV1100"/>
      <c r="AW1100"/>
      <c r="AX1100"/>
    </row>
    <row r="1101" spans="35:50">
      <c r="AI1101" s="22"/>
      <c r="AJ1101" s="22"/>
      <c r="AK1101" s="22"/>
      <c r="AL1101" s="22"/>
      <c r="AM1101" s="22"/>
      <c r="AN1101" s="22"/>
      <c r="AO1101" s="22"/>
      <c r="AP1101" s="22"/>
      <c r="AQ1101"/>
      <c r="AR1101"/>
      <c r="AS1101"/>
      <c r="AT1101"/>
      <c r="AU1101"/>
      <c r="AV1101"/>
      <c r="AW1101"/>
      <c r="AX1101"/>
    </row>
    <row r="1102" spans="35:50">
      <c r="AI1102" s="22"/>
      <c r="AJ1102" s="22"/>
      <c r="AK1102" s="22"/>
      <c r="AL1102" s="22"/>
      <c r="AM1102" s="22"/>
      <c r="AN1102" s="22"/>
      <c r="AO1102" s="22"/>
      <c r="AP1102" s="22"/>
      <c r="AQ1102"/>
      <c r="AR1102"/>
      <c r="AS1102"/>
      <c r="AT1102"/>
      <c r="AU1102"/>
      <c r="AV1102"/>
      <c r="AW1102"/>
      <c r="AX1102"/>
    </row>
    <row r="1103" spans="35:50">
      <c r="AI1103" s="22"/>
      <c r="AJ1103" s="22"/>
      <c r="AK1103" s="22"/>
      <c r="AL1103" s="22"/>
      <c r="AM1103" s="22"/>
      <c r="AN1103" s="22"/>
      <c r="AO1103" s="22"/>
      <c r="AP1103" s="22"/>
      <c r="AQ1103"/>
      <c r="AR1103"/>
      <c r="AS1103"/>
      <c r="AT1103"/>
      <c r="AU1103"/>
      <c r="AV1103"/>
      <c r="AW1103"/>
      <c r="AX1103"/>
    </row>
    <row r="1104" spans="35:50">
      <c r="AI1104" s="22"/>
      <c r="AJ1104" s="22"/>
      <c r="AK1104" s="22"/>
      <c r="AL1104" s="22"/>
      <c r="AM1104" s="22"/>
      <c r="AN1104" s="22"/>
      <c r="AO1104" s="22"/>
      <c r="AP1104" s="22"/>
      <c r="AQ1104"/>
      <c r="AR1104"/>
      <c r="AS1104"/>
      <c r="AT1104"/>
      <c r="AU1104"/>
      <c r="AV1104"/>
      <c r="AW1104"/>
      <c r="AX1104"/>
    </row>
    <row r="1105" spans="35:50">
      <c r="AI1105" s="22"/>
      <c r="AJ1105" s="22"/>
      <c r="AK1105" s="22"/>
      <c r="AL1105" s="22"/>
      <c r="AM1105" s="22"/>
      <c r="AN1105" s="22"/>
      <c r="AO1105" s="22"/>
      <c r="AP1105" s="22"/>
      <c r="AQ1105"/>
      <c r="AR1105"/>
      <c r="AS1105"/>
      <c r="AT1105"/>
      <c r="AU1105"/>
      <c r="AV1105"/>
      <c r="AW1105"/>
      <c r="AX1105"/>
    </row>
    <row r="1106" spans="35:50">
      <c r="AI1106" s="22"/>
      <c r="AJ1106" s="22"/>
      <c r="AK1106" s="22"/>
      <c r="AL1106" s="22"/>
      <c r="AM1106" s="22"/>
      <c r="AN1106" s="22"/>
      <c r="AO1106" s="22"/>
      <c r="AP1106" s="22"/>
      <c r="AQ1106"/>
      <c r="AR1106"/>
      <c r="AS1106"/>
      <c r="AT1106"/>
      <c r="AU1106"/>
      <c r="AV1106"/>
      <c r="AW1106"/>
      <c r="AX1106"/>
    </row>
    <row r="1107" spans="35:50">
      <c r="AI1107" s="22"/>
      <c r="AJ1107" s="22"/>
      <c r="AK1107" s="22"/>
      <c r="AL1107" s="22"/>
      <c r="AM1107" s="22"/>
      <c r="AN1107" s="22"/>
      <c r="AO1107" s="22"/>
      <c r="AP1107" s="22"/>
      <c r="AQ1107"/>
      <c r="AR1107"/>
      <c r="AS1107"/>
      <c r="AT1107"/>
      <c r="AU1107"/>
      <c r="AV1107"/>
      <c r="AW1107"/>
      <c r="AX1107"/>
    </row>
    <row r="1108" spans="35:50">
      <c r="AI1108" s="22"/>
      <c r="AJ1108" s="22"/>
      <c r="AK1108" s="22"/>
      <c r="AL1108" s="22"/>
      <c r="AM1108" s="22"/>
      <c r="AN1108" s="22"/>
      <c r="AO1108" s="22"/>
      <c r="AP1108" s="22"/>
      <c r="AQ1108"/>
      <c r="AR1108"/>
      <c r="AS1108"/>
      <c r="AT1108"/>
      <c r="AU1108"/>
      <c r="AV1108"/>
      <c r="AW1108"/>
      <c r="AX1108"/>
    </row>
    <row r="1109" spans="35:50">
      <c r="AI1109" s="22"/>
      <c r="AJ1109" s="22"/>
      <c r="AK1109" s="22"/>
      <c r="AL1109" s="22"/>
      <c r="AM1109" s="22"/>
      <c r="AN1109" s="22"/>
      <c r="AO1109" s="22"/>
      <c r="AP1109" s="22"/>
      <c r="AQ1109"/>
      <c r="AR1109"/>
      <c r="AS1109"/>
      <c r="AT1109"/>
      <c r="AU1109"/>
      <c r="AV1109"/>
      <c r="AW1109"/>
      <c r="AX1109"/>
    </row>
    <row r="1110" spans="35:50">
      <c r="AI1110" s="22"/>
      <c r="AJ1110" s="22"/>
      <c r="AK1110" s="22"/>
      <c r="AL1110" s="22"/>
      <c r="AM1110" s="22"/>
      <c r="AN1110" s="22"/>
      <c r="AO1110" s="22"/>
      <c r="AP1110" s="22"/>
      <c r="AQ1110"/>
      <c r="AR1110"/>
      <c r="AS1110"/>
      <c r="AT1110"/>
      <c r="AU1110"/>
      <c r="AV1110"/>
      <c r="AW1110"/>
      <c r="AX1110"/>
    </row>
    <row r="1111" spans="35:50">
      <c r="AI1111" s="22"/>
      <c r="AJ1111" s="22"/>
      <c r="AK1111" s="22"/>
      <c r="AL1111" s="22"/>
      <c r="AM1111" s="22"/>
      <c r="AN1111" s="22"/>
      <c r="AO1111" s="22"/>
      <c r="AP1111" s="22"/>
      <c r="AQ1111"/>
      <c r="AR1111"/>
      <c r="AS1111"/>
      <c r="AT1111"/>
      <c r="AU1111"/>
      <c r="AV1111"/>
      <c r="AW1111"/>
      <c r="AX1111"/>
    </row>
    <row r="1112" spans="35:50">
      <c r="AI1112" s="22"/>
      <c r="AJ1112" s="22"/>
      <c r="AK1112" s="22"/>
      <c r="AL1112" s="22"/>
      <c r="AM1112" s="22"/>
      <c r="AN1112" s="22"/>
      <c r="AO1112" s="22"/>
      <c r="AP1112" s="22"/>
      <c r="AQ1112"/>
      <c r="AR1112"/>
      <c r="AS1112"/>
      <c r="AT1112"/>
      <c r="AU1112"/>
      <c r="AV1112"/>
      <c r="AW1112"/>
      <c r="AX1112"/>
    </row>
    <row r="1113" spans="35:50">
      <c r="AI1113" s="22"/>
      <c r="AJ1113" s="22"/>
      <c r="AK1113" s="22"/>
      <c r="AL1113" s="22"/>
      <c r="AM1113" s="22"/>
      <c r="AN1113" s="22"/>
      <c r="AO1113" s="22"/>
      <c r="AP1113" s="22"/>
      <c r="AQ1113"/>
      <c r="AR1113"/>
      <c r="AS1113"/>
      <c r="AT1113"/>
      <c r="AU1113"/>
      <c r="AV1113"/>
      <c r="AW1113"/>
      <c r="AX1113"/>
    </row>
    <row r="1114" spans="35:50">
      <c r="AI1114" s="22"/>
      <c r="AJ1114" s="22"/>
      <c r="AK1114" s="22"/>
      <c r="AL1114" s="22"/>
      <c r="AM1114" s="22"/>
      <c r="AN1114" s="22"/>
      <c r="AO1114" s="22"/>
      <c r="AP1114" s="22"/>
      <c r="AQ1114"/>
      <c r="AR1114"/>
      <c r="AS1114"/>
      <c r="AT1114"/>
      <c r="AU1114"/>
      <c r="AV1114"/>
      <c r="AW1114"/>
      <c r="AX1114"/>
    </row>
    <row r="1115" spans="35:50">
      <c r="AI1115" s="22"/>
      <c r="AJ1115" s="22"/>
      <c r="AK1115" s="22"/>
      <c r="AL1115" s="22"/>
      <c r="AM1115" s="22"/>
      <c r="AN1115" s="22"/>
      <c r="AO1115" s="22"/>
      <c r="AP1115" s="22"/>
      <c r="AQ1115"/>
      <c r="AR1115"/>
      <c r="AS1115"/>
      <c r="AT1115"/>
      <c r="AU1115"/>
      <c r="AV1115"/>
      <c r="AW1115"/>
      <c r="AX1115"/>
    </row>
    <row r="1116" spans="35:50">
      <c r="AI1116" s="22"/>
      <c r="AJ1116" s="22"/>
      <c r="AK1116" s="22"/>
      <c r="AL1116" s="22"/>
      <c r="AM1116" s="22"/>
      <c r="AN1116" s="22"/>
      <c r="AO1116" s="22"/>
      <c r="AP1116" s="22"/>
      <c r="AQ1116"/>
      <c r="AR1116"/>
      <c r="AS1116"/>
      <c r="AT1116"/>
      <c r="AU1116"/>
      <c r="AV1116"/>
      <c r="AW1116"/>
      <c r="AX1116"/>
    </row>
    <row r="1117" spans="35:50">
      <c r="AI1117" s="22"/>
      <c r="AJ1117" s="22"/>
      <c r="AK1117" s="22"/>
      <c r="AL1117" s="22"/>
      <c r="AM1117" s="22"/>
      <c r="AN1117" s="22"/>
      <c r="AO1117" s="22"/>
      <c r="AP1117" s="22"/>
      <c r="AQ1117"/>
      <c r="AR1117"/>
      <c r="AS1117"/>
      <c r="AT1117"/>
      <c r="AU1117"/>
      <c r="AV1117"/>
      <c r="AW1117"/>
      <c r="AX1117"/>
    </row>
    <row r="1118" spans="35:50">
      <c r="AI1118" s="22"/>
      <c r="AJ1118" s="22"/>
      <c r="AK1118" s="22"/>
      <c r="AL1118" s="22"/>
      <c r="AM1118" s="22"/>
      <c r="AN1118" s="22"/>
      <c r="AO1118" s="22"/>
      <c r="AP1118" s="22"/>
      <c r="AQ1118"/>
      <c r="AR1118"/>
      <c r="AS1118"/>
      <c r="AT1118"/>
      <c r="AU1118"/>
      <c r="AV1118"/>
      <c r="AW1118"/>
      <c r="AX1118"/>
    </row>
    <row r="1119" spans="35:50">
      <c r="AI1119" s="22"/>
      <c r="AJ1119" s="22"/>
      <c r="AK1119" s="22"/>
      <c r="AL1119" s="22"/>
      <c r="AM1119" s="22"/>
      <c r="AN1119" s="22"/>
      <c r="AO1119" s="22"/>
      <c r="AP1119" s="22"/>
      <c r="AQ1119"/>
      <c r="AR1119"/>
      <c r="AS1119"/>
      <c r="AT1119"/>
      <c r="AU1119"/>
      <c r="AV1119"/>
      <c r="AW1119"/>
      <c r="AX1119"/>
    </row>
    <row r="1120" spans="35:50">
      <c r="AI1120" s="22"/>
      <c r="AJ1120" s="22"/>
      <c r="AK1120" s="22"/>
      <c r="AL1120" s="22"/>
      <c r="AM1120" s="22"/>
      <c r="AN1120" s="22"/>
      <c r="AO1120" s="22"/>
      <c r="AP1120" s="22"/>
      <c r="AQ1120"/>
      <c r="AR1120"/>
      <c r="AS1120"/>
      <c r="AT1120"/>
      <c r="AU1120"/>
      <c r="AV1120"/>
      <c r="AW1120"/>
      <c r="AX1120"/>
    </row>
    <row r="1121" spans="35:50">
      <c r="AI1121" s="22"/>
      <c r="AJ1121" s="22"/>
      <c r="AK1121" s="22"/>
      <c r="AL1121" s="22"/>
      <c r="AM1121" s="22"/>
      <c r="AN1121" s="22"/>
      <c r="AO1121" s="22"/>
      <c r="AP1121" s="22"/>
      <c r="AQ1121"/>
      <c r="AR1121"/>
      <c r="AS1121"/>
      <c r="AT1121"/>
      <c r="AU1121"/>
      <c r="AV1121"/>
      <c r="AW1121"/>
      <c r="AX1121"/>
    </row>
    <row r="1122" spans="35:50">
      <c r="AI1122" s="22"/>
      <c r="AJ1122" s="22"/>
      <c r="AK1122" s="22"/>
      <c r="AL1122" s="22"/>
      <c r="AM1122" s="22"/>
      <c r="AN1122" s="22"/>
      <c r="AO1122" s="22"/>
      <c r="AP1122" s="22"/>
      <c r="AQ1122"/>
      <c r="AR1122"/>
      <c r="AS1122"/>
      <c r="AT1122"/>
      <c r="AU1122"/>
      <c r="AV1122"/>
      <c r="AW1122"/>
      <c r="AX1122"/>
    </row>
    <row r="1123" spans="35:50">
      <c r="AI1123" s="22"/>
      <c r="AJ1123" s="22"/>
      <c r="AK1123" s="22"/>
      <c r="AL1123" s="22"/>
      <c r="AM1123" s="22"/>
      <c r="AN1123" s="22"/>
      <c r="AO1123" s="22"/>
      <c r="AP1123" s="22"/>
      <c r="AQ1123"/>
      <c r="AR1123"/>
      <c r="AS1123"/>
      <c r="AT1123"/>
      <c r="AU1123"/>
      <c r="AV1123"/>
      <c r="AW1123"/>
      <c r="AX1123"/>
    </row>
    <row r="1124" spans="35:50">
      <c r="AI1124" s="22"/>
      <c r="AJ1124" s="22"/>
      <c r="AK1124" s="22"/>
      <c r="AL1124" s="22"/>
      <c r="AM1124" s="22"/>
      <c r="AN1124" s="22"/>
      <c r="AO1124" s="22"/>
      <c r="AP1124" s="22"/>
      <c r="AQ1124"/>
      <c r="AR1124"/>
      <c r="AS1124"/>
      <c r="AT1124"/>
      <c r="AU1124"/>
      <c r="AV1124"/>
      <c r="AW1124"/>
      <c r="AX1124"/>
    </row>
    <row r="1125" spans="35:50">
      <c r="AI1125" s="22"/>
      <c r="AJ1125" s="22"/>
      <c r="AK1125" s="22"/>
      <c r="AL1125" s="22"/>
      <c r="AM1125" s="22"/>
      <c r="AN1125" s="22"/>
      <c r="AO1125" s="22"/>
      <c r="AP1125" s="22"/>
      <c r="AQ1125"/>
      <c r="AR1125"/>
      <c r="AS1125"/>
      <c r="AT1125"/>
      <c r="AU1125"/>
      <c r="AV1125"/>
      <c r="AW1125"/>
      <c r="AX1125"/>
    </row>
    <row r="1126" spans="35:50">
      <c r="AI1126" s="22"/>
      <c r="AJ1126" s="22"/>
      <c r="AK1126" s="22"/>
      <c r="AL1126" s="22"/>
      <c r="AM1126" s="22"/>
      <c r="AN1126" s="22"/>
      <c r="AO1126" s="22"/>
      <c r="AP1126" s="22"/>
      <c r="AQ1126"/>
      <c r="AR1126"/>
      <c r="AS1126"/>
      <c r="AT1126"/>
      <c r="AU1126"/>
      <c r="AV1126"/>
      <c r="AW1126"/>
      <c r="AX1126"/>
    </row>
    <row r="1127" spans="35:50">
      <c r="AI1127" s="22"/>
      <c r="AJ1127" s="22"/>
      <c r="AK1127" s="22"/>
      <c r="AL1127" s="22"/>
      <c r="AM1127" s="22"/>
      <c r="AN1127" s="22"/>
      <c r="AO1127" s="22"/>
      <c r="AP1127" s="22"/>
      <c r="AQ1127"/>
      <c r="AR1127"/>
      <c r="AS1127"/>
      <c r="AT1127"/>
      <c r="AU1127"/>
      <c r="AV1127"/>
      <c r="AW1127"/>
      <c r="AX1127"/>
    </row>
    <row r="1128" spans="35:50">
      <c r="AI1128" s="22"/>
      <c r="AJ1128" s="22"/>
      <c r="AK1128" s="22"/>
      <c r="AL1128" s="22"/>
      <c r="AM1128" s="22"/>
      <c r="AN1128" s="22"/>
      <c r="AO1128" s="22"/>
      <c r="AP1128" s="22"/>
      <c r="AQ1128"/>
      <c r="AR1128"/>
      <c r="AS1128"/>
      <c r="AT1128"/>
      <c r="AU1128"/>
      <c r="AV1128"/>
      <c r="AW1128"/>
      <c r="AX1128"/>
    </row>
    <row r="1129" spans="35:50">
      <c r="AI1129" s="22"/>
      <c r="AJ1129" s="22"/>
      <c r="AK1129" s="22"/>
      <c r="AL1129" s="22"/>
      <c r="AM1129" s="22"/>
      <c r="AN1129" s="22"/>
      <c r="AO1129" s="22"/>
      <c r="AP1129" s="22"/>
      <c r="AQ1129"/>
      <c r="AR1129"/>
      <c r="AS1129"/>
      <c r="AT1129"/>
      <c r="AU1129"/>
      <c r="AV1129"/>
      <c r="AW1129"/>
      <c r="AX1129"/>
    </row>
    <row r="1130" spans="35:50">
      <c r="AI1130" s="22"/>
      <c r="AJ1130" s="22"/>
      <c r="AK1130" s="22"/>
      <c r="AL1130" s="22"/>
      <c r="AM1130" s="22"/>
      <c r="AN1130" s="22"/>
      <c r="AO1130" s="22"/>
      <c r="AP1130" s="22"/>
      <c r="AQ1130"/>
      <c r="AR1130"/>
      <c r="AS1130"/>
      <c r="AT1130"/>
      <c r="AU1130"/>
      <c r="AV1130"/>
      <c r="AW1130"/>
      <c r="AX1130"/>
    </row>
    <row r="1131" spans="35:50">
      <c r="AI1131" s="22"/>
      <c r="AJ1131" s="22"/>
      <c r="AK1131" s="22"/>
      <c r="AL1131" s="22"/>
      <c r="AM1131" s="22"/>
      <c r="AN1131" s="22"/>
      <c r="AO1131" s="22"/>
      <c r="AP1131" s="22"/>
      <c r="AQ1131"/>
      <c r="AR1131"/>
      <c r="AS1131"/>
      <c r="AT1131"/>
      <c r="AU1131"/>
      <c r="AV1131"/>
      <c r="AW1131"/>
      <c r="AX1131"/>
    </row>
    <row r="1132" spans="35:50">
      <c r="AI1132" s="22"/>
      <c r="AJ1132" s="22"/>
      <c r="AK1132" s="22"/>
      <c r="AL1132" s="22"/>
      <c r="AM1132" s="22"/>
      <c r="AN1132" s="22"/>
      <c r="AO1132" s="22"/>
      <c r="AP1132" s="22"/>
      <c r="AQ1132"/>
      <c r="AR1132"/>
      <c r="AS1132"/>
      <c r="AT1132"/>
      <c r="AU1132"/>
      <c r="AV1132"/>
      <c r="AW1132"/>
      <c r="AX1132"/>
    </row>
    <row r="1133" spans="35:50">
      <c r="AI1133" s="22"/>
      <c r="AJ1133" s="22"/>
      <c r="AK1133" s="22"/>
      <c r="AL1133" s="22"/>
      <c r="AM1133" s="22"/>
      <c r="AN1133" s="22"/>
      <c r="AO1133" s="22"/>
      <c r="AP1133" s="22"/>
      <c r="AQ1133"/>
      <c r="AR1133"/>
      <c r="AS1133"/>
      <c r="AT1133"/>
      <c r="AU1133"/>
      <c r="AV1133"/>
      <c r="AW1133"/>
      <c r="AX1133"/>
    </row>
    <row r="1134" spans="35:50">
      <c r="AI1134" s="22"/>
      <c r="AJ1134" s="22"/>
      <c r="AK1134" s="22"/>
      <c r="AL1134" s="22"/>
      <c r="AM1134" s="22"/>
      <c r="AN1134" s="22"/>
      <c r="AO1134" s="22"/>
      <c r="AP1134" s="22"/>
      <c r="AQ1134"/>
      <c r="AR1134"/>
      <c r="AS1134"/>
      <c r="AT1134"/>
      <c r="AU1134"/>
      <c r="AV1134"/>
      <c r="AW1134"/>
      <c r="AX1134"/>
    </row>
    <row r="1135" spans="35:50">
      <c r="AI1135" s="22"/>
      <c r="AJ1135" s="22"/>
      <c r="AK1135" s="22"/>
      <c r="AL1135" s="22"/>
      <c r="AM1135" s="22"/>
      <c r="AN1135" s="22"/>
      <c r="AO1135" s="22"/>
      <c r="AP1135" s="22"/>
      <c r="AQ1135"/>
      <c r="AR1135"/>
      <c r="AS1135"/>
      <c r="AT1135"/>
      <c r="AU1135"/>
      <c r="AV1135"/>
      <c r="AW1135"/>
      <c r="AX1135"/>
    </row>
    <row r="1136" spans="35:50">
      <c r="AI1136" s="22"/>
      <c r="AJ1136" s="22"/>
      <c r="AK1136" s="22"/>
      <c r="AL1136" s="22"/>
      <c r="AM1136" s="22"/>
      <c r="AN1136" s="22"/>
      <c r="AO1136" s="22"/>
      <c r="AP1136" s="22"/>
      <c r="AQ1136"/>
      <c r="AR1136"/>
      <c r="AS1136"/>
      <c r="AT1136"/>
      <c r="AU1136"/>
      <c r="AV1136"/>
      <c r="AW1136"/>
      <c r="AX1136"/>
    </row>
    <row r="1137" spans="35:50">
      <c r="AI1137" s="22"/>
      <c r="AJ1137" s="22"/>
      <c r="AK1137" s="22"/>
      <c r="AL1137" s="22"/>
      <c r="AM1137" s="22"/>
      <c r="AN1137" s="22"/>
      <c r="AO1137" s="22"/>
      <c r="AP1137" s="22"/>
      <c r="AQ1137"/>
      <c r="AR1137"/>
      <c r="AS1137"/>
      <c r="AT1137"/>
      <c r="AU1137"/>
      <c r="AV1137"/>
      <c r="AW1137"/>
      <c r="AX1137"/>
    </row>
    <row r="1138" spans="35:50">
      <c r="AI1138" s="22"/>
      <c r="AJ1138" s="22"/>
      <c r="AK1138" s="22"/>
      <c r="AL1138" s="22"/>
      <c r="AM1138" s="22"/>
      <c r="AN1138" s="22"/>
      <c r="AO1138" s="22"/>
      <c r="AP1138" s="22"/>
      <c r="AQ1138"/>
      <c r="AR1138"/>
      <c r="AS1138"/>
      <c r="AT1138"/>
      <c r="AU1138"/>
      <c r="AV1138"/>
      <c r="AW1138"/>
      <c r="AX1138"/>
    </row>
    <row r="1139" spans="35:50">
      <c r="AI1139" s="22"/>
      <c r="AJ1139" s="22"/>
      <c r="AK1139" s="22"/>
      <c r="AL1139" s="22"/>
      <c r="AM1139" s="22"/>
      <c r="AN1139" s="22"/>
      <c r="AO1139" s="22"/>
      <c r="AP1139" s="22"/>
      <c r="AQ1139"/>
      <c r="AR1139"/>
      <c r="AS1139"/>
      <c r="AT1139"/>
      <c r="AU1139"/>
      <c r="AV1139"/>
      <c r="AW1139"/>
      <c r="AX1139"/>
    </row>
    <row r="1140" spans="35:50">
      <c r="AI1140" s="22"/>
      <c r="AJ1140" s="22"/>
      <c r="AK1140" s="22"/>
      <c r="AL1140" s="22"/>
      <c r="AM1140" s="22"/>
      <c r="AN1140" s="22"/>
      <c r="AO1140" s="22"/>
      <c r="AP1140" s="22"/>
      <c r="AQ1140"/>
      <c r="AR1140"/>
      <c r="AS1140"/>
      <c r="AT1140"/>
      <c r="AU1140"/>
      <c r="AV1140"/>
      <c r="AW1140"/>
      <c r="AX1140"/>
    </row>
    <row r="1141" spans="35:50">
      <c r="AI1141" s="22"/>
      <c r="AJ1141" s="22"/>
      <c r="AK1141" s="22"/>
      <c r="AL1141" s="22"/>
      <c r="AM1141" s="22"/>
      <c r="AN1141" s="22"/>
      <c r="AO1141" s="22"/>
      <c r="AP1141" s="22"/>
      <c r="AQ1141"/>
      <c r="AR1141"/>
      <c r="AS1141"/>
      <c r="AT1141"/>
      <c r="AU1141"/>
      <c r="AV1141"/>
      <c r="AW1141"/>
      <c r="AX1141"/>
    </row>
    <row r="1142" spans="35:50">
      <c r="AI1142" s="22"/>
      <c r="AJ1142" s="22"/>
      <c r="AK1142" s="22"/>
      <c r="AL1142" s="22"/>
      <c r="AM1142" s="22"/>
      <c r="AN1142" s="22"/>
      <c r="AO1142" s="22"/>
      <c r="AP1142" s="22"/>
      <c r="AQ1142"/>
      <c r="AR1142"/>
      <c r="AS1142"/>
      <c r="AT1142"/>
      <c r="AU1142"/>
      <c r="AV1142"/>
      <c r="AW1142"/>
      <c r="AX1142"/>
    </row>
    <row r="1143" spans="35:50">
      <c r="AI1143" s="22"/>
      <c r="AJ1143" s="22"/>
      <c r="AK1143" s="22"/>
      <c r="AL1143" s="22"/>
      <c r="AM1143" s="22"/>
      <c r="AN1143" s="22"/>
      <c r="AO1143" s="22"/>
      <c r="AP1143" s="22"/>
      <c r="AQ1143"/>
      <c r="AR1143"/>
      <c r="AS1143"/>
      <c r="AT1143"/>
      <c r="AU1143"/>
      <c r="AV1143"/>
      <c r="AW1143"/>
      <c r="AX1143"/>
    </row>
    <row r="1144" spans="35:50">
      <c r="AI1144" s="22"/>
      <c r="AJ1144" s="22"/>
      <c r="AK1144" s="22"/>
      <c r="AL1144" s="22"/>
      <c r="AM1144" s="22"/>
      <c r="AN1144" s="22"/>
      <c r="AO1144" s="22"/>
      <c r="AP1144" s="22"/>
      <c r="AQ1144"/>
      <c r="AR1144"/>
      <c r="AS1144"/>
      <c r="AT1144"/>
      <c r="AU1144"/>
      <c r="AV1144"/>
      <c r="AW1144"/>
      <c r="AX1144"/>
    </row>
    <row r="1145" spans="35:50">
      <c r="AI1145" s="22"/>
      <c r="AJ1145" s="22"/>
      <c r="AK1145" s="22"/>
      <c r="AL1145" s="22"/>
      <c r="AM1145" s="22"/>
      <c r="AN1145" s="22"/>
      <c r="AO1145" s="22"/>
      <c r="AP1145" s="22"/>
      <c r="AQ1145"/>
      <c r="AR1145"/>
      <c r="AS1145"/>
      <c r="AT1145"/>
      <c r="AU1145"/>
      <c r="AV1145"/>
      <c r="AW1145"/>
      <c r="AX1145"/>
    </row>
    <row r="1146" spans="35:50">
      <c r="AI1146" s="22"/>
      <c r="AJ1146" s="22"/>
      <c r="AK1146" s="22"/>
      <c r="AL1146" s="22"/>
      <c r="AM1146" s="22"/>
      <c r="AN1146" s="22"/>
      <c r="AO1146" s="22"/>
      <c r="AP1146" s="22"/>
      <c r="AQ1146"/>
      <c r="AR1146"/>
      <c r="AS1146"/>
      <c r="AT1146"/>
      <c r="AU1146"/>
      <c r="AV1146"/>
      <c r="AW1146"/>
      <c r="AX1146"/>
    </row>
    <row r="1147" spans="35:50">
      <c r="AI1147" s="22"/>
      <c r="AJ1147" s="22"/>
      <c r="AK1147" s="22"/>
      <c r="AL1147" s="22"/>
      <c r="AM1147" s="22"/>
      <c r="AN1147" s="22"/>
      <c r="AO1147" s="22"/>
      <c r="AP1147" s="22"/>
      <c r="AQ1147"/>
      <c r="AR1147"/>
      <c r="AS1147"/>
      <c r="AT1147"/>
      <c r="AU1147"/>
      <c r="AV1147"/>
      <c r="AW1147"/>
      <c r="AX1147"/>
    </row>
    <row r="1148" spans="35:50">
      <c r="AI1148" s="22"/>
      <c r="AJ1148" s="22"/>
      <c r="AK1148" s="22"/>
      <c r="AL1148" s="22"/>
      <c r="AM1148" s="22"/>
      <c r="AN1148" s="22"/>
      <c r="AO1148" s="22"/>
      <c r="AP1148" s="22"/>
      <c r="AQ1148"/>
      <c r="AR1148"/>
      <c r="AS1148"/>
      <c r="AT1148"/>
      <c r="AU1148"/>
      <c r="AV1148"/>
      <c r="AW1148"/>
      <c r="AX1148"/>
    </row>
    <row r="1149" spans="35:50">
      <c r="AI1149" s="22"/>
      <c r="AJ1149" s="22"/>
      <c r="AK1149" s="22"/>
      <c r="AL1149" s="22"/>
      <c r="AM1149" s="22"/>
      <c r="AN1149" s="22"/>
      <c r="AO1149" s="22"/>
      <c r="AP1149" s="22"/>
      <c r="AQ1149"/>
      <c r="AR1149"/>
      <c r="AS1149"/>
      <c r="AT1149"/>
      <c r="AU1149"/>
      <c r="AV1149"/>
      <c r="AW1149"/>
      <c r="AX1149"/>
    </row>
    <row r="1150" spans="35:50">
      <c r="AI1150" s="22"/>
      <c r="AJ1150" s="22"/>
      <c r="AK1150" s="22"/>
      <c r="AL1150" s="22"/>
      <c r="AM1150" s="22"/>
      <c r="AN1150" s="22"/>
      <c r="AO1150" s="22"/>
      <c r="AP1150" s="22"/>
      <c r="AQ1150"/>
      <c r="AR1150"/>
      <c r="AS1150"/>
      <c r="AT1150"/>
      <c r="AU1150"/>
      <c r="AV1150"/>
      <c r="AW1150"/>
      <c r="AX1150"/>
    </row>
    <row r="1151" spans="35:50">
      <c r="AI1151" s="22"/>
      <c r="AJ1151" s="22"/>
      <c r="AK1151" s="22"/>
      <c r="AL1151" s="22"/>
      <c r="AM1151" s="22"/>
      <c r="AN1151" s="22"/>
      <c r="AO1151" s="22"/>
      <c r="AP1151" s="22"/>
      <c r="AQ1151"/>
      <c r="AR1151"/>
      <c r="AS1151"/>
      <c r="AT1151"/>
      <c r="AU1151"/>
      <c r="AV1151"/>
      <c r="AW1151"/>
      <c r="AX1151"/>
    </row>
    <row r="1152" spans="35:50">
      <c r="AI1152" s="22"/>
      <c r="AJ1152" s="22"/>
      <c r="AK1152" s="22"/>
      <c r="AL1152" s="22"/>
      <c r="AM1152" s="22"/>
      <c r="AN1152" s="22"/>
      <c r="AO1152" s="22"/>
      <c r="AP1152" s="22"/>
      <c r="AQ1152"/>
      <c r="AR1152"/>
      <c r="AS1152"/>
      <c r="AT1152"/>
      <c r="AU1152"/>
      <c r="AV1152"/>
      <c r="AW1152"/>
      <c r="AX1152"/>
    </row>
    <row r="1153" spans="35:50">
      <c r="AI1153" s="22"/>
      <c r="AJ1153" s="22"/>
      <c r="AK1153" s="22"/>
      <c r="AL1153" s="22"/>
      <c r="AM1153" s="22"/>
      <c r="AN1153" s="22"/>
      <c r="AO1153" s="22"/>
      <c r="AP1153" s="22"/>
      <c r="AQ1153"/>
      <c r="AR1153"/>
      <c r="AS1153"/>
      <c r="AT1153"/>
      <c r="AU1153"/>
      <c r="AV1153"/>
      <c r="AW1153"/>
      <c r="AX1153"/>
    </row>
    <row r="1154" spans="35:50">
      <c r="AI1154" s="22"/>
      <c r="AJ1154" s="22"/>
      <c r="AK1154" s="22"/>
      <c r="AL1154" s="22"/>
      <c r="AM1154" s="22"/>
      <c r="AN1154" s="22"/>
      <c r="AO1154" s="22"/>
      <c r="AP1154" s="22"/>
      <c r="AQ1154"/>
      <c r="AR1154"/>
      <c r="AS1154"/>
      <c r="AT1154"/>
      <c r="AU1154"/>
      <c r="AV1154"/>
      <c r="AW1154"/>
      <c r="AX1154"/>
    </row>
    <row r="1155" spans="35:50">
      <c r="AI1155" s="22"/>
      <c r="AJ1155" s="22"/>
      <c r="AK1155" s="22"/>
      <c r="AL1155" s="22"/>
      <c r="AM1155" s="22"/>
      <c r="AN1155" s="22"/>
      <c r="AO1155" s="22"/>
      <c r="AP1155" s="22"/>
      <c r="AQ1155"/>
      <c r="AR1155"/>
      <c r="AS1155"/>
      <c r="AT1155"/>
      <c r="AU1155"/>
      <c r="AV1155"/>
      <c r="AW1155"/>
      <c r="AX1155"/>
    </row>
    <row r="1156" spans="35:50">
      <c r="AI1156" s="22"/>
      <c r="AJ1156" s="22"/>
      <c r="AK1156" s="22"/>
      <c r="AL1156" s="22"/>
      <c r="AM1156" s="22"/>
      <c r="AN1156" s="22"/>
      <c r="AO1156" s="22"/>
      <c r="AP1156" s="22"/>
      <c r="AQ1156"/>
      <c r="AR1156"/>
      <c r="AS1156"/>
      <c r="AT1156"/>
      <c r="AU1156"/>
      <c r="AV1156"/>
      <c r="AW1156"/>
      <c r="AX1156"/>
    </row>
    <row r="1157" spans="35:50">
      <c r="AI1157" s="22"/>
      <c r="AJ1157" s="22"/>
      <c r="AK1157" s="22"/>
      <c r="AL1157" s="22"/>
      <c r="AM1157" s="22"/>
      <c r="AN1157" s="22"/>
      <c r="AO1157" s="22"/>
      <c r="AP1157" s="22"/>
      <c r="AQ1157"/>
      <c r="AR1157"/>
      <c r="AS1157"/>
      <c r="AT1157"/>
      <c r="AU1157"/>
      <c r="AV1157"/>
      <c r="AW1157"/>
      <c r="AX1157"/>
    </row>
    <row r="1158" spans="35:50">
      <c r="AI1158" s="22"/>
      <c r="AJ1158" s="22"/>
      <c r="AK1158" s="22"/>
      <c r="AL1158" s="22"/>
      <c r="AM1158" s="22"/>
      <c r="AN1158" s="22"/>
      <c r="AO1158" s="22"/>
      <c r="AP1158" s="22"/>
      <c r="AQ1158"/>
      <c r="AR1158"/>
      <c r="AS1158"/>
      <c r="AT1158"/>
      <c r="AU1158"/>
      <c r="AV1158"/>
      <c r="AW1158"/>
      <c r="AX1158"/>
    </row>
    <row r="1159" spans="35:50">
      <c r="AI1159" s="22"/>
      <c r="AJ1159" s="22"/>
      <c r="AK1159" s="22"/>
      <c r="AL1159" s="22"/>
      <c r="AM1159" s="22"/>
      <c r="AN1159" s="22"/>
      <c r="AO1159" s="22"/>
      <c r="AP1159" s="22"/>
      <c r="AQ1159"/>
      <c r="AR1159"/>
      <c r="AS1159"/>
      <c r="AT1159"/>
      <c r="AU1159"/>
      <c r="AV1159"/>
      <c r="AW1159"/>
      <c r="AX1159"/>
    </row>
    <row r="1160" spans="35:50">
      <c r="AI1160" s="22"/>
      <c r="AJ1160" s="22"/>
      <c r="AK1160" s="22"/>
      <c r="AL1160" s="22"/>
      <c r="AM1160" s="22"/>
      <c r="AN1160" s="22"/>
      <c r="AO1160" s="22"/>
      <c r="AP1160" s="22"/>
      <c r="AQ1160"/>
      <c r="AR1160"/>
      <c r="AS1160"/>
      <c r="AT1160"/>
      <c r="AU1160"/>
      <c r="AV1160"/>
      <c r="AW1160"/>
      <c r="AX1160"/>
    </row>
    <row r="1161" spans="35:50">
      <c r="AI1161" s="22"/>
      <c r="AJ1161" s="22"/>
      <c r="AK1161" s="22"/>
      <c r="AL1161" s="22"/>
      <c r="AM1161" s="22"/>
      <c r="AN1161" s="22"/>
      <c r="AO1161" s="22"/>
      <c r="AP1161" s="22"/>
      <c r="AQ1161"/>
      <c r="AR1161"/>
      <c r="AS1161"/>
      <c r="AT1161"/>
      <c r="AU1161"/>
      <c r="AV1161"/>
      <c r="AW1161"/>
      <c r="AX1161"/>
    </row>
    <row r="1162" spans="35:50">
      <c r="AI1162" s="22"/>
      <c r="AJ1162" s="22"/>
      <c r="AK1162" s="22"/>
      <c r="AL1162" s="22"/>
      <c r="AM1162" s="22"/>
      <c r="AN1162" s="22"/>
      <c r="AO1162" s="22"/>
      <c r="AP1162" s="22"/>
      <c r="AQ1162"/>
      <c r="AR1162"/>
      <c r="AS1162"/>
      <c r="AT1162"/>
      <c r="AU1162"/>
      <c r="AV1162"/>
      <c r="AW1162"/>
      <c r="AX1162"/>
    </row>
    <row r="1163" spans="35:50">
      <c r="AI1163" s="22"/>
      <c r="AJ1163" s="22"/>
      <c r="AK1163" s="22"/>
      <c r="AL1163" s="22"/>
      <c r="AM1163" s="22"/>
      <c r="AN1163" s="22"/>
      <c r="AO1163" s="22"/>
      <c r="AP1163" s="22"/>
      <c r="AQ1163"/>
      <c r="AR1163"/>
      <c r="AS1163"/>
      <c r="AT1163"/>
      <c r="AU1163"/>
      <c r="AV1163"/>
      <c r="AW1163"/>
      <c r="AX1163"/>
    </row>
    <row r="1164" spans="35:50">
      <c r="AI1164" s="22"/>
      <c r="AJ1164" s="22"/>
      <c r="AK1164" s="22"/>
      <c r="AL1164" s="22"/>
      <c r="AM1164" s="22"/>
      <c r="AN1164" s="22"/>
      <c r="AO1164" s="22"/>
      <c r="AP1164" s="22"/>
      <c r="AQ1164"/>
      <c r="AR1164"/>
      <c r="AS1164"/>
      <c r="AT1164"/>
      <c r="AU1164"/>
      <c r="AV1164"/>
      <c r="AW1164"/>
      <c r="AX1164"/>
    </row>
    <row r="1165" spans="35:50">
      <c r="AI1165" s="22"/>
      <c r="AJ1165" s="22"/>
      <c r="AK1165" s="22"/>
      <c r="AL1165" s="22"/>
      <c r="AM1165" s="22"/>
      <c r="AN1165" s="22"/>
      <c r="AO1165" s="22"/>
      <c r="AP1165" s="22"/>
      <c r="AQ1165"/>
      <c r="AR1165"/>
      <c r="AS1165"/>
      <c r="AT1165"/>
      <c r="AU1165"/>
      <c r="AV1165"/>
      <c r="AW1165"/>
      <c r="AX1165"/>
    </row>
    <row r="1166" spans="35:50">
      <c r="AI1166" s="22"/>
      <c r="AJ1166" s="22"/>
      <c r="AK1166" s="22"/>
      <c r="AL1166" s="22"/>
      <c r="AM1166" s="22"/>
      <c r="AN1166" s="22"/>
      <c r="AO1166" s="22"/>
      <c r="AP1166" s="22"/>
      <c r="AQ1166"/>
      <c r="AR1166"/>
      <c r="AS1166"/>
      <c r="AT1166"/>
      <c r="AU1166"/>
      <c r="AV1166"/>
      <c r="AW1166"/>
      <c r="AX1166"/>
    </row>
    <row r="1167" spans="35:50">
      <c r="AI1167" s="22"/>
      <c r="AJ1167" s="22"/>
      <c r="AK1167" s="22"/>
      <c r="AL1167" s="22"/>
      <c r="AM1167" s="22"/>
      <c r="AN1167" s="22"/>
      <c r="AO1167" s="22"/>
      <c r="AP1167" s="22"/>
      <c r="AQ1167"/>
      <c r="AR1167"/>
      <c r="AS1167"/>
      <c r="AT1167"/>
      <c r="AU1167"/>
      <c r="AV1167"/>
      <c r="AW1167"/>
      <c r="AX1167"/>
    </row>
    <row r="1168" spans="35:50">
      <c r="AI1168" s="22"/>
      <c r="AJ1168" s="22"/>
      <c r="AK1168" s="22"/>
      <c r="AL1168" s="22"/>
      <c r="AM1168" s="22"/>
      <c r="AN1168" s="22"/>
      <c r="AO1168" s="22"/>
      <c r="AP1168" s="22"/>
      <c r="AQ1168"/>
      <c r="AR1168"/>
      <c r="AS1168"/>
      <c r="AT1168"/>
      <c r="AU1168"/>
      <c r="AV1168"/>
      <c r="AW1168"/>
      <c r="AX1168"/>
    </row>
    <row r="1169" spans="35:50">
      <c r="AI1169" s="22"/>
      <c r="AJ1169" s="22"/>
      <c r="AK1169" s="22"/>
      <c r="AL1169" s="22"/>
      <c r="AM1169" s="22"/>
      <c r="AN1169" s="22"/>
      <c r="AO1169" s="22"/>
      <c r="AP1169" s="22"/>
      <c r="AQ1169"/>
      <c r="AR1169"/>
      <c r="AS1169"/>
      <c r="AT1169"/>
      <c r="AU1169"/>
      <c r="AV1169"/>
      <c r="AW1169"/>
      <c r="AX1169"/>
    </row>
    <row r="1170" spans="35:50">
      <c r="AI1170" s="22"/>
      <c r="AJ1170" s="22"/>
      <c r="AK1170" s="22"/>
      <c r="AL1170" s="22"/>
      <c r="AM1170" s="22"/>
      <c r="AN1170" s="22"/>
      <c r="AO1170" s="22"/>
      <c r="AP1170" s="22"/>
      <c r="AQ1170"/>
      <c r="AR1170"/>
      <c r="AS1170"/>
      <c r="AT1170"/>
      <c r="AU1170"/>
      <c r="AV1170"/>
      <c r="AW1170"/>
      <c r="AX1170"/>
    </row>
    <row r="1171" spans="35:50">
      <c r="AI1171" s="22"/>
      <c r="AJ1171" s="22"/>
      <c r="AK1171" s="22"/>
      <c r="AL1171" s="22"/>
      <c r="AM1171" s="22"/>
      <c r="AN1171" s="22"/>
      <c r="AO1171" s="22"/>
      <c r="AP1171" s="22"/>
      <c r="AQ1171"/>
      <c r="AR1171"/>
      <c r="AS1171"/>
      <c r="AT1171"/>
      <c r="AU1171"/>
      <c r="AV1171"/>
      <c r="AW1171"/>
      <c r="AX1171"/>
    </row>
    <row r="1172" spans="35:50">
      <c r="AI1172" s="22"/>
      <c r="AJ1172" s="22"/>
      <c r="AK1172" s="22"/>
      <c r="AL1172" s="22"/>
      <c r="AM1172" s="22"/>
      <c r="AN1172" s="22"/>
      <c r="AO1172" s="22"/>
      <c r="AP1172" s="22"/>
      <c r="AQ1172"/>
      <c r="AR1172"/>
      <c r="AS1172"/>
      <c r="AT1172"/>
      <c r="AU1172"/>
      <c r="AV1172"/>
      <c r="AW1172"/>
      <c r="AX1172"/>
    </row>
    <row r="1173" spans="35:50">
      <c r="AI1173" s="22"/>
      <c r="AJ1173" s="22"/>
      <c r="AK1173" s="22"/>
      <c r="AL1173" s="22"/>
      <c r="AM1173" s="22"/>
      <c r="AN1173" s="22"/>
      <c r="AO1173" s="22"/>
      <c r="AP1173" s="22"/>
      <c r="AQ1173"/>
      <c r="AR1173"/>
      <c r="AS1173"/>
      <c r="AT1173"/>
      <c r="AU1173"/>
      <c r="AV1173"/>
      <c r="AW1173"/>
      <c r="AX1173"/>
    </row>
    <row r="1174" spans="35:50">
      <c r="AI1174" s="22"/>
      <c r="AJ1174" s="22"/>
      <c r="AK1174" s="22"/>
      <c r="AL1174" s="22"/>
      <c r="AM1174" s="22"/>
      <c r="AN1174" s="22"/>
      <c r="AO1174" s="22"/>
      <c r="AP1174" s="22"/>
      <c r="AQ1174"/>
      <c r="AR1174"/>
      <c r="AS1174"/>
      <c r="AT1174"/>
      <c r="AU1174"/>
      <c r="AV1174"/>
      <c r="AW1174"/>
      <c r="AX1174"/>
    </row>
    <row r="1175" spans="35:50">
      <c r="AI1175" s="22"/>
      <c r="AJ1175" s="22"/>
      <c r="AK1175" s="22"/>
      <c r="AL1175" s="22"/>
      <c r="AM1175" s="22"/>
      <c r="AN1175" s="22"/>
      <c r="AO1175" s="22"/>
      <c r="AP1175" s="22"/>
      <c r="AQ1175"/>
      <c r="AR1175"/>
      <c r="AS1175"/>
      <c r="AT1175"/>
      <c r="AU1175"/>
      <c r="AV1175"/>
      <c r="AW1175"/>
      <c r="AX1175"/>
    </row>
    <row r="1176" spans="35:50">
      <c r="AI1176" s="22"/>
      <c r="AJ1176" s="22"/>
      <c r="AK1176" s="22"/>
      <c r="AL1176" s="22"/>
      <c r="AM1176" s="22"/>
      <c r="AN1176" s="22"/>
      <c r="AO1176" s="22"/>
      <c r="AP1176" s="22"/>
      <c r="AQ1176"/>
      <c r="AR1176"/>
      <c r="AS1176"/>
      <c r="AT1176"/>
      <c r="AU1176"/>
      <c r="AV1176"/>
      <c r="AW1176"/>
      <c r="AX1176"/>
    </row>
    <row r="1177" spans="35:50">
      <c r="AI1177" s="22"/>
      <c r="AJ1177" s="22"/>
      <c r="AK1177" s="22"/>
      <c r="AL1177" s="22"/>
      <c r="AM1177" s="22"/>
      <c r="AN1177" s="22"/>
      <c r="AO1177" s="22"/>
      <c r="AP1177" s="22"/>
      <c r="AQ1177"/>
      <c r="AR1177"/>
      <c r="AS1177"/>
      <c r="AT1177"/>
      <c r="AU1177"/>
      <c r="AV1177"/>
      <c r="AW1177"/>
      <c r="AX1177"/>
    </row>
    <row r="1178" spans="35:50">
      <c r="AI1178" s="22"/>
      <c r="AJ1178" s="22"/>
      <c r="AK1178" s="22"/>
      <c r="AL1178" s="22"/>
      <c r="AM1178" s="22"/>
      <c r="AN1178" s="22"/>
      <c r="AO1178" s="22"/>
      <c r="AP1178" s="22"/>
      <c r="AQ1178"/>
      <c r="AR1178"/>
      <c r="AS1178"/>
      <c r="AT1178"/>
      <c r="AU1178"/>
      <c r="AV1178"/>
      <c r="AW1178"/>
      <c r="AX1178"/>
    </row>
    <row r="1179" spans="35:50">
      <c r="AI1179" s="22"/>
      <c r="AJ1179" s="22"/>
      <c r="AK1179" s="22"/>
      <c r="AL1179" s="22"/>
      <c r="AM1179" s="22"/>
      <c r="AN1179" s="22"/>
      <c r="AO1179" s="22"/>
      <c r="AP1179" s="22"/>
      <c r="AQ1179"/>
      <c r="AR1179"/>
      <c r="AS1179"/>
      <c r="AT1179"/>
      <c r="AU1179"/>
      <c r="AV1179"/>
      <c r="AW1179"/>
      <c r="AX1179"/>
    </row>
    <row r="1180" spans="35:50">
      <c r="AI1180" s="22"/>
      <c r="AJ1180" s="22"/>
      <c r="AK1180" s="22"/>
      <c r="AL1180" s="22"/>
      <c r="AM1180" s="22"/>
      <c r="AN1180" s="22"/>
      <c r="AO1180" s="22"/>
      <c r="AP1180" s="22"/>
      <c r="AQ1180"/>
      <c r="AR1180"/>
      <c r="AS1180"/>
      <c r="AT1180"/>
      <c r="AU1180"/>
      <c r="AV1180"/>
      <c r="AW1180"/>
      <c r="AX1180"/>
    </row>
    <row r="1181" spans="35:50">
      <c r="AI1181" s="22"/>
      <c r="AJ1181" s="22"/>
      <c r="AK1181" s="22"/>
      <c r="AL1181" s="22"/>
      <c r="AM1181" s="22"/>
      <c r="AN1181" s="22"/>
      <c r="AO1181" s="22"/>
      <c r="AP1181" s="22"/>
      <c r="AQ1181"/>
      <c r="AR1181"/>
      <c r="AS1181"/>
      <c r="AT1181"/>
      <c r="AU1181"/>
      <c r="AV1181"/>
      <c r="AW1181"/>
      <c r="AX1181"/>
    </row>
    <row r="1182" spans="35:50">
      <c r="AI1182" s="22"/>
      <c r="AJ1182" s="22"/>
      <c r="AK1182" s="22"/>
      <c r="AL1182" s="22"/>
      <c r="AM1182" s="22"/>
      <c r="AN1182" s="22"/>
      <c r="AO1182" s="22"/>
      <c r="AP1182" s="22"/>
      <c r="AQ1182"/>
      <c r="AR1182"/>
      <c r="AS1182"/>
      <c r="AT1182"/>
      <c r="AU1182"/>
      <c r="AV1182"/>
      <c r="AW1182"/>
      <c r="AX1182"/>
    </row>
    <row r="1183" spans="35:50">
      <c r="AI1183" s="22"/>
      <c r="AJ1183" s="22"/>
      <c r="AK1183" s="22"/>
      <c r="AL1183" s="22"/>
      <c r="AM1183" s="22"/>
      <c r="AN1183" s="22"/>
      <c r="AO1183" s="22"/>
      <c r="AP1183" s="22"/>
      <c r="AQ1183"/>
      <c r="AR1183"/>
      <c r="AS1183"/>
      <c r="AT1183"/>
      <c r="AU1183"/>
      <c r="AV1183"/>
      <c r="AW1183"/>
      <c r="AX1183"/>
    </row>
    <row r="1184" spans="35:50">
      <c r="AI1184" s="22"/>
      <c r="AJ1184" s="22"/>
      <c r="AK1184" s="22"/>
      <c r="AL1184" s="22"/>
      <c r="AM1184" s="22"/>
      <c r="AN1184" s="22"/>
      <c r="AO1184" s="22"/>
      <c r="AP1184" s="22"/>
      <c r="AQ1184"/>
      <c r="AR1184"/>
      <c r="AS1184"/>
      <c r="AT1184"/>
      <c r="AU1184"/>
      <c r="AV1184"/>
      <c r="AW1184"/>
      <c r="AX1184"/>
    </row>
    <row r="1185" spans="35:50">
      <c r="AI1185" s="22"/>
      <c r="AJ1185" s="22"/>
      <c r="AK1185" s="22"/>
      <c r="AL1185" s="22"/>
      <c r="AM1185" s="22"/>
      <c r="AN1185" s="22"/>
      <c r="AO1185" s="22"/>
      <c r="AP1185" s="22"/>
      <c r="AQ1185"/>
      <c r="AR1185"/>
      <c r="AS1185"/>
      <c r="AT1185"/>
      <c r="AU1185"/>
      <c r="AV1185"/>
      <c r="AW1185"/>
      <c r="AX1185"/>
    </row>
    <row r="1186" spans="35:50">
      <c r="AI1186" s="22"/>
      <c r="AJ1186" s="22"/>
      <c r="AK1186" s="22"/>
      <c r="AL1186" s="22"/>
      <c r="AM1186" s="22"/>
      <c r="AN1186" s="22"/>
      <c r="AO1186" s="22"/>
      <c r="AP1186" s="22"/>
      <c r="AQ1186"/>
      <c r="AR1186"/>
      <c r="AS1186"/>
      <c r="AT1186"/>
      <c r="AU1186"/>
      <c r="AV1186"/>
      <c r="AW1186"/>
      <c r="AX1186"/>
    </row>
    <row r="1187" spans="35:50">
      <c r="AI1187" s="22"/>
      <c r="AJ1187" s="22"/>
      <c r="AK1187" s="22"/>
      <c r="AL1187" s="22"/>
      <c r="AM1187" s="22"/>
      <c r="AN1187" s="22"/>
      <c r="AO1187" s="22"/>
      <c r="AP1187" s="22"/>
      <c r="AQ1187"/>
      <c r="AR1187"/>
      <c r="AS1187"/>
      <c r="AT1187"/>
      <c r="AU1187"/>
      <c r="AV1187"/>
      <c r="AW1187"/>
      <c r="AX1187"/>
    </row>
    <row r="1188" spans="35:50">
      <c r="AI1188" s="22"/>
      <c r="AJ1188" s="22"/>
      <c r="AK1188" s="22"/>
      <c r="AL1188" s="22"/>
      <c r="AM1188" s="22"/>
      <c r="AN1188" s="22"/>
      <c r="AO1188" s="22"/>
      <c r="AP1188" s="22"/>
      <c r="AQ1188"/>
      <c r="AR1188"/>
      <c r="AS1188"/>
      <c r="AT1188"/>
      <c r="AU1188"/>
      <c r="AV1188"/>
      <c r="AW1188"/>
      <c r="AX1188"/>
    </row>
    <row r="1189" spans="35:50">
      <c r="AI1189" s="22"/>
      <c r="AJ1189" s="22"/>
      <c r="AK1189" s="22"/>
      <c r="AL1189" s="22"/>
      <c r="AM1189" s="22"/>
      <c r="AN1189" s="22"/>
      <c r="AO1189" s="22"/>
      <c r="AP1189" s="22"/>
      <c r="AQ1189"/>
      <c r="AR1189"/>
      <c r="AS1189"/>
      <c r="AT1189"/>
      <c r="AU1189"/>
      <c r="AV1189"/>
      <c r="AW1189"/>
      <c r="AX1189"/>
    </row>
    <row r="1190" spans="35:50">
      <c r="AI1190" s="22"/>
      <c r="AJ1190" s="22"/>
      <c r="AK1190" s="22"/>
      <c r="AL1190" s="22"/>
      <c r="AM1190" s="22"/>
      <c r="AN1190" s="22"/>
      <c r="AO1190" s="22"/>
      <c r="AP1190" s="22"/>
      <c r="AQ1190"/>
      <c r="AR1190"/>
      <c r="AS1190"/>
      <c r="AT1190"/>
      <c r="AU1190"/>
      <c r="AV1190"/>
      <c r="AW1190"/>
      <c r="AX1190"/>
    </row>
    <row r="1191" spans="35:50">
      <c r="AI1191" s="22"/>
      <c r="AJ1191" s="22"/>
      <c r="AK1191" s="22"/>
      <c r="AL1191" s="22"/>
      <c r="AM1191" s="22"/>
      <c r="AN1191" s="22"/>
      <c r="AO1191" s="22"/>
      <c r="AP1191" s="22"/>
      <c r="AQ1191"/>
      <c r="AR1191"/>
      <c r="AS1191"/>
      <c r="AT1191"/>
      <c r="AU1191"/>
      <c r="AV1191"/>
      <c r="AW1191"/>
      <c r="AX1191"/>
    </row>
    <row r="1192" spans="35:50">
      <c r="AI1192" s="22"/>
      <c r="AJ1192" s="22"/>
      <c r="AK1192" s="22"/>
      <c r="AL1192" s="22"/>
      <c r="AM1192" s="22"/>
      <c r="AN1192" s="22"/>
      <c r="AO1192" s="22"/>
      <c r="AP1192" s="22"/>
      <c r="AQ1192"/>
      <c r="AR1192"/>
      <c r="AS1192"/>
      <c r="AT1192"/>
      <c r="AU1192"/>
      <c r="AV1192"/>
      <c r="AW1192"/>
      <c r="AX1192"/>
    </row>
    <row r="1193" spans="35:50">
      <c r="AI1193" s="22"/>
      <c r="AJ1193" s="22"/>
      <c r="AK1193" s="22"/>
      <c r="AL1193" s="22"/>
      <c r="AM1193" s="22"/>
      <c r="AN1193" s="22"/>
      <c r="AO1193" s="22"/>
      <c r="AP1193" s="22"/>
      <c r="AQ1193"/>
      <c r="AR1193"/>
      <c r="AS1193"/>
      <c r="AT1193"/>
      <c r="AU1193"/>
      <c r="AV1193"/>
      <c r="AW1193"/>
      <c r="AX1193"/>
    </row>
    <row r="1194" spans="35:50">
      <c r="AI1194" s="22"/>
      <c r="AJ1194" s="22"/>
      <c r="AK1194" s="22"/>
      <c r="AL1194" s="22"/>
      <c r="AM1194" s="22"/>
      <c r="AN1194" s="22"/>
      <c r="AO1194" s="22"/>
      <c r="AP1194" s="22"/>
      <c r="AQ1194"/>
      <c r="AR1194"/>
      <c r="AS1194"/>
      <c r="AT1194"/>
      <c r="AU1194"/>
      <c r="AV1194"/>
      <c r="AW1194"/>
      <c r="AX1194"/>
    </row>
    <row r="1195" spans="35:50">
      <c r="AI1195" s="22"/>
      <c r="AJ1195" s="22"/>
      <c r="AK1195" s="22"/>
      <c r="AL1195" s="22"/>
      <c r="AM1195" s="22"/>
      <c r="AN1195" s="22"/>
      <c r="AO1195" s="22"/>
      <c r="AP1195" s="22"/>
      <c r="AQ1195"/>
      <c r="AR1195"/>
      <c r="AS1195"/>
      <c r="AT1195"/>
      <c r="AU1195"/>
      <c r="AV1195"/>
      <c r="AW1195"/>
      <c r="AX1195"/>
    </row>
    <row r="1196" spans="35:50">
      <c r="AI1196" s="22"/>
      <c r="AJ1196" s="22"/>
      <c r="AK1196" s="22"/>
      <c r="AL1196" s="22"/>
      <c r="AM1196" s="22"/>
      <c r="AN1196" s="22"/>
      <c r="AO1196" s="22"/>
      <c r="AP1196" s="22"/>
      <c r="AQ1196"/>
      <c r="AR1196"/>
      <c r="AS1196"/>
      <c r="AT1196"/>
      <c r="AU1196"/>
      <c r="AV1196"/>
      <c r="AW1196"/>
      <c r="AX1196"/>
    </row>
    <row r="1197" spans="35:50">
      <c r="AI1197" s="22"/>
      <c r="AJ1197" s="22"/>
      <c r="AK1197" s="22"/>
      <c r="AL1197" s="22"/>
      <c r="AM1197" s="22"/>
      <c r="AN1197" s="22"/>
      <c r="AO1197" s="22"/>
      <c r="AP1197" s="22"/>
      <c r="AQ1197"/>
      <c r="AR1197"/>
      <c r="AS1197"/>
      <c r="AT1197"/>
      <c r="AU1197"/>
      <c r="AV1197"/>
      <c r="AW1197"/>
      <c r="AX1197"/>
    </row>
    <row r="1198" spans="35:50">
      <c r="AI1198" s="22"/>
      <c r="AJ1198" s="22"/>
      <c r="AK1198" s="22"/>
      <c r="AL1198" s="22"/>
      <c r="AM1198" s="22"/>
      <c r="AN1198" s="22"/>
      <c r="AO1198" s="22"/>
      <c r="AP1198" s="22"/>
      <c r="AQ1198"/>
      <c r="AR1198"/>
      <c r="AS1198"/>
      <c r="AT1198"/>
      <c r="AU1198"/>
      <c r="AV1198"/>
      <c r="AW1198"/>
      <c r="AX1198"/>
    </row>
    <row r="1199" spans="35:50">
      <c r="AI1199" s="22"/>
      <c r="AJ1199" s="22"/>
      <c r="AK1199" s="22"/>
      <c r="AL1199" s="22"/>
      <c r="AM1199" s="22"/>
      <c r="AN1199" s="22"/>
      <c r="AO1199" s="22"/>
      <c r="AP1199" s="22"/>
      <c r="AQ1199"/>
      <c r="AR1199"/>
      <c r="AS1199"/>
      <c r="AT1199"/>
      <c r="AU1199"/>
      <c r="AV1199"/>
      <c r="AW1199"/>
      <c r="AX1199"/>
    </row>
    <row r="1200" spans="35:50">
      <c r="AI1200" s="22"/>
      <c r="AJ1200" s="22"/>
      <c r="AK1200" s="22"/>
      <c r="AL1200" s="22"/>
      <c r="AM1200" s="22"/>
      <c r="AN1200" s="22"/>
      <c r="AO1200" s="22"/>
      <c r="AP1200" s="22"/>
      <c r="AQ1200"/>
      <c r="AR1200"/>
      <c r="AS1200"/>
      <c r="AT1200"/>
      <c r="AU1200"/>
      <c r="AV1200"/>
      <c r="AW1200"/>
      <c r="AX1200"/>
    </row>
    <row r="1201" spans="35:50">
      <c r="AI1201" s="22"/>
      <c r="AJ1201" s="22"/>
      <c r="AK1201" s="22"/>
      <c r="AL1201" s="22"/>
      <c r="AM1201" s="22"/>
      <c r="AN1201" s="22"/>
      <c r="AO1201" s="22"/>
      <c r="AP1201" s="22"/>
      <c r="AQ1201"/>
      <c r="AR1201"/>
      <c r="AS1201"/>
      <c r="AT1201"/>
      <c r="AU1201"/>
      <c r="AV1201"/>
      <c r="AW1201"/>
      <c r="AX1201"/>
    </row>
    <row r="1202" spans="35:50">
      <c r="AI1202" s="22"/>
      <c r="AJ1202" s="22"/>
      <c r="AK1202" s="22"/>
      <c r="AL1202" s="22"/>
      <c r="AM1202" s="22"/>
      <c r="AN1202" s="22"/>
      <c r="AO1202" s="22"/>
      <c r="AP1202" s="22"/>
      <c r="AQ1202"/>
      <c r="AR1202"/>
      <c r="AS1202"/>
      <c r="AT1202"/>
      <c r="AU1202"/>
      <c r="AV1202"/>
      <c r="AW1202"/>
      <c r="AX1202"/>
    </row>
    <row r="1203" spans="35:50">
      <c r="AI1203" s="22"/>
      <c r="AJ1203" s="22"/>
      <c r="AK1203" s="22"/>
      <c r="AL1203" s="22"/>
      <c r="AM1203" s="22"/>
      <c r="AN1203" s="22"/>
      <c r="AO1203" s="22"/>
      <c r="AP1203" s="22"/>
      <c r="AQ1203"/>
      <c r="AR1203"/>
      <c r="AS1203"/>
      <c r="AT1203"/>
      <c r="AU1203"/>
      <c r="AV1203"/>
      <c r="AW1203"/>
      <c r="AX1203"/>
    </row>
    <row r="1204" spans="35:50">
      <c r="AI1204" s="22"/>
      <c r="AJ1204" s="22"/>
      <c r="AK1204" s="22"/>
      <c r="AL1204" s="22"/>
      <c r="AM1204" s="22"/>
      <c r="AN1204" s="22"/>
      <c r="AO1204" s="22"/>
      <c r="AP1204" s="22"/>
      <c r="AQ1204"/>
      <c r="AR1204"/>
      <c r="AS1204"/>
      <c r="AT1204"/>
      <c r="AU1204"/>
      <c r="AV1204"/>
      <c r="AW1204"/>
      <c r="AX1204"/>
    </row>
    <row r="1205" spans="35:50">
      <c r="AI1205" s="22"/>
      <c r="AJ1205" s="22"/>
      <c r="AK1205" s="22"/>
      <c r="AL1205" s="22"/>
      <c r="AM1205" s="22"/>
      <c r="AN1205" s="22"/>
      <c r="AO1205" s="22"/>
      <c r="AP1205" s="22"/>
      <c r="AQ1205"/>
      <c r="AR1205"/>
      <c r="AS1205"/>
      <c r="AT1205"/>
      <c r="AU1205"/>
      <c r="AV1205"/>
      <c r="AW1205"/>
      <c r="AX1205"/>
    </row>
    <row r="1206" spans="35:50">
      <c r="AI1206" s="22"/>
      <c r="AJ1206" s="22"/>
      <c r="AK1206" s="22"/>
      <c r="AL1206" s="22"/>
      <c r="AM1206" s="22"/>
      <c r="AN1206" s="22"/>
      <c r="AO1206" s="22"/>
      <c r="AP1206" s="22"/>
      <c r="AQ1206"/>
      <c r="AR1206"/>
      <c r="AS1206"/>
      <c r="AT1206"/>
      <c r="AU1206"/>
      <c r="AV1206"/>
      <c r="AW1206"/>
      <c r="AX1206"/>
    </row>
    <row r="1207" spans="35:50">
      <c r="AI1207" s="22"/>
      <c r="AJ1207" s="22"/>
      <c r="AK1207" s="22"/>
      <c r="AL1207" s="22"/>
      <c r="AM1207" s="22"/>
      <c r="AN1207" s="22"/>
      <c r="AO1207" s="22"/>
      <c r="AP1207" s="22"/>
      <c r="AQ1207"/>
      <c r="AR1207"/>
      <c r="AS1207"/>
      <c r="AT1207"/>
      <c r="AU1207"/>
      <c r="AV1207"/>
      <c r="AW1207"/>
      <c r="AX1207"/>
    </row>
    <row r="1208" spans="35:50">
      <c r="AI1208" s="22"/>
      <c r="AJ1208" s="22"/>
      <c r="AK1208" s="22"/>
      <c r="AL1208" s="22"/>
      <c r="AM1208" s="22"/>
      <c r="AN1208" s="22"/>
      <c r="AO1208" s="22"/>
      <c r="AP1208" s="22"/>
      <c r="AQ1208"/>
      <c r="AR1208"/>
      <c r="AS1208"/>
      <c r="AT1208"/>
      <c r="AU1208"/>
      <c r="AV1208"/>
      <c r="AW1208"/>
      <c r="AX1208"/>
    </row>
    <row r="1209" spans="35:50">
      <c r="AI1209" s="22"/>
      <c r="AJ1209" s="22"/>
      <c r="AK1209" s="22"/>
      <c r="AL1209" s="22"/>
      <c r="AM1209" s="22"/>
      <c r="AN1209" s="22"/>
      <c r="AO1209" s="22"/>
      <c r="AP1209" s="22"/>
      <c r="AQ1209"/>
      <c r="AR1209"/>
      <c r="AS1209"/>
      <c r="AT1209"/>
      <c r="AU1209"/>
      <c r="AV1209"/>
      <c r="AW1209"/>
      <c r="AX1209"/>
    </row>
    <row r="1210" spans="35:50">
      <c r="AI1210" s="22"/>
      <c r="AJ1210" s="22"/>
      <c r="AK1210" s="22"/>
      <c r="AL1210" s="22"/>
      <c r="AM1210" s="22"/>
      <c r="AN1210" s="22"/>
      <c r="AO1210" s="22"/>
      <c r="AP1210" s="22"/>
      <c r="AQ1210"/>
      <c r="AR1210"/>
      <c r="AS1210"/>
      <c r="AT1210"/>
      <c r="AU1210"/>
      <c r="AV1210"/>
      <c r="AW1210"/>
      <c r="AX1210"/>
    </row>
    <row r="1211" spans="35:50">
      <c r="AI1211" s="22"/>
      <c r="AJ1211" s="22"/>
      <c r="AK1211" s="22"/>
      <c r="AL1211" s="22"/>
      <c r="AM1211" s="22"/>
      <c r="AN1211" s="22"/>
      <c r="AO1211" s="22"/>
      <c r="AP1211" s="22"/>
      <c r="AQ1211"/>
      <c r="AR1211"/>
      <c r="AS1211"/>
      <c r="AT1211"/>
      <c r="AU1211"/>
      <c r="AV1211"/>
      <c r="AW1211"/>
      <c r="AX1211"/>
    </row>
    <row r="1212" spans="35:50">
      <c r="AI1212" s="22"/>
      <c r="AJ1212" s="22"/>
      <c r="AK1212" s="22"/>
      <c r="AL1212" s="22"/>
      <c r="AM1212" s="22"/>
      <c r="AN1212" s="22"/>
      <c r="AO1212" s="22"/>
      <c r="AP1212" s="22"/>
      <c r="AQ1212"/>
      <c r="AR1212"/>
      <c r="AS1212"/>
      <c r="AT1212"/>
      <c r="AU1212"/>
      <c r="AV1212"/>
      <c r="AW1212"/>
      <c r="AX1212"/>
    </row>
    <row r="1213" spans="35:50">
      <c r="AI1213" s="22"/>
      <c r="AJ1213" s="22"/>
      <c r="AK1213" s="22"/>
      <c r="AL1213" s="22"/>
      <c r="AM1213" s="22"/>
      <c r="AN1213" s="22"/>
      <c r="AO1213" s="22"/>
      <c r="AP1213" s="22"/>
      <c r="AQ1213"/>
      <c r="AR1213"/>
      <c r="AS1213"/>
      <c r="AT1213"/>
      <c r="AU1213"/>
      <c r="AV1213"/>
      <c r="AW1213"/>
      <c r="AX1213"/>
    </row>
    <row r="1214" spans="35:50">
      <c r="AI1214" s="22"/>
      <c r="AJ1214" s="22"/>
      <c r="AK1214" s="22"/>
      <c r="AL1214" s="22"/>
      <c r="AM1214" s="22"/>
      <c r="AN1214" s="22"/>
      <c r="AO1214" s="22"/>
      <c r="AP1214" s="22"/>
      <c r="AQ1214"/>
      <c r="AR1214"/>
      <c r="AS1214"/>
      <c r="AT1214"/>
      <c r="AU1214"/>
      <c r="AV1214"/>
      <c r="AW1214"/>
      <c r="AX1214"/>
    </row>
    <row r="1215" spans="35:50">
      <c r="AI1215" s="22"/>
      <c r="AJ1215" s="22"/>
      <c r="AK1215" s="22"/>
      <c r="AL1215" s="22"/>
      <c r="AM1215" s="22"/>
      <c r="AN1215" s="22"/>
      <c r="AO1215" s="22"/>
      <c r="AP1215" s="22"/>
      <c r="AQ1215"/>
      <c r="AR1215"/>
      <c r="AS1215"/>
      <c r="AT1215"/>
      <c r="AU1215"/>
      <c r="AV1215"/>
      <c r="AW1215"/>
      <c r="AX1215"/>
    </row>
    <row r="1216" spans="35:50">
      <c r="AI1216" s="22"/>
      <c r="AJ1216" s="22"/>
      <c r="AK1216" s="22"/>
      <c r="AL1216" s="22"/>
      <c r="AM1216" s="22"/>
      <c r="AN1216" s="22"/>
      <c r="AO1216" s="22"/>
      <c r="AP1216" s="22"/>
      <c r="AQ1216"/>
      <c r="AR1216"/>
      <c r="AS1216"/>
      <c r="AT1216"/>
      <c r="AU1216"/>
      <c r="AV1216"/>
      <c r="AW1216"/>
      <c r="AX1216"/>
    </row>
    <row r="1217" spans="35:50">
      <c r="AI1217" s="22"/>
      <c r="AJ1217" s="22"/>
      <c r="AK1217" s="22"/>
      <c r="AL1217" s="22"/>
      <c r="AM1217" s="22"/>
      <c r="AN1217" s="22"/>
      <c r="AO1217" s="22"/>
      <c r="AP1217" s="22"/>
      <c r="AQ1217"/>
      <c r="AR1217"/>
      <c r="AS1217"/>
      <c r="AT1217"/>
      <c r="AU1217"/>
      <c r="AV1217"/>
      <c r="AW1217"/>
      <c r="AX1217"/>
    </row>
    <row r="1218" spans="35:50">
      <c r="AI1218" s="22"/>
      <c r="AJ1218" s="22"/>
      <c r="AK1218" s="22"/>
      <c r="AL1218" s="22"/>
      <c r="AM1218" s="22"/>
      <c r="AN1218" s="22"/>
      <c r="AO1218" s="22"/>
      <c r="AP1218" s="22"/>
      <c r="AQ1218"/>
      <c r="AR1218"/>
      <c r="AS1218"/>
      <c r="AT1218"/>
      <c r="AU1218"/>
      <c r="AV1218"/>
      <c r="AW1218"/>
      <c r="AX1218"/>
    </row>
    <row r="1219" spans="35:50">
      <c r="AI1219" s="22"/>
      <c r="AJ1219" s="22"/>
      <c r="AK1219" s="22"/>
      <c r="AL1219" s="22"/>
      <c r="AM1219" s="22"/>
      <c r="AN1219" s="22"/>
      <c r="AO1219" s="22"/>
      <c r="AP1219" s="22"/>
      <c r="AQ1219"/>
      <c r="AR1219"/>
      <c r="AS1219"/>
      <c r="AT1219"/>
      <c r="AU1219"/>
      <c r="AV1219"/>
      <c r="AW1219"/>
      <c r="AX1219"/>
    </row>
    <row r="1220" spans="35:50">
      <c r="AI1220" s="22"/>
      <c r="AJ1220" s="22"/>
      <c r="AK1220" s="22"/>
      <c r="AL1220" s="22"/>
      <c r="AM1220" s="22"/>
      <c r="AN1220" s="22"/>
      <c r="AO1220" s="22"/>
      <c r="AP1220" s="22"/>
      <c r="AQ1220"/>
      <c r="AR1220"/>
      <c r="AS1220"/>
      <c r="AT1220"/>
      <c r="AU1220"/>
      <c r="AV1220"/>
      <c r="AW1220"/>
      <c r="AX1220"/>
    </row>
    <row r="1221" spans="35:50">
      <c r="AI1221" s="22"/>
      <c r="AJ1221" s="22"/>
      <c r="AK1221" s="22"/>
      <c r="AL1221" s="22"/>
      <c r="AM1221" s="22"/>
      <c r="AN1221" s="22"/>
      <c r="AO1221" s="22"/>
      <c r="AP1221" s="22"/>
      <c r="AQ1221"/>
      <c r="AR1221"/>
      <c r="AS1221"/>
      <c r="AT1221"/>
      <c r="AU1221"/>
      <c r="AV1221"/>
      <c r="AW1221"/>
      <c r="AX1221"/>
    </row>
    <row r="1222" spans="35:50">
      <c r="AI1222" s="22"/>
      <c r="AJ1222" s="22"/>
      <c r="AK1222" s="22"/>
      <c r="AL1222" s="22"/>
      <c r="AM1222" s="22"/>
      <c r="AN1222" s="22"/>
      <c r="AO1222" s="22"/>
      <c r="AP1222" s="22"/>
      <c r="AQ1222"/>
      <c r="AR1222"/>
      <c r="AS1222"/>
      <c r="AT1222"/>
      <c r="AU1222"/>
      <c r="AV1222"/>
      <c r="AW1222"/>
      <c r="AX1222"/>
    </row>
    <row r="1223" spans="35:50">
      <c r="AI1223" s="22"/>
      <c r="AJ1223" s="22"/>
      <c r="AK1223" s="22"/>
      <c r="AL1223" s="22"/>
      <c r="AM1223" s="22"/>
      <c r="AN1223" s="22"/>
      <c r="AO1223" s="22"/>
      <c r="AP1223" s="22"/>
      <c r="AQ1223"/>
      <c r="AR1223"/>
      <c r="AS1223"/>
      <c r="AT1223"/>
      <c r="AU1223"/>
      <c r="AV1223"/>
      <c r="AW1223"/>
      <c r="AX1223"/>
    </row>
    <row r="1224" spans="35:50">
      <c r="AI1224" s="22"/>
      <c r="AJ1224" s="22"/>
      <c r="AK1224" s="22"/>
      <c r="AL1224" s="22"/>
      <c r="AM1224" s="22"/>
      <c r="AN1224" s="22"/>
      <c r="AO1224" s="22"/>
      <c r="AP1224" s="22"/>
      <c r="AQ1224"/>
      <c r="AR1224"/>
      <c r="AS1224"/>
      <c r="AT1224"/>
      <c r="AU1224"/>
      <c r="AV1224"/>
      <c r="AW1224"/>
      <c r="AX1224"/>
    </row>
    <row r="1225" spans="35:50">
      <c r="AI1225" s="22"/>
      <c r="AJ1225" s="22"/>
      <c r="AK1225" s="22"/>
      <c r="AL1225" s="22"/>
      <c r="AM1225" s="22"/>
      <c r="AN1225" s="22"/>
      <c r="AO1225" s="22"/>
      <c r="AP1225" s="22"/>
      <c r="AQ1225"/>
      <c r="AR1225"/>
      <c r="AS1225"/>
      <c r="AT1225"/>
      <c r="AU1225"/>
      <c r="AV1225"/>
      <c r="AW1225"/>
      <c r="AX1225"/>
    </row>
    <row r="1226" spans="35:50">
      <c r="AI1226" s="22"/>
      <c r="AJ1226" s="22"/>
      <c r="AK1226" s="22"/>
      <c r="AL1226" s="22"/>
      <c r="AM1226" s="22"/>
      <c r="AN1226" s="22"/>
      <c r="AO1226" s="22"/>
      <c r="AP1226" s="22"/>
      <c r="AQ1226"/>
      <c r="AR1226"/>
      <c r="AS1226"/>
      <c r="AT1226"/>
      <c r="AU1226"/>
      <c r="AV1226"/>
      <c r="AW1226"/>
      <c r="AX1226"/>
    </row>
    <row r="1227" spans="35:50">
      <c r="AI1227" s="22"/>
      <c r="AJ1227" s="22"/>
      <c r="AK1227" s="22"/>
      <c r="AL1227" s="22"/>
      <c r="AM1227" s="22"/>
      <c r="AN1227" s="22"/>
      <c r="AO1227" s="22"/>
      <c r="AP1227" s="22"/>
      <c r="AQ1227"/>
      <c r="AR1227"/>
      <c r="AS1227"/>
      <c r="AT1227"/>
      <c r="AU1227"/>
      <c r="AV1227"/>
      <c r="AW1227"/>
      <c r="AX1227"/>
    </row>
    <row r="1228" spans="35:50">
      <c r="AI1228" s="22"/>
      <c r="AJ1228" s="22"/>
      <c r="AK1228" s="22"/>
      <c r="AL1228" s="22"/>
      <c r="AM1228" s="22"/>
      <c r="AN1228" s="22"/>
      <c r="AO1228" s="22"/>
      <c r="AP1228" s="22"/>
      <c r="AQ1228"/>
      <c r="AR1228"/>
      <c r="AS1228"/>
      <c r="AT1228"/>
      <c r="AU1228"/>
      <c r="AV1228"/>
      <c r="AW1228"/>
      <c r="AX1228"/>
    </row>
    <row r="1229" spans="35:50">
      <c r="AI1229" s="22"/>
      <c r="AJ1229" s="22"/>
      <c r="AK1229" s="22"/>
      <c r="AL1229" s="22"/>
      <c r="AM1229" s="22"/>
      <c r="AN1229" s="22"/>
      <c r="AO1229" s="22"/>
      <c r="AP1229" s="22"/>
      <c r="AQ1229"/>
      <c r="AR1229"/>
      <c r="AS1229"/>
      <c r="AT1229"/>
      <c r="AU1229"/>
      <c r="AV1229"/>
      <c r="AW1229"/>
      <c r="AX1229"/>
    </row>
    <row r="1230" spans="35:50">
      <c r="AI1230" s="22"/>
      <c r="AJ1230" s="22"/>
      <c r="AK1230" s="22"/>
      <c r="AL1230" s="22"/>
      <c r="AM1230" s="22"/>
      <c r="AN1230" s="22"/>
      <c r="AO1230" s="22"/>
      <c r="AP1230" s="22"/>
      <c r="AQ1230"/>
      <c r="AR1230"/>
      <c r="AS1230"/>
      <c r="AT1230"/>
      <c r="AU1230"/>
      <c r="AV1230"/>
      <c r="AW1230"/>
      <c r="AX1230"/>
    </row>
    <row r="1231" spans="35:50">
      <c r="AI1231" s="22"/>
      <c r="AJ1231" s="22"/>
      <c r="AK1231" s="22"/>
      <c r="AL1231" s="22"/>
      <c r="AM1231" s="22"/>
      <c r="AN1231" s="22"/>
      <c r="AO1231" s="22"/>
      <c r="AP1231" s="22"/>
      <c r="AQ1231"/>
      <c r="AR1231"/>
      <c r="AS1231"/>
      <c r="AT1231"/>
      <c r="AU1231"/>
      <c r="AV1231"/>
      <c r="AW1231"/>
      <c r="AX1231"/>
    </row>
    <row r="1232" spans="35:50">
      <c r="AI1232" s="22"/>
      <c r="AJ1232" s="22"/>
      <c r="AK1232" s="22"/>
      <c r="AL1232" s="22"/>
      <c r="AM1232" s="22"/>
      <c r="AN1232" s="22"/>
      <c r="AO1232" s="22"/>
      <c r="AP1232" s="22"/>
      <c r="AQ1232"/>
      <c r="AR1232"/>
      <c r="AS1232"/>
      <c r="AT1232"/>
      <c r="AU1232"/>
      <c r="AV1232"/>
      <c r="AW1232"/>
      <c r="AX1232"/>
    </row>
    <row r="1233" spans="35:50">
      <c r="AI1233" s="22"/>
      <c r="AJ1233" s="22"/>
      <c r="AK1233" s="22"/>
      <c r="AL1233" s="22"/>
      <c r="AM1233" s="22"/>
      <c r="AN1233" s="22"/>
      <c r="AO1233" s="22"/>
      <c r="AP1233" s="22"/>
      <c r="AQ1233"/>
      <c r="AR1233"/>
      <c r="AS1233"/>
      <c r="AT1233"/>
      <c r="AU1233"/>
      <c r="AV1233"/>
      <c r="AW1233"/>
      <c r="AX1233"/>
    </row>
    <row r="1234" spans="35:50">
      <c r="AI1234" s="22"/>
      <c r="AJ1234" s="22"/>
      <c r="AK1234" s="22"/>
      <c r="AL1234" s="22"/>
      <c r="AM1234" s="22"/>
      <c r="AN1234" s="22"/>
      <c r="AO1234" s="22"/>
      <c r="AP1234" s="22"/>
      <c r="AQ1234"/>
      <c r="AR1234"/>
      <c r="AS1234"/>
      <c r="AT1234"/>
      <c r="AU1234"/>
      <c r="AV1234"/>
      <c r="AW1234"/>
      <c r="AX1234"/>
    </row>
    <row r="1235" spans="35:50">
      <c r="AI1235" s="22"/>
      <c r="AJ1235" s="22"/>
      <c r="AK1235" s="22"/>
      <c r="AL1235" s="22"/>
      <c r="AM1235" s="22"/>
      <c r="AN1235" s="22"/>
      <c r="AO1235" s="22"/>
      <c r="AP1235" s="22"/>
      <c r="AQ1235"/>
      <c r="AR1235"/>
      <c r="AS1235"/>
      <c r="AT1235"/>
      <c r="AU1235"/>
      <c r="AV1235"/>
      <c r="AW1235"/>
      <c r="AX1235"/>
    </row>
    <row r="1236" spans="35:50">
      <c r="AI1236" s="22"/>
      <c r="AJ1236" s="22"/>
      <c r="AK1236" s="22"/>
      <c r="AL1236" s="22"/>
      <c r="AM1236" s="22"/>
      <c r="AN1236" s="22"/>
      <c r="AO1236" s="22"/>
      <c r="AP1236" s="22"/>
      <c r="AQ1236"/>
      <c r="AR1236"/>
      <c r="AS1236"/>
      <c r="AT1236"/>
      <c r="AU1236"/>
      <c r="AV1236"/>
      <c r="AW1236"/>
      <c r="AX1236"/>
    </row>
    <row r="1237" spans="35:50">
      <c r="AI1237" s="22"/>
      <c r="AJ1237" s="22"/>
      <c r="AK1237" s="22"/>
      <c r="AL1237" s="22"/>
      <c r="AM1237" s="22"/>
      <c r="AN1237" s="22"/>
      <c r="AO1237" s="22"/>
      <c r="AP1237" s="22"/>
      <c r="AQ1237"/>
      <c r="AR1237"/>
      <c r="AS1237"/>
      <c r="AT1237"/>
      <c r="AU1237"/>
      <c r="AV1237"/>
      <c r="AW1237"/>
      <c r="AX1237"/>
    </row>
    <row r="1238" spans="35:50">
      <c r="AI1238" s="22"/>
      <c r="AJ1238" s="22"/>
      <c r="AK1238" s="22"/>
      <c r="AL1238" s="22"/>
      <c r="AM1238" s="22"/>
      <c r="AN1238" s="22"/>
      <c r="AO1238" s="22"/>
      <c r="AP1238" s="22"/>
      <c r="AQ1238"/>
      <c r="AR1238"/>
      <c r="AS1238"/>
      <c r="AT1238"/>
      <c r="AU1238"/>
      <c r="AV1238"/>
      <c r="AW1238"/>
      <c r="AX1238"/>
    </row>
    <row r="1239" spans="35:50">
      <c r="AI1239" s="22"/>
      <c r="AJ1239" s="22"/>
      <c r="AK1239" s="22"/>
      <c r="AL1239" s="22"/>
      <c r="AM1239" s="22"/>
      <c r="AN1239" s="22"/>
      <c r="AO1239" s="22"/>
      <c r="AP1239" s="22"/>
      <c r="AQ1239"/>
      <c r="AR1239"/>
      <c r="AS1239"/>
      <c r="AT1239"/>
      <c r="AU1239"/>
      <c r="AV1239"/>
      <c r="AW1239"/>
      <c r="AX1239"/>
    </row>
    <row r="1240" spans="35:50">
      <c r="AI1240" s="22"/>
      <c r="AJ1240" s="22"/>
      <c r="AK1240" s="22"/>
      <c r="AL1240" s="22"/>
      <c r="AM1240" s="22"/>
      <c r="AN1240" s="22"/>
      <c r="AO1240" s="22"/>
      <c r="AP1240" s="22"/>
      <c r="AQ1240"/>
      <c r="AR1240"/>
      <c r="AS1240"/>
      <c r="AT1240"/>
      <c r="AU1240"/>
      <c r="AV1240"/>
      <c r="AW1240"/>
      <c r="AX1240"/>
    </row>
    <row r="1241" spans="35:50">
      <c r="AI1241" s="22"/>
      <c r="AJ1241" s="22"/>
      <c r="AK1241" s="22"/>
      <c r="AL1241" s="22"/>
      <c r="AM1241" s="22"/>
      <c r="AN1241" s="22"/>
      <c r="AO1241" s="22"/>
      <c r="AP1241" s="22"/>
      <c r="AQ1241"/>
      <c r="AR1241"/>
      <c r="AS1241"/>
      <c r="AT1241"/>
      <c r="AU1241"/>
      <c r="AV1241"/>
      <c r="AW1241"/>
      <c r="AX1241"/>
    </row>
    <row r="1242" spans="35:50">
      <c r="AI1242" s="22"/>
      <c r="AJ1242" s="22"/>
      <c r="AK1242" s="22"/>
      <c r="AL1242" s="22"/>
      <c r="AM1242" s="22"/>
      <c r="AN1242" s="22"/>
      <c r="AO1242" s="22"/>
      <c r="AP1242" s="22"/>
      <c r="AQ1242"/>
      <c r="AR1242"/>
      <c r="AS1242"/>
      <c r="AT1242"/>
      <c r="AU1242"/>
      <c r="AV1242"/>
      <c r="AW1242"/>
      <c r="AX1242"/>
    </row>
    <row r="1243" spans="35:50">
      <c r="AI1243" s="22"/>
      <c r="AJ1243" s="22"/>
      <c r="AK1243" s="22"/>
      <c r="AL1243" s="22"/>
      <c r="AM1243" s="22"/>
      <c r="AN1243" s="22"/>
      <c r="AO1243" s="22"/>
      <c r="AP1243" s="22"/>
      <c r="AQ1243"/>
      <c r="AR1243"/>
      <c r="AS1243"/>
      <c r="AT1243"/>
      <c r="AU1243"/>
      <c r="AV1243"/>
      <c r="AW1243"/>
      <c r="AX1243"/>
    </row>
    <row r="1244" spans="35:50">
      <c r="AI1244" s="22"/>
      <c r="AJ1244" s="22"/>
      <c r="AK1244" s="22"/>
      <c r="AL1244" s="22"/>
      <c r="AM1244" s="22"/>
      <c r="AN1244" s="22"/>
      <c r="AO1244" s="22"/>
      <c r="AP1244" s="22"/>
      <c r="AQ1244"/>
      <c r="AR1244"/>
      <c r="AS1244"/>
      <c r="AT1244"/>
      <c r="AU1244"/>
      <c r="AV1244"/>
      <c r="AW1244"/>
      <c r="AX1244"/>
    </row>
    <row r="1245" spans="35:50">
      <c r="AI1245" s="22"/>
      <c r="AJ1245" s="22"/>
      <c r="AK1245" s="22"/>
      <c r="AL1245" s="22"/>
      <c r="AM1245" s="22"/>
      <c r="AN1245" s="22"/>
      <c r="AO1245" s="22"/>
      <c r="AP1245" s="22"/>
      <c r="AQ1245"/>
      <c r="AR1245"/>
      <c r="AS1245"/>
      <c r="AT1245"/>
      <c r="AU1245"/>
      <c r="AV1245"/>
      <c r="AW1245"/>
      <c r="AX1245"/>
    </row>
    <row r="1246" spans="35:50">
      <c r="AI1246" s="22"/>
      <c r="AJ1246" s="22"/>
      <c r="AK1246" s="22"/>
      <c r="AL1246" s="22"/>
      <c r="AM1246" s="22"/>
      <c r="AN1246" s="22"/>
      <c r="AO1246" s="22"/>
      <c r="AP1246" s="22"/>
      <c r="AQ1246"/>
      <c r="AR1246"/>
      <c r="AS1246"/>
      <c r="AT1246"/>
      <c r="AU1246"/>
      <c r="AV1246"/>
      <c r="AW1246"/>
      <c r="AX1246"/>
    </row>
    <row r="1247" spans="35:50">
      <c r="AI1247" s="22"/>
      <c r="AJ1247" s="22"/>
      <c r="AK1247" s="22"/>
      <c r="AL1247" s="22"/>
      <c r="AM1247" s="22"/>
      <c r="AN1247" s="22"/>
      <c r="AO1247" s="22"/>
      <c r="AP1247" s="22"/>
      <c r="AQ1247"/>
      <c r="AR1247"/>
      <c r="AS1247"/>
      <c r="AT1247"/>
      <c r="AU1247"/>
      <c r="AV1247"/>
      <c r="AW1247"/>
      <c r="AX1247"/>
    </row>
    <row r="1248" spans="35:50">
      <c r="AI1248" s="22"/>
      <c r="AJ1248" s="22"/>
      <c r="AK1248" s="22"/>
      <c r="AL1248" s="22"/>
      <c r="AM1248" s="22"/>
      <c r="AN1248" s="22"/>
      <c r="AO1248" s="22"/>
      <c r="AP1248" s="22"/>
      <c r="AQ1248"/>
      <c r="AR1248"/>
      <c r="AS1248"/>
      <c r="AT1248"/>
      <c r="AU1248"/>
      <c r="AV1248"/>
      <c r="AW1248"/>
      <c r="AX1248"/>
    </row>
    <row r="1249" spans="35:50">
      <c r="AI1249" s="22"/>
      <c r="AJ1249" s="22"/>
      <c r="AK1249" s="22"/>
      <c r="AL1249" s="22"/>
      <c r="AM1249" s="22"/>
      <c r="AN1249" s="22"/>
      <c r="AO1249" s="22"/>
      <c r="AP1249" s="22"/>
      <c r="AQ1249"/>
      <c r="AR1249"/>
      <c r="AS1249"/>
      <c r="AT1249"/>
      <c r="AU1249"/>
      <c r="AV1249"/>
      <c r="AW1249"/>
      <c r="AX1249"/>
    </row>
    <row r="1250" spans="35:50">
      <c r="AI1250" s="22"/>
      <c r="AJ1250" s="22"/>
      <c r="AK1250" s="22"/>
      <c r="AL1250" s="22"/>
      <c r="AM1250" s="22"/>
      <c r="AN1250" s="22"/>
      <c r="AO1250" s="22"/>
      <c r="AP1250" s="22"/>
      <c r="AQ1250"/>
      <c r="AR1250"/>
      <c r="AS1250"/>
      <c r="AT1250"/>
      <c r="AU1250"/>
      <c r="AV1250"/>
      <c r="AW1250"/>
      <c r="AX1250"/>
    </row>
    <row r="1251" spans="35:50">
      <c r="AI1251" s="22"/>
      <c r="AJ1251" s="22"/>
      <c r="AK1251" s="22"/>
      <c r="AL1251" s="22"/>
      <c r="AM1251" s="22"/>
      <c r="AN1251" s="22"/>
      <c r="AO1251" s="22"/>
      <c r="AP1251" s="22"/>
      <c r="AQ1251"/>
      <c r="AR1251"/>
      <c r="AS1251"/>
      <c r="AT1251"/>
      <c r="AU1251"/>
      <c r="AV1251"/>
      <c r="AW1251"/>
      <c r="AX1251"/>
    </row>
    <row r="1252" spans="35:50">
      <c r="AI1252" s="22"/>
      <c r="AJ1252" s="22"/>
      <c r="AK1252" s="22"/>
      <c r="AL1252" s="22"/>
      <c r="AM1252" s="22"/>
      <c r="AN1252" s="22"/>
      <c r="AO1252" s="22"/>
      <c r="AP1252" s="22"/>
      <c r="AQ1252"/>
      <c r="AR1252"/>
      <c r="AS1252"/>
      <c r="AT1252"/>
      <c r="AU1252"/>
      <c r="AV1252"/>
      <c r="AW1252"/>
      <c r="AX1252"/>
    </row>
    <row r="1253" spans="35:50">
      <c r="AI1253" s="22"/>
      <c r="AJ1253" s="22"/>
      <c r="AK1253" s="22"/>
      <c r="AL1253" s="22"/>
      <c r="AM1253" s="22"/>
      <c r="AN1253" s="22"/>
      <c r="AO1253" s="22"/>
      <c r="AP1253" s="22"/>
      <c r="AQ1253"/>
      <c r="AR1253"/>
      <c r="AS1253"/>
      <c r="AT1253"/>
      <c r="AU1253"/>
      <c r="AV1253"/>
      <c r="AW1253"/>
      <c r="AX1253"/>
    </row>
    <row r="1254" spans="35:50">
      <c r="AI1254" s="22"/>
      <c r="AJ1254" s="22"/>
      <c r="AK1254" s="22"/>
      <c r="AL1254" s="22"/>
      <c r="AM1254" s="22"/>
      <c r="AN1254" s="22"/>
      <c r="AO1254" s="22"/>
      <c r="AP1254" s="22"/>
      <c r="AQ1254"/>
      <c r="AR1254"/>
      <c r="AS1254"/>
      <c r="AT1254"/>
      <c r="AU1254"/>
      <c r="AV1254"/>
      <c r="AW1254"/>
      <c r="AX1254"/>
    </row>
    <row r="1255" spans="35:50">
      <c r="AI1255" s="22"/>
      <c r="AJ1255" s="22"/>
      <c r="AK1255" s="22"/>
      <c r="AL1255" s="22"/>
      <c r="AM1255" s="22"/>
      <c r="AN1255" s="22"/>
      <c r="AO1255" s="22"/>
      <c r="AP1255" s="22"/>
      <c r="AQ1255"/>
      <c r="AR1255"/>
      <c r="AS1255"/>
      <c r="AT1255"/>
      <c r="AU1255"/>
      <c r="AV1255"/>
      <c r="AW1255"/>
      <c r="AX1255"/>
    </row>
    <row r="1256" spans="35:50">
      <c r="AI1256" s="22"/>
      <c r="AJ1256" s="22"/>
      <c r="AK1256" s="22"/>
      <c r="AL1256" s="22"/>
      <c r="AM1256" s="22"/>
      <c r="AN1256" s="22"/>
      <c r="AO1256" s="22"/>
      <c r="AP1256" s="22"/>
      <c r="AQ1256"/>
      <c r="AR1256"/>
      <c r="AS1256"/>
      <c r="AT1256"/>
      <c r="AU1256"/>
      <c r="AV1256"/>
      <c r="AW1256"/>
      <c r="AX1256"/>
    </row>
    <row r="1257" spans="35:50">
      <c r="AI1257" s="22"/>
      <c r="AJ1257" s="22"/>
      <c r="AK1257" s="22"/>
      <c r="AL1257" s="22"/>
      <c r="AM1257" s="22"/>
      <c r="AN1257" s="22"/>
      <c r="AO1257" s="22"/>
      <c r="AP1257" s="22"/>
      <c r="AQ1257"/>
      <c r="AR1257"/>
      <c r="AS1257"/>
      <c r="AT1257"/>
      <c r="AU1257"/>
      <c r="AV1257"/>
      <c r="AW1257"/>
      <c r="AX1257"/>
    </row>
    <row r="1258" spans="35:50">
      <c r="AI1258" s="22"/>
      <c r="AJ1258" s="22"/>
      <c r="AK1258" s="22"/>
      <c r="AL1258" s="22"/>
      <c r="AM1258" s="22"/>
      <c r="AN1258" s="22"/>
      <c r="AO1258" s="22"/>
      <c r="AP1258" s="22"/>
      <c r="AQ1258"/>
      <c r="AR1258"/>
      <c r="AS1258"/>
      <c r="AT1258"/>
      <c r="AU1258"/>
      <c r="AV1258"/>
      <c r="AW1258"/>
      <c r="AX1258"/>
    </row>
    <row r="1259" spans="35:50">
      <c r="AI1259" s="22"/>
      <c r="AJ1259" s="22"/>
      <c r="AK1259" s="22"/>
      <c r="AL1259" s="22"/>
      <c r="AM1259" s="22"/>
      <c r="AN1259" s="22"/>
      <c r="AO1259" s="22"/>
      <c r="AP1259" s="22"/>
      <c r="AQ1259"/>
      <c r="AR1259"/>
      <c r="AS1259"/>
      <c r="AT1259"/>
      <c r="AU1259"/>
      <c r="AV1259"/>
      <c r="AW1259"/>
      <c r="AX1259"/>
    </row>
    <row r="1260" spans="35:50">
      <c r="AI1260" s="22"/>
      <c r="AJ1260" s="22"/>
      <c r="AK1260" s="22"/>
      <c r="AL1260" s="22"/>
      <c r="AM1260" s="22"/>
      <c r="AN1260" s="22"/>
      <c r="AO1260" s="22"/>
      <c r="AP1260" s="22"/>
      <c r="AQ1260"/>
      <c r="AR1260"/>
      <c r="AS1260"/>
      <c r="AT1260"/>
      <c r="AU1260"/>
      <c r="AV1260"/>
      <c r="AW1260"/>
      <c r="AX1260"/>
    </row>
    <row r="1261" spans="35:50">
      <c r="AI1261" s="22"/>
      <c r="AJ1261" s="22"/>
      <c r="AK1261" s="22"/>
      <c r="AL1261" s="22"/>
      <c r="AM1261" s="22"/>
      <c r="AN1261" s="22"/>
      <c r="AO1261" s="22"/>
      <c r="AP1261" s="22"/>
      <c r="AQ1261"/>
      <c r="AR1261"/>
      <c r="AS1261"/>
      <c r="AT1261"/>
      <c r="AU1261"/>
      <c r="AV1261"/>
      <c r="AW1261"/>
      <c r="AX1261"/>
    </row>
    <row r="1262" spans="35:50">
      <c r="AI1262" s="22"/>
      <c r="AJ1262" s="22"/>
      <c r="AK1262" s="22"/>
      <c r="AL1262" s="22"/>
      <c r="AM1262" s="22"/>
      <c r="AN1262" s="22"/>
      <c r="AO1262" s="22"/>
      <c r="AP1262" s="22"/>
      <c r="AQ1262"/>
      <c r="AR1262"/>
      <c r="AS1262"/>
      <c r="AT1262"/>
      <c r="AU1262"/>
      <c r="AV1262"/>
      <c r="AW1262"/>
      <c r="AX1262"/>
    </row>
    <row r="1263" spans="35:50">
      <c r="AI1263" s="22"/>
      <c r="AJ1263" s="22"/>
      <c r="AK1263" s="22"/>
      <c r="AL1263" s="22"/>
      <c r="AM1263" s="22"/>
      <c r="AN1263" s="22"/>
      <c r="AO1263" s="22"/>
      <c r="AP1263" s="22"/>
      <c r="AQ1263"/>
      <c r="AR1263"/>
      <c r="AS1263"/>
      <c r="AT1263"/>
      <c r="AU1263"/>
      <c r="AV1263"/>
      <c r="AW1263"/>
      <c r="AX1263"/>
    </row>
    <row r="1264" spans="35:50">
      <c r="AI1264" s="22"/>
      <c r="AJ1264" s="22"/>
      <c r="AK1264" s="22"/>
      <c r="AL1264" s="22"/>
      <c r="AM1264" s="22"/>
      <c r="AN1264" s="22"/>
      <c r="AO1264" s="22"/>
      <c r="AP1264" s="22"/>
      <c r="AQ1264"/>
      <c r="AR1264"/>
      <c r="AS1264"/>
      <c r="AT1264"/>
      <c r="AU1264"/>
      <c r="AV1264"/>
      <c r="AW1264"/>
      <c r="AX1264"/>
    </row>
    <row r="1265" spans="35:50">
      <c r="AI1265" s="22"/>
      <c r="AJ1265" s="22"/>
      <c r="AK1265" s="22"/>
      <c r="AL1265" s="22"/>
      <c r="AM1265" s="22"/>
      <c r="AN1265" s="22"/>
      <c r="AO1265" s="22"/>
      <c r="AP1265" s="22"/>
      <c r="AQ1265"/>
      <c r="AR1265"/>
      <c r="AS1265"/>
      <c r="AT1265"/>
      <c r="AU1265"/>
      <c r="AV1265"/>
      <c r="AW1265"/>
      <c r="AX1265"/>
    </row>
    <row r="1266" spans="35:50">
      <c r="AI1266" s="22"/>
      <c r="AJ1266" s="22"/>
      <c r="AK1266" s="22"/>
      <c r="AL1266" s="22"/>
      <c r="AM1266" s="22"/>
      <c r="AN1266" s="22"/>
      <c r="AO1266" s="22"/>
      <c r="AP1266" s="22"/>
      <c r="AQ1266"/>
      <c r="AR1266"/>
      <c r="AS1266"/>
      <c r="AT1266"/>
      <c r="AU1266"/>
      <c r="AV1266"/>
      <c r="AW1266"/>
      <c r="AX1266"/>
    </row>
    <row r="1267" spans="35:50">
      <c r="AI1267" s="22"/>
      <c r="AJ1267" s="22"/>
      <c r="AK1267" s="22"/>
      <c r="AL1267" s="22"/>
      <c r="AM1267" s="22"/>
      <c r="AN1267" s="22"/>
      <c r="AO1267" s="22"/>
      <c r="AP1267" s="22"/>
      <c r="AQ1267"/>
      <c r="AR1267"/>
      <c r="AS1267"/>
      <c r="AT1267"/>
      <c r="AU1267"/>
      <c r="AV1267"/>
      <c r="AW1267"/>
      <c r="AX1267"/>
    </row>
    <row r="1268" spans="35:50">
      <c r="AI1268" s="22"/>
      <c r="AJ1268" s="22"/>
      <c r="AK1268" s="22"/>
      <c r="AL1268" s="22"/>
      <c r="AM1268" s="22"/>
      <c r="AN1268" s="22"/>
      <c r="AO1268" s="22"/>
      <c r="AP1268" s="22"/>
      <c r="AQ1268"/>
      <c r="AR1268"/>
      <c r="AS1268"/>
      <c r="AT1268"/>
      <c r="AU1268"/>
      <c r="AV1268"/>
      <c r="AW1268"/>
      <c r="AX1268"/>
    </row>
    <row r="1269" spans="35:50">
      <c r="AI1269" s="22"/>
      <c r="AJ1269" s="22"/>
      <c r="AK1269" s="22"/>
      <c r="AL1269" s="22"/>
      <c r="AM1269" s="22"/>
      <c r="AN1269" s="22"/>
      <c r="AO1269" s="22"/>
      <c r="AP1269" s="22"/>
      <c r="AQ1269"/>
      <c r="AR1269"/>
      <c r="AS1269"/>
      <c r="AT1269"/>
      <c r="AU1269"/>
      <c r="AV1269"/>
      <c r="AW1269"/>
      <c r="AX1269"/>
    </row>
    <row r="1270" spans="35:50">
      <c r="AI1270" s="22"/>
      <c r="AJ1270" s="22"/>
      <c r="AK1270" s="22"/>
      <c r="AL1270" s="22"/>
      <c r="AM1270" s="22"/>
      <c r="AN1270" s="22"/>
      <c r="AO1270" s="22"/>
      <c r="AP1270" s="22"/>
      <c r="AQ1270"/>
      <c r="AR1270"/>
      <c r="AS1270"/>
      <c r="AT1270"/>
      <c r="AU1270"/>
      <c r="AV1270"/>
      <c r="AW1270"/>
      <c r="AX1270"/>
    </row>
    <row r="1271" spans="35:50">
      <c r="AI1271" s="22"/>
      <c r="AJ1271" s="22"/>
      <c r="AK1271" s="22"/>
      <c r="AL1271" s="22"/>
      <c r="AM1271" s="22"/>
      <c r="AN1271" s="22"/>
      <c r="AO1271" s="22"/>
      <c r="AP1271" s="22"/>
      <c r="AQ1271"/>
      <c r="AR1271"/>
      <c r="AS1271"/>
      <c r="AT1271"/>
      <c r="AU1271"/>
      <c r="AV1271"/>
      <c r="AW1271"/>
      <c r="AX1271"/>
    </row>
    <row r="1272" spans="35:50">
      <c r="AI1272" s="22"/>
      <c r="AJ1272" s="22"/>
      <c r="AK1272" s="22"/>
      <c r="AL1272" s="22"/>
      <c r="AM1272" s="22"/>
      <c r="AN1272" s="22"/>
      <c r="AO1272" s="22"/>
      <c r="AP1272" s="22"/>
      <c r="AQ1272"/>
      <c r="AR1272"/>
      <c r="AS1272"/>
      <c r="AT1272"/>
      <c r="AU1272"/>
      <c r="AV1272"/>
      <c r="AW1272"/>
      <c r="AX1272"/>
    </row>
    <row r="1273" spans="35:50">
      <c r="AI1273" s="22"/>
      <c r="AJ1273" s="22"/>
      <c r="AK1273" s="22"/>
      <c r="AL1273" s="22"/>
      <c r="AM1273" s="22"/>
      <c r="AN1273" s="22"/>
      <c r="AO1273" s="22"/>
      <c r="AP1273" s="22"/>
      <c r="AQ1273"/>
      <c r="AR1273"/>
      <c r="AS1273"/>
      <c r="AT1273"/>
      <c r="AU1273"/>
      <c r="AV1273"/>
      <c r="AW1273"/>
      <c r="AX1273"/>
    </row>
    <row r="1274" spans="35:50">
      <c r="AI1274" s="22"/>
      <c r="AJ1274" s="22"/>
      <c r="AK1274" s="22"/>
      <c r="AL1274" s="22"/>
      <c r="AM1274" s="22"/>
      <c r="AN1274" s="22"/>
      <c r="AO1274" s="22"/>
      <c r="AP1274" s="22"/>
      <c r="AQ1274"/>
      <c r="AR1274"/>
      <c r="AS1274"/>
      <c r="AT1274"/>
      <c r="AU1274"/>
      <c r="AV1274"/>
      <c r="AW1274"/>
      <c r="AX1274"/>
    </row>
    <row r="1275" spans="35:50">
      <c r="AI1275" s="22"/>
      <c r="AJ1275" s="22"/>
      <c r="AK1275" s="22"/>
      <c r="AL1275" s="22"/>
      <c r="AM1275" s="22"/>
      <c r="AN1275" s="22"/>
      <c r="AO1275" s="22"/>
      <c r="AP1275" s="22"/>
      <c r="AQ1275"/>
      <c r="AR1275"/>
      <c r="AS1275"/>
      <c r="AT1275"/>
      <c r="AU1275"/>
      <c r="AV1275"/>
      <c r="AW1275"/>
      <c r="AX1275"/>
    </row>
    <row r="1276" spans="35:50">
      <c r="AI1276" s="22"/>
      <c r="AJ1276" s="22"/>
      <c r="AK1276" s="22"/>
      <c r="AL1276" s="22"/>
      <c r="AM1276" s="22"/>
      <c r="AN1276" s="22"/>
      <c r="AO1276" s="22"/>
      <c r="AP1276" s="22"/>
      <c r="AQ1276"/>
      <c r="AR1276"/>
      <c r="AS1276"/>
      <c r="AT1276"/>
      <c r="AU1276"/>
      <c r="AV1276"/>
      <c r="AW1276"/>
      <c r="AX1276"/>
    </row>
    <row r="1277" spans="35:50">
      <c r="AI1277" s="22"/>
      <c r="AJ1277" s="22"/>
      <c r="AK1277" s="22"/>
      <c r="AL1277" s="22"/>
      <c r="AM1277" s="22"/>
      <c r="AN1277" s="22"/>
      <c r="AO1277" s="22"/>
      <c r="AP1277" s="22"/>
      <c r="AQ1277"/>
      <c r="AR1277"/>
      <c r="AS1277"/>
      <c r="AT1277"/>
      <c r="AU1277"/>
      <c r="AV1277"/>
      <c r="AW1277"/>
      <c r="AX1277"/>
    </row>
    <row r="1278" spans="35:50">
      <c r="AI1278" s="22"/>
      <c r="AJ1278" s="22"/>
      <c r="AK1278" s="22"/>
      <c r="AL1278" s="22"/>
      <c r="AM1278" s="22"/>
      <c r="AN1278" s="22"/>
      <c r="AO1278" s="22"/>
      <c r="AP1278" s="22"/>
      <c r="AQ1278"/>
      <c r="AR1278"/>
      <c r="AS1278"/>
      <c r="AT1278"/>
      <c r="AU1278"/>
      <c r="AV1278"/>
      <c r="AW1278"/>
      <c r="AX1278"/>
    </row>
    <row r="1279" spans="35:50">
      <c r="AI1279" s="22"/>
      <c r="AJ1279" s="22"/>
      <c r="AK1279" s="22"/>
      <c r="AL1279" s="22"/>
      <c r="AM1279" s="22"/>
      <c r="AN1279" s="22"/>
      <c r="AO1279" s="22"/>
      <c r="AP1279" s="22"/>
      <c r="AQ1279"/>
      <c r="AR1279"/>
      <c r="AS1279"/>
      <c r="AT1279"/>
      <c r="AU1279"/>
      <c r="AV1279"/>
      <c r="AW1279"/>
      <c r="AX1279"/>
    </row>
    <row r="1280" spans="35:50">
      <c r="AI1280" s="22"/>
      <c r="AJ1280" s="22"/>
      <c r="AK1280" s="22"/>
      <c r="AL1280" s="22"/>
      <c r="AM1280" s="22"/>
      <c r="AN1280" s="22"/>
      <c r="AO1280" s="22"/>
      <c r="AP1280" s="22"/>
      <c r="AQ1280"/>
      <c r="AR1280"/>
      <c r="AS1280"/>
      <c r="AT1280"/>
      <c r="AU1280"/>
      <c r="AV1280"/>
      <c r="AW1280"/>
      <c r="AX1280"/>
    </row>
    <row r="1281" spans="35:50">
      <c r="AI1281" s="22"/>
      <c r="AJ1281" s="22"/>
      <c r="AK1281" s="22"/>
      <c r="AL1281" s="22"/>
      <c r="AM1281" s="22"/>
      <c r="AN1281" s="22"/>
      <c r="AO1281" s="22"/>
      <c r="AP1281" s="22"/>
      <c r="AQ1281"/>
      <c r="AR1281"/>
      <c r="AS1281"/>
      <c r="AT1281"/>
      <c r="AU1281"/>
      <c r="AV1281"/>
      <c r="AW1281"/>
      <c r="AX1281"/>
    </row>
    <row r="1282" spans="35:50">
      <c r="AI1282" s="22"/>
      <c r="AJ1282" s="22"/>
      <c r="AK1282" s="22"/>
      <c r="AL1282" s="22"/>
      <c r="AM1282" s="22"/>
      <c r="AN1282" s="22"/>
      <c r="AO1282" s="22"/>
      <c r="AP1282" s="22"/>
      <c r="AQ1282"/>
      <c r="AR1282"/>
      <c r="AS1282"/>
      <c r="AT1282"/>
      <c r="AU1282"/>
      <c r="AV1282"/>
      <c r="AW1282"/>
      <c r="AX1282"/>
    </row>
    <row r="1283" spans="35:50">
      <c r="AI1283" s="22"/>
      <c r="AJ1283" s="22"/>
      <c r="AK1283" s="22"/>
      <c r="AL1283" s="22"/>
      <c r="AM1283" s="22"/>
      <c r="AN1283" s="22"/>
      <c r="AO1283" s="22"/>
      <c r="AP1283" s="22"/>
      <c r="AQ1283"/>
      <c r="AR1283"/>
      <c r="AS1283"/>
      <c r="AT1283"/>
      <c r="AU1283"/>
      <c r="AV1283"/>
      <c r="AW1283"/>
      <c r="AX1283"/>
    </row>
    <row r="1284" spans="35:50">
      <c r="AI1284" s="22"/>
      <c r="AJ1284" s="22"/>
      <c r="AK1284" s="22"/>
      <c r="AL1284" s="22"/>
      <c r="AM1284" s="22"/>
      <c r="AN1284" s="22"/>
      <c r="AO1284" s="22"/>
      <c r="AP1284" s="22"/>
      <c r="AQ1284"/>
      <c r="AR1284"/>
      <c r="AS1284"/>
      <c r="AT1284"/>
      <c r="AU1284"/>
      <c r="AV1284"/>
      <c r="AW1284"/>
      <c r="AX1284"/>
    </row>
    <row r="1285" spans="35:50">
      <c r="AI1285" s="22"/>
      <c r="AJ1285" s="22"/>
      <c r="AK1285" s="22"/>
      <c r="AL1285" s="22"/>
      <c r="AM1285" s="22"/>
      <c r="AN1285" s="22"/>
      <c r="AO1285" s="22"/>
      <c r="AP1285" s="22"/>
      <c r="AQ1285"/>
      <c r="AR1285"/>
      <c r="AS1285"/>
      <c r="AT1285"/>
      <c r="AU1285"/>
      <c r="AV1285"/>
      <c r="AW1285"/>
      <c r="AX1285"/>
    </row>
    <row r="1286" spans="35:50">
      <c r="AI1286" s="22"/>
      <c r="AJ1286" s="22"/>
      <c r="AK1286" s="22"/>
      <c r="AL1286" s="22"/>
      <c r="AM1286" s="22"/>
      <c r="AN1286" s="22"/>
      <c r="AO1286" s="22"/>
      <c r="AP1286" s="22"/>
      <c r="AQ1286"/>
      <c r="AR1286"/>
      <c r="AS1286"/>
      <c r="AT1286"/>
      <c r="AU1286"/>
      <c r="AV1286"/>
      <c r="AW1286"/>
      <c r="AX1286"/>
    </row>
    <row r="1287" spans="35:50">
      <c r="AI1287" s="22"/>
      <c r="AJ1287" s="22"/>
      <c r="AK1287" s="22"/>
      <c r="AL1287" s="22"/>
      <c r="AM1287" s="22"/>
      <c r="AN1287" s="22"/>
      <c r="AO1287" s="22"/>
      <c r="AP1287" s="22"/>
      <c r="AQ1287"/>
      <c r="AR1287"/>
      <c r="AS1287"/>
      <c r="AT1287"/>
      <c r="AU1287"/>
      <c r="AV1287"/>
      <c r="AW1287"/>
      <c r="AX1287"/>
    </row>
    <row r="1288" spans="35:50">
      <c r="AI1288" s="22"/>
      <c r="AJ1288" s="22"/>
      <c r="AK1288" s="22"/>
      <c r="AL1288" s="22"/>
      <c r="AM1288" s="22"/>
      <c r="AN1288" s="22"/>
      <c r="AO1288" s="22"/>
      <c r="AP1288" s="22"/>
      <c r="AQ1288"/>
      <c r="AR1288"/>
      <c r="AS1288"/>
      <c r="AT1288"/>
      <c r="AU1288"/>
      <c r="AV1288"/>
      <c r="AW1288"/>
      <c r="AX1288"/>
    </row>
    <row r="1289" spans="35:50">
      <c r="AI1289" s="22"/>
      <c r="AJ1289" s="22"/>
      <c r="AK1289" s="22"/>
      <c r="AL1289" s="22"/>
      <c r="AM1289" s="22"/>
      <c r="AN1289" s="22"/>
      <c r="AO1289" s="22"/>
      <c r="AP1289" s="22"/>
      <c r="AQ1289"/>
      <c r="AR1289"/>
      <c r="AS1289"/>
      <c r="AT1289"/>
      <c r="AU1289"/>
      <c r="AV1289"/>
      <c r="AW1289"/>
      <c r="AX1289"/>
    </row>
    <row r="1290" spans="35:50">
      <c r="AI1290" s="22"/>
      <c r="AJ1290" s="22"/>
      <c r="AK1290" s="22"/>
      <c r="AL1290" s="22"/>
      <c r="AM1290" s="22"/>
      <c r="AN1290" s="22"/>
      <c r="AO1290" s="22"/>
      <c r="AP1290" s="22"/>
      <c r="AQ1290"/>
      <c r="AR1290"/>
      <c r="AS1290"/>
      <c r="AT1290"/>
      <c r="AU1290"/>
      <c r="AV1290"/>
      <c r="AW1290"/>
      <c r="AX1290"/>
    </row>
    <row r="1291" spans="35:50">
      <c r="AI1291" s="22"/>
      <c r="AJ1291" s="22"/>
      <c r="AK1291" s="22"/>
      <c r="AL1291" s="22"/>
      <c r="AM1291" s="22"/>
      <c r="AN1291" s="22"/>
      <c r="AO1291" s="22"/>
      <c r="AP1291" s="22"/>
      <c r="AQ1291"/>
      <c r="AR1291"/>
      <c r="AS1291"/>
      <c r="AT1291"/>
      <c r="AU1291"/>
      <c r="AV1291"/>
      <c r="AW1291"/>
      <c r="AX1291"/>
    </row>
    <row r="1292" spans="35:50">
      <c r="AI1292" s="22"/>
      <c r="AJ1292" s="22"/>
      <c r="AK1292" s="22"/>
      <c r="AL1292" s="22"/>
      <c r="AM1292" s="22"/>
      <c r="AN1292" s="22"/>
      <c r="AO1292" s="22"/>
      <c r="AP1292" s="22"/>
      <c r="AQ1292"/>
      <c r="AR1292"/>
      <c r="AS1292"/>
      <c r="AT1292"/>
      <c r="AU1292"/>
      <c r="AV1292"/>
      <c r="AW1292"/>
      <c r="AX1292"/>
    </row>
    <row r="1293" spans="35:50">
      <c r="AI1293" s="22"/>
      <c r="AJ1293" s="22"/>
      <c r="AK1293" s="22"/>
      <c r="AL1293" s="22"/>
      <c r="AM1293" s="22"/>
      <c r="AN1293" s="22"/>
      <c r="AO1293" s="22"/>
      <c r="AP1293" s="22"/>
      <c r="AQ1293"/>
      <c r="AR1293"/>
      <c r="AS1293"/>
      <c r="AT1293"/>
      <c r="AU1293"/>
      <c r="AV1293"/>
      <c r="AW1293"/>
      <c r="AX1293"/>
    </row>
    <row r="1294" spans="35:50">
      <c r="AI1294" s="22"/>
      <c r="AJ1294" s="22"/>
      <c r="AK1294" s="22"/>
      <c r="AL1294" s="22"/>
      <c r="AM1294" s="22"/>
      <c r="AN1294" s="22"/>
      <c r="AO1294" s="22"/>
      <c r="AP1294" s="22"/>
      <c r="AQ1294"/>
      <c r="AR1294"/>
      <c r="AS1294"/>
      <c r="AT1294"/>
      <c r="AU1294"/>
      <c r="AV1294"/>
      <c r="AW1294"/>
      <c r="AX1294"/>
    </row>
    <row r="1295" spans="35:50">
      <c r="AI1295" s="22"/>
      <c r="AJ1295" s="22"/>
      <c r="AK1295" s="22"/>
      <c r="AL1295" s="22"/>
      <c r="AM1295" s="22"/>
      <c r="AN1295" s="22"/>
      <c r="AO1295" s="22"/>
      <c r="AP1295" s="22"/>
      <c r="AQ1295"/>
      <c r="AR1295"/>
      <c r="AS1295"/>
      <c r="AT1295"/>
      <c r="AU1295"/>
      <c r="AV1295"/>
      <c r="AW1295"/>
      <c r="AX1295"/>
    </row>
    <row r="1296" spans="35:50">
      <c r="AI1296" s="22"/>
      <c r="AJ1296" s="22"/>
      <c r="AK1296" s="22"/>
      <c r="AL1296" s="22"/>
      <c r="AM1296" s="22"/>
      <c r="AN1296" s="22"/>
      <c r="AO1296" s="22"/>
      <c r="AP1296" s="22"/>
      <c r="AQ1296"/>
      <c r="AR1296"/>
      <c r="AS1296"/>
      <c r="AT1296"/>
      <c r="AU1296"/>
      <c r="AV1296"/>
      <c r="AW1296"/>
      <c r="AX1296"/>
    </row>
    <row r="1297" spans="35:50">
      <c r="AI1297" s="22"/>
      <c r="AJ1297" s="22"/>
      <c r="AK1297" s="22"/>
      <c r="AL1297" s="22"/>
      <c r="AM1297" s="22"/>
      <c r="AN1297" s="22"/>
      <c r="AO1297" s="22"/>
      <c r="AP1297" s="22"/>
      <c r="AQ1297"/>
      <c r="AR1297"/>
      <c r="AS1297"/>
      <c r="AT1297"/>
      <c r="AU1297"/>
      <c r="AV1297"/>
      <c r="AW1297"/>
      <c r="AX1297"/>
    </row>
    <row r="1298" spans="35:50">
      <c r="AI1298" s="22"/>
      <c r="AJ1298" s="22"/>
      <c r="AK1298" s="22"/>
      <c r="AL1298" s="22"/>
      <c r="AM1298" s="22"/>
      <c r="AN1298" s="22"/>
      <c r="AO1298" s="22"/>
      <c r="AP1298" s="22"/>
      <c r="AQ1298"/>
      <c r="AR1298"/>
      <c r="AS1298"/>
      <c r="AT1298"/>
      <c r="AU1298"/>
      <c r="AV1298"/>
      <c r="AW1298"/>
      <c r="AX1298"/>
    </row>
    <row r="1299" spans="35:50">
      <c r="AI1299" s="22"/>
      <c r="AJ1299" s="22"/>
      <c r="AK1299" s="22"/>
      <c r="AL1299" s="22"/>
      <c r="AM1299" s="22"/>
      <c r="AN1299" s="22"/>
      <c r="AO1299" s="22"/>
      <c r="AP1299" s="22"/>
      <c r="AQ1299"/>
      <c r="AR1299"/>
      <c r="AS1299"/>
      <c r="AT1299"/>
      <c r="AU1299"/>
      <c r="AV1299"/>
      <c r="AW1299"/>
      <c r="AX1299"/>
    </row>
    <row r="1300" spans="35:50">
      <c r="AI1300" s="22"/>
      <c r="AJ1300" s="22"/>
      <c r="AK1300" s="22"/>
      <c r="AL1300" s="22"/>
      <c r="AM1300" s="22"/>
      <c r="AN1300" s="22"/>
      <c r="AO1300" s="22"/>
      <c r="AP1300" s="22"/>
      <c r="AQ1300"/>
      <c r="AR1300"/>
      <c r="AS1300"/>
      <c r="AT1300"/>
      <c r="AU1300"/>
      <c r="AV1300"/>
      <c r="AW1300"/>
      <c r="AX1300"/>
    </row>
    <row r="1301" spans="35:50">
      <c r="AI1301" s="22"/>
      <c r="AJ1301" s="22"/>
      <c r="AK1301" s="22"/>
      <c r="AL1301" s="22"/>
      <c r="AM1301" s="22"/>
      <c r="AN1301" s="22"/>
      <c r="AO1301" s="22"/>
      <c r="AP1301" s="22"/>
      <c r="AQ1301"/>
      <c r="AR1301"/>
      <c r="AS1301"/>
      <c r="AT1301"/>
      <c r="AU1301"/>
      <c r="AV1301"/>
      <c r="AW1301"/>
      <c r="AX1301"/>
    </row>
    <row r="1302" spans="35:50">
      <c r="AI1302" s="22"/>
      <c r="AJ1302" s="22"/>
      <c r="AK1302" s="22"/>
      <c r="AL1302" s="22"/>
      <c r="AM1302" s="22"/>
      <c r="AN1302" s="22"/>
      <c r="AO1302" s="22"/>
      <c r="AP1302" s="22"/>
      <c r="AQ1302"/>
      <c r="AR1302"/>
      <c r="AS1302"/>
      <c r="AT1302"/>
      <c r="AU1302"/>
      <c r="AV1302"/>
      <c r="AW1302"/>
      <c r="AX1302"/>
    </row>
    <row r="1303" spans="35:50">
      <c r="AI1303" s="22"/>
      <c r="AJ1303" s="22"/>
      <c r="AK1303" s="22"/>
      <c r="AL1303" s="22"/>
      <c r="AM1303" s="22"/>
      <c r="AN1303" s="22"/>
      <c r="AO1303" s="22"/>
      <c r="AP1303" s="22"/>
      <c r="AQ1303"/>
      <c r="AR1303"/>
      <c r="AS1303"/>
      <c r="AT1303"/>
      <c r="AU1303"/>
      <c r="AV1303"/>
      <c r="AW1303"/>
      <c r="AX1303"/>
    </row>
    <row r="1304" spans="35:50">
      <c r="AI1304" s="22"/>
      <c r="AJ1304" s="22"/>
      <c r="AK1304" s="22"/>
      <c r="AL1304" s="22"/>
      <c r="AM1304" s="22"/>
      <c r="AN1304" s="22"/>
      <c r="AO1304" s="22"/>
      <c r="AP1304" s="22"/>
      <c r="AQ1304"/>
      <c r="AR1304"/>
      <c r="AS1304"/>
      <c r="AT1304"/>
      <c r="AU1304"/>
      <c r="AV1304"/>
      <c r="AW1304"/>
      <c r="AX1304"/>
    </row>
    <row r="1305" spans="35:50">
      <c r="AI1305" s="22"/>
      <c r="AJ1305" s="22"/>
      <c r="AK1305" s="22"/>
      <c r="AL1305" s="22"/>
      <c r="AM1305" s="22"/>
      <c r="AN1305" s="22"/>
      <c r="AO1305" s="22"/>
      <c r="AP1305" s="22"/>
      <c r="AQ1305"/>
      <c r="AR1305"/>
      <c r="AS1305"/>
      <c r="AT1305"/>
      <c r="AU1305"/>
      <c r="AV1305"/>
      <c r="AW1305"/>
      <c r="AX1305"/>
    </row>
    <row r="1306" spans="35:50">
      <c r="AI1306" s="22"/>
      <c r="AJ1306" s="22"/>
      <c r="AK1306" s="22"/>
      <c r="AL1306" s="22"/>
      <c r="AM1306" s="22"/>
      <c r="AN1306" s="22"/>
      <c r="AO1306" s="22"/>
      <c r="AP1306" s="22"/>
      <c r="AQ1306"/>
      <c r="AR1306"/>
      <c r="AS1306"/>
      <c r="AT1306"/>
      <c r="AU1306"/>
      <c r="AV1306"/>
      <c r="AW1306"/>
      <c r="AX1306"/>
    </row>
    <row r="1307" spans="35:50">
      <c r="AI1307" s="22"/>
      <c r="AJ1307" s="22"/>
      <c r="AK1307" s="22"/>
      <c r="AL1307" s="22"/>
      <c r="AM1307" s="22"/>
      <c r="AN1307" s="22"/>
      <c r="AO1307" s="22"/>
      <c r="AP1307" s="22"/>
      <c r="AQ1307"/>
      <c r="AR1307"/>
      <c r="AS1307"/>
      <c r="AT1307"/>
      <c r="AU1307"/>
      <c r="AV1307"/>
      <c r="AW1307"/>
      <c r="AX1307"/>
    </row>
    <row r="1308" spans="35:50">
      <c r="AI1308" s="22"/>
      <c r="AJ1308" s="22"/>
      <c r="AK1308" s="22"/>
      <c r="AL1308" s="22"/>
      <c r="AM1308" s="22"/>
      <c r="AN1308" s="22"/>
      <c r="AO1308" s="22"/>
      <c r="AP1308" s="22"/>
      <c r="AQ1308"/>
      <c r="AR1308"/>
      <c r="AS1308"/>
      <c r="AT1308"/>
      <c r="AU1308"/>
      <c r="AV1308"/>
      <c r="AW1308"/>
      <c r="AX1308"/>
    </row>
    <row r="1309" spans="35:50">
      <c r="AI1309" s="22"/>
      <c r="AJ1309" s="22"/>
      <c r="AK1309" s="22"/>
      <c r="AL1309" s="22"/>
      <c r="AM1309" s="22"/>
      <c r="AN1309" s="22"/>
      <c r="AO1309" s="22"/>
      <c r="AP1309" s="22"/>
      <c r="AQ1309"/>
      <c r="AR1309"/>
      <c r="AS1309"/>
      <c r="AT1309"/>
      <c r="AU1309"/>
      <c r="AV1309"/>
      <c r="AW1309"/>
      <c r="AX1309"/>
    </row>
    <row r="1310" spans="35:50">
      <c r="AI1310" s="22"/>
      <c r="AJ1310" s="22"/>
      <c r="AK1310" s="22"/>
      <c r="AL1310" s="22"/>
      <c r="AM1310" s="22"/>
      <c r="AN1310" s="22"/>
      <c r="AO1310" s="22"/>
      <c r="AP1310" s="22"/>
      <c r="AQ1310"/>
      <c r="AR1310"/>
      <c r="AS1310"/>
      <c r="AT1310"/>
      <c r="AU1310"/>
      <c r="AV1310"/>
      <c r="AW1310"/>
      <c r="AX1310"/>
    </row>
    <row r="1311" spans="35:50">
      <c r="AI1311" s="22"/>
      <c r="AJ1311" s="22"/>
      <c r="AK1311" s="22"/>
      <c r="AL1311" s="22"/>
      <c r="AM1311" s="22"/>
      <c r="AN1311" s="22"/>
      <c r="AO1311" s="22"/>
      <c r="AP1311" s="22"/>
      <c r="AQ1311"/>
      <c r="AR1311"/>
      <c r="AS1311"/>
      <c r="AT1311"/>
      <c r="AU1311"/>
      <c r="AV1311"/>
      <c r="AW1311"/>
      <c r="AX1311"/>
    </row>
    <row r="1312" spans="35:50">
      <c r="AI1312" s="22"/>
      <c r="AJ1312" s="22"/>
      <c r="AK1312" s="22"/>
      <c r="AL1312" s="22"/>
      <c r="AM1312" s="22"/>
      <c r="AN1312" s="22"/>
      <c r="AO1312" s="22"/>
      <c r="AP1312" s="22"/>
      <c r="AQ1312"/>
      <c r="AR1312"/>
      <c r="AS1312"/>
      <c r="AT1312"/>
      <c r="AU1312"/>
      <c r="AV1312"/>
      <c r="AW1312"/>
      <c r="AX1312"/>
    </row>
    <row r="1313" spans="35:50">
      <c r="AI1313" s="22"/>
      <c r="AJ1313" s="22"/>
      <c r="AK1313" s="22"/>
      <c r="AL1313" s="22"/>
      <c r="AM1313" s="22"/>
      <c r="AN1313" s="22"/>
      <c r="AO1313" s="22"/>
      <c r="AP1313" s="22"/>
      <c r="AQ1313"/>
      <c r="AR1313"/>
      <c r="AS1313"/>
      <c r="AT1313"/>
      <c r="AU1313"/>
      <c r="AV1313"/>
      <c r="AW1313"/>
      <c r="AX1313"/>
    </row>
    <row r="1314" spans="35:50">
      <c r="AI1314" s="22"/>
      <c r="AJ1314" s="22"/>
      <c r="AK1314" s="22"/>
      <c r="AL1314" s="22"/>
      <c r="AM1314" s="22"/>
      <c r="AN1314" s="22"/>
      <c r="AO1314" s="22"/>
      <c r="AP1314" s="22"/>
      <c r="AQ1314"/>
      <c r="AR1314"/>
      <c r="AS1314"/>
      <c r="AT1314"/>
      <c r="AU1314"/>
      <c r="AV1314"/>
      <c r="AW1314"/>
      <c r="AX1314"/>
    </row>
    <row r="1315" spans="35:50">
      <c r="AI1315" s="22"/>
      <c r="AJ1315" s="22"/>
      <c r="AK1315" s="22"/>
      <c r="AL1315" s="22"/>
      <c r="AM1315" s="22"/>
      <c r="AN1315" s="22"/>
      <c r="AO1315" s="22"/>
      <c r="AP1315" s="22"/>
      <c r="AQ1315"/>
      <c r="AR1315"/>
      <c r="AS1315"/>
      <c r="AT1315"/>
      <c r="AU1315"/>
      <c r="AV1315"/>
      <c r="AW1315"/>
      <c r="AX1315"/>
    </row>
    <row r="1316" spans="35:50">
      <c r="AI1316" s="22"/>
      <c r="AJ1316" s="22"/>
      <c r="AK1316" s="22"/>
      <c r="AL1316" s="22"/>
      <c r="AM1316" s="22"/>
      <c r="AN1316" s="22"/>
      <c r="AO1316" s="22"/>
      <c r="AP1316" s="22"/>
      <c r="AQ1316"/>
      <c r="AR1316"/>
      <c r="AS1316"/>
      <c r="AT1316"/>
      <c r="AU1316"/>
      <c r="AV1316"/>
      <c r="AW1316"/>
      <c r="AX1316"/>
    </row>
    <row r="1317" spans="35:50">
      <c r="AI1317" s="22"/>
      <c r="AJ1317" s="22"/>
      <c r="AK1317" s="22"/>
      <c r="AL1317" s="22"/>
      <c r="AM1317" s="22"/>
      <c r="AN1317" s="22"/>
      <c r="AO1317" s="22"/>
      <c r="AP1317" s="22"/>
      <c r="AQ1317"/>
      <c r="AR1317"/>
      <c r="AS1317"/>
      <c r="AT1317"/>
      <c r="AU1317"/>
      <c r="AV1317"/>
      <c r="AW1317"/>
      <c r="AX1317"/>
    </row>
    <row r="1318" spans="35:50">
      <c r="AI1318" s="22"/>
      <c r="AJ1318" s="22"/>
      <c r="AK1318" s="22"/>
      <c r="AL1318" s="22"/>
      <c r="AM1318" s="22"/>
      <c r="AN1318" s="22"/>
      <c r="AO1318" s="22"/>
      <c r="AP1318" s="22"/>
      <c r="AQ1318"/>
      <c r="AR1318"/>
      <c r="AS1318"/>
      <c r="AT1318"/>
      <c r="AU1318"/>
      <c r="AV1318"/>
      <c r="AW1318"/>
      <c r="AX1318"/>
    </row>
    <row r="1319" spans="35:50">
      <c r="AI1319" s="22"/>
      <c r="AJ1319" s="22"/>
      <c r="AK1319" s="22"/>
      <c r="AL1319" s="22"/>
      <c r="AM1319" s="22"/>
      <c r="AN1319" s="22"/>
      <c r="AO1319" s="22"/>
      <c r="AP1319" s="22"/>
      <c r="AQ1319"/>
      <c r="AR1319"/>
      <c r="AS1319"/>
      <c r="AT1319"/>
      <c r="AU1319"/>
      <c r="AV1319"/>
      <c r="AW1319"/>
      <c r="AX1319"/>
    </row>
    <row r="1320" spans="35:50">
      <c r="AI1320" s="22"/>
      <c r="AJ1320" s="22"/>
      <c r="AK1320" s="22"/>
      <c r="AL1320" s="22"/>
      <c r="AM1320" s="22"/>
      <c r="AN1320" s="22"/>
      <c r="AO1320" s="22"/>
      <c r="AP1320" s="22"/>
      <c r="AQ1320"/>
      <c r="AR1320"/>
      <c r="AS1320"/>
      <c r="AT1320"/>
      <c r="AU1320"/>
      <c r="AV1320"/>
      <c r="AW1320"/>
      <c r="AX1320"/>
    </row>
    <row r="1321" spans="35:50">
      <c r="AI1321" s="22"/>
      <c r="AJ1321" s="22"/>
      <c r="AK1321" s="22"/>
      <c r="AL1321" s="22"/>
      <c r="AM1321" s="22"/>
      <c r="AN1321" s="22"/>
      <c r="AO1321" s="22"/>
      <c r="AP1321" s="22"/>
      <c r="AQ1321"/>
      <c r="AR1321"/>
      <c r="AS1321"/>
      <c r="AT1321"/>
      <c r="AU1321"/>
      <c r="AV1321"/>
      <c r="AW1321"/>
      <c r="AX1321"/>
    </row>
    <row r="1322" spans="35:50">
      <c r="AI1322" s="22"/>
      <c r="AJ1322" s="22"/>
      <c r="AK1322" s="22"/>
      <c r="AL1322" s="22"/>
      <c r="AM1322" s="22"/>
      <c r="AN1322" s="22"/>
      <c r="AO1322" s="22"/>
      <c r="AP1322" s="22"/>
      <c r="AQ1322"/>
      <c r="AR1322"/>
      <c r="AS1322"/>
      <c r="AT1322"/>
      <c r="AU1322"/>
      <c r="AV1322"/>
      <c r="AW1322"/>
      <c r="AX1322"/>
    </row>
    <row r="1323" spans="35:50">
      <c r="AI1323" s="22"/>
      <c r="AJ1323" s="22"/>
      <c r="AK1323" s="22"/>
      <c r="AL1323" s="22"/>
      <c r="AM1323" s="22"/>
      <c r="AN1323" s="22"/>
      <c r="AO1323" s="22"/>
      <c r="AP1323" s="22"/>
      <c r="AQ1323"/>
      <c r="AR1323"/>
      <c r="AS1323"/>
      <c r="AT1323"/>
      <c r="AU1323"/>
      <c r="AV1323"/>
      <c r="AW1323"/>
      <c r="AX1323"/>
    </row>
    <row r="1324" spans="35:50">
      <c r="AI1324" s="22"/>
      <c r="AJ1324" s="22"/>
      <c r="AK1324" s="22"/>
      <c r="AL1324" s="22"/>
      <c r="AM1324" s="22"/>
      <c r="AN1324" s="22"/>
      <c r="AO1324" s="22"/>
      <c r="AP1324" s="22"/>
      <c r="AQ1324"/>
      <c r="AR1324"/>
      <c r="AS1324"/>
      <c r="AT1324"/>
      <c r="AU1324"/>
      <c r="AV1324"/>
      <c r="AW1324"/>
      <c r="AX1324"/>
    </row>
    <row r="1325" spans="35:50">
      <c r="AI1325" s="22"/>
      <c r="AJ1325" s="22"/>
      <c r="AK1325" s="22"/>
      <c r="AL1325" s="22"/>
      <c r="AM1325" s="22"/>
      <c r="AN1325" s="22"/>
      <c r="AO1325" s="22"/>
      <c r="AP1325" s="22"/>
      <c r="AQ1325"/>
      <c r="AR1325"/>
      <c r="AS1325"/>
      <c r="AT1325"/>
      <c r="AU1325"/>
      <c r="AV1325"/>
      <c r="AW1325"/>
      <c r="AX1325"/>
    </row>
    <row r="1326" spans="35:50">
      <c r="AI1326" s="22"/>
      <c r="AJ1326" s="22"/>
      <c r="AK1326" s="22"/>
      <c r="AL1326" s="22"/>
      <c r="AM1326" s="22"/>
      <c r="AN1326" s="22"/>
      <c r="AO1326" s="22"/>
      <c r="AP1326" s="22"/>
      <c r="AQ1326"/>
      <c r="AR1326"/>
      <c r="AS1326"/>
      <c r="AT1326"/>
      <c r="AU1326"/>
      <c r="AV1326"/>
      <c r="AW1326"/>
      <c r="AX1326"/>
    </row>
    <row r="1327" spans="35:50">
      <c r="AI1327" s="22"/>
      <c r="AJ1327" s="22"/>
      <c r="AK1327" s="22"/>
      <c r="AL1327" s="22"/>
      <c r="AM1327" s="22"/>
      <c r="AN1327" s="22"/>
      <c r="AO1327" s="22"/>
      <c r="AP1327" s="22"/>
      <c r="AQ1327"/>
      <c r="AR1327"/>
      <c r="AS1327"/>
      <c r="AT1327"/>
      <c r="AU1327"/>
      <c r="AV1327"/>
      <c r="AW1327"/>
      <c r="AX1327"/>
    </row>
    <row r="1328" spans="35:50">
      <c r="AI1328" s="22"/>
      <c r="AJ1328" s="22"/>
      <c r="AK1328" s="22"/>
      <c r="AL1328" s="22"/>
      <c r="AM1328" s="22"/>
      <c r="AN1328" s="22"/>
      <c r="AO1328" s="22"/>
      <c r="AP1328" s="22"/>
      <c r="AQ1328"/>
      <c r="AR1328"/>
      <c r="AS1328"/>
      <c r="AT1328"/>
      <c r="AU1328"/>
      <c r="AV1328"/>
      <c r="AW1328"/>
      <c r="AX1328"/>
    </row>
    <row r="1329" spans="35:50">
      <c r="AI1329" s="22"/>
      <c r="AJ1329" s="22"/>
      <c r="AK1329" s="22"/>
      <c r="AL1329" s="22"/>
      <c r="AM1329" s="22"/>
      <c r="AN1329" s="22"/>
      <c r="AO1329" s="22"/>
      <c r="AP1329" s="22"/>
      <c r="AQ1329"/>
      <c r="AR1329"/>
      <c r="AS1329"/>
      <c r="AT1329"/>
      <c r="AU1329"/>
      <c r="AV1329"/>
      <c r="AW1329"/>
      <c r="AX1329"/>
    </row>
    <row r="1330" spans="35:50">
      <c r="AI1330" s="22"/>
      <c r="AJ1330" s="22"/>
      <c r="AK1330" s="22"/>
      <c r="AL1330" s="22"/>
      <c r="AM1330" s="22"/>
      <c r="AN1330" s="22"/>
      <c r="AO1330" s="22"/>
      <c r="AP1330" s="22"/>
      <c r="AQ1330"/>
      <c r="AR1330"/>
      <c r="AS1330"/>
      <c r="AT1330"/>
      <c r="AU1330"/>
      <c r="AV1330"/>
      <c r="AW1330"/>
      <c r="AX1330"/>
    </row>
    <row r="1331" spans="35:50">
      <c r="AI1331" s="22"/>
      <c r="AJ1331" s="22"/>
      <c r="AK1331" s="22"/>
      <c r="AL1331" s="22"/>
      <c r="AM1331" s="22"/>
      <c r="AN1331" s="22"/>
      <c r="AO1331" s="22"/>
      <c r="AP1331" s="22"/>
      <c r="AQ1331"/>
      <c r="AR1331"/>
      <c r="AS1331"/>
      <c r="AT1331"/>
      <c r="AU1331"/>
      <c r="AV1331"/>
      <c r="AW1331"/>
      <c r="AX1331"/>
    </row>
    <row r="1332" spans="35:50">
      <c r="AI1332" s="22"/>
      <c r="AJ1332" s="22"/>
      <c r="AK1332" s="22"/>
      <c r="AL1332" s="22"/>
      <c r="AM1332" s="22"/>
      <c r="AN1332" s="22"/>
      <c r="AO1332" s="22"/>
      <c r="AP1332" s="22"/>
      <c r="AQ1332"/>
      <c r="AR1332"/>
      <c r="AS1332"/>
      <c r="AT1332"/>
      <c r="AU1332"/>
      <c r="AV1332"/>
      <c r="AW1332"/>
      <c r="AX1332"/>
    </row>
    <row r="1333" spans="35:50">
      <c r="AI1333" s="22"/>
      <c r="AJ1333" s="22"/>
      <c r="AK1333" s="22"/>
      <c r="AL1333" s="22"/>
      <c r="AM1333" s="22"/>
      <c r="AN1333" s="22"/>
      <c r="AO1333" s="22"/>
      <c r="AP1333" s="22"/>
      <c r="AQ1333"/>
      <c r="AR1333"/>
      <c r="AS1333"/>
      <c r="AT1333"/>
      <c r="AU1333"/>
      <c r="AV1333"/>
      <c r="AW1333"/>
      <c r="AX1333"/>
    </row>
    <row r="1334" spans="35:50">
      <c r="AI1334" s="22"/>
      <c r="AJ1334" s="22"/>
      <c r="AK1334" s="22"/>
      <c r="AL1334" s="22"/>
      <c r="AM1334" s="22"/>
      <c r="AN1334" s="22"/>
      <c r="AO1334" s="22"/>
      <c r="AP1334" s="22"/>
      <c r="AQ1334"/>
      <c r="AR1334"/>
      <c r="AS1334"/>
      <c r="AT1334"/>
      <c r="AU1334"/>
      <c r="AV1334"/>
      <c r="AW1334"/>
      <c r="AX1334"/>
    </row>
    <row r="1335" spans="35:50">
      <c r="AI1335" s="22"/>
      <c r="AJ1335" s="22"/>
      <c r="AK1335" s="22"/>
      <c r="AL1335" s="22"/>
      <c r="AM1335" s="22"/>
      <c r="AN1335" s="22"/>
      <c r="AO1335" s="22"/>
      <c r="AP1335" s="22"/>
      <c r="AQ1335"/>
      <c r="AR1335"/>
      <c r="AS1335"/>
      <c r="AT1335"/>
      <c r="AU1335"/>
      <c r="AV1335"/>
      <c r="AW1335"/>
      <c r="AX1335"/>
    </row>
    <row r="1336" spans="35:50">
      <c r="AI1336" s="22"/>
      <c r="AJ1336" s="22"/>
      <c r="AK1336" s="22"/>
      <c r="AL1336" s="22"/>
      <c r="AM1336" s="22"/>
      <c r="AN1336" s="22"/>
      <c r="AO1336" s="22"/>
      <c r="AP1336" s="22"/>
      <c r="AQ1336"/>
      <c r="AR1336"/>
      <c r="AS1336"/>
      <c r="AT1336"/>
      <c r="AU1336"/>
      <c r="AV1336"/>
      <c r="AW1336"/>
      <c r="AX1336"/>
    </row>
    <row r="1337" spans="35:50">
      <c r="AI1337" s="22"/>
      <c r="AJ1337" s="22"/>
      <c r="AK1337" s="22"/>
      <c r="AL1337" s="22"/>
      <c r="AM1337" s="22"/>
      <c r="AN1337" s="22"/>
      <c r="AO1337" s="22"/>
      <c r="AP1337" s="22"/>
      <c r="AQ1337"/>
      <c r="AR1337"/>
      <c r="AS1337"/>
      <c r="AT1337"/>
      <c r="AU1337"/>
      <c r="AV1337"/>
      <c r="AW1337"/>
      <c r="AX1337"/>
    </row>
    <row r="1338" spans="35:50">
      <c r="AI1338" s="22"/>
      <c r="AJ1338" s="22"/>
      <c r="AK1338" s="22"/>
      <c r="AL1338" s="22"/>
      <c r="AM1338" s="22"/>
      <c r="AN1338" s="22"/>
      <c r="AO1338" s="22"/>
      <c r="AP1338" s="22"/>
      <c r="AQ1338"/>
      <c r="AR1338"/>
      <c r="AS1338"/>
      <c r="AT1338"/>
      <c r="AU1338"/>
      <c r="AV1338"/>
      <c r="AW1338"/>
      <c r="AX1338"/>
    </row>
    <row r="1339" spans="35:50">
      <c r="AI1339" s="22"/>
      <c r="AJ1339" s="22"/>
      <c r="AK1339" s="22"/>
      <c r="AL1339" s="22"/>
      <c r="AM1339" s="22"/>
      <c r="AN1339" s="22"/>
      <c r="AO1339" s="22"/>
      <c r="AP1339" s="22"/>
      <c r="AQ1339"/>
      <c r="AR1339"/>
      <c r="AS1339"/>
      <c r="AT1339"/>
      <c r="AU1339"/>
      <c r="AV1339"/>
      <c r="AW1339"/>
      <c r="AX1339"/>
    </row>
    <row r="1340" spans="35:50">
      <c r="AI1340" s="22"/>
      <c r="AJ1340" s="22"/>
      <c r="AK1340" s="22"/>
      <c r="AL1340" s="22"/>
      <c r="AM1340" s="22"/>
      <c r="AN1340" s="22"/>
      <c r="AO1340" s="22"/>
      <c r="AP1340" s="22"/>
      <c r="AQ1340"/>
      <c r="AR1340"/>
      <c r="AS1340"/>
      <c r="AT1340"/>
      <c r="AU1340"/>
      <c r="AV1340"/>
      <c r="AW1340"/>
      <c r="AX1340"/>
    </row>
    <row r="1341" spans="35:50">
      <c r="AI1341" s="22"/>
      <c r="AJ1341" s="22"/>
      <c r="AK1341" s="22"/>
      <c r="AL1341" s="22"/>
      <c r="AM1341" s="22"/>
      <c r="AN1341" s="22"/>
      <c r="AO1341" s="22"/>
      <c r="AP1341" s="22"/>
      <c r="AQ1341"/>
      <c r="AR1341"/>
      <c r="AS1341"/>
      <c r="AT1341"/>
      <c r="AU1341"/>
      <c r="AV1341"/>
      <c r="AW1341"/>
      <c r="AX1341"/>
    </row>
    <row r="1342" spans="35:50">
      <c r="AI1342" s="22"/>
      <c r="AJ1342" s="22"/>
      <c r="AK1342" s="22"/>
      <c r="AL1342" s="22"/>
      <c r="AM1342" s="22"/>
      <c r="AN1342" s="22"/>
      <c r="AO1342" s="22"/>
      <c r="AP1342" s="22"/>
      <c r="AQ1342"/>
      <c r="AR1342"/>
      <c r="AS1342"/>
      <c r="AT1342"/>
      <c r="AU1342"/>
      <c r="AV1342"/>
      <c r="AW1342"/>
      <c r="AX1342"/>
    </row>
    <row r="1343" spans="35:50">
      <c r="AI1343" s="22"/>
      <c r="AJ1343" s="22"/>
      <c r="AK1343" s="22"/>
      <c r="AL1343" s="22"/>
      <c r="AM1343" s="22"/>
      <c r="AN1343" s="22"/>
      <c r="AO1343" s="22"/>
      <c r="AP1343" s="22"/>
      <c r="AQ1343"/>
      <c r="AR1343"/>
      <c r="AS1343"/>
      <c r="AT1343"/>
      <c r="AU1343"/>
      <c r="AV1343"/>
      <c r="AW1343"/>
      <c r="AX1343"/>
    </row>
    <row r="1344" spans="35:50">
      <c r="AI1344" s="22"/>
      <c r="AJ1344" s="22"/>
      <c r="AK1344" s="22"/>
      <c r="AL1344" s="22"/>
      <c r="AM1344" s="22"/>
      <c r="AN1344" s="22"/>
      <c r="AO1344" s="22"/>
      <c r="AP1344" s="22"/>
      <c r="AQ1344"/>
      <c r="AR1344"/>
      <c r="AS1344"/>
      <c r="AT1344"/>
      <c r="AU1344"/>
      <c r="AV1344"/>
      <c r="AW1344"/>
      <c r="AX1344"/>
    </row>
    <row r="1345" spans="35:50">
      <c r="AI1345" s="22"/>
      <c r="AJ1345" s="22"/>
      <c r="AK1345" s="22"/>
      <c r="AL1345" s="22"/>
      <c r="AM1345" s="22"/>
      <c r="AN1345" s="22"/>
      <c r="AO1345" s="22"/>
      <c r="AP1345" s="22"/>
      <c r="AQ1345"/>
      <c r="AR1345"/>
      <c r="AS1345"/>
      <c r="AT1345"/>
      <c r="AU1345"/>
      <c r="AV1345"/>
      <c r="AW1345"/>
      <c r="AX1345"/>
    </row>
    <row r="1346" spans="35:50">
      <c r="AI1346" s="22"/>
      <c r="AJ1346" s="22"/>
      <c r="AK1346" s="22"/>
      <c r="AL1346" s="22"/>
      <c r="AM1346" s="22"/>
      <c r="AN1346" s="22"/>
      <c r="AO1346" s="22"/>
      <c r="AP1346" s="22"/>
      <c r="AQ1346"/>
      <c r="AR1346"/>
      <c r="AS1346"/>
      <c r="AT1346"/>
      <c r="AU1346"/>
      <c r="AV1346"/>
      <c r="AW1346"/>
      <c r="AX1346"/>
    </row>
    <row r="1347" spans="35:50">
      <c r="AI1347" s="22"/>
      <c r="AJ1347" s="22"/>
      <c r="AK1347" s="22"/>
      <c r="AL1347" s="22"/>
      <c r="AM1347" s="22"/>
      <c r="AN1347" s="22"/>
      <c r="AO1347" s="22"/>
      <c r="AP1347" s="22"/>
      <c r="AQ1347"/>
      <c r="AR1347"/>
      <c r="AS1347"/>
      <c r="AT1347"/>
      <c r="AU1347"/>
      <c r="AV1347"/>
      <c r="AW1347"/>
      <c r="AX1347"/>
    </row>
    <row r="1348" spans="35:50">
      <c r="AI1348" s="22"/>
      <c r="AJ1348" s="22"/>
      <c r="AK1348" s="22"/>
      <c r="AL1348" s="22"/>
      <c r="AM1348" s="22"/>
      <c r="AN1348" s="22"/>
      <c r="AO1348" s="22"/>
      <c r="AP1348" s="22"/>
      <c r="AQ1348"/>
      <c r="AR1348"/>
      <c r="AS1348"/>
      <c r="AT1348"/>
      <c r="AU1348"/>
      <c r="AV1348"/>
      <c r="AW1348"/>
      <c r="AX1348"/>
    </row>
    <row r="1349" spans="35:50">
      <c r="AI1349" s="22"/>
      <c r="AJ1349" s="22"/>
      <c r="AK1349" s="22"/>
      <c r="AL1349" s="22"/>
      <c r="AM1349" s="22"/>
      <c r="AN1349" s="22"/>
      <c r="AO1349" s="22"/>
      <c r="AP1349" s="22"/>
      <c r="AQ1349"/>
      <c r="AR1349"/>
      <c r="AS1349"/>
      <c r="AT1349"/>
      <c r="AU1349"/>
      <c r="AV1349"/>
      <c r="AW1349"/>
      <c r="AX1349"/>
    </row>
    <row r="1350" spans="35:50">
      <c r="AI1350" s="22"/>
      <c r="AJ1350" s="22"/>
      <c r="AK1350" s="22"/>
      <c r="AL1350" s="22"/>
      <c r="AM1350" s="22"/>
      <c r="AN1350" s="22"/>
      <c r="AO1350" s="22"/>
      <c r="AP1350" s="22"/>
      <c r="AQ1350"/>
      <c r="AR1350"/>
      <c r="AS1350"/>
      <c r="AT1350"/>
      <c r="AU1350"/>
      <c r="AV1350"/>
      <c r="AW1350"/>
      <c r="AX1350"/>
    </row>
    <row r="1351" spans="35:50">
      <c r="AI1351" s="22"/>
      <c r="AJ1351" s="22"/>
      <c r="AK1351" s="22"/>
      <c r="AL1351" s="22"/>
      <c r="AM1351" s="22"/>
      <c r="AN1351" s="22"/>
      <c r="AO1351" s="22"/>
      <c r="AP1351" s="22"/>
      <c r="AQ1351"/>
      <c r="AR1351"/>
      <c r="AS1351"/>
      <c r="AT1351"/>
      <c r="AU1351"/>
      <c r="AV1351"/>
      <c r="AW1351"/>
      <c r="AX1351"/>
    </row>
    <row r="1352" spans="35:50">
      <c r="AI1352" s="22"/>
      <c r="AJ1352" s="22"/>
      <c r="AK1352" s="22"/>
      <c r="AL1352" s="22"/>
      <c r="AM1352" s="22"/>
      <c r="AN1352" s="22"/>
      <c r="AO1352" s="22"/>
      <c r="AP1352" s="22"/>
      <c r="AQ1352"/>
      <c r="AR1352"/>
      <c r="AS1352"/>
      <c r="AT1352"/>
      <c r="AU1352"/>
      <c r="AV1352"/>
      <c r="AW1352"/>
      <c r="AX1352"/>
    </row>
    <row r="1353" spans="35:50">
      <c r="AI1353" s="22"/>
      <c r="AJ1353" s="22"/>
      <c r="AK1353" s="22"/>
      <c r="AL1353" s="22"/>
      <c r="AM1353" s="22"/>
      <c r="AN1353" s="22"/>
      <c r="AO1353" s="22"/>
      <c r="AP1353" s="22"/>
      <c r="AQ1353"/>
      <c r="AR1353"/>
      <c r="AS1353"/>
      <c r="AT1353"/>
      <c r="AU1353"/>
      <c r="AV1353"/>
      <c r="AW1353"/>
      <c r="AX1353"/>
    </row>
    <row r="1354" spans="35:50">
      <c r="AI1354" s="22"/>
      <c r="AJ1354" s="22"/>
      <c r="AK1354" s="22"/>
      <c r="AL1354" s="22"/>
      <c r="AM1354" s="22"/>
      <c r="AN1354" s="22"/>
      <c r="AO1354" s="22"/>
      <c r="AP1354" s="22"/>
      <c r="AQ1354"/>
      <c r="AR1354"/>
      <c r="AS1354"/>
      <c r="AT1354"/>
      <c r="AU1354"/>
      <c r="AV1354"/>
      <c r="AW1354"/>
      <c r="AX1354"/>
    </row>
    <row r="1355" spans="35:50">
      <c r="AI1355" s="22"/>
      <c r="AJ1355" s="22"/>
      <c r="AK1355" s="22"/>
      <c r="AL1355" s="22"/>
      <c r="AM1355" s="22"/>
      <c r="AN1355" s="22"/>
      <c r="AO1355" s="22"/>
      <c r="AP1355" s="22"/>
      <c r="AQ1355"/>
      <c r="AR1355"/>
      <c r="AS1355"/>
      <c r="AT1355"/>
      <c r="AU1355"/>
      <c r="AV1355"/>
      <c r="AW1355"/>
      <c r="AX1355"/>
    </row>
    <row r="1356" spans="35:50">
      <c r="AI1356" s="22"/>
      <c r="AJ1356" s="22"/>
      <c r="AK1356" s="22"/>
      <c r="AL1356" s="22"/>
      <c r="AM1356" s="22"/>
      <c r="AN1356" s="22"/>
      <c r="AO1356" s="22"/>
      <c r="AP1356" s="22"/>
      <c r="AQ1356"/>
      <c r="AR1356"/>
      <c r="AS1356"/>
      <c r="AT1356"/>
      <c r="AU1356"/>
      <c r="AV1356"/>
      <c r="AW1356"/>
      <c r="AX1356"/>
    </row>
    <row r="1357" spans="35:50">
      <c r="AI1357" s="22"/>
      <c r="AJ1357" s="22"/>
      <c r="AK1357" s="22"/>
      <c r="AL1357" s="22"/>
      <c r="AM1357" s="22"/>
      <c r="AN1357" s="22"/>
      <c r="AO1357" s="22"/>
      <c r="AP1357" s="22"/>
      <c r="AQ1357"/>
      <c r="AR1357"/>
      <c r="AS1357"/>
      <c r="AT1357"/>
      <c r="AU1357"/>
      <c r="AV1357"/>
      <c r="AW1357"/>
      <c r="AX1357"/>
    </row>
    <row r="1358" spans="35:50">
      <c r="AI1358" s="22"/>
      <c r="AJ1358" s="22"/>
      <c r="AK1358" s="22"/>
      <c r="AL1358" s="22"/>
      <c r="AM1358" s="22"/>
      <c r="AN1358" s="22"/>
      <c r="AO1358" s="22"/>
      <c r="AP1358" s="22"/>
      <c r="AQ1358"/>
      <c r="AR1358"/>
      <c r="AS1358"/>
      <c r="AT1358"/>
      <c r="AU1358"/>
      <c r="AV1358"/>
      <c r="AW1358"/>
      <c r="AX1358"/>
    </row>
    <row r="1359" spans="35:50">
      <c r="AI1359" s="22"/>
      <c r="AJ1359" s="22"/>
      <c r="AK1359" s="22"/>
      <c r="AL1359" s="22"/>
      <c r="AM1359" s="22"/>
      <c r="AN1359" s="22"/>
      <c r="AO1359" s="22"/>
      <c r="AP1359" s="22"/>
      <c r="AQ1359"/>
      <c r="AR1359"/>
      <c r="AS1359"/>
      <c r="AT1359"/>
      <c r="AU1359"/>
      <c r="AV1359"/>
      <c r="AW1359"/>
      <c r="AX1359"/>
    </row>
    <row r="1360" spans="35:50">
      <c r="AI1360" s="22"/>
      <c r="AJ1360" s="22"/>
      <c r="AK1360" s="22"/>
      <c r="AL1360" s="22"/>
      <c r="AM1360" s="22"/>
      <c r="AN1360" s="22"/>
      <c r="AO1360" s="22"/>
      <c r="AP1360" s="22"/>
      <c r="AQ1360"/>
      <c r="AR1360"/>
      <c r="AS1360"/>
      <c r="AT1360"/>
      <c r="AU1360"/>
      <c r="AV1360"/>
      <c r="AW1360"/>
      <c r="AX1360"/>
    </row>
    <row r="1361" spans="35:50">
      <c r="AI1361" s="22"/>
      <c r="AJ1361" s="22"/>
      <c r="AK1361" s="22"/>
      <c r="AL1361" s="22"/>
      <c r="AM1361" s="22"/>
      <c r="AN1361" s="22"/>
      <c r="AO1361" s="22"/>
      <c r="AP1361" s="22"/>
      <c r="AQ1361"/>
      <c r="AR1361"/>
      <c r="AS1361"/>
      <c r="AT1361"/>
      <c r="AU1361"/>
      <c r="AV1361"/>
      <c r="AW1361"/>
      <c r="AX1361"/>
    </row>
    <row r="1362" spans="35:50">
      <c r="AI1362" s="22"/>
      <c r="AJ1362" s="22"/>
      <c r="AK1362" s="22"/>
      <c r="AL1362" s="22"/>
      <c r="AM1362" s="22"/>
      <c r="AN1362" s="22"/>
      <c r="AO1362" s="22"/>
      <c r="AP1362" s="22"/>
      <c r="AQ1362"/>
      <c r="AR1362"/>
      <c r="AS1362"/>
      <c r="AT1362"/>
      <c r="AU1362"/>
      <c r="AV1362"/>
      <c r="AW1362"/>
      <c r="AX1362"/>
    </row>
    <row r="1363" spans="35:50">
      <c r="AI1363" s="22"/>
      <c r="AJ1363" s="22"/>
      <c r="AK1363" s="22"/>
      <c r="AL1363" s="22"/>
      <c r="AM1363" s="22"/>
      <c r="AN1363" s="22"/>
      <c r="AO1363" s="22"/>
      <c r="AP1363" s="22"/>
      <c r="AQ1363"/>
      <c r="AR1363"/>
      <c r="AS1363"/>
      <c r="AT1363"/>
      <c r="AU1363"/>
      <c r="AV1363"/>
      <c r="AW1363"/>
      <c r="AX1363"/>
    </row>
    <row r="1364" spans="35:50">
      <c r="AI1364" s="22"/>
      <c r="AJ1364" s="22"/>
      <c r="AK1364" s="22"/>
      <c r="AL1364" s="22"/>
      <c r="AM1364" s="22"/>
      <c r="AN1364" s="22"/>
      <c r="AO1364" s="22"/>
      <c r="AP1364" s="22"/>
      <c r="AQ1364"/>
      <c r="AR1364"/>
      <c r="AS1364"/>
      <c r="AT1364"/>
      <c r="AU1364"/>
      <c r="AV1364"/>
      <c r="AW1364"/>
      <c r="AX1364"/>
    </row>
    <row r="1365" spans="35:50">
      <c r="AI1365" s="22"/>
      <c r="AJ1365" s="22"/>
      <c r="AK1365" s="22"/>
      <c r="AL1365" s="22"/>
      <c r="AM1365" s="22"/>
      <c r="AN1365" s="22"/>
      <c r="AO1365" s="22"/>
      <c r="AP1365" s="22"/>
      <c r="AQ1365"/>
      <c r="AR1365"/>
      <c r="AS1365"/>
      <c r="AT1365"/>
      <c r="AU1365"/>
      <c r="AV1365"/>
      <c r="AW1365"/>
      <c r="AX1365"/>
    </row>
    <row r="1366" spans="35:50">
      <c r="AI1366" s="22"/>
      <c r="AJ1366" s="22"/>
      <c r="AK1366" s="22"/>
      <c r="AL1366" s="22"/>
      <c r="AM1366" s="22"/>
      <c r="AN1366" s="22"/>
      <c r="AO1366" s="22"/>
      <c r="AP1366" s="22"/>
      <c r="AQ1366"/>
      <c r="AR1366"/>
      <c r="AS1366"/>
      <c r="AT1366"/>
      <c r="AU1366"/>
      <c r="AV1366"/>
      <c r="AW1366"/>
      <c r="AX1366"/>
    </row>
    <row r="1367" spans="35:50">
      <c r="AI1367" s="22"/>
      <c r="AJ1367" s="22"/>
      <c r="AK1367" s="22"/>
      <c r="AL1367" s="22"/>
      <c r="AM1367" s="22"/>
      <c r="AN1367" s="22"/>
      <c r="AO1367" s="22"/>
      <c r="AP1367" s="22"/>
      <c r="AQ1367"/>
      <c r="AR1367"/>
      <c r="AS1367"/>
      <c r="AT1367"/>
      <c r="AU1367"/>
      <c r="AV1367"/>
      <c r="AW1367"/>
      <c r="AX1367"/>
    </row>
    <row r="1368" spans="35:50">
      <c r="AI1368" s="22"/>
      <c r="AJ1368" s="22"/>
      <c r="AK1368" s="22"/>
      <c r="AL1368" s="22"/>
      <c r="AM1368" s="22"/>
      <c r="AN1368" s="22"/>
      <c r="AO1368" s="22"/>
      <c r="AP1368" s="22"/>
      <c r="AQ1368"/>
      <c r="AR1368"/>
      <c r="AS1368"/>
      <c r="AT1368"/>
      <c r="AU1368"/>
      <c r="AV1368"/>
      <c r="AW1368"/>
      <c r="AX1368"/>
    </row>
    <row r="1369" spans="35:50">
      <c r="AI1369" s="22"/>
      <c r="AJ1369" s="22"/>
      <c r="AK1369" s="22"/>
      <c r="AL1369" s="22"/>
      <c r="AM1369" s="22"/>
      <c r="AN1369" s="22"/>
      <c r="AO1369" s="22"/>
      <c r="AP1369" s="22"/>
      <c r="AQ1369"/>
      <c r="AR1369"/>
      <c r="AS1369"/>
      <c r="AT1369"/>
      <c r="AU1369"/>
      <c r="AV1369"/>
      <c r="AW1369"/>
      <c r="AX1369"/>
    </row>
    <row r="1370" spans="35:50">
      <c r="AI1370" s="22"/>
      <c r="AJ1370" s="22"/>
      <c r="AK1370" s="22"/>
      <c r="AL1370" s="22"/>
      <c r="AM1370" s="22"/>
      <c r="AN1370" s="22"/>
      <c r="AO1370" s="22"/>
      <c r="AP1370" s="22"/>
      <c r="AQ1370"/>
      <c r="AR1370"/>
      <c r="AS1370"/>
      <c r="AT1370"/>
      <c r="AU1370"/>
      <c r="AV1370"/>
      <c r="AW1370"/>
      <c r="AX1370"/>
    </row>
    <row r="1371" spans="35:50">
      <c r="AI1371" s="22"/>
      <c r="AJ1371" s="22"/>
      <c r="AK1371" s="22"/>
      <c r="AL1371" s="22"/>
      <c r="AM1371" s="22"/>
      <c r="AN1371" s="22"/>
      <c r="AO1371" s="22"/>
      <c r="AP1371" s="22"/>
      <c r="AQ1371"/>
      <c r="AR1371"/>
      <c r="AS1371"/>
      <c r="AT1371"/>
      <c r="AU1371"/>
      <c r="AV1371"/>
      <c r="AW1371"/>
      <c r="AX1371"/>
    </row>
    <row r="1372" spans="35:50">
      <c r="AI1372" s="22"/>
      <c r="AJ1372" s="22"/>
      <c r="AK1372" s="22"/>
      <c r="AL1372" s="22"/>
      <c r="AM1372" s="22"/>
      <c r="AN1372" s="22"/>
      <c r="AO1372" s="22"/>
      <c r="AP1372" s="22"/>
      <c r="AQ1372"/>
      <c r="AR1372"/>
      <c r="AS1372"/>
      <c r="AT1372"/>
      <c r="AU1372"/>
      <c r="AV1372"/>
      <c r="AW1372"/>
      <c r="AX1372"/>
    </row>
    <row r="1373" spans="35:50">
      <c r="AI1373" s="22"/>
      <c r="AJ1373" s="22"/>
      <c r="AK1373" s="22"/>
      <c r="AL1373" s="22"/>
      <c r="AM1373" s="22"/>
      <c r="AN1373" s="22"/>
      <c r="AO1373" s="22"/>
      <c r="AP1373" s="22"/>
      <c r="AQ1373"/>
      <c r="AR1373"/>
      <c r="AS1373"/>
      <c r="AT1373"/>
      <c r="AU1373"/>
      <c r="AV1373"/>
      <c r="AW1373"/>
      <c r="AX1373"/>
    </row>
    <row r="1374" spans="35:50">
      <c r="AI1374" s="22"/>
      <c r="AJ1374" s="22"/>
      <c r="AK1374" s="22"/>
      <c r="AL1374" s="22"/>
      <c r="AM1374" s="22"/>
      <c r="AN1374" s="22"/>
      <c r="AO1374" s="22"/>
      <c r="AP1374" s="22"/>
      <c r="AQ1374"/>
      <c r="AR1374"/>
      <c r="AS1374"/>
      <c r="AT1374"/>
      <c r="AU1374"/>
      <c r="AV1374"/>
      <c r="AW1374"/>
      <c r="AX1374"/>
    </row>
    <row r="1375" spans="35:50">
      <c r="AI1375" s="22"/>
      <c r="AJ1375" s="22"/>
      <c r="AK1375" s="22"/>
      <c r="AL1375" s="22"/>
      <c r="AM1375" s="22"/>
      <c r="AN1375" s="22"/>
      <c r="AO1375" s="22"/>
      <c r="AP1375" s="22"/>
      <c r="AQ1375"/>
      <c r="AR1375"/>
      <c r="AS1375"/>
      <c r="AT1375"/>
      <c r="AU1375"/>
      <c r="AV1375"/>
      <c r="AW1375"/>
      <c r="AX1375"/>
    </row>
    <row r="1376" spans="35:50">
      <c r="AI1376" s="22"/>
      <c r="AJ1376" s="22"/>
      <c r="AK1376" s="22"/>
      <c r="AL1376" s="22"/>
      <c r="AM1376" s="22"/>
      <c r="AN1376" s="22"/>
      <c r="AO1376" s="22"/>
      <c r="AP1376" s="22"/>
      <c r="AQ1376"/>
      <c r="AR1376"/>
      <c r="AS1376"/>
      <c r="AT1376"/>
      <c r="AU1376"/>
      <c r="AV1376"/>
      <c r="AW1376"/>
      <c r="AX1376"/>
    </row>
    <row r="1377" spans="35:50">
      <c r="AI1377" s="22"/>
      <c r="AJ1377" s="22"/>
      <c r="AK1377" s="22"/>
      <c r="AL1377" s="22"/>
      <c r="AM1377" s="22"/>
      <c r="AN1377" s="22"/>
      <c r="AO1377" s="22"/>
      <c r="AP1377" s="22"/>
      <c r="AQ1377"/>
      <c r="AR1377"/>
      <c r="AS1377"/>
      <c r="AT1377"/>
      <c r="AU1377"/>
      <c r="AV1377"/>
      <c r="AW1377"/>
      <c r="AX1377"/>
    </row>
    <row r="1378" spans="35:50">
      <c r="AI1378" s="22"/>
      <c r="AJ1378" s="22"/>
      <c r="AK1378" s="22"/>
      <c r="AL1378" s="22"/>
      <c r="AM1378" s="22"/>
      <c r="AN1378" s="22"/>
      <c r="AO1378" s="22"/>
      <c r="AP1378" s="22"/>
      <c r="AQ1378"/>
      <c r="AR1378"/>
      <c r="AS1378"/>
      <c r="AT1378"/>
      <c r="AU1378"/>
      <c r="AV1378"/>
      <c r="AW1378"/>
      <c r="AX1378"/>
    </row>
    <row r="1379" spans="35:50">
      <c r="AI1379" s="22"/>
      <c r="AJ1379" s="22"/>
      <c r="AK1379" s="22"/>
      <c r="AL1379" s="22"/>
      <c r="AM1379" s="22"/>
      <c r="AN1379" s="22"/>
      <c r="AO1379" s="22"/>
      <c r="AP1379" s="22"/>
      <c r="AQ1379"/>
      <c r="AR1379"/>
      <c r="AS1379"/>
      <c r="AT1379"/>
      <c r="AU1379"/>
      <c r="AV1379"/>
      <c r="AW1379"/>
      <c r="AX1379"/>
    </row>
    <row r="1380" spans="35:50">
      <c r="AI1380" s="22"/>
      <c r="AJ1380" s="22"/>
      <c r="AK1380" s="22"/>
      <c r="AL1380" s="22"/>
      <c r="AM1380" s="22"/>
      <c r="AN1380" s="22"/>
      <c r="AO1380" s="22"/>
      <c r="AP1380" s="22"/>
      <c r="AQ1380"/>
      <c r="AR1380"/>
      <c r="AS1380"/>
      <c r="AT1380"/>
      <c r="AU1380"/>
      <c r="AV1380"/>
      <c r="AW1380"/>
      <c r="AX1380"/>
    </row>
    <row r="1381" spans="35:50">
      <c r="AI1381" s="22"/>
      <c r="AJ1381" s="22"/>
      <c r="AK1381" s="22"/>
      <c r="AL1381" s="22"/>
      <c r="AM1381" s="22"/>
      <c r="AN1381" s="22"/>
      <c r="AO1381" s="22"/>
      <c r="AP1381" s="22"/>
      <c r="AQ1381"/>
      <c r="AR1381"/>
      <c r="AS1381"/>
      <c r="AT1381"/>
      <c r="AU1381"/>
      <c r="AV1381"/>
      <c r="AW1381"/>
      <c r="AX1381"/>
    </row>
    <row r="1382" spans="35:50">
      <c r="AI1382" s="22"/>
      <c r="AJ1382" s="22"/>
      <c r="AK1382" s="22"/>
      <c r="AL1382" s="22"/>
      <c r="AM1382" s="22"/>
      <c r="AN1382" s="22"/>
      <c r="AO1382" s="22"/>
      <c r="AP1382" s="22"/>
      <c r="AQ1382"/>
      <c r="AR1382"/>
      <c r="AS1382"/>
      <c r="AT1382"/>
      <c r="AU1382"/>
      <c r="AV1382"/>
      <c r="AW1382"/>
      <c r="AX1382"/>
    </row>
    <row r="1383" spans="35:50">
      <c r="AI1383" s="22"/>
      <c r="AJ1383" s="22"/>
      <c r="AK1383" s="22"/>
      <c r="AL1383" s="22"/>
      <c r="AM1383" s="22"/>
      <c r="AN1383" s="22"/>
      <c r="AO1383" s="22"/>
      <c r="AP1383" s="22"/>
      <c r="AQ1383"/>
      <c r="AR1383"/>
      <c r="AS1383"/>
      <c r="AT1383"/>
      <c r="AU1383"/>
      <c r="AV1383"/>
      <c r="AW1383"/>
      <c r="AX1383"/>
    </row>
    <row r="1384" spans="35:50">
      <c r="AI1384" s="22"/>
      <c r="AJ1384" s="22"/>
      <c r="AK1384" s="22"/>
      <c r="AL1384" s="22"/>
      <c r="AM1384" s="22"/>
      <c r="AN1384" s="22"/>
      <c r="AO1384" s="22"/>
      <c r="AP1384" s="22"/>
      <c r="AQ1384"/>
      <c r="AR1384"/>
      <c r="AS1384"/>
      <c r="AT1384"/>
      <c r="AU1384"/>
      <c r="AV1384"/>
      <c r="AW1384"/>
      <c r="AX1384"/>
    </row>
    <row r="1385" spans="35:50">
      <c r="AI1385" s="22"/>
      <c r="AJ1385" s="22"/>
      <c r="AK1385" s="22"/>
      <c r="AL1385" s="22"/>
      <c r="AM1385" s="22"/>
      <c r="AN1385" s="22"/>
      <c r="AO1385" s="22"/>
      <c r="AP1385" s="22"/>
      <c r="AQ1385"/>
      <c r="AR1385"/>
      <c r="AS1385"/>
      <c r="AT1385"/>
      <c r="AU1385"/>
      <c r="AV1385"/>
      <c r="AW1385"/>
      <c r="AX1385"/>
    </row>
    <row r="1386" spans="35:50">
      <c r="AI1386" s="22"/>
      <c r="AJ1386" s="22"/>
      <c r="AK1386" s="22"/>
      <c r="AL1386" s="22"/>
      <c r="AM1386" s="22"/>
      <c r="AN1386" s="22"/>
      <c r="AO1386" s="22"/>
      <c r="AP1386" s="22"/>
      <c r="AQ1386"/>
      <c r="AR1386"/>
      <c r="AS1386"/>
      <c r="AT1386"/>
      <c r="AU1386"/>
      <c r="AV1386"/>
      <c r="AW1386"/>
      <c r="AX1386"/>
    </row>
    <row r="1387" spans="35:50">
      <c r="AI1387" s="22"/>
      <c r="AJ1387" s="22"/>
      <c r="AK1387" s="22"/>
      <c r="AL1387" s="22"/>
      <c r="AM1387" s="22"/>
      <c r="AN1387" s="22"/>
      <c r="AO1387" s="22"/>
      <c r="AP1387" s="22"/>
      <c r="AQ1387"/>
      <c r="AR1387"/>
      <c r="AS1387"/>
      <c r="AT1387"/>
      <c r="AU1387"/>
      <c r="AV1387"/>
      <c r="AW1387"/>
      <c r="AX1387"/>
    </row>
    <row r="1388" spans="35:50">
      <c r="AI1388" s="22"/>
      <c r="AJ1388" s="22"/>
      <c r="AK1388" s="22"/>
      <c r="AL1388" s="22"/>
      <c r="AM1388" s="22"/>
      <c r="AN1388" s="22"/>
      <c r="AO1388" s="22"/>
      <c r="AP1388" s="22"/>
      <c r="AQ1388"/>
      <c r="AR1388"/>
      <c r="AS1388"/>
      <c r="AT1388"/>
      <c r="AU1388"/>
      <c r="AV1388"/>
      <c r="AW1388"/>
      <c r="AX1388"/>
    </row>
    <row r="1389" spans="35:50">
      <c r="AI1389" s="22"/>
      <c r="AJ1389" s="22"/>
      <c r="AK1389" s="22"/>
      <c r="AL1389" s="22"/>
      <c r="AM1389" s="22"/>
      <c r="AN1389" s="22"/>
      <c r="AO1389" s="22"/>
      <c r="AP1389" s="22"/>
      <c r="AQ1389"/>
      <c r="AR1389"/>
      <c r="AS1389"/>
      <c r="AT1389"/>
      <c r="AU1389"/>
      <c r="AV1389"/>
      <c r="AW1389"/>
      <c r="AX1389"/>
    </row>
    <row r="1390" spans="35:50">
      <c r="AI1390" s="22"/>
      <c r="AJ1390" s="22"/>
      <c r="AK1390" s="22"/>
      <c r="AL1390" s="22"/>
      <c r="AM1390" s="22"/>
      <c r="AN1390" s="22"/>
      <c r="AO1390" s="22"/>
      <c r="AP1390" s="22"/>
      <c r="AQ1390"/>
      <c r="AR1390"/>
      <c r="AS1390"/>
      <c r="AT1390"/>
      <c r="AU1390"/>
      <c r="AV1390"/>
      <c r="AW1390"/>
      <c r="AX1390"/>
    </row>
    <row r="1391" spans="35:50">
      <c r="AI1391" s="22"/>
      <c r="AJ1391" s="22"/>
      <c r="AK1391" s="22"/>
      <c r="AL1391" s="22"/>
      <c r="AM1391" s="22"/>
      <c r="AN1391" s="22"/>
      <c r="AO1391" s="22"/>
      <c r="AP1391" s="22"/>
      <c r="AQ1391"/>
      <c r="AR1391"/>
      <c r="AS1391"/>
      <c r="AT1391"/>
      <c r="AU1391"/>
      <c r="AV1391"/>
      <c r="AW1391"/>
      <c r="AX1391"/>
    </row>
    <row r="1392" spans="35:50">
      <c r="AI1392" s="22"/>
      <c r="AJ1392" s="22"/>
      <c r="AK1392" s="22"/>
      <c r="AL1392" s="22"/>
      <c r="AM1392" s="22"/>
      <c r="AN1392" s="22"/>
      <c r="AO1392" s="22"/>
      <c r="AP1392" s="22"/>
      <c r="AQ1392"/>
      <c r="AR1392"/>
      <c r="AS1392"/>
      <c r="AT1392"/>
      <c r="AU1392"/>
      <c r="AV1392"/>
      <c r="AW1392"/>
      <c r="AX1392"/>
    </row>
    <row r="1393" spans="35:50">
      <c r="AI1393" s="22"/>
      <c r="AJ1393" s="22"/>
      <c r="AK1393" s="22"/>
      <c r="AL1393" s="22"/>
      <c r="AM1393" s="22"/>
      <c r="AN1393" s="22"/>
      <c r="AO1393" s="22"/>
      <c r="AP1393" s="22"/>
      <c r="AQ1393"/>
      <c r="AR1393"/>
      <c r="AS1393"/>
      <c r="AT1393"/>
      <c r="AU1393"/>
      <c r="AV1393"/>
      <c r="AW1393"/>
      <c r="AX1393"/>
    </row>
    <row r="1394" spans="35:50">
      <c r="AI1394" s="22"/>
      <c r="AJ1394" s="22"/>
      <c r="AK1394" s="22"/>
      <c r="AL1394" s="22"/>
      <c r="AM1394" s="22"/>
      <c r="AN1394" s="22"/>
      <c r="AO1394" s="22"/>
      <c r="AP1394" s="22"/>
      <c r="AQ1394"/>
      <c r="AR1394"/>
      <c r="AS1394"/>
      <c r="AT1394"/>
      <c r="AU1394"/>
      <c r="AV1394"/>
      <c r="AW1394"/>
      <c r="AX1394"/>
    </row>
    <row r="1395" spans="35:50">
      <c r="AI1395" s="22"/>
      <c r="AJ1395" s="22"/>
      <c r="AK1395" s="22"/>
      <c r="AL1395" s="22"/>
      <c r="AM1395" s="22"/>
      <c r="AN1395" s="22"/>
      <c r="AO1395" s="22"/>
      <c r="AP1395" s="22"/>
      <c r="AQ1395"/>
      <c r="AR1395"/>
      <c r="AS1395"/>
      <c r="AT1395"/>
      <c r="AU1395"/>
      <c r="AV1395"/>
      <c r="AW1395"/>
      <c r="AX1395"/>
    </row>
    <row r="1396" spans="35:50">
      <c r="AI1396" s="22"/>
      <c r="AJ1396" s="22"/>
      <c r="AK1396" s="22"/>
      <c r="AL1396" s="22"/>
      <c r="AM1396" s="22"/>
      <c r="AN1396" s="22"/>
      <c r="AO1396" s="22"/>
      <c r="AP1396" s="22"/>
      <c r="AQ1396"/>
      <c r="AR1396"/>
      <c r="AS1396"/>
      <c r="AT1396"/>
      <c r="AU1396"/>
      <c r="AV1396"/>
      <c r="AW1396"/>
      <c r="AX1396"/>
    </row>
    <row r="1397" spans="35:50">
      <c r="AI1397" s="22"/>
      <c r="AJ1397" s="22"/>
      <c r="AK1397" s="22"/>
      <c r="AL1397" s="22"/>
      <c r="AM1397" s="22"/>
      <c r="AN1397" s="22"/>
      <c r="AO1397" s="22"/>
      <c r="AP1397" s="22"/>
      <c r="AQ1397"/>
      <c r="AR1397"/>
      <c r="AS1397"/>
      <c r="AT1397"/>
      <c r="AU1397"/>
      <c r="AV1397"/>
      <c r="AW1397"/>
      <c r="AX1397"/>
    </row>
    <row r="1398" spans="35:50">
      <c r="AI1398" s="22"/>
      <c r="AJ1398" s="22"/>
      <c r="AK1398" s="22"/>
      <c r="AL1398" s="22"/>
      <c r="AM1398" s="22"/>
      <c r="AN1398" s="22"/>
      <c r="AO1398" s="22"/>
      <c r="AP1398" s="22"/>
      <c r="AQ1398"/>
      <c r="AR1398"/>
      <c r="AS1398"/>
      <c r="AT1398"/>
      <c r="AU1398"/>
      <c r="AV1398"/>
      <c r="AW1398"/>
      <c r="AX1398"/>
    </row>
    <row r="1399" spans="35:50">
      <c r="AI1399" s="22"/>
      <c r="AJ1399" s="22"/>
      <c r="AK1399" s="22"/>
      <c r="AL1399" s="22"/>
      <c r="AM1399" s="22"/>
      <c r="AN1399" s="22"/>
      <c r="AO1399" s="22"/>
      <c r="AP1399" s="22"/>
      <c r="AQ1399"/>
      <c r="AR1399"/>
      <c r="AS1399"/>
      <c r="AT1399"/>
      <c r="AU1399"/>
      <c r="AV1399"/>
      <c r="AW1399"/>
      <c r="AX1399"/>
    </row>
    <row r="1400" spans="35:50">
      <c r="AI1400" s="22"/>
      <c r="AJ1400" s="22"/>
      <c r="AK1400" s="22"/>
      <c r="AL1400" s="22"/>
      <c r="AM1400" s="22"/>
      <c r="AN1400" s="22"/>
      <c r="AO1400" s="22"/>
      <c r="AP1400" s="22"/>
      <c r="AQ1400"/>
      <c r="AR1400"/>
      <c r="AS1400"/>
      <c r="AT1400"/>
      <c r="AU1400"/>
      <c r="AV1400"/>
      <c r="AW1400"/>
      <c r="AX1400"/>
    </row>
    <row r="1401" spans="35:50">
      <c r="AI1401" s="22"/>
      <c r="AJ1401" s="22"/>
      <c r="AK1401" s="22"/>
      <c r="AL1401" s="22"/>
      <c r="AM1401" s="22"/>
      <c r="AN1401" s="22"/>
      <c r="AO1401" s="22"/>
      <c r="AP1401" s="22"/>
      <c r="AQ1401"/>
      <c r="AR1401"/>
      <c r="AS1401"/>
      <c r="AT1401"/>
      <c r="AU1401"/>
      <c r="AV1401"/>
      <c r="AW1401"/>
      <c r="AX1401"/>
    </row>
    <row r="1402" spans="35:50">
      <c r="AI1402" s="22"/>
      <c r="AJ1402" s="22"/>
      <c r="AK1402" s="22"/>
      <c r="AL1402" s="22"/>
      <c r="AM1402" s="22"/>
      <c r="AN1402" s="22"/>
      <c r="AO1402" s="22"/>
      <c r="AP1402" s="22"/>
      <c r="AQ1402"/>
      <c r="AR1402"/>
      <c r="AS1402"/>
      <c r="AT1402"/>
      <c r="AU1402"/>
      <c r="AV1402"/>
      <c r="AW1402"/>
      <c r="AX1402"/>
    </row>
    <row r="1403" spans="35:50">
      <c r="AI1403" s="22"/>
      <c r="AJ1403" s="22"/>
      <c r="AK1403" s="22"/>
      <c r="AL1403" s="22"/>
      <c r="AM1403" s="22"/>
      <c r="AN1403" s="22"/>
      <c r="AO1403" s="22"/>
      <c r="AP1403" s="22"/>
      <c r="AQ1403"/>
      <c r="AR1403"/>
      <c r="AS1403"/>
      <c r="AT1403"/>
      <c r="AU1403"/>
      <c r="AV1403"/>
      <c r="AW1403"/>
      <c r="AX1403"/>
    </row>
    <row r="1404" spans="35:50">
      <c r="AI1404" s="22"/>
      <c r="AJ1404" s="22"/>
      <c r="AK1404" s="22"/>
      <c r="AL1404" s="22"/>
      <c r="AM1404" s="22"/>
      <c r="AN1404" s="22"/>
      <c r="AO1404" s="22"/>
      <c r="AP1404" s="22"/>
      <c r="AQ1404"/>
      <c r="AR1404"/>
      <c r="AS1404"/>
      <c r="AT1404"/>
      <c r="AU1404"/>
      <c r="AV1404"/>
      <c r="AW1404"/>
      <c r="AX1404"/>
    </row>
    <row r="1405" spans="35:50">
      <c r="AI1405" s="22"/>
      <c r="AJ1405" s="22"/>
      <c r="AK1405" s="22"/>
      <c r="AL1405" s="22"/>
      <c r="AM1405" s="22"/>
      <c r="AN1405" s="22"/>
      <c r="AO1405" s="22"/>
      <c r="AP1405" s="22"/>
      <c r="AQ1405"/>
      <c r="AR1405"/>
      <c r="AS1405"/>
      <c r="AT1405"/>
      <c r="AU1405"/>
      <c r="AV1405"/>
      <c r="AW1405"/>
      <c r="AX1405"/>
    </row>
    <row r="1406" spans="35:50">
      <c r="AI1406" s="22"/>
      <c r="AJ1406" s="22"/>
      <c r="AK1406" s="22"/>
      <c r="AL1406" s="22"/>
      <c r="AM1406" s="22"/>
      <c r="AN1406" s="22"/>
      <c r="AO1406" s="22"/>
      <c r="AP1406" s="22"/>
      <c r="AQ1406"/>
      <c r="AR1406"/>
      <c r="AS1406"/>
      <c r="AT1406"/>
      <c r="AU1406"/>
      <c r="AV1406"/>
      <c r="AW1406"/>
      <c r="AX1406"/>
    </row>
    <row r="1407" spans="35:50">
      <c r="AI1407" s="22"/>
      <c r="AJ1407" s="22"/>
      <c r="AK1407" s="22"/>
      <c r="AL1407" s="22"/>
      <c r="AM1407" s="22"/>
      <c r="AN1407" s="22"/>
      <c r="AO1407" s="22"/>
      <c r="AP1407" s="22"/>
      <c r="AQ1407"/>
      <c r="AR1407"/>
      <c r="AS1407"/>
      <c r="AT1407"/>
      <c r="AU1407"/>
      <c r="AV1407"/>
      <c r="AW1407"/>
      <c r="AX1407"/>
    </row>
    <row r="1408" spans="35:50">
      <c r="AI1408" s="22"/>
      <c r="AJ1408" s="22"/>
      <c r="AK1408" s="22"/>
      <c r="AL1408" s="22"/>
      <c r="AM1408" s="22"/>
      <c r="AN1408" s="22"/>
      <c r="AO1408" s="22"/>
      <c r="AP1408" s="22"/>
      <c r="AQ1408"/>
      <c r="AR1408"/>
      <c r="AS1408"/>
      <c r="AT1408"/>
      <c r="AU1408"/>
      <c r="AV1408"/>
      <c r="AW1408"/>
      <c r="AX1408"/>
    </row>
    <row r="1409" spans="35:50">
      <c r="AI1409" s="22"/>
      <c r="AJ1409" s="22"/>
      <c r="AK1409" s="22"/>
      <c r="AL1409" s="22"/>
      <c r="AM1409" s="22"/>
      <c r="AN1409" s="22"/>
      <c r="AO1409" s="22"/>
      <c r="AP1409" s="22"/>
      <c r="AQ1409"/>
      <c r="AR1409"/>
      <c r="AS1409"/>
      <c r="AT1409"/>
      <c r="AU1409"/>
      <c r="AV1409"/>
      <c r="AW1409"/>
      <c r="AX1409"/>
    </row>
    <row r="1410" spans="35:50">
      <c r="AI1410" s="22"/>
      <c r="AJ1410" s="22"/>
      <c r="AK1410" s="22"/>
      <c r="AL1410" s="22"/>
      <c r="AM1410" s="22"/>
      <c r="AN1410" s="22"/>
      <c r="AO1410" s="22"/>
      <c r="AP1410" s="22"/>
      <c r="AQ1410"/>
      <c r="AR1410"/>
      <c r="AS1410"/>
      <c r="AT1410"/>
      <c r="AU1410"/>
      <c r="AV1410"/>
      <c r="AW1410"/>
      <c r="AX1410"/>
    </row>
    <row r="1411" spans="35:50">
      <c r="AI1411" s="22"/>
      <c r="AJ1411" s="22"/>
      <c r="AK1411" s="22"/>
      <c r="AL1411" s="22"/>
      <c r="AM1411" s="22"/>
      <c r="AN1411" s="22"/>
      <c r="AO1411" s="22"/>
      <c r="AP1411" s="22"/>
      <c r="AQ1411"/>
      <c r="AR1411"/>
      <c r="AS1411"/>
      <c r="AT1411"/>
      <c r="AU1411"/>
      <c r="AV1411"/>
      <c r="AW1411"/>
      <c r="AX1411"/>
    </row>
    <row r="1412" spans="35:50">
      <c r="AI1412" s="22"/>
      <c r="AJ1412" s="22"/>
      <c r="AK1412" s="22"/>
      <c r="AL1412" s="22"/>
      <c r="AM1412" s="22"/>
      <c r="AN1412" s="22"/>
      <c r="AO1412" s="22"/>
      <c r="AP1412" s="22"/>
      <c r="AQ1412"/>
      <c r="AR1412"/>
      <c r="AS1412"/>
      <c r="AT1412"/>
      <c r="AU1412"/>
      <c r="AV1412"/>
      <c r="AW1412"/>
      <c r="AX1412"/>
    </row>
    <row r="1413" spans="35:50">
      <c r="AI1413" s="22"/>
      <c r="AJ1413" s="22"/>
      <c r="AK1413" s="22"/>
      <c r="AL1413" s="22"/>
      <c r="AM1413" s="22"/>
      <c r="AN1413" s="22"/>
      <c r="AO1413" s="22"/>
      <c r="AP1413" s="22"/>
      <c r="AQ1413"/>
      <c r="AR1413"/>
      <c r="AS1413"/>
      <c r="AT1413"/>
      <c r="AU1413"/>
      <c r="AV1413"/>
      <c r="AW1413"/>
      <c r="AX1413"/>
    </row>
    <row r="1414" spans="35:50">
      <c r="AI1414" s="22"/>
      <c r="AJ1414" s="22"/>
      <c r="AK1414" s="22"/>
      <c r="AL1414" s="22"/>
      <c r="AM1414" s="22"/>
      <c r="AN1414" s="22"/>
      <c r="AO1414" s="22"/>
      <c r="AP1414" s="22"/>
      <c r="AQ1414"/>
      <c r="AR1414"/>
      <c r="AS1414"/>
      <c r="AT1414"/>
      <c r="AU1414"/>
      <c r="AV1414"/>
      <c r="AW1414"/>
      <c r="AX1414"/>
    </row>
    <row r="1415" spans="35:50">
      <c r="AI1415" s="22"/>
      <c r="AJ1415" s="22"/>
      <c r="AK1415" s="22"/>
      <c r="AL1415" s="22"/>
      <c r="AM1415" s="22"/>
      <c r="AN1415" s="22"/>
      <c r="AO1415" s="22"/>
      <c r="AP1415" s="22"/>
      <c r="AQ1415"/>
      <c r="AR1415"/>
      <c r="AS1415"/>
      <c r="AT1415"/>
      <c r="AU1415"/>
      <c r="AV1415"/>
      <c r="AW1415"/>
      <c r="AX1415"/>
    </row>
    <row r="1416" spans="35:50">
      <c r="AI1416" s="22"/>
      <c r="AJ1416" s="22"/>
      <c r="AK1416" s="22"/>
      <c r="AL1416" s="22"/>
      <c r="AM1416" s="22"/>
      <c r="AN1416" s="22"/>
      <c r="AO1416" s="22"/>
      <c r="AP1416" s="22"/>
      <c r="AQ1416"/>
      <c r="AR1416"/>
      <c r="AS1416"/>
      <c r="AT1416"/>
      <c r="AU1416"/>
      <c r="AV1416"/>
      <c r="AW1416"/>
      <c r="AX1416"/>
    </row>
    <row r="1417" spans="35:50">
      <c r="AI1417" s="22"/>
      <c r="AJ1417" s="22"/>
      <c r="AK1417" s="22"/>
      <c r="AL1417" s="22"/>
      <c r="AM1417" s="22"/>
      <c r="AN1417" s="22"/>
      <c r="AO1417" s="22"/>
      <c r="AP1417" s="22"/>
      <c r="AQ1417"/>
      <c r="AR1417"/>
      <c r="AS1417"/>
      <c r="AT1417"/>
      <c r="AU1417"/>
      <c r="AV1417"/>
      <c r="AW1417"/>
      <c r="AX1417"/>
    </row>
    <row r="1418" spans="35:50">
      <c r="AI1418" s="22"/>
      <c r="AJ1418" s="22"/>
      <c r="AK1418" s="22"/>
      <c r="AL1418" s="22"/>
      <c r="AM1418" s="22"/>
      <c r="AN1418" s="22"/>
      <c r="AO1418" s="22"/>
      <c r="AP1418" s="22"/>
      <c r="AQ1418"/>
      <c r="AR1418"/>
      <c r="AS1418"/>
      <c r="AT1418"/>
      <c r="AU1418"/>
      <c r="AV1418"/>
      <c r="AW1418"/>
      <c r="AX1418"/>
    </row>
    <row r="1419" spans="35:50">
      <c r="AI1419" s="22"/>
      <c r="AJ1419" s="22"/>
      <c r="AK1419" s="22"/>
      <c r="AL1419" s="22"/>
      <c r="AM1419" s="22"/>
      <c r="AN1419" s="22"/>
      <c r="AO1419" s="22"/>
      <c r="AP1419" s="22"/>
      <c r="AQ1419"/>
      <c r="AR1419"/>
      <c r="AS1419"/>
      <c r="AT1419"/>
      <c r="AU1419"/>
      <c r="AV1419"/>
      <c r="AW1419"/>
      <c r="AX1419"/>
    </row>
    <row r="1420" spans="35:50">
      <c r="AI1420" s="22"/>
      <c r="AJ1420" s="22"/>
      <c r="AK1420" s="22"/>
      <c r="AL1420" s="22"/>
      <c r="AM1420" s="22"/>
      <c r="AN1420" s="22"/>
      <c r="AO1420" s="22"/>
      <c r="AP1420" s="22"/>
      <c r="AQ1420"/>
      <c r="AR1420"/>
      <c r="AS1420"/>
      <c r="AT1420"/>
      <c r="AU1420"/>
      <c r="AV1420"/>
      <c r="AW1420"/>
      <c r="AX1420"/>
    </row>
    <row r="1421" spans="35:50">
      <c r="AI1421" s="22"/>
      <c r="AJ1421" s="22"/>
      <c r="AK1421" s="22"/>
      <c r="AL1421" s="22"/>
      <c r="AM1421" s="22"/>
      <c r="AN1421" s="22"/>
      <c r="AO1421" s="22"/>
      <c r="AP1421" s="22"/>
      <c r="AQ1421"/>
      <c r="AR1421"/>
      <c r="AS1421"/>
      <c r="AT1421"/>
      <c r="AU1421"/>
      <c r="AV1421"/>
      <c r="AW1421"/>
      <c r="AX1421"/>
    </row>
    <row r="1422" spans="35:50">
      <c r="AI1422" s="22"/>
      <c r="AJ1422" s="22"/>
      <c r="AK1422" s="22"/>
      <c r="AL1422" s="22"/>
      <c r="AM1422" s="22"/>
      <c r="AN1422" s="22"/>
      <c r="AO1422" s="22"/>
      <c r="AP1422" s="22"/>
      <c r="AQ1422"/>
      <c r="AR1422"/>
      <c r="AS1422"/>
      <c r="AT1422"/>
      <c r="AU1422"/>
      <c r="AV1422"/>
      <c r="AW1422"/>
      <c r="AX1422"/>
    </row>
    <row r="1423" spans="35:50">
      <c r="AI1423" s="22"/>
      <c r="AJ1423" s="22"/>
      <c r="AK1423" s="22"/>
      <c r="AL1423" s="22"/>
      <c r="AM1423" s="22"/>
      <c r="AN1423" s="22"/>
      <c r="AO1423" s="22"/>
      <c r="AP1423" s="22"/>
      <c r="AQ1423"/>
      <c r="AR1423"/>
      <c r="AS1423"/>
      <c r="AT1423"/>
      <c r="AU1423"/>
      <c r="AV1423"/>
      <c r="AW1423"/>
      <c r="AX1423"/>
    </row>
    <row r="1424" spans="35:50">
      <c r="AI1424" s="22"/>
      <c r="AJ1424" s="22"/>
      <c r="AK1424" s="22"/>
      <c r="AL1424" s="22"/>
      <c r="AM1424" s="22"/>
      <c r="AN1424" s="22"/>
      <c r="AO1424" s="22"/>
      <c r="AP1424" s="22"/>
      <c r="AQ1424"/>
      <c r="AR1424"/>
      <c r="AS1424"/>
      <c r="AT1424"/>
      <c r="AU1424"/>
      <c r="AV1424"/>
      <c r="AW1424"/>
      <c r="AX1424"/>
    </row>
    <row r="1425" spans="35:50">
      <c r="AI1425" s="22"/>
      <c r="AJ1425" s="22"/>
      <c r="AK1425" s="22"/>
      <c r="AL1425" s="22"/>
      <c r="AM1425" s="22"/>
      <c r="AN1425" s="22"/>
      <c r="AO1425" s="22"/>
      <c r="AP1425" s="22"/>
      <c r="AQ1425"/>
      <c r="AR1425"/>
      <c r="AS1425"/>
      <c r="AT1425"/>
      <c r="AU1425"/>
      <c r="AV1425"/>
      <c r="AW1425"/>
      <c r="AX1425"/>
    </row>
    <row r="1426" spans="35:50">
      <c r="AI1426" s="22"/>
      <c r="AJ1426" s="22"/>
      <c r="AK1426" s="22"/>
      <c r="AL1426" s="22"/>
      <c r="AM1426" s="22"/>
      <c r="AN1426" s="22"/>
      <c r="AO1426" s="22"/>
      <c r="AP1426" s="22"/>
      <c r="AQ1426"/>
      <c r="AR1426"/>
      <c r="AS1426"/>
      <c r="AT1426"/>
      <c r="AU1426"/>
      <c r="AV1426"/>
      <c r="AW1426"/>
      <c r="AX1426"/>
    </row>
    <row r="1427" spans="35:50">
      <c r="AI1427" s="22"/>
      <c r="AJ1427" s="22"/>
      <c r="AK1427" s="22"/>
      <c r="AL1427" s="22"/>
      <c r="AM1427" s="22"/>
      <c r="AN1427" s="22"/>
      <c r="AO1427" s="22"/>
      <c r="AP1427" s="22"/>
      <c r="AQ1427"/>
      <c r="AR1427"/>
      <c r="AS1427"/>
      <c r="AT1427"/>
      <c r="AU1427"/>
      <c r="AV1427"/>
      <c r="AW1427"/>
      <c r="AX1427"/>
    </row>
    <row r="1428" spans="35:50">
      <c r="AI1428" s="22"/>
      <c r="AJ1428" s="22"/>
      <c r="AK1428" s="22"/>
      <c r="AL1428" s="22"/>
      <c r="AM1428" s="22"/>
      <c r="AN1428" s="22"/>
      <c r="AO1428" s="22"/>
      <c r="AP1428" s="22"/>
      <c r="AQ1428"/>
      <c r="AR1428"/>
      <c r="AS1428"/>
      <c r="AT1428"/>
      <c r="AU1428"/>
      <c r="AV1428"/>
      <c r="AW1428"/>
      <c r="AX1428"/>
    </row>
    <row r="1429" spans="35:50">
      <c r="AI1429" s="22"/>
      <c r="AJ1429" s="22"/>
      <c r="AK1429" s="22"/>
      <c r="AL1429" s="22"/>
      <c r="AM1429" s="22"/>
      <c r="AN1429" s="22"/>
      <c r="AO1429" s="22"/>
      <c r="AP1429" s="22"/>
      <c r="AQ1429"/>
      <c r="AR1429"/>
      <c r="AS1429"/>
      <c r="AT1429"/>
      <c r="AU1429"/>
      <c r="AV1429"/>
      <c r="AW1429"/>
      <c r="AX1429"/>
    </row>
    <row r="1430" spans="35:50">
      <c r="AI1430" s="22"/>
      <c r="AJ1430" s="22"/>
      <c r="AK1430" s="22"/>
      <c r="AL1430" s="22"/>
      <c r="AM1430" s="22"/>
      <c r="AN1430" s="22"/>
      <c r="AO1430" s="22"/>
      <c r="AP1430" s="22"/>
      <c r="AQ1430"/>
      <c r="AR1430"/>
      <c r="AS1430"/>
      <c r="AT1430"/>
      <c r="AU1430"/>
      <c r="AV1430"/>
      <c r="AW1430"/>
      <c r="AX1430"/>
    </row>
    <row r="1431" spans="35:50">
      <c r="AI1431" s="22"/>
      <c r="AJ1431" s="22"/>
      <c r="AK1431" s="22"/>
      <c r="AL1431" s="22"/>
      <c r="AM1431" s="22"/>
      <c r="AN1431" s="22"/>
      <c r="AO1431" s="22"/>
      <c r="AP1431" s="22"/>
      <c r="AQ1431"/>
      <c r="AR1431"/>
      <c r="AS1431"/>
      <c r="AT1431"/>
      <c r="AU1431"/>
      <c r="AV1431"/>
      <c r="AW1431"/>
      <c r="AX1431"/>
    </row>
    <row r="1432" spans="35:50">
      <c r="AI1432" s="22"/>
      <c r="AJ1432" s="22"/>
      <c r="AK1432" s="22"/>
      <c r="AL1432" s="22"/>
      <c r="AM1432" s="22"/>
      <c r="AN1432" s="22"/>
      <c r="AO1432" s="22"/>
      <c r="AP1432" s="22"/>
      <c r="AQ1432"/>
      <c r="AR1432"/>
      <c r="AS1432"/>
      <c r="AT1432"/>
      <c r="AU1432"/>
      <c r="AV1432"/>
      <c r="AW1432"/>
      <c r="AX1432"/>
    </row>
    <row r="1433" spans="35:50">
      <c r="AI1433" s="22"/>
      <c r="AJ1433" s="22"/>
      <c r="AK1433" s="22"/>
      <c r="AL1433" s="22"/>
      <c r="AM1433" s="22"/>
      <c r="AN1433" s="22"/>
      <c r="AO1433" s="22"/>
      <c r="AP1433" s="22"/>
      <c r="AQ1433"/>
      <c r="AR1433"/>
      <c r="AS1433"/>
      <c r="AT1433"/>
      <c r="AU1433"/>
      <c r="AV1433"/>
      <c r="AW1433"/>
      <c r="AX1433"/>
    </row>
    <row r="1434" spans="35:50">
      <c r="AI1434" s="22"/>
      <c r="AJ1434" s="22"/>
      <c r="AK1434" s="22"/>
      <c r="AL1434" s="22"/>
      <c r="AM1434" s="22"/>
      <c r="AN1434" s="22"/>
      <c r="AO1434" s="22"/>
      <c r="AP1434" s="22"/>
      <c r="AQ1434"/>
      <c r="AR1434"/>
      <c r="AS1434"/>
      <c r="AT1434"/>
      <c r="AU1434"/>
      <c r="AV1434"/>
      <c r="AW1434"/>
      <c r="AX1434"/>
    </row>
    <row r="1435" spans="35:50">
      <c r="AI1435" s="22"/>
      <c r="AJ1435" s="22"/>
      <c r="AK1435" s="22"/>
      <c r="AL1435" s="22"/>
      <c r="AM1435" s="22"/>
      <c r="AN1435" s="22"/>
      <c r="AO1435" s="22"/>
      <c r="AP1435" s="22"/>
      <c r="AQ1435"/>
      <c r="AR1435"/>
      <c r="AS1435"/>
      <c r="AT1435"/>
      <c r="AU1435"/>
      <c r="AV1435"/>
      <c r="AW1435"/>
      <c r="AX1435"/>
    </row>
    <row r="1436" spans="35:50">
      <c r="AI1436" s="22"/>
      <c r="AJ1436" s="22"/>
      <c r="AK1436" s="22"/>
      <c r="AL1436" s="22"/>
      <c r="AM1436" s="22"/>
      <c r="AN1436" s="22"/>
      <c r="AO1436" s="22"/>
      <c r="AP1436" s="22"/>
      <c r="AQ1436"/>
      <c r="AR1436"/>
      <c r="AS1436"/>
      <c r="AT1436"/>
      <c r="AU1436"/>
      <c r="AV1436"/>
      <c r="AW1436"/>
      <c r="AX1436"/>
    </row>
    <row r="1437" spans="35:50">
      <c r="AI1437" s="22"/>
      <c r="AJ1437" s="22"/>
      <c r="AK1437" s="22"/>
      <c r="AL1437" s="22"/>
      <c r="AM1437" s="22"/>
      <c r="AN1437" s="22"/>
      <c r="AO1437" s="22"/>
      <c r="AP1437" s="22"/>
      <c r="AQ1437"/>
      <c r="AR1437"/>
      <c r="AS1437"/>
      <c r="AT1437"/>
      <c r="AU1437"/>
      <c r="AV1437"/>
      <c r="AW1437"/>
      <c r="AX1437"/>
    </row>
    <row r="1438" spans="35:50">
      <c r="AI1438" s="22"/>
      <c r="AJ1438" s="22"/>
      <c r="AK1438" s="22"/>
      <c r="AL1438" s="22"/>
      <c r="AM1438" s="22"/>
      <c r="AN1438" s="22"/>
      <c r="AO1438" s="22"/>
      <c r="AP1438" s="22"/>
      <c r="AQ1438"/>
      <c r="AR1438"/>
      <c r="AS1438"/>
      <c r="AT1438"/>
      <c r="AU1438"/>
      <c r="AV1438"/>
      <c r="AW1438"/>
      <c r="AX1438"/>
    </row>
    <row r="1439" spans="35:50">
      <c r="AI1439" s="22"/>
      <c r="AJ1439" s="22"/>
      <c r="AK1439" s="22"/>
      <c r="AL1439" s="22"/>
      <c r="AM1439" s="22"/>
      <c r="AN1439" s="22"/>
      <c r="AO1439" s="22"/>
      <c r="AP1439" s="22"/>
      <c r="AQ1439"/>
      <c r="AR1439"/>
      <c r="AS1439"/>
      <c r="AT1439"/>
      <c r="AU1439"/>
      <c r="AV1439"/>
      <c r="AW1439"/>
      <c r="AX1439"/>
    </row>
    <row r="1440" spans="35:50">
      <c r="AI1440" s="22"/>
      <c r="AJ1440" s="22"/>
      <c r="AK1440" s="22"/>
      <c r="AL1440" s="22"/>
      <c r="AM1440" s="22"/>
      <c r="AN1440" s="22"/>
      <c r="AO1440" s="22"/>
      <c r="AP1440" s="22"/>
      <c r="AQ1440"/>
      <c r="AR1440"/>
      <c r="AS1440"/>
      <c r="AT1440"/>
      <c r="AU1440"/>
      <c r="AV1440"/>
      <c r="AW1440"/>
      <c r="AX1440"/>
    </row>
    <row r="1441" spans="35:50">
      <c r="AI1441" s="22"/>
      <c r="AJ1441" s="22"/>
      <c r="AK1441" s="22"/>
      <c r="AL1441" s="22"/>
      <c r="AM1441" s="22"/>
      <c r="AN1441" s="22"/>
      <c r="AO1441" s="22"/>
      <c r="AP1441" s="22"/>
      <c r="AQ1441"/>
      <c r="AR1441"/>
      <c r="AS1441"/>
      <c r="AT1441"/>
      <c r="AU1441"/>
      <c r="AV1441"/>
      <c r="AW1441"/>
      <c r="AX1441"/>
    </row>
    <row r="1442" spans="35:50">
      <c r="AI1442" s="22"/>
      <c r="AJ1442" s="22"/>
      <c r="AK1442" s="22"/>
      <c r="AL1442" s="22"/>
      <c r="AM1442" s="22"/>
      <c r="AN1442" s="22"/>
      <c r="AO1442" s="22"/>
      <c r="AP1442" s="22"/>
      <c r="AQ1442"/>
      <c r="AR1442"/>
      <c r="AS1442"/>
      <c r="AT1442"/>
      <c r="AU1442"/>
      <c r="AV1442"/>
      <c r="AW1442"/>
      <c r="AX1442"/>
    </row>
    <row r="1443" spans="35:50">
      <c r="AI1443" s="22"/>
      <c r="AJ1443" s="22"/>
      <c r="AK1443" s="22"/>
      <c r="AL1443" s="22"/>
      <c r="AM1443" s="22"/>
      <c r="AN1443" s="22"/>
      <c r="AO1443" s="22"/>
      <c r="AP1443" s="22"/>
      <c r="AQ1443"/>
      <c r="AR1443"/>
      <c r="AS1443"/>
      <c r="AT1443"/>
      <c r="AU1443"/>
      <c r="AV1443"/>
      <c r="AW1443"/>
      <c r="AX1443"/>
    </row>
    <row r="1444" spans="35:50">
      <c r="AI1444" s="22"/>
      <c r="AJ1444" s="22"/>
      <c r="AK1444" s="22"/>
      <c r="AL1444" s="22"/>
      <c r="AM1444" s="22"/>
      <c r="AN1444" s="22"/>
      <c r="AO1444" s="22"/>
      <c r="AP1444" s="22"/>
      <c r="AQ1444"/>
      <c r="AR1444"/>
      <c r="AS1444"/>
      <c r="AT1444"/>
      <c r="AU1444"/>
      <c r="AV1444"/>
      <c r="AW1444"/>
      <c r="AX1444"/>
    </row>
    <row r="1445" spans="35:50">
      <c r="AI1445" s="22"/>
      <c r="AJ1445" s="22"/>
      <c r="AK1445" s="22"/>
      <c r="AL1445" s="22"/>
      <c r="AM1445" s="22"/>
      <c r="AN1445" s="22"/>
      <c r="AO1445" s="22"/>
      <c r="AP1445" s="22"/>
      <c r="AQ1445"/>
      <c r="AR1445"/>
      <c r="AS1445"/>
      <c r="AT1445"/>
      <c r="AU1445"/>
      <c r="AV1445"/>
      <c r="AW1445"/>
      <c r="AX1445"/>
    </row>
    <row r="1446" spans="35:50">
      <c r="AI1446" s="22"/>
      <c r="AJ1446" s="22"/>
      <c r="AK1446" s="22"/>
      <c r="AL1446" s="22"/>
      <c r="AM1446" s="22"/>
      <c r="AN1446" s="22"/>
      <c r="AO1446" s="22"/>
      <c r="AP1446" s="22"/>
      <c r="AQ1446"/>
      <c r="AR1446"/>
      <c r="AS1446"/>
      <c r="AT1446"/>
      <c r="AU1446"/>
      <c r="AV1446"/>
      <c r="AW1446"/>
      <c r="AX1446"/>
    </row>
    <row r="1447" spans="35:50">
      <c r="AI1447" s="22"/>
      <c r="AJ1447" s="22"/>
      <c r="AK1447" s="22"/>
      <c r="AL1447" s="22"/>
      <c r="AM1447" s="22"/>
      <c r="AN1447" s="22"/>
      <c r="AO1447" s="22"/>
      <c r="AP1447" s="22"/>
      <c r="AQ1447"/>
      <c r="AR1447"/>
      <c r="AS1447"/>
      <c r="AT1447"/>
      <c r="AU1447"/>
      <c r="AV1447"/>
      <c r="AW1447"/>
      <c r="AX1447"/>
    </row>
    <row r="1448" spans="35:50">
      <c r="AI1448" s="22"/>
      <c r="AJ1448" s="22"/>
      <c r="AK1448" s="22"/>
      <c r="AL1448" s="22"/>
      <c r="AM1448" s="22"/>
      <c r="AN1448" s="22"/>
      <c r="AO1448" s="22"/>
      <c r="AP1448" s="22"/>
      <c r="AQ1448"/>
      <c r="AR1448"/>
      <c r="AS1448"/>
      <c r="AT1448"/>
      <c r="AU1448"/>
      <c r="AV1448"/>
      <c r="AW1448"/>
      <c r="AX1448"/>
    </row>
    <row r="1449" spans="35:50">
      <c r="AI1449" s="22"/>
      <c r="AJ1449" s="22"/>
      <c r="AK1449" s="22"/>
      <c r="AL1449" s="22"/>
      <c r="AM1449" s="22"/>
      <c r="AN1449" s="22"/>
      <c r="AO1449" s="22"/>
      <c r="AP1449" s="22"/>
      <c r="AQ1449"/>
      <c r="AR1449"/>
      <c r="AS1449"/>
      <c r="AT1449"/>
      <c r="AU1449"/>
      <c r="AV1449"/>
      <c r="AW1449"/>
      <c r="AX1449"/>
    </row>
    <row r="1450" spans="35:50">
      <c r="AI1450" s="22"/>
      <c r="AJ1450" s="22"/>
      <c r="AK1450" s="22"/>
      <c r="AL1450" s="22"/>
      <c r="AM1450" s="22"/>
      <c r="AN1450" s="22"/>
      <c r="AO1450" s="22"/>
      <c r="AP1450" s="22"/>
      <c r="AQ1450"/>
      <c r="AR1450"/>
      <c r="AS1450"/>
      <c r="AT1450"/>
      <c r="AU1450"/>
      <c r="AV1450"/>
      <c r="AW1450"/>
      <c r="AX1450"/>
    </row>
    <row r="1451" spans="35:50">
      <c r="AI1451" s="22"/>
      <c r="AJ1451" s="22"/>
      <c r="AK1451" s="22"/>
      <c r="AL1451" s="22"/>
      <c r="AM1451" s="22"/>
      <c r="AN1451" s="22"/>
      <c r="AO1451" s="22"/>
      <c r="AP1451" s="22"/>
      <c r="AQ1451"/>
      <c r="AR1451"/>
      <c r="AS1451"/>
      <c r="AT1451"/>
      <c r="AU1451"/>
      <c r="AV1451"/>
      <c r="AW1451"/>
      <c r="AX1451"/>
    </row>
    <row r="1452" spans="35:50">
      <c r="AI1452" s="22"/>
      <c r="AJ1452" s="22"/>
      <c r="AK1452" s="22"/>
      <c r="AL1452" s="22"/>
      <c r="AM1452" s="22"/>
      <c r="AN1452" s="22"/>
      <c r="AO1452" s="22"/>
      <c r="AP1452" s="22"/>
      <c r="AQ1452"/>
      <c r="AR1452"/>
      <c r="AS1452"/>
      <c r="AT1452"/>
      <c r="AU1452"/>
      <c r="AV1452"/>
      <c r="AW1452"/>
      <c r="AX1452"/>
    </row>
    <row r="1453" spans="35:50">
      <c r="AI1453" s="22"/>
      <c r="AJ1453" s="22"/>
      <c r="AK1453" s="22"/>
      <c r="AL1453" s="22"/>
      <c r="AM1453" s="22"/>
      <c r="AN1453" s="22"/>
      <c r="AO1453" s="22"/>
      <c r="AP1453" s="22"/>
      <c r="AQ1453"/>
      <c r="AR1453"/>
      <c r="AS1453"/>
      <c r="AT1453"/>
      <c r="AU1453"/>
      <c r="AV1453"/>
      <c r="AW1453"/>
      <c r="AX1453"/>
    </row>
    <row r="1454" spans="35:50">
      <c r="AI1454" s="22"/>
      <c r="AJ1454" s="22"/>
      <c r="AK1454" s="22"/>
      <c r="AL1454" s="22"/>
      <c r="AM1454" s="22"/>
      <c r="AN1454" s="22"/>
      <c r="AO1454" s="22"/>
      <c r="AP1454" s="22"/>
      <c r="AQ1454"/>
      <c r="AR1454"/>
      <c r="AS1454"/>
      <c r="AT1454"/>
      <c r="AU1454"/>
      <c r="AV1454"/>
      <c r="AW1454"/>
      <c r="AX1454"/>
    </row>
    <row r="1455" spans="35:50">
      <c r="AI1455" s="22"/>
      <c r="AJ1455" s="22"/>
      <c r="AK1455" s="22"/>
      <c r="AL1455" s="22"/>
      <c r="AM1455" s="22"/>
      <c r="AN1455" s="22"/>
      <c r="AO1455" s="22"/>
      <c r="AP1455" s="22"/>
      <c r="AQ1455"/>
      <c r="AR1455"/>
      <c r="AS1455"/>
      <c r="AT1455"/>
      <c r="AU1455"/>
      <c r="AV1455"/>
      <c r="AW1455"/>
      <c r="AX1455"/>
    </row>
    <row r="1456" spans="35:50">
      <c r="AI1456" s="22"/>
      <c r="AJ1456" s="22"/>
      <c r="AK1456" s="22"/>
      <c r="AL1456" s="22"/>
      <c r="AM1456" s="22"/>
      <c r="AN1456" s="22"/>
      <c r="AO1456" s="22"/>
      <c r="AP1456" s="22"/>
      <c r="AQ1456"/>
      <c r="AR1456"/>
      <c r="AS1456"/>
      <c r="AT1456"/>
      <c r="AU1456"/>
      <c r="AV1456"/>
      <c r="AW1456"/>
      <c r="AX1456"/>
    </row>
    <row r="1457" spans="35:50">
      <c r="AI1457" s="22"/>
      <c r="AJ1457" s="22"/>
      <c r="AK1457" s="22"/>
      <c r="AL1457" s="22"/>
      <c r="AM1457" s="22"/>
      <c r="AN1457" s="22"/>
      <c r="AO1457" s="22"/>
      <c r="AP1457" s="22"/>
      <c r="AQ1457"/>
      <c r="AR1457"/>
      <c r="AS1457"/>
      <c r="AT1457"/>
      <c r="AU1457"/>
      <c r="AV1457"/>
      <c r="AW1457"/>
      <c r="AX1457"/>
    </row>
    <row r="1458" spans="35:50">
      <c r="AI1458" s="22"/>
      <c r="AJ1458" s="22"/>
      <c r="AK1458" s="22"/>
      <c r="AL1458" s="22"/>
      <c r="AM1458" s="22"/>
      <c r="AN1458" s="22"/>
      <c r="AO1458" s="22"/>
      <c r="AP1458" s="22"/>
      <c r="AQ1458"/>
      <c r="AR1458"/>
      <c r="AS1458"/>
      <c r="AT1458"/>
      <c r="AU1458"/>
      <c r="AV1458"/>
      <c r="AW1458"/>
      <c r="AX1458"/>
    </row>
    <row r="1459" spans="35:50">
      <c r="AI1459" s="22"/>
      <c r="AJ1459" s="22"/>
      <c r="AK1459" s="22"/>
      <c r="AL1459" s="22"/>
      <c r="AM1459" s="22"/>
      <c r="AN1459" s="22"/>
      <c r="AO1459" s="22"/>
      <c r="AP1459" s="22"/>
      <c r="AQ1459"/>
      <c r="AR1459"/>
      <c r="AS1459"/>
      <c r="AT1459"/>
      <c r="AU1459"/>
      <c r="AV1459"/>
      <c r="AW1459"/>
      <c r="AX1459"/>
    </row>
    <row r="1460" spans="35:50">
      <c r="AI1460" s="22"/>
      <c r="AJ1460" s="22"/>
      <c r="AK1460" s="22"/>
      <c r="AL1460" s="22"/>
      <c r="AM1460" s="22"/>
      <c r="AN1460" s="22"/>
      <c r="AO1460" s="22"/>
      <c r="AP1460" s="22"/>
      <c r="AQ1460"/>
      <c r="AR1460"/>
      <c r="AS1460"/>
      <c r="AT1460"/>
      <c r="AU1460"/>
      <c r="AV1460"/>
      <c r="AW1460"/>
      <c r="AX1460"/>
    </row>
    <row r="1461" spans="35:50">
      <c r="AI1461" s="22"/>
      <c r="AJ1461" s="22"/>
      <c r="AK1461" s="22"/>
      <c r="AL1461" s="22"/>
      <c r="AM1461" s="22"/>
      <c r="AN1461" s="22"/>
      <c r="AO1461" s="22"/>
      <c r="AP1461" s="22"/>
      <c r="AQ1461"/>
      <c r="AR1461"/>
      <c r="AS1461"/>
      <c r="AT1461"/>
      <c r="AU1461"/>
      <c r="AV1461"/>
      <c r="AW1461"/>
      <c r="AX1461"/>
    </row>
    <row r="1462" spans="35:50">
      <c r="AI1462" s="22"/>
      <c r="AJ1462" s="22"/>
      <c r="AK1462" s="22"/>
      <c r="AL1462" s="22"/>
      <c r="AM1462" s="22"/>
      <c r="AN1462" s="22"/>
      <c r="AO1462" s="22"/>
      <c r="AP1462" s="22"/>
      <c r="AQ1462"/>
      <c r="AR1462"/>
      <c r="AS1462"/>
      <c r="AT1462"/>
      <c r="AU1462"/>
      <c r="AV1462"/>
      <c r="AW1462"/>
      <c r="AX1462"/>
    </row>
    <row r="1463" spans="35:50">
      <c r="AI1463" s="22"/>
      <c r="AJ1463" s="22"/>
      <c r="AK1463" s="22"/>
      <c r="AL1463" s="22"/>
      <c r="AM1463" s="22"/>
      <c r="AN1463" s="22"/>
      <c r="AO1463" s="22"/>
      <c r="AP1463" s="22"/>
      <c r="AQ1463"/>
      <c r="AR1463"/>
      <c r="AS1463"/>
      <c r="AT1463"/>
      <c r="AU1463"/>
      <c r="AV1463"/>
      <c r="AW1463"/>
      <c r="AX1463"/>
    </row>
    <row r="1464" spans="35:50">
      <c r="AI1464" s="22"/>
      <c r="AJ1464" s="22"/>
      <c r="AK1464" s="22"/>
      <c r="AL1464" s="22"/>
      <c r="AM1464" s="22"/>
      <c r="AN1464" s="22"/>
      <c r="AO1464" s="22"/>
      <c r="AP1464" s="22"/>
      <c r="AQ1464"/>
      <c r="AR1464"/>
      <c r="AS1464"/>
      <c r="AT1464"/>
      <c r="AU1464"/>
      <c r="AV1464"/>
      <c r="AW1464"/>
      <c r="AX1464"/>
    </row>
    <row r="1465" spans="35:50">
      <c r="AI1465" s="22"/>
      <c r="AJ1465" s="22"/>
      <c r="AK1465" s="22"/>
      <c r="AL1465" s="22"/>
      <c r="AM1465" s="22"/>
      <c r="AN1465" s="22"/>
      <c r="AO1465" s="22"/>
      <c r="AP1465" s="22"/>
      <c r="AQ1465"/>
      <c r="AR1465"/>
      <c r="AS1465"/>
      <c r="AT1465"/>
      <c r="AU1465"/>
      <c r="AV1465"/>
      <c r="AW1465"/>
      <c r="AX1465"/>
    </row>
    <row r="1466" spans="35:50">
      <c r="AI1466" s="22"/>
      <c r="AJ1466" s="22"/>
      <c r="AK1466" s="22"/>
      <c r="AL1466" s="22"/>
      <c r="AM1466" s="22"/>
      <c r="AN1466" s="22"/>
      <c r="AO1466" s="22"/>
      <c r="AP1466" s="22"/>
      <c r="AQ1466"/>
      <c r="AR1466"/>
      <c r="AS1466"/>
      <c r="AT1466"/>
      <c r="AU1466"/>
      <c r="AV1466"/>
      <c r="AW1466"/>
      <c r="AX1466"/>
    </row>
    <row r="1467" spans="35:50">
      <c r="AI1467" s="22"/>
      <c r="AJ1467" s="22"/>
      <c r="AK1467" s="22"/>
      <c r="AL1467" s="22"/>
      <c r="AM1467" s="22"/>
      <c r="AN1467" s="22"/>
      <c r="AO1467" s="22"/>
      <c r="AP1467" s="22"/>
      <c r="AQ1467"/>
      <c r="AR1467"/>
      <c r="AS1467"/>
      <c r="AT1467"/>
      <c r="AU1467"/>
      <c r="AV1467"/>
      <c r="AW1467"/>
      <c r="AX1467"/>
    </row>
    <row r="1468" spans="35:50">
      <c r="AI1468" s="22"/>
      <c r="AJ1468" s="22"/>
      <c r="AK1468" s="22"/>
      <c r="AL1468" s="22"/>
      <c r="AM1468" s="22"/>
      <c r="AN1468" s="22"/>
      <c r="AO1468" s="22"/>
      <c r="AP1468" s="22"/>
      <c r="AQ1468"/>
      <c r="AR1468"/>
      <c r="AS1468"/>
      <c r="AT1468"/>
      <c r="AU1468"/>
      <c r="AV1468"/>
      <c r="AW1468"/>
      <c r="AX1468"/>
    </row>
    <row r="1469" spans="35:50">
      <c r="AI1469" s="22"/>
      <c r="AJ1469" s="22"/>
      <c r="AK1469" s="22"/>
      <c r="AL1469" s="22"/>
      <c r="AM1469" s="22"/>
      <c r="AN1469" s="22"/>
      <c r="AO1469" s="22"/>
      <c r="AP1469" s="22"/>
      <c r="AQ1469"/>
      <c r="AR1469"/>
      <c r="AS1469"/>
      <c r="AT1469"/>
      <c r="AU1469"/>
      <c r="AV1469"/>
      <c r="AW1469"/>
      <c r="AX1469"/>
    </row>
    <row r="1470" spans="35:50">
      <c r="AI1470" s="22"/>
      <c r="AJ1470" s="22"/>
      <c r="AK1470" s="22"/>
      <c r="AL1470" s="22"/>
      <c r="AM1470" s="22"/>
      <c r="AN1470" s="22"/>
      <c r="AO1470" s="22"/>
      <c r="AP1470" s="22"/>
      <c r="AQ1470"/>
      <c r="AR1470"/>
      <c r="AS1470"/>
      <c r="AT1470"/>
      <c r="AU1470"/>
      <c r="AV1470"/>
      <c r="AW1470"/>
      <c r="AX1470"/>
    </row>
    <row r="1471" spans="35:50">
      <c r="AI1471" s="22"/>
      <c r="AJ1471" s="22"/>
      <c r="AK1471" s="22"/>
      <c r="AL1471" s="22"/>
      <c r="AM1471" s="22"/>
      <c r="AN1471" s="22"/>
      <c r="AO1471" s="22"/>
      <c r="AP1471" s="22"/>
      <c r="AQ1471"/>
      <c r="AR1471"/>
      <c r="AS1471"/>
      <c r="AT1471"/>
      <c r="AU1471"/>
      <c r="AV1471"/>
      <c r="AW1471"/>
      <c r="AX1471"/>
    </row>
    <row r="1472" spans="35:50">
      <c r="AI1472" s="22"/>
      <c r="AJ1472" s="22"/>
      <c r="AK1472" s="22"/>
      <c r="AL1472" s="22"/>
      <c r="AM1472" s="22"/>
      <c r="AN1472" s="22"/>
      <c r="AO1472" s="22"/>
      <c r="AP1472" s="22"/>
      <c r="AQ1472"/>
      <c r="AR1472"/>
      <c r="AS1472"/>
      <c r="AT1472"/>
      <c r="AU1472"/>
      <c r="AV1472"/>
      <c r="AW1472"/>
      <c r="AX1472"/>
    </row>
    <row r="1473" spans="35:50">
      <c r="AI1473" s="22"/>
      <c r="AJ1473" s="22"/>
      <c r="AK1473" s="22"/>
      <c r="AL1473" s="22"/>
      <c r="AM1473" s="22"/>
      <c r="AN1473" s="22"/>
      <c r="AO1473" s="22"/>
      <c r="AP1473" s="22"/>
      <c r="AQ1473"/>
      <c r="AR1473"/>
      <c r="AS1473"/>
      <c r="AT1473"/>
      <c r="AU1473"/>
      <c r="AV1473"/>
      <c r="AW1473"/>
      <c r="AX1473"/>
    </row>
    <row r="1474" spans="35:50">
      <c r="AI1474" s="22"/>
      <c r="AJ1474" s="22"/>
      <c r="AK1474" s="22"/>
      <c r="AL1474" s="22"/>
      <c r="AM1474" s="22"/>
      <c r="AN1474" s="22"/>
      <c r="AO1474" s="22"/>
      <c r="AP1474" s="22"/>
      <c r="AQ1474"/>
      <c r="AR1474"/>
      <c r="AS1474"/>
      <c r="AT1474"/>
      <c r="AU1474"/>
      <c r="AV1474"/>
      <c r="AW1474"/>
      <c r="AX1474"/>
    </row>
    <row r="1475" spans="35:50">
      <c r="AI1475" s="22"/>
      <c r="AJ1475" s="22"/>
      <c r="AK1475" s="22"/>
      <c r="AL1475" s="22"/>
      <c r="AM1475" s="22"/>
      <c r="AN1475" s="22"/>
      <c r="AO1475" s="22"/>
      <c r="AP1475" s="22"/>
      <c r="AQ1475"/>
      <c r="AR1475"/>
      <c r="AS1475"/>
      <c r="AT1475"/>
      <c r="AU1475"/>
      <c r="AV1475"/>
      <c r="AW1475"/>
      <c r="AX1475"/>
    </row>
    <row r="1476" spans="35:50">
      <c r="AI1476" s="22"/>
      <c r="AJ1476" s="22"/>
      <c r="AK1476" s="22"/>
      <c r="AL1476" s="22"/>
      <c r="AM1476" s="22"/>
      <c r="AN1476" s="22"/>
      <c r="AO1476" s="22"/>
      <c r="AP1476" s="22"/>
      <c r="AQ1476"/>
      <c r="AR1476"/>
      <c r="AS1476"/>
      <c r="AT1476"/>
      <c r="AU1476"/>
      <c r="AV1476"/>
      <c r="AW1476"/>
      <c r="AX1476"/>
    </row>
    <row r="1477" spans="35:50">
      <c r="AI1477" s="22"/>
      <c r="AJ1477" s="22"/>
      <c r="AK1477" s="22"/>
      <c r="AL1477" s="22"/>
      <c r="AM1477" s="22"/>
      <c r="AN1477" s="22"/>
      <c r="AO1477" s="22"/>
      <c r="AP1477" s="22"/>
      <c r="AQ1477"/>
      <c r="AR1477"/>
      <c r="AS1477"/>
      <c r="AT1477"/>
      <c r="AU1477"/>
      <c r="AV1477"/>
      <c r="AW1477"/>
      <c r="AX1477"/>
    </row>
    <row r="1478" spans="35:50">
      <c r="AI1478" s="22"/>
      <c r="AJ1478" s="22"/>
      <c r="AK1478" s="22"/>
      <c r="AL1478" s="22"/>
      <c r="AM1478" s="22"/>
      <c r="AN1478" s="22"/>
      <c r="AO1478" s="22"/>
      <c r="AP1478" s="22"/>
      <c r="AQ1478"/>
      <c r="AR1478"/>
      <c r="AS1478"/>
      <c r="AT1478"/>
      <c r="AU1478"/>
      <c r="AV1478"/>
      <c r="AW1478"/>
      <c r="AX1478"/>
    </row>
    <row r="1479" spans="35:50">
      <c r="AI1479" s="22"/>
      <c r="AJ1479" s="22"/>
      <c r="AK1479" s="22"/>
      <c r="AL1479" s="22"/>
      <c r="AM1479" s="22"/>
      <c r="AN1479" s="22"/>
      <c r="AO1479" s="22"/>
      <c r="AP1479" s="22"/>
      <c r="AQ1479"/>
      <c r="AR1479"/>
      <c r="AS1479"/>
      <c r="AT1479"/>
      <c r="AU1479"/>
      <c r="AV1479"/>
      <c r="AW1479"/>
      <c r="AX1479"/>
    </row>
    <row r="1480" spans="35:50">
      <c r="AI1480" s="22"/>
      <c r="AJ1480" s="22"/>
      <c r="AK1480" s="22"/>
      <c r="AL1480" s="22"/>
      <c r="AM1480" s="22"/>
      <c r="AN1480" s="22"/>
      <c r="AO1480" s="22"/>
      <c r="AP1480" s="22"/>
      <c r="AQ1480"/>
      <c r="AR1480"/>
      <c r="AS1480"/>
      <c r="AT1480"/>
      <c r="AU1480"/>
      <c r="AV1480"/>
      <c r="AW1480"/>
      <c r="AX1480"/>
    </row>
    <row r="1481" spans="35:50">
      <c r="AI1481" s="22"/>
      <c r="AJ1481" s="22"/>
      <c r="AK1481" s="22"/>
      <c r="AL1481" s="22"/>
      <c r="AM1481" s="22"/>
      <c r="AN1481" s="22"/>
      <c r="AO1481" s="22"/>
      <c r="AP1481" s="22"/>
      <c r="AQ1481"/>
      <c r="AR1481"/>
      <c r="AS1481"/>
      <c r="AT1481"/>
      <c r="AU1481"/>
      <c r="AV1481"/>
      <c r="AW1481"/>
      <c r="AX1481"/>
    </row>
    <row r="1482" spans="35:50">
      <c r="AI1482" s="22"/>
      <c r="AJ1482" s="22"/>
      <c r="AK1482" s="22"/>
      <c r="AL1482" s="22"/>
      <c r="AM1482" s="22"/>
      <c r="AN1482" s="22"/>
      <c r="AO1482" s="22"/>
      <c r="AP1482" s="22"/>
      <c r="AQ1482"/>
      <c r="AR1482"/>
      <c r="AS1482"/>
      <c r="AT1482"/>
      <c r="AU1482"/>
      <c r="AV1482"/>
      <c r="AW1482"/>
      <c r="AX1482"/>
    </row>
    <row r="1483" spans="35:50">
      <c r="AI1483" s="22"/>
      <c r="AJ1483" s="22"/>
      <c r="AK1483" s="22"/>
      <c r="AL1483" s="22"/>
      <c r="AM1483" s="22"/>
      <c r="AN1483" s="22"/>
      <c r="AO1483" s="22"/>
      <c r="AP1483" s="22"/>
      <c r="AQ1483"/>
      <c r="AR1483"/>
      <c r="AS1483"/>
      <c r="AT1483"/>
      <c r="AU1483"/>
      <c r="AV1483"/>
      <c r="AW1483"/>
      <c r="AX1483"/>
    </row>
    <row r="1484" spans="35:50">
      <c r="AI1484" s="22"/>
      <c r="AJ1484" s="22"/>
      <c r="AK1484" s="22"/>
      <c r="AL1484" s="22"/>
      <c r="AM1484" s="22"/>
      <c r="AN1484" s="22"/>
      <c r="AO1484" s="22"/>
      <c r="AP1484" s="22"/>
      <c r="AQ1484"/>
      <c r="AR1484"/>
      <c r="AS1484"/>
      <c r="AT1484"/>
      <c r="AU1484"/>
      <c r="AV1484"/>
      <c r="AW1484"/>
      <c r="AX1484"/>
    </row>
    <row r="1485" spans="35:50">
      <c r="AI1485" s="22"/>
      <c r="AJ1485" s="22"/>
      <c r="AK1485" s="22"/>
      <c r="AL1485" s="22"/>
      <c r="AM1485" s="22"/>
      <c r="AN1485" s="22"/>
      <c r="AO1485" s="22"/>
      <c r="AP1485" s="22"/>
      <c r="AQ1485"/>
      <c r="AR1485"/>
      <c r="AS1485"/>
      <c r="AT1485"/>
      <c r="AU1485"/>
      <c r="AV1485"/>
      <c r="AW1485"/>
      <c r="AX1485"/>
    </row>
    <row r="1486" spans="35:50">
      <c r="AI1486" s="22"/>
      <c r="AJ1486" s="22"/>
      <c r="AK1486" s="22"/>
      <c r="AL1486" s="22"/>
      <c r="AM1486" s="22"/>
      <c r="AN1486" s="22"/>
      <c r="AO1486" s="22"/>
      <c r="AP1486" s="22"/>
      <c r="AQ1486"/>
      <c r="AR1486"/>
      <c r="AS1486"/>
      <c r="AT1486"/>
      <c r="AU1486"/>
      <c r="AV1486"/>
      <c r="AW1486"/>
      <c r="AX1486"/>
    </row>
    <row r="1487" spans="35:50">
      <c r="AI1487" s="22"/>
      <c r="AJ1487" s="22"/>
      <c r="AK1487" s="22"/>
      <c r="AL1487" s="22"/>
      <c r="AM1487" s="22"/>
      <c r="AN1487" s="22"/>
      <c r="AO1487" s="22"/>
      <c r="AP1487" s="22"/>
      <c r="AQ1487"/>
      <c r="AR1487"/>
      <c r="AS1487"/>
      <c r="AT1487"/>
      <c r="AU1487"/>
      <c r="AV1487"/>
      <c r="AW1487"/>
      <c r="AX1487"/>
    </row>
    <row r="1488" spans="35:50">
      <c r="AI1488" s="22"/>
      <c r="AJ1488" s="22"/>
      <c r="AK1488" s="22"/>
      <c r="AL1488" s="22"/>
      <c r="AM1488" s="22"/>
      <c r="AN1488" s="22"/>
      <c r="AO1488" s="22"/>
      <c r="AP1488" s="22"/>
      <c r="AQ1488"/>
      <c r="AR1488"/>
      <c r="AS1488"/>
      <c r="AT1488"/>
      <c r="AU1488"/>
      <c r="AV1488"/>
      <c r="AW1488"/>
      <c r="AX1488"/>
    </row>
    <row r="1489" spans="35:50">
      <c r="AI1489" s="22"/>
      <c r="AJ1489" s="22"/>
      <c r="AK1489" s="22"/>
      <c r="AL1489" s="22"/>
      <c r="AM1489" s="22"/>
      <c r="AN1489" s="22"/>
      <c r="AO1489" s="22"/>
      <c r="AP1489" s="22"/>
      <c r="AQ1489"/>
      <c r="AR1489"/>
      <c r="AS1489"/>
      <c r="AT1489"/>
      <c r="AU1489"/>
      <c r="AV1489"/>
      <c r="AW1489"/>
      <c r="AX1489"/>
    </row>
    <row r="1490" spans="35:50">
      <c r="AI1490" s="22"/>
      <c r="AJ1490" s="22"/>
      <c r="AK1490" s="22"/>
      <c r="AL1490" s="22"/>
      <c r="AM1490" s="22"/>
      <c r="AN1490" s="22"/>
      <c r="AO1490" s="22"/>
      <c r="AP1490" s="22"/>
      <c r="AQ1490"/>
      <c r="AR1490"/>
      <c r="AS1490"/>
      <c r="AT1490"/>
      <c r="AU1490"/>
      <c r="AV1490"/>
      <c r="AW1490"/>
      <c r="AX1490"/>
    </row>
    <row r="1491" spans="35:50">
      <c r="AI1491" s="22"/>
      <c r="AJ1491" s="22"/>
      <c r="AK1491" s="22"/>
      <c r="AL1491" s="22"/>
      <c r="AM1491" s="22"/>
      <c r="AN1491" s="22"/>
      <c r="AO1491" s="22"/>
      <c r="AP1491" s="22"/>
      <c r="AQ1491"/>
      <c r="AR1491"/>
      <c r="AS1491"/>
      <c r="AT1491"/>
      <c r="AU1491"/>
      <c r="AV1491"/>
      <c r="AW1491"/>
      <c r="AX1491"/>
    </row>
    <row r="1492" spans="35:50">
      <c r="AI1492" s="22"/>
      <c r="AJ1492" s="22"/>
      <c r="AK1492" s="22"/>
      <c r="AL1492" s="22"/>
      <c r="AM1492" s="22"/>
      <c r="AN1492" s="22"/>
      <c r="AO1492" s="22"/>
      <c r="AP1492" s="22"/>
      <c r="AQ1492"/>
      <c r="AR1492"/>
      <c r="AS1492"/>
      <c r="AT1492"/>
      <c r="AU1492"/>
      <c r="AV1492"/>
      <c r="AW1492"/>
      <c r="AX1492"/>
    </row>
    <row r="1493" spans="35:50">
      <c r="AI1493" s="22"/>
      <c r="AJ1493" s="22"/>
      <c r="AK1493" s="22"/>
      <c r="AL1493" s="22"/>
      <c r="AM1493" s="22"/>
      <c r="AN1493" s="22"/>
      <c r="AO1493" s="22"/>
      <c r="AP1493" s="22"/>
      <c r="AQ1493"/>
      <c r="AR1493"/>
      <c r="AS1493"/>
      <c r="AT1493"/>
      <c r="AU1493"/>
      <c r="AV1493"/>
      <c r="AW1493"/>
      <c r="AX1493"/>
    </row>
    <row r="1494" spans="35:50">
      <c r="AI1494" s="22"/>
      <c r="AJ1494" s="22"/>
      <c r="AK1494" s="22"/>
      <c r="AL1494" s="22"/>
      <c r="AM1494" s="22"/>
      <c r="AN1494" s="22"/>
      <c r="AO1494" s="22"/>
      <c r="AP1494" s="22"/>
      <c r="AQ1494"/>
      <c r="AR1494"/>
      <c r="AS1494"/>
      <c r="AT1494"/>
      <c r="AU1494"/>
      <c r="AV1494"/>
      <c r="AW1494"/>
      <c r="AX1494"/>
    </row>
    <row r="1495" spans="35:50">
      <c r="AI1495" s="22"/>
      <c r="AJ1495" s="22"/>
      <c r="AK1495" s="22"/>
      <c r="AL1495" s="22"/>
      <c r="AM1495" s="22"/>
      <c r="AN1495" s="22"/>
      <c r="AO1495" s="22"/>
      <c r="AP1495" s="22"/>
      <c r="AQ1495"/>
      <c r="AR1495"/>
      <c r="AS1495"/>
      <c r="AT1495"/>
      <c r="AU1495"/>
      <c r="AV1495"/>
      <c r="AW1495"/>
      <c r="AX1495"/>
    </row>
    <row r="1496" spans="35:50">
      <c r="AI1496" s="22"/>
      <c r="AJ1496" s="22"/>
      <c r="AK1496" s="22"/>
      <c r="AL1496" s="22"/>
      <c r="AM1496" s="22"/>
      <c r="AN1496" s="22"/>
      <c r="AO1496" s="22"/>
      <c r="AP1496" s="22"/>
      <c r="AQ1496"/>
      <c r="AR1496"/>
      <c r="AS1496"/>
      <c r="AT1496"/>
      <c r="AU1496"/>
      <c r="AV1496"/>
      <c r="AW1496"/>
      <c r="AX1496"/>
    </row>
    <row r="1497" spans="35:50">
      <c r="AI1497" s="22"/>
      <c r="AJ1497" s="22"/>
      <c r="AK1497" s="22"/>
      <c r="AL1497" s="22"/>
      <c r="AM1497" s="22"/>
      <c r="AN1497" s="22"/>
      <c r="AO1497" s="22"/>
      <c r="AP1497" s="22"/>
      <c r="AQ1497"/>
      <c r="AR1497"/>
      <c r="AS1497"/>
      <c r="AT1497"/>
      <c r="AU1497"/>
      <c r="AV1497"/>
      <c r="AW1497"/>
      <c r="AX1497"/>
    </row>
    <row r="1498" spans="35:50">
      <c r="AI1498" s="22"/>
      <c r="AJ1498" s="22"/>
      <c r="AK1498" s="22"/>
      <c r="AL1498" s="22"/>
      <c r="AM1498" s="22"/>
      <c r="AN1498" s="22"/>
      <c r="AO1498" s="22"/>
      <c r="AP1498" s="22"/>
      <c r="AQ1498"/>
      <c r="AR1498"/>
      <c r="AS1498"/>
      <c r="AT1498"/>
      <c r="AU1498"/>
      <c r="AV1498"/>
      <c r="AW1498"/>
      <c r="AX1498"/>
    </row>
    <row r="1499" spans="35:50">
      <c r="AI1499" s="22"/>
      <c r="AJ1499" s="22"/>
      <c r="AK1499" s="22"/>
      <c r="AL1499" s="22"/>
      <c r="AM1499" s="22"/>
      <c r="AN1499" s="22"/>
      <c r="AO1499" s="22"/>
      <c r="AP1499" s="22"/>
      <c r="AQ1499"/>
      <c r="AR1499"/>
      <c r="AS1499"/>
      <c r="AT1499"/>
      <c r="AU1499"/>
      <c r="AV1499"/>
      <c r="AW1499"/>
      <c r="AX1499"/>
    </row>
    <row r="1500" spans="35:50">
      <c r="AI1500" s="22"/>
      <c r="AJ1500" s="22"/>
      <c r="AK1500" s="22"/>
      <c r="AL1500" s="22"/>
      <c r="AM1500" s="22"/>
      <c r="AN1500" s="22"/>
      <c r="AO1500" s="22"/>
      <c r="AP1500" s="22"/>
      <c r="AQ1500"/>
      <c r="AR1500"/>
      <c r="AS1500"/>
      <c r="AT1500"/>
      <c r="AU1500"/>
      <c r="AV1500"/>
      <c r="AW1500"/>
      <c r="AX1500"/>
    </row>
    <row r="1501" spans="35:50">
      <c r="AI1501" s="22"/>
      <c r="AJ1501" s="22"/>
      <c r="AK1501" s="22"/>
      <c r="AL1501" s="22"/>
      <c r="AM1501" s="22"/>
      <c r="AN1501" s="22"/>
      <c r="AO1501" s="22"/>
      <c r="AP1501" s="22"/>
      <c r="AQ1501"/>
      <c r="AR1501"/>
      <c r="AS1501"/>
      <c r="AT1501"/>
      <c r="AU1501"/>
      <c r="AV1501"/>
      <c r="AW1501"/>
      <c r="AX1501"/>
    </row>
    <row r="1502" spans="35:50">
      <c r="AI1502" s="22"/>
      <c r="AJ1502" s="22"/>
      <c r="AK1502" s="22"/>
      <c r="AL1502" s="22"/>
      <c r="AM1502" s="22"/>
      <c r="AN1502" s="22"/>
      <c r="AO1502" s="22"/>
      <c r="AP1502" s="22"/>
      <c r="AQ1502"/>
      <c r="AR1502"/>
      <c r="AS1502"/>
      <c r="AT1502"/>
      <c r="AU1502"/>
      <c r="AV1502"/>
      <c r="AW1502"/>
      <c r="AX1502"/>
    </row>
    <row r="1503" spans="35:50">
      <c r="AI1503" s="22"/>
      <c r="AJ1503" s="22"/>
      <c r="AK1503" s="22"/>
      <c r="AL1503" s="22"/>
      <c r="AM1503" s="22"/>
      <c r="AN1503" s="22"/>
      <c r="AO1503" s="22"/>
      <c r="AP1503" s="22"/>
      <c r="AQ1503"/>
      <c r="AR1503"/>
      <c r="AS1503"/>
      <c r="AT1503"/>
      <c r="AU1503"/>
      <c r="AV1503"/>
      <c r="AW1503"/>
      <c r="AX1503"/>
    </row>
    <row r="1504" spans="35:50">
      <c r="AI1504" s="22"/>
      <c r="AJ1504" s="22"/>
      <c r="AK1504" s="22"/>
      <c r="AL1504" s="22"/>
      <c r="AM1504" s="22"/>
      <c r="AN1504" s="22"/>
      <c r="AO1504" s="22"/>
      <c r="AP1504" s="22"/>
      <c r="AQ1504"/>
      <c r="AR1504"/>
      <c r="AS1504"/>
      <c r="AT1504"/>
      <c r="AU1504"/>
      <c r="AV1504"/>
      <c r="AW1504"/>
      <c r="AX1504"/>
    </row>
    <row r="1505" spans="35:50">
      <c r="AI1505" s="22"/>
      <c r="AJ1505" s="22"/>
      <c r="AK1505" s="22"/>
      <c r="AL1505" s="22"/>
      <c r="AM1505" s="22"/>
      <c r="AN1505" s="22"/>
      <c r="AO1505" s="22"/>
      <c r="AP1505" s="22"/>
      <c r="AQ1505"/>
      <c r="AR1505"/>
      <c r="AS1505"/>
      <c r="AT1505"/>
      <c r="AU1505"/>
      <c r="AV1505"/>
      <c r="AW1505"/>
      <c r="AX1505"/>
    </row>
    <row r="1506" spans="35:50">
      <c r="AI1506" s="22"/>
      <c r="AJ1506" s="22"/>
      <c r="AK1506" s="22"/>
      <c r="AL1506" s="22"/>
      <c r="AM1506" s="22"/>
      <c r="AN1506" s="22"/>
      <c r="AO1506" s="22"/>
      <c r="AP1506" s="22"/>
      <c r="AQ1506"/>
      <c r="AR1506"/>
      <c r="AS1506"/>
      <c r="AT1506"/>
      <c r="AU1506"/>
      <c r="AV1506"/>
      <c r="AW1506"/>
      <c r="AX1506"/>
    </row>
    <row r="1507" spans="35:50">
      <c r="AI1507" s="22"/>
      <c r="AJ1507" s="22"/>
      <c r="AK1507" s="22"/>
      <c r="AL1507" s="22"/>
      <c r="AM1507" s="22"/>
      <c r="AN1507" s="22"/>
      <c r="AO1507" s="22"/>
      <c r="AP1507" s="22"/>
      <c r="AQ1507"/>
      <c r="AR1507"/>
      <c r="AS1507"/>
      <c r="AT1507"/>
      <c r="AU1507"/>
      <c r="AV1507"/>
      <c r="AW1507"/>
      <c r="AX1507"/>
    </row>
    <row r="1508" spans="35:50">
      <c r="AI1508" s="22"/>
      <c r="AJ1508" s="22"/>
      <c r="AK1508" s="22"/>
      <c r="AL1508" s="22"/>
      <c r="AM1508" s="22"/>
      <c r="AN1508" s="22"/>
      <c r="AO1508" s="22"/>
      <c r="AP1508" s="22"/>
      <c r="AQ1508"/>
      <c r="AR1508"/>
      <c r="AS1508"/>
      <c r="AT1508"/>
      <c r="AU1508"/>
      <c r="AV1508"/>
      <c r="AW1508"/>
      <c r="AX1508"/>
    </row>
    <row r="1509" spans="35:50">
      <c r="AI1509" s="22"/>
      <c r="AJ1509" s="22"/>
      <c r="AK1509" s="22"/>
      <c r="AL1509" s="22"/>
      <c r="AM1509" s="22"/>
      <c r="AN1509" s="22"/>
      <c r="AO1509" s="22"/>
      <c r="AP1509" s="22"/>
      <c r="AQ1509"/>
      <c r="AR1509"/>
      <c r="AS1509"/>
      <c r="AT1509"/>
      <c r="AU1509"/>
      <c r="AV1509"/>
      <c r="AW1509"/>
      <c r="AX1509"/>
    </row>
    <row r="1510" spans="35:50">
      <c r="AI1510" s="22"/>
      <c r="AJ1510" s="22"/>
      <c r="AK1510" s="22"/>
      <c r="AL1510" s="22"/>
      <c r="AM1510" s="22"/>
      <c r="AN1510" s="22"/>
      <c r="AO1510" s="22"/>
      <c r="AP1510" s="22"/>
      <c r="AQ1510"/>
      <c r="AR1510"/>
      <c r="AS1510"/>
      <c r="AT1510"/>
      <c r="AU1510"/>
      <c r="AV1510"/>
      <c r="AW1510"/>
      <c r="AX1510"/>
    </row>
    <row r="1511" spans="35:50">
      <c r="AI1511" s="22"/>
      <c r="AJ1511" s="22"/>
      <c r="AK1511" s="22"/>
      <c r="AL1511" s="22"/>
      <c r="AM1511" s="22"/>
      <c r="AN1511" s="22"/>
      <c r="AO1511" s="22"/>
      <c r="AP1511" s="22"/>
      <c r="AQ1511"/>
      <c r="AR1511"/>
      <c r="AS1511"/>
      <c r="AT1511"/>
      <c r="AU1511"/>
      <c r="AV1511"/>
      <c r="AW1511"/>
      <c r="AX1511"/>
    </row>
    <row r="1512" spans="35:50">
      <c r="AI1512" s="22"/>
      <c r="AJ1512" s="22"/>
      <c r="AK1512" s="22"/>
      <c r="AL1512" s="22"/>
      <c r="AM1512" s="22"/>
      <c r="AN1512" s="22"/>
      <c r="AO1512" s="22"/>
      <c r="AP1512" s="22"/>
      <c r="AQ1512"/>
      <c r="AR1512"/>
      <c r="AS1512"/>
      <c r="AT1512"/>
      <c r="AU1512"/>
      <c r="AV1512"/>
      <c r="AW1512"/>
      <c r="AX1512"/>
    </row>
    <row r="1513" spans="35:50">
      <c r="AI1513" s="22"/>
      <c r="AJ1513" s="22"/>
      <c r="AK1513" s="22"/>
      <c r="AL1513" s="22"/>
      <c r="AM1513" s="22"/>
      <c r="AN1513" s="22"/>
      <c r="AO1513" s="22"/>
      <c r="AP1513" s="22"/>
      <c r="AQ1513"/>
      <c r="AR1513"/>
      <c r="AS1513"/>
      <c r="AT1513"/>
      <c r="AU1513"/>
      <c r="AV1513"/>
      <c r="AW1513"/>
      <c r="AX1513"/>
    </row>
    <row r="1514" spans="35:50">
      <c r="AI1514" s="22"/>
      <c r="AJ1514" s="22"/>
      <c r="AK1514" s="22"/>
      <c r="AL1514" s="22"/>
      <c r="AM1514" s="22"/>
      <c r="AN1514" s="22"/>
      <c r="AO1514" s="22"/>
      <c r="AP1514" s="22"/>
      <c r="AQ1514"/>
      <c r="AR1514"/>
      <c r="AS1514"/>
      <c r="AT1514"/>
      <c r="AU1514"/>
      <c r="AV1514"/>
      <c r="AW1514"/>
      <c r="AX1514"/>
    </row>
    <row r="1515" spans="35:50">
      <c r="AI1515" s="22"/>
      <c r="AJ1515" s="22"/>
      <c r="AK1515" s="22"/>
      <c r="AL1515" s="22"/>
      <c r="AM1515" s="22"/>
      <c r="AN1515" s="22"/>
      <c r="AO1515" s="22"/>
      <c r="AP1515" s="22"/>
      <c r="AQ1515"/>
      <c r="AR1515"/>
      <c r="AS1515"/>
      <c r="AT1515"/>
      <c r="AU1515"/>
      <c r="AV1515"/>
      <c r="AW1515"/>
      <c r="AX1515"/>
    </row>
    <row r="1516" spans="35:50">
      <c r="AI1516" s="22"/>
      <c r="AJ1516" s="22"/>
      <c r="AK1516" s="22"/>
      <c r="AL1516" s="22"/>
      <c r="AM1516" s="22"/>
      <c r="AN1516" s="22"/>
      <c r="AO1516" s="22"/>
      <c r="AP1516" s="22"/>
      <c r="AQ1516"/>
      <c r="AR1516"/>
      <c r="AS1516"/>
      <c r="AT1516"/>
      <c r="AU1516"/>
      <c r="AV1516"/>
      <c r="AW1516"/>
      <c r="AX1516"/>
    </row>
    <row r="1517" spans="35:50">
      <c r="AI1517" s="22"/>
      <c r="AJ1517" s="22"/>
      <c r="AK1517" s="22"/>
      <c r="AL1517" s="22"/>
      <c r="AM1517" s="22"/>
      <c r="AN1517" s="22"/>
      <c r="AO1517" s="22"/>
      <c r="AP1517" s="22"/>
      <c r="AQ1517"/>
      <c r="AR1517"/>
      <c r="AS1517"/>
      <c r="AT1517"/>
      <c r="AU1517"/>
      <c r="AV1517"/>
      <c r="AW1517"/>
      <c r="AX1517"/>
    </row>
    <row r="1518" spans="35:50">
      <c r="AI1518" s="22"/>
      <c r="AJ1518" s="22"/>
      <c r="AK1518" s="22"/>
      <c r="AL1518" s="22"/>
      <c r="AM1518" s="22"/>
      <c r="AN1518" s="22"/>
      <c r="AO1518" s="22"/>
      <c r="AP1518" s="22"/>
      <c r="AQ1518"/>
      <c r="AR1518"/>
      <c r="AS1518"/>
      <c r="AT1518"/>
      <c r="AU1518"/>
      <c r="AV1518"/>
      <c r="AW1518"/>
      <c r="AX1518"/>
    </row>
    <row r="1519" spans="35:50">
      <c r="AI1519" s="22"/>
      <c r="AJ1519" s="22"/>
      <c r="AK1519" s="22"/>
      <c r="AL1519" s="22"/>
      <c r="AM1519" s="22"/>
      <c r="AN1519" s="22"/>
      <c r="AO1519" s="22"/>
      <c r="AP1519" s="22"/>
      <c r="AQ1519"/>
      <c r="AR1519"/>
      <c r="AS1519"/>
      <c r="AT1519"/>
      <c r="AU1519"/>
      <c r="AV1519"/>
      <c r="AW1519"/>
      <c r="AX1519"/>
    </row>
    <row r="1520" spans="35:50">
      <c r="AI1520" s="22"/>
      <c r="AJ1520" s="22"/>
      <c r="AK1520" s="22"/>
      <c r="AL1520" s="22"/>
      <c r="AM1520" s="22"/>
      <c r="AN1520" s="22"/>
      <c r="AO1520" s="22"/>
      <c r="AP1520" s="22"/>
      <c r="AQ1520"/>
      <c r="AR1520"/>
      <c r="AS1520"/>
      <c r="AT1520"/>
      <c r="AU1520"/>
      <c r="AV1520"/>
      <c r="AW1520"/>
      <c r="AX1520"/>
    </row>
    <row r="1521" spans="35:50">
      <c r="AI1521" s="22"/>
      <c r="AJ1521" s="22"/>
      <c r="AK1521" s="22"/>
      <c r="AL1521" s="22"/>
      <c r="AM1521" s="22"/>
      <c r="AN1521" s="22"/>
      <c r="AO1521" s="22"/>
      <c r="AP1521" s="22"/>
      <c r="AQ1521"/>
      <c r="AR1521"/>
      <c r="AS1521"/>
      <c r="AT1521"/>
      <c r="AU1521"/>
      <c r="AV1521"/>
      <c r="AW1521"/>
      <c r="AX1521"/>
    </row>
    <row r="1522" spans="35:50">
      <c r="AI1522" s="22"/>
      <c r="AJ1522" s="22"/>
      <c r="AK1522" s="22"/>
      <c r="AL1522" s="22"/>
      <c r="AM1522" s="22"/>
      <c r="AN1522" s="22"/>
      <c r="AO1522" s="22"/>
      <c r="AP1522" s="22"/>
      <c r="AQ1522"/>
      <c r="AR1522"/>
      <c r="AS1522"/>
      <c r="AT1522"/>
      <c r="AU1522"/>
      <c r="AV1522"/>
      <c r="AW1522"/>
      <c r="AX1522"/>
    </row>
    <row r="1523" spans="35:50">
      <c r="AI1523" s="22"/>
      <c r="AJ1523" s="22"/>
      <c r="AK1523" s="22"/>
      <c r="AL1523" s="22"/>
      <c r="AM1523" s="22"/>
      <c r="AN1523" s="22"/>
      <c r="AO1523" s="22"/>
      <c r="AP1523" s="22"/>
      <c r="AQ1523"/>
      <c r="AR1523"/>
      <c r="AS1523"/>
      <c r="AT1523"/>
      <c r="AU1523"/>
      <c r="AV1523"/>
      <c r="AW1523"/>
      <c r="AX1523"/>
    </row>
    <row r="1524" spans="35:50">
      <c r="AI1524" s="22"/>
      <c r="AJ1524" s="22"/>
      <c r="AK1524" s="22"/>
      <c r="AL1524" s="22"/>
      <c r="AM1524" s="22"/>
      <c r="AN1524" s="22"/>
      <c r="AO1524" s="22"/>
      <c r="AP1524" s="22"/>
      <c r="AQ1524"/>
      <c r="AR1524"/>
      <c r="AS1524"/>
      <c r="AT1524"/>
      <c r="AU1524"/>
      <c r="AV1524"/>
      <c r="AW1524"/>
      <c r="AX1524"/>
    </row>
    <row r="1525" spans="35:50">
      <c r="AI1525" s="22"/>
      <c r="AJ1525" s="22"/>
      <c r="AK1525" s="22"/>
      <c r="AL1525" s="22"/>
      <c r="AM1525" s="22"/>
      <c r="AN1525" s="22"/>
      <c r="AO1525" s="22"/>
      <c r="AP1525" s="22"/>
      <c r="AQ1525"/>
      <c r="AR1525"/>
      <c r="AS1525"/>
      <c r="AT1525"/>
      <c r="AU1525"/>
      <c r="AV1525"/>
      <c r="AW1525"/>
      <c r="AX1525"/>
    </row>
    <row r="1526" spans="35:50">
      <c r="AI1526" s="22"/>
      <c r="AJ1526" s="22"/>
      <c r="AK1526" s="22"/>
      <c r="AL1526" s="22"/>
      <c r="AM1526" s="22"/>
      <c r="AN1526" s="22"/>
      <c r="AO1526" s="22"/>
      <c r="AP1526" s="22"/>
      <c r="AQ1526"/>
      <c r="AR1526"/>
      <c r="AS1526"/>
      <c r="AT1526"/>
      <c r="AU1526"/>
      <c r="AV1526"/>
      <c r="AW1526"/>
      <c r="AX1526"/>
    </row>
    <row r="1527" spans="35:50">
      <c r="AI1527" s="22"/>
      <c r="AJ1527" s="22"/>
      <c r="AK1527" s="22"/>
      <c r="AL1527" s="22"/>
      <c r="AM1527" s="22"/>
      <c r="AN1527" s="22"/>
      <c r="AO1527" s="22"/>
      <c r="AP1527" s="22"/>
      <c r="AQ1527"/>
      <c r="AR1527"/>
      <c r="AS1527"/>
      <c r="AT1527"/>
      <c r="AU1527"/>
      <c r="AV1527"/>
      <c r="AW1527"/>
      <c r="AX1527"/>
    </row>
    <row r="1528" spans="35:50">
      <c r="AI1528" s="22"/>
      <c r="AJ1528" s="22"/>
      <c r="AK1528" s="22"/>
      <c r="AL1528" s="22"/>
      <c r="AM1528" s="22"/>
      <c r="AN1528" s="22"/>
      <c r="AO1528" s="22"/>
      <c r="AP1528" s="22"/>
      <c r="AQ1528"/>
      <c r="AR1528"/>
      <c r="AS1528"/>
      <c r="AT1528"/>
      <c r="AU1528"/>
      <c r="AV1528"/>
      <c r="AW1528"/>
      <c r="AX1528"/>
    </row>
    <row r="1529" spans="35:50">
      <c r="AI1529" s="22"/>
      <c r="AJ1529" s="22"/>
      <c r="AK1529" s="22"/>
      <c r="AL1529" s="22"/>
      <c r="AM1529" s="22"/>
      <c r="AN1529" s="22"/>
      <c r="AO1529" s="22"/>
      <c r="AP1529" s="22"/>
      <c r="AQ1529"/>
      <c r="AR1529"/>
      <c r="AS1529"/>
      <c r="AT1529"/>
      <c r="AU1529"/>
      <c r="AV1529"/>
      <c r="AW1529"/>
      <c r="AX1529"/>
    </row>
    <row r="1530" spans="35:50">
      <c r="AI1530" s="22"/>
      <c r="AJ1530" s="22"/>
      <c r="AK1530" s="22"/>
      <c r="AL1530" s="22"/>
      <c r="AM1530" s="22"/>
      <c r="AN1530" s="22"/>
      <c r="AO1530" s="22"/>
      <c r="AP1530" s="22"/>
      <c r="AQ1530"/>
      <c r="AR1530"/>
      <c r="AS1530"/>
      <c r="AT1530"/>
      <c r="AU1530"/>
      <c r="AV1530"/>
      <c r="AW1530"/>
      <c r="AX1530"/>
    </row>
    <row r="1531" spans="35:50">
      <c r="AI1531" s="22"/>
      <c r="AJ1531" s="22"/>
      <c r="AK1531" s="22"/>
      <c r="AL1531" s="22"/>
      <c r="AM1531" s="22"/>
      <c r="AN1531" s="22"/>
      <c r="AO1531" s="22"/>
      <c r="AP1531" s="22"/>
      <c r="AQ1531"/>
      <c r="AR1531"/>
      <c r="AS1531"/>
      <c r="AT1531"/>
      <c r="AU1531"/>
      <c r="AV1531"/>
      <c r="AW1531"/>
      <c r="AX1531"/>
    </row>
    <row r="1532" spans="35:50">
      <c r="AI1532" s="22"/>
      <c r="AJ1532" s="22"/>
      <c r="AK1532" s="22"/>
      <c r="AL1532" s="22"/>
      <c r="AM1532" s="22"/>
      <c r="AN1532" s="22"/>
      <c r="AO1532" s="22"/>
      <c r="AP1532" s="22"/>
      <c r="AQ1532"/>
      <c r="AR1532"/>
      <c r="AS1532"/>
      <c r="AT1532"/>
      <c r="AU1532"/>
      <c r="AV1532"/>
      <c r="AW1532"/>
      <c r="AX1532"/>
    </row>
    <row r="1533" spans="35:50">
      <c r="AI1533" s="22"/>
      <c r="AJ1533" s="22"/>
      <c r="AK1533" s="22"/>
      <c r="AL1533" s="22"/>
      <c r="AM1533" s="22"/>
      <c r="AN1533" s="22"/>
      <c r="AO1533" s="22"/>
      <c r="AP1533" s="22"/>
      <c r="AQ1533"/>
      <c r="AR1533"/>
      <c r="AS1533"/>
      <c r="AT1533"/>
      <c r="AU1533"/>
      <c r="AV1533"/>
      <c r="AW1533"/>
      <c r="AX1533"/>
    </row>
    <row r="1534" spans="35:50">
      <c r="AI1534" s="22"/>
      <c r="AJ1534" s="22"/>
      <c r="AK1534" s="22"/>
      <c r="AL1534" s="22"/>
      <c r="AM1534" s="22"/>
      <c r="AN1534" s="22"/>
      <c r="AO1534" s="22"/>
      <c r="AP1534" s="22"/>
      <c r="AQ1534"/>
      <c r="AR1534"/>
      <c r="AS1534"/>
      <c r="AT1534"/>
      <c r="AU1534"/>
      <c r="AV1534"/>
      <c r="AW1534"/>
      <c r="AX1534"/>
    </row>
    <row r="1535" spans="35:50">
      <c r="AI1535" s="22"/>
      <c r="AJ1535" s="22"/>
      <c r="AK1535" s="22"/>
      <c r="AL1535" s="22"/>
      <c r="AM1535" s="22"/>
      <c r="AN1535" s="22"/>
      <c r="AO1535" s="22"/>
      <c r="AP1535" s="22"/>
      <c r="AQ1535"/>
      <c r="AR1535"/>
      <c r="AS1535"/>
      <c r="AT1535"/>
      <c r="AU1535"/>
      <c r="AV1535"/>
      <c r="AW1535"/>
      <c r="AX1535"/>
    </row>
    <row r="1536" spans="35:50">
      <c r="AI1536" s="22"/>
      <c r="AJ1536" s="22"/>
      <c r="AK1536" s="22"/>
      <c r="AL1536" s="22"/>
      <c r="AM1536" s="22"/>
      <c r="AN1536" s="22"/>
      <c r="AO1536" s="22"/>
      <c r="AP1536" s="22"/>
      <c r="AQ1536"/>
      <c r="AR1536"/>
      <c r="AS1536"/>
      <c r="AT1536"/>
      <c r="AU1536"/>
      <c r="AV1536"/>
      <c r="AW1536"/>
      <c r="AX1536"/>
    </row>
    <row r="1537" spans="35:50">
      <c r="AI1537" s="22"/>
      <c r="AJ1537" s="22"/>
      <c r="AK1537" s="22"/>
      <c r="AL1537" s="22"/>
      <c r="AM1537" s="22"/>
      <c r="AN1537" s="22"/>
      <c r="AO1537" s="22"/>
      <c r="AP1537" s="22"/>
      <c r="AQ1537"/>
      <c r="AR1537"/>
      <c r="AS1537"/>
      <c r="AT1537"/>
      <c r="AU1537"/>
      <c r="AV1537"/>
      <c r="AW1537"/>
      <c r="AX1537"/>
    </row>
    <row r="1538" spans="35:50">
      <c r="AI1538" s="22"/>
      <c r="AJ1538" s="22"/>
      <c r="AK1538" s="22"/>
      <c r="AL1538" s="22"/>
      <c r="AM1538" s="22"/>
      <c r="AN1538" s="22"/>
      <c r="AO1538" s="22"/>
      <c r="AP1538" s="22"/>
      <c r="AQ1538"/>
      <c r="AR1538"/>
      <c r="AS1538"/>
      <c r="AT1538"/>
      <c r="AU1538"/>
      <c r="AV1538"/>
      <c r="AW1538"/>
      <c r="AX1538"/>
    </row>
    <row r="1539" spans="35:50">
      <c r="AI1539" s="22"/>
      <c r="AJ1539" s="22"/>
      <c r="AK1539" s="22"/>
      <c r="AL1539" s="22"/>
      <c r="AM1539" s="22"/>
      <c r="AN1539" s="22"/>
      <c r="AO1539" s="22"/>
      <c r="AP1539" s="22"/>
      <c r="AQ1539"/>
      <c r="AR1539"/>
      <c r="AS1539"/>
      <c r="AT1539"/>
      <c r="AU1539"/>
      <c r="AV1539"/>
      <c r="AW1539"/>
      <c r="AX1539"/>
    </row>
    <row r="1540" spans="35:50">
      <c r="AI1540" s="22"/>
      <c r="AJ1540" s="22"/>
      <c r="AK1540" s="22"/>
      <c r="AL1540" s="22"/>
      <c r="AM1540" s="22"/>
      <c r="AN1540" s="22"/>
      <c r="AO1540" s="22"/>
      <c r="AP1540" s="22"/>
      <c r="AQ1540"/>
      <c r="AR1540"/>
      <c r="AS1540"/>
      <c r="AT1540"/>
      <c r="AU1540"/>
      <c r="AV1540"/>
      <c r="AW1540"/>
      <c r="AX1540"/>
    </row>
    <row r="1541" spans="35:50">
      <c r="AI1541" s="22"/>
      <c r="AJ1541" s="22"/>
      <c r="AK1541" s="22"/>
      <c r="AL1541" s="22"/>
      <c r="AM1541" s="22"/>
      <c r="AN1541" s="22"/>
      <c r="AO1541" s="22"/>
      <c r="AP1541" s="22"/>
      <c r="AQ1541"/>
      <c r="AR1541"/>
      <c r="AS1541"/>
      <c r="AT1541"/>
      <c r="AU1541"/>
      <c r="AV1541"/>
      <c r="AW1541"/>
      <c r="AX1541"/>
    </row>
    <row r="1542" spans="35:50">
      <c r="AI1542" s="22"/>
      <c r="AJ1542" s="22"/>
      <c r="AK1542" s="22"/>
      <c r="AL1542" s="22"/>
      <c r="AM1542" s="22"/>
      <c r="AN1542" s="22"/>
      <c r="AO1542" s="22"/>
      <c r="AP1542" s="22"/>
      <c r="AQ1542"/>
      <c r="AR1542"/>
      <c r="AS1542"/>
      <c r="AT1542"/>
      <c r="AU1542"/>
      <c r="AV1542"/>
      <c r="AW1542"/>
      <c r="AX1542"/>
    </row>
    <row r="1543" spans="35:50">
      <c r="AI1543" s="22"/>
      <c r="AJ1543" s="22"/>
      <c r="AK1543" s="22"/>
      <c r="AL1543" s="22"/>
      <c r="AM1543" s="22"/>
      <c r="AN1543" s="22"/>
      <c r="AO1543" s="22"/>
      <c r="AP1543" s="22"/>
      <c r="AQ1543"/>
      <c r="AR1543"/>
      <c r="AS1543"/>
      <c r="AT1543"/>
      <c r="AU1543"/>
      <c r="AV1543"/>
      <c r="AW1543"/>
      <c r="AX1543"/>
    </row>
    <row r="1544" spans="35:50">
      <c r="AI1544" s="22"/>
      <c r="AJ1544" s="22"/>
      <c r="AK1544" s="22"/>
      <c r="AL1544" s="22"/>
      <c r="AM1544" s="22"/>
      <c r="AN1544" s="22"/>
      <c r="AO1544" s="22"/>
      <c r="AP1544" s="22"/>
      <c r="AQ1544"/>
      <c r="AR1544"/>
      <c r="AS1544"/>
      <c r="AT1544"/>
      <c r="AU1544"/>
      <c r="AV1544"/>
      <c r="AW1544"/>
      <c r="AX1544"/>
    </row>
    <row r="1545" spans="35:50">
      <c r="AI1545" s="22"/>
      <c r="AJ1545" s="22"/>
      <c r="AK1545" s="22"/>
      <c r="AL1545" s="22"/>
      <c r="AM1545" s="22"/>
      <c r="AN1545" s="22"/>
      <c r="AO1545" s="22"/>
      <c r="AP1545" s="22"/>
      <c r="AQ1545"/>
      <c r="AR1545"/>
      <c r="AS1545"/>
      <c r="AT1545"/>
      <c r="AU1545"/>
      <c r="AV1545"/>
      <c r="AW1545"/>
      <c r="AX1545"/>
    </row>
    <row r="1546" spans="35:50">
      <c r="AI1546" s="22"/>
      <c r="AJ1546" s="22"/>
      <c r="AK1546" s="22"/>
      <c r="AL1546" s="22"/>
      <c r="AM1546" s="22"/>
      <c r="AN1546" s="22"/>
      <c r="AO1546" s="22"/>
      <c r="AP1546" s="22"/>
      <c r="AQ1546"/>
      <c r="AR1546"/>
      <c r="AS1546"/>
      <c r="AT1546"/>
      <c r="AU1546"/>
      <c r="AV1546"/>
      <c r="AW1546"/>
      <c r="AX1546"/>
    </row>
    <row r="1547" spans="35:50">
      <c r="AI1547" s="22"/>
      <c r="AJ1547" s="22"/>
      <c r="AK1547" s="22"/>
      <c r="AL1547" s="22"/>
      <c r="AM1547" s="22"/>
      <c r="AN1547" s="22"/>
      <c r="AO1547" s="22"/>
      <c r="AP1547" s="22"/>
      <c r="AQ1547"/>
      <c r="AR1547"/>
      <c r="AS1547"/>
      <c r="AT1547"/>
      <c r="AU1547"/>
      <c r="AV1547"/>
      <c r="AW1547"/>
      <c r="AX1547"/>
    </row>
    <row r="1548" spans="35:50">
      <c r="AI1548" s="22"/>
      <c r="AJ1548" s="22"/>
      <c r="AK1548" s="22"/>
      <c r="AL1548" s="22"/>
      <c r="AM1548" s="22"/>
      <c r="AN1548" s="22"/>
      <c r="AO1548" s="22"/>
      <c r="AP1548" s="22"/>
      <c r="AQ1548"/>
      <c r="AR1548"/>
      <c r="AS1548"/>
      <c r="AT1548"/>
      <c r="AU1548"/>
      <c r="AV1548"/>
      <c r="AW1548"/>
      <c r="AX1548"/>
    </row>
    <row r="1549" spans="35:50">
      <c r="AI1549" s="22"/>
      <c r="AJ1549" s="22"/>
      <c r="AK1549" s="22"/>
      <c r="AL1549" s="22"/>
      <c r="AM1549" s="22"/>
      <c r="AN1549" s="22"/>
      <c r="AO1549" s="22"/>
      <c r="AP1549" s="22"/>
      <c r="AQ1549"/>
      <c r="AR1549"/>
      <c r="AS1549"/>
      <c r="AT1549"/>
      <c r="AU1549"/>
      <c r="AV1549"/>
      <c r="AW1549"/>
      <c r="AX1549"/>
    </row>
    <row r="1550" spans="35:50">
      <c r="AI1550" s="22"/>
      <c r="AJ1550" s="22"/>
      <c r="AK1550" s="22"/>
      <c r="AL1550" s="22"/>
      <c r="AM1550" s="22"/>
      <c r="AN1550" s="22"/>
      <c r="AO1550" s="22"/>
      <c r="AP1550" s="22"/>
      <c r="AQ1550"/>
      <c r="AR1550"/>
      <c r="AS1550"/>
      <c r="AT1550"/>
      <c r="AU1550"/>
      <c r="AV1550"/>
      <c r="AW1550"/>
      <c r="AX1550"/>
    </row>
    <row r="1551" spans="35:50">
      <c r="AI1551" s="22"/>
      <c r="AJ1551" s="22"/>
      <c r="AK1551" s="22"/>
      <c r="AL1551" s="22"/>
      <c r="AM1551" s="22"/>
      <c r="AN1551" s="22"/>
      <c r="AO1551" s="22"/>
      <c r="AP1551" s="22"/>
      <c r="AQ1551"/>
      <c r="AR1551"/>
      <c r="AS1551"/>
      <c r="AT1551"/>
      <c r="AU1551"/>
      <c r="AV1551"/>
      <c r="AW1551"/>
      <c r="AX1551"/>
    </row>
    <row r="1552" spans="35:50">
      <c r="AI1552" s="22"/>
      <c r="AJ1552" s="22"/>
      <c r="AK1552" s="22"/>
      <c r="AL1552" s="22"/>
      <c r="AM1552" s="22"/>
      <c r="AN1552" s="22"/>
      <c r="AO1552" s="22"/>
      <c r="AP1552" s="22"/>
      <c r="AQ1552"/>
      <c r="AR1552"/>
      <c r="AS1552"/>
      <c r="AT1552"/>
      <c r="AU1552"/>
      <c r="AV1552"/>
      <c r="AW1552"/>
      <c r="AX1552"/>
    </row>
    <row r="1553" spans="35:50">
      <c r="AI1553" s="22"/>
      <c r="AJ1553" s="22"/>
      <c r="AK1553" s="22"/>
      <c r="AL1553" s="22"/>
      <c r="AM1553" s="22"/>
      <c r="AN1553" s="22"/>
      <c r="AO1553" s="22"/>
      <c r="AP1553" s="22"/>
      <c r="AQ1553"/>
      <c r="AR1553"/>
      <c r="AS1553"/>
      <c r="AT1553"/>
      <c r="AU1553"/>
      <c r="AV1553"/>
      <c r="AW1553"/>
      <c r="AX1553"/>
    </row>
    <row r="1554" spans="35:50">
      <c r="AI1554" s="22"/>
      <c r="AJ1554" s="22"/>
      <c r="AK1554" s="22"/>
      <c r="AL1554" s="22"/>
      <c r="AM1554" s="22"/>
      <c r="AN1554" s="22"/>
      <c r="AO1554" s="22"/>
      <c r="AP1554" s="22"/>
      <c r="AQ1554"/>
      <c r="AR1554"/>
      <c r="AS1554"/>
      <c r="AT1554"/>
      <c r="AU1554"/>
      <c r="AV1554"/>
      <c r="AW1554"/>
      <c r="AX1554"/>
    </row>
    <row r="1555" spans="35:50">
      <c r="AI1555" s="22"/>
      <c r="AJ1555" s="22"/>
      <c r="AK1555" s="22"/>
      <c r="AL1555" s="22"/>
      <c r="AM1555" s="22"/>
      <c r="AN1555" s="22"/>
      <c r="AO1555" s="22"/>
      <c r="AP1555" s="22"/>
      <c r="AQ1555"/>
      <c r="AR1555"/>
      <c r="AS1555"/>
      <c r="AT1555"/>
      <c r="AU1555"/>
      <c r="AV1555"/>
      <c r="AW1555"/>
      <c r="AX1555"/>
    </row>
    <row r="1556" spans="35:50">
      <c r="AI1556" s="22"/>
      <c r="AJ1556" s="22"/>
      <c r="AK1556" s="22"/>
      <c r="AL1556" s="22"/>
      <c r="AM1556" s="22"/>
      <c r="AN1556" s="22"/>
      <c r="AO1556" s="22"/>
      <c r="AP1556" s="22"/>
      <c r="AQ1556"/>
      <c r="AR1556"/>
      <c r="AS1556"/>
      <c r="AT1556"/>
      <c r="AU1556"/>
      <c r="AV1556"/>
      <c r="AW1556"/>
      <c r="AX1556"/>
    </row>
    <row r="1557" spans="35:50">
      <c r="AI1557" s="22"/>
      <c r="AJ1557" s="22"/>
      <c r="AK1557" s="22"/>
      <c r="AL1557" s="22"/>
      <c r="AM1557" s="22"/>
      <c r="AN1557" s="22"/>
      <c r="AO1557" s="22"/>
      <c r="AP1557" s="22"/>
      <c r="AQ1557"/>
      <c r="AR1557"/>
      <c r="AS1557"/>
      <c r="AT1557"/>
      <c r="AU1557"/>
      <c r="AV1557"/>
      <c r="AW1557"/>
      <c r="AX1557"/>
    </row>
    <row r="1558" spans="35:50">
      <c r="AI1558" s="22"/>
      <c r="AJ1558" s="22"/>
      <c r="AK1558" s="22"/>
      <c r="AL1558" s="22"/>
      <c r="AM1558" s="22"/>
      <c r="AN1558" s="22"/>
      <c r="AO1558" s="22"/>
      <c r="AP1558" s="22"/>
      <c r="AQ1558"/>
      <c r="AR1558"/>
      <c r="AS1558"/>
      <c r="AT1558"/>
      <c r="AU1558"/>
      <c r="AV1558"/>
      <c r="AW1558"/>
      <c r="AX1558"/>
    </row>
    <row r="1559" spans="35:50">
      <c r="AI1559" s="22"/>
      <c r="AJ1559" s="22"/>
      <c r="AK1559" s="22"/>
      <c r="AL1559" s="22"/>
      <c r="AM1559" s="22"/>
      <c r="AN1559" s="22"/>
      <c r="AO1559" s="22"/>
      <c r="AP1559" s="22"/>
      <c r="AQ1559"/>
      <c r="AR1559"/>
      <c r="AS1559"/>
      <c r="AT1559"/>
      <c r="AU1559"/>
      <c r="AV1559"/>
      <c r="AW1559"/>
      <c r="AX1559"/>
    </row>
    <row r="1560" spans="35:50">
      <c r="AI1560" s="22"/>
      <c r="AJ1560" s="22"/>
      <c r="AK1560" s="22"/>
      <c r="AL1560" s="22"/>
      <c r="AM1560" s="22"/>
      <c r="AN1560" s="22"/>
      <c r="AO1560" s="22"/>
      <c r="AP1560" s="22"/>
      <c r="AQ1560"/>
      <c r="AR1560"/>
      <c r="AS1560"/>
      <c r="AT1560"/>
      <c r="AU1560"/>
      <c r="AV1560"/>
      <c r="AW1560"/>
      <c r="AX1560"/>
    </row>
    <row r="1561" spans="35:50">
      <c r="AI1561" s="22"/>
      <c r="AJ1561" s="22"/>
      <c r="AK1561" s="22"/>
      <c r="AL1561" s="22"/>
      <c r="AM1561" s="22"/>
      <c r="AN1561" s="22"/>
      <c r="AO1561" s="22"/>
      <c r="AP1561" s="22"/>
      <c r="AQ1561"/>
      <c r="AR1561"/>
      <c r="AS1561"/>
      <c r="AT1561"/>
      <c r="AU1561"/>
      <c r="AV1561"/>
      <c r="AW1561"/>
      <c r="AX1561"/>
    </row>
    <row r="1562" spans="35:50">
      <c r="AI1562" s="22"/>
      <c r="AJ1562" s="22"/>
      <c r="AK1562" s="22"/>
      <c r="AL1562" s="22"/>
      <c r="AM1562" s="22"/>
      <c r="AN1562" s="22"/>
      <c r="AO1562" s="22"/>
      <c r="AP1562" s="22"/>
      <c r="AQ1562"/>
      <c r="AR1562"/>
      <c r="AS1562"/>
      <c r="AT1562"/>
      <c r="AU1562"/>
      <c r="AV1562"/>
      <c r="AW1562"/>
      <c r="AX1562"/>
    </row>
  </sheetData>
  <conditionalFormatting sqref="C216:G242">
    <cfRule type="cellIs" dxfId="201" priority="14" operator="lessThan">
      <formula>0</formula>
    </cfRule>
  </conditionalFormatting>
  <conditionalFormatting sqref="C20:C42">
    <cfRule type="cellIs" dxfId="200" priority="7" operator="lessThan">
      <formula>0</formula>
    </cfRule>
  </conditionalFormatting>
  <conditionalFormatting sqref="E17:E42">
    <cfRule type="cellIs" dxfId="199" priority="6" operator="lessThan">
      <formula>0</formula>
    </cfRule>
  </conditionalFormatting>
  <conditionalFormatting sqref="E43">
    <cfRule type="cellIs" dxfId="198" priority="5" operator="lessThan">
      <formula>0</formula>
    </cfRule>
  </conditionalFormatting>
  <conditionalFormatting sqref="C18:C19">
    <cfRule type="cellIs" dxfId="197" priority="3" operator="lessThan">
      <formula>0</formula>
    </cfRule>
  </conditionalFormatting>
  <conditionalFormatting sqref="C17">
    <cfRule type="cellIs" dxfId="196" priority="1" operator="lessThan">
      <formula>0</formula>
    </cfRule>
  </conditionalFormatting>
  <dataValidations disablePrompts="1" count="1">
    <dataValidation allowBlank="1" showInputMessage="1" showErrorMessage="1" prompt="Pivot table are automatically updated every 2 hours" sqref="C54" xr:uid="{311CAF68-0F74-4C9C-95D3-DBC69F67941B}"/>
  </dataValidations>
  <pageMargins left="0.7" right="0.7" top="0.75" bottom="0.75" header="0.3" footer="0.3"/>
  <pageSetup paperSize="9" orientation="portrait" r:id="rId10"/>
  <drawing r:id="rId1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J477"/>
  <sheetViews>
    <sheetView zoomScale="70" zoomScaleNormal="70" workbookViewId="0">
      <pane xSplit="3" ySplit="11" topLeftCell="U12" activePane="bottomRight" state="frozen"/>
      <selection pane="topRight" activeCell="D1" sqref="D1"/>
      <selection pane="bottomLeft" activeCell="A12" sqref="A12"/>
      <selection pane="bottomRight" activeCell="AA13" sqref="AA13:AC62"/>
    </sheetView>
  </sheetViews>
  <sheetFormatPr defaultColWidth="9" defaultRowHeight="13" outlineLevelCol="1"/>
  <cols>
    <col min="1" max="1" width="9" style="2"/>
    <col min="2" max="2" width="14" style="1" bestFit="1" customWidth="1"/>
    <col min="3" max="3" width="14" style="2" customWidth="1" outlineLevel="1"/>
    <col min="4" max="4" width="28.26953125" style="2" customWidth="1"/>
    <col min="5" max="5" width="11.26953125" style="61" bestFit="1" customWidth="1"/>
    <col min="6" max="7" width="11.26953125" style="2" customWidth="1"/>
    <col min="8" max="8" width="13.26953125" style="2" customWidth="1"/>
    <col min="9" max="9" width="14.7265625" style="2" customWidth="1"/>
    <col min="10" max="10" width="20" style="2" customWidth="1"/>
    <col min="11" max="12" width="14.54296875" style="2" customWidth="1" outlineLevel="1"/>
    <col min="13" max="13" width="8.7265625" style="61" customWidth="1" outlineLevel="1"/>
    <col min="14" max="14" width="11.26953125" style="2" customWidth="1" outlineLevel="1"/>
    <col min="15" max="16" width="11" style="2" customWidth="1"/>
    <col min="17" max="17" width="13.81640625" style="2" customWidth="1"/>
    <col min="18" max="18" width="11" style="2" customWidth="1"/>
    <col min="19" max="19" width="14.26953125" style="2" bestFit="1" customWidth="1"/>
    <col min="20" max="20" width="8.7265625" style="2" customWidth="1"/>
    <col min="21" max="21" width="9.54296875" style="2" bestFit="1" customWidth="1"/>
    <col min="22" max="22" width="17.7265625" style="2" customWidth="1" outlineLevel="1"/>
    <col min="23" max="23" width="19.1796875" style="61" bestFit="1" customWidth="1" outlineLevel="1"/>
    <col min="24" max="24" width="15.7265625" style="2" bestFit="1" customWidth="1" outlineLevel="1"/>
    <col min="25" max="26" width="9" style="2"/>
    <col min="27" max="27" width="23.81640625" style="6" bestFit="1" customWidth="1"/>
    <col min="28" max="28" width="19.26953125" style="6" bestFit="1" customWidth="1"/>
    <col min="29" max="29" width="18.54296875" style="6" bestFit="1" customWidth="1"/>
    <col min="30" max="30" width="9" style="6"/>
    <col min="31" max="32" width="9" style="2"/>
    <col min="33" max="33" width="9.36328125" style="2" customWidth="1"/>
    <col min="34" max="34" width="13.36328125" style="2" bestFit="1" customWidth="1"/>
    <col min="35" max="36" width="28.26953125" style="2" bestFit="1" customWidth="1"/>
    <col min="37" max="16384" width="9" style="2"/>
  </cols>
  <sheetData>
    <row r="1" spans="1:36" s="6" customFormat="1">
      <c r="B1" s="8"/>
      <c r="E1" s="57"/>
      <c r="J1" s="8"/>
      <c r="K1" s="8"/>
      <c r="L1" s="8"/>
      <c r="M1" s="53"/>
      <c r="N1" s="8"/>
      <c r="O1" s="8"/>
      <c r="P1" s="8"/>
      <c r="Q1" s="8"/>
      <c r="R1" s="8"/>
      <c r="S1" s="8"/>
      <c r="T1" s="8"/>
      <c r="U1" s="8"/>
      <c r="V1" s="8"/>
      <c r="W1" s="53"/>
      <c r="X1" s="8"/>
      <c r="AD1" s="7"/>
    </row>
    <row r="2" spans="1:36" s="6" customFormat="1">
      <c r="B2" s="8"/>
      <c r="C2" s="8"/>
      <c r="D2" s="8"/>
      <c r="E2" s="57"/>
      <c r="J2" s="8"/>
      <c r="K2" s="8"/>
      <c r="L2" s="8"/>
      <c r="M2" s="53"/>
      <c r="N2" s="8"/>
      <c r="O2" s="8"/>
      <c r="P2" s="8"/>
      <c r="Q2" s="8"/>
      <c r="R2" s="8"/>
      <c r="S2" s="8"/>
      <c r="T2" s="8"/>
      <c r="U2" s="8"/>
      <c r="V2" s="8"/>
      <c r="W2" s="53"/>
      <c r="X2" s="8"/>
      <c r="AD2" s="7"/>
    </row>
    <row r="3" spans="1:36" s="6" customFormat="1">
      <c r="B3" s="8"/>
      <c r="C3" s="8"/>
      <c r="D3" s="8"/>
      <c r="E3" s="57"/>
      <c r="J3" s="8"/>
      <c r="K3" s="8"/>
      <c r="L3" s="8"/>
      <c r="M3" s="53"/>
      <c r="N3" s="8"/>
      <c r="O3" s="8"/>
      <c r="P3" s="8"/>
      <c r="Q3" s="8"/>
      <c r="R3" s="8"/>
      <c r="S3" s="8"/>
      <c r="T3" s="8"/>
      <c r="U3" s="8"/>
      <c r="V3" s="8"/>
      <c r="W3" s="53"/>
      <c r="X3" s="8"/>
      <c r="AD3" s="7"/>
    </row>
    <row r="4" spans="1:36" s="6" customFormat="1">
      <c r="B4" s="8"/>
      <c r="C4" s="8"/>
      <c r="D4" s="8"/>
      <c r="E4" s="57"/>
      <c r="J4" s="8"/>
      <c r="K4" s="8"/>
      <c r="L4" s="8"/>
      <c r="M4" s="53"/>
      <c r="N4" s="8"/>
      <c r="O4" s="8"/>
      <c r="P4" s="8"/>
      <c r="Q4" s="8"/>
      <c r="R4" s="8"/>
      <c r="S4" s="8"/>
      <c r="T4" s="8"/>
      <c r="U4" s="8"/>
      <c r="V4" s="8"/>
      <c r="W4" s="53"/>
      <c r="X4" s="8"/>
      <c r="AD4" s="7"/>
    </row>
    <row r="5" spans="1:36" s="6" customFormat="1">
      <c r="B5" s="8"/>
      <c r="C5" s="8"/>
      <c r="D5" s="8"/>
      <c r="E5" s="57"/>
      <c r="J5" s="8"/>
      <c r="K5" s="8"/>
      <c r="L5" s="8"/>
      <c r="M5" s="53"/>
      <c r="N5" s="8"/>
      <c r="O5" s="8"/>
      <c r="P5" s="8"/>
      <c r="Q5" s="8"/>
      <c r="R5" s="8"/>
      <c r="S5" s="8"/>
      <c r="T5" s="8"/>
      <c r="U5" s="8"/>
      <c r="V5" s="8"/>
      <c r="W5" s="53"/>
      <c r="X5" s="8"/>
      <c r="AD5" s="7"/>
    </row>
    <row r="6" spans="1:36">
      <c r="A6" s="6"/>
      <c r="B6" s="8"/>
      <c r="C6" s="6"/>
      <c r="D6" s="6"/>
      <c r="E6" s="57"/>
      <c r="F6" s="6"/>
      <c r="G6" s="6"/>
      <c r="H6" s="6"/>
      <c r="I6" s="6"/>
      <c r="J6" s="6"/>
      <c r="K6" s="6"/>
      <c r="L6" s="6"/>
      <c r="M6" s="57"/>
      <c r="N6" s="6"/>
      <c r="O6" s="6"/>
      <c r="P6" s="6"/>
      <c r="Q6" s="6"/>
      <c r="R6" s="6"/>
      <c r="S6" s="6"/>
      <c r="T6" s="6"/>
      <c r="U6" s="6"/>
      <c r="V6" s="6"/>
      <c r="W6" s="57"/>
      <c r="X6" s="6"/>
      <c r="Y6" s="6"/>
      <c r="Z6" s="6"/>
    </row>
    <row r="7" spans="1:36">
      <c r="A7" s="6"/>
      <c r="B7" s="8"/>
      <c r="C7" s="6"/>
      <c r="D7" s="6"/>
      <c r="E7" s="57"/>
      <c r="F7" s="6"/>
      <c r="G7" s="6"/>
      <c r="H7" s="6"/>
      <c r="I7" s="6"/>
      <c r="J7" s="6"/>
      <c r="K7" s="6"/>
      <c r="L7" s="6"/>
      <c r="M7" s="57"/>
      <c r="N7" s="6"/>
      <c r="O7" s="6"/>
      <c r="P7" s="6"/>
      <c r="Q7" s="6"/>
      <c r="R7" s="6"/>
      <c r="S7" s="6"/>
      <c r="T7" s="6"/>
      <c r="U7" s="6"/>
      <c r="V7" s="6"/>
      <c r="W7" s="57"/>
      <c r="X7" s="6"/>
      <c r="Y7" s="6"/>
      <c r="Z7" s="6"/>
    </row>
    <row r="8" spans="1:36">
      <c r="A8" s="6"/>
      <c r="B8" s="8"/>
      <c r="C8" s="6"/>
      <c r="D8" s="6"/>
      <c r="E8" s="57"/>
      <c r="F8" s="6"/>
      <c r="G8" s="6"/>
      <c r="H8" s="6"/>
      <c r="I8" s="6"/>
      <c r="J8" s="6"/>
      <c r="K8" s="6"/>
      <c r="L8" s="6"/>
      <c r="M8" s="57"/>
      <c r="N8" s="6"/>
      <c r="O8" s="6"/>
      <c r="P8" s="6"/>
      <c r="Q8" s="6"/>
      <c r="R8" s="6"/>
      <c r="S8" s="6"/>
      <c r="T8" s="6"/>
      <c r="U8" s="6"/>
      <c r="V8" s="6"/>
      <c r="W8" s="57"/>
      <c r="X8" s="6"/>
      <c r="Y8" s="6"/>
      <c r="Z8" s="6"/>
    </row>
    <row r="9" spans="1:36">
      <c r="A9" s="6"/>
      <c r="B9" s="12">
        <f>TODAY()</f>
        <v>44526</v>
      </c>
      <c r="C9" s="6"/>
      <c r="D9" s="9"/>
      <c r="E9" s="57"/>
      <c r="F9" s="6"/>
      <c r="G9" s="6"/>
      <c r="H9" s="6"/>
      <c r="I9" s="6"/>
      <c r="J9" s="6"/>
      <c r="K9" s="6"/>
      <c r="L9" s="6"/>
      <c r="M9" s="57"/>
      <c r="N9" s="6"/>
      <c r="O9" s="6"/>
      <c r="P9" s="6"/>
      <c r="Q9" s="6"/>
      <c r="R9" s="6"/>
      <c r="S9" s="6"/>
      <c r="T9" s="6"/>
      <c r="U9" s="6"/>
      <c r="V9" s="6"/>
      <c r="W9" s="57"/>
      <c r="X9" s="6"/>
      <c r="Y9" s="6"/>
      <c r="Z9" s="6"/>
    </row>
    <row r="10" spans="1:36">
      <c r="A10" s="6"/>
      <c r="B10" s="1230" t="s">
        <v>121</v>
      </c>
      <c r="C10" s="1230"/>
      <c r="D10" s="1230"/>
      <c r="E10" s="1230"/>
      <c r="F10" s="1230"/>
      <c r="G10" s="1230"/>
      <c r="H10" s="1230"/>
      <c r="I10" s="1230"/>
      <c r="J10" s="1230"/>
      <c r="K10" s="1230"/>
      <c r="L10" s="1230"/>
      <c r="M10" s="1230"/>
      <c r="N10" s="1230"/>
      <c r="O10" s="1230"/>
      <c r="P10" s="1230"/>
      <c r="Q10" s="1230"/>
      <c r="R10" s="1230"/>
      <c r="S10" s="1230"/>
      <c r="T10" s="358"/>
      <c r="U10" s="358"/>
      <c r="W10" s="2"/>
      <c r="Y10" s="6"/>
      <c r="Z10" s="6"/>
    </row>
    <row r="11" spans="1:36" ht="39">
      <c r="A11" s="6"/>
      <c r="B11" s="4" t="s">
        <v>14</v>
      </c>
      <c r="C11" s="4"/>
      <c r="D11" s="4" t="s">
        <v>0</v>
      </c>
      <c r="E11" s="77" t="s">
        <v>13</v>
      </c>
      <c r="F11" s="4" t="s">
        <v>15</v>
      </c>
      <c r="G11" s="4" t="s">
        <v>13046</v>
      </c>
      <c r="H11" s="4" t="s">
        <v>16</v>
      </c>
      <c r="I11" s="4" t="s">
        <v>17</v>
      </c>
      <c r="J11" s="4" t="s">
        <v>12</v>
      </c>
      <c r="K11" s="4"/>
      <c r="L11" s="4"/>
      <c r="M11" s="77"/>
      <c r="N11" s="4"/>
      <c r="O11" s="4" t="s">
        <v>18</v>
      </c>
      <c r="P11" s="4" t="s">
        <v>11</v>
      </c>
      <c r="Q11" s="4"/>
      <c r="R11" s="4" t="s">
        <v>1176</v>
      </c>
      <c r="S11" s="4" t="s">
        <v>13045</v>
      </c>
      <c r="T11" s="41" t="s">
        <v>1172</v>
      </c>
      <c r="U11" s="306" t="s">
        <v>1175</v>
      </c>
      <c r="V11" s="4" t="s">
        <v>13042</v>
      </c>
      <c r="W11" s="77" t="s">
        <v>13043</v>
      </c>
      <c r="X11" s="4" t="s">
        <v>13044</v>
      </c>
      <c r="Y11" s="6"/>
      <c r="Z11" s="6"/>
      <c r="AH11"/>
      <c r="AI11"/>
    </row>
    <row r="12" spans="1:36" s="61" customFormat="1">
      <c r="A12" s="57"/>
      <c r="B12" s="59"/>
      <c r="C12" s="53"/>
      <c r="D12" s="60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16"/>
      <c r="T12" s="16">
        <f ca="1">SUM(T13:T182)</f>
        <v>0</v>
      </c>
      <c r="U12" s="16">
        <f ca="1">SUM(U13:U182)</f>
        <v>0</v>
      </c>
      <c r="V12" s="53"/>
      <c r="W12" s="53"/>
      <c r="X12" s="53"/>
      <c r="Y12" s="57"/>
      <c r="Z12" s="57"/>
      <c r="AA12" s="1207" t="str">
        <f>D11</f>
        <v>Name</v>
      </c>
      <c r="AB12" s="1207" t="str">
        <f>F11</f>
        <v>ex-date</v>
      </c>
      <c r="AC12" s="1208" t="str">
        <f>S11</f>
        <v>amount to be paid EURO</v>
      </c>
      <c r="AD12" s="57"/>
    </row>
    <row r="13" spans="1:36" ht="14.5">
      <c r="A13" s="6"/>
      <c r="B13" s="53" t="s">
        <v>12889</v>
      </c>
      <c r="C13" s="8" t="str">
        <f>IF(B13="","",B13)</f>
        <v>6752 JP</v>
      </c>
      <c r="D13" s="14" t="e">
        <f ca="1">_xll.BDP(C13 &amp; " Equity","SECURITY_NAME")</f>
        <v>#NAME?</v>
      </c>
      <c r="E13" s="11" t="e">
        <f ca="1">_xll.BDP($C13 &amp;" Equity","dvd_sh_last")</f>
        <v>#NAME?</v>
      </c>
      <c r="F13" s="8" t="e">
        <f ca="1">_xll.BDP($C13 &amp; " Equity","dvd_ex_dt")</f>
        <v>#NAME?</v>
      </c>
      <c r="G13" s="8" t="e">
        <f ca="1">_xll.BDP($C13 &amp; " Equity","BDVD_NEXT_EST_DECL_DT")</f>
        <v>#NAME?</v>
      </c>
      <c r="H13" s="8" t="e">
        <f ca="1">_xll.BDP($C13&amp; " Equity","dvd_pay_dt")</f>
        <v>#NAME?</v>
      </c>
      <c r="I13" s="8" t="e">
        <f ca="1">_xll.BDP($C13&amp; " Equity","DVD_TYP_LAST")</f>
        <v>#NAME?</v>
      </c>
      <c r="J13" s="8" t="e">
        <f ca="1">_xll.BDP($C13&amp; " Equity","dvd_crncy")</f>
        <v>#NAME?</v>
      </c>
      <c r="K13" s="8" t="str">
        <f>IF(B13="","-","EUR")</f>
        <v>EUR</v>
      </c>
      <c r="L13" s="23" t="e">
        <f ca="1">IF(J13="EUR","EUR",K13&amp;J13&amp;" Curncy")</f>
        <v>#NAME?</v>
      </c>
      <c r="M13" s="23" t="e">
        <f ca="1">IF(L13="EUR",1,IF(L13="EURGBp Curncy",(_xll.BDP(L13,"PX_LAST")*100),_xll.BDP(L13,"PX_LAST")))</f>
        <v>#NAME?</v>
      </c>
      <c r="N13" s="239" t="str">
        <f ca="1">IFERROR(+E13/M13,"-")</f>
        <v>-</v>
      </c>
      <c r="O13" s="241" t="str">
        <f ca="1">IFERROR(N13,0)</f>
        <v>-</v>
      </c>
      <c r="P13" s="53">
        <v>173000</v>
      </c>
      <c r="Q13" s="53" t="e">
        <f ca="1">IF(E13="#N/A Field Not Applicable",0,E13*P13)</f>
        <v>#NAME?</v>
      </c>
      <c r="R13" s="53" t="e">
        <f ca="1">+Q13</f>
        <v>#NAME?</v>
      </c>
      <c r="S13" s="16" t="str">
        <f ca="1">IFERROR(+O13*P13,"-")</f>
        <v>-</v>
      </c>
      <c r="T13" s="1206" t="str">
        <f ca="1">IFERROR(IF($B$9=H13,S13,0),"")</f>
        <v/>
      </c>
      <c r="U13" s="16" t="str">
        <f ca="1">IFERROR(IF($B$9=H13,R13,"0"),"")</f>
        <v/>
      </c>
      <c r="V13" s="8" t="e">
        <f ca="1">_xll.BDP(B13 &amp;" Equity", "DVD_FREQ")</f>
        <v>#NAME?</v>
      </c>
      <c r="W13" s="23" t="e">
        <f ca="1">I13</f>
        <v>#NAME?</v>
      </c>
      <c r="X13" s="239" t="e">
        <f ca="1">_xll.BDP(B13 &amp;" Equity", "EQY_DVD_YLD_IND_NET")</f>
        <v>#NAME?</v>
      </c>
      <c r="Y13" s="6"/>
      <c r="Z13" s="6"/>
      <c r="AA13" s="6" t="e">
        <f t="shared" ref="AA13:AA62" ca="1" si="0">D13</f>
        <v>#NAME?</v>
      </c>
      <c r="AB13" s="1211" t="str">
        <f ca="1">IFERROR(F13,"")</f>
        <v/>
      </c>
      <c r="AC13" s="1210">
        <f t="shared" ref="AC13:AC62" si="1">S12</f>
        <v>0</v>
      </c>
      <c r="AH13" s="236" t="s">
        <v>12853</v>
      </c>
      <c r="AI13" t="s">
        <v>13067</v>
      </c>
      <c r="AJ13"/>
    </row>
    <row r="14" spans="1:36" ht="14.5">
      <c r="A14" s="6"/>
      <c r="B14" s="53" t="s">
        <v>12890</v>
      </c>
      <c r="C14" s="8" t="str">
        <f>IF(B14="","",B14)</f>
        <v>5713 JP</v>
      </c>
      <c r="D14" s="14" t="e">
        <f ca="1">_xll.BDP(C14 &amp; " Equity","SECURITY_NAME")</f>
        <v>#NAME?</v>
      </c>
      <c r="E14" s="11" t="e">
        <f ca="1">_xll.BDP($C14 &amp;" Equity","dvd_sh_last")</f>
        <v>#NAME?</v>
      </c>
      <c r="F14" s="8" t="e">
        <f ca="1">_xll.BDP($C14 &amp; " Equity","dvd_ex_dt")</f>
        <v>#NAME?</v>
      </c>
      <c r="G14" s="8" t="e">
        <f ca="1">_xll.BDP($C14 &amp; " Equity","BDVD_NEXT_EST_DECL_DT")</f>
        <v>#NAME?</v>
      </c>
      <c r="H14" s="8" t="e">
        <f ca="1">_xll.BDP($C14&amp; " Equity","dvd_pay_dt")</f>
        <v>#NAME?</v>
      </c>
      <c r="I14" s="8" t="e">
        <f ca="1">_xll.BDP($C14&amp; " Equity","DVD_TYP_LAST")</f>
        <v>#NAME?</v>
      </c>
      <c r="J14" s="8" t="e">
        <f ca="1">_xll.BDP($C14&amp; " Equity","dvd_crncy")</f>
        <v>#NAME?</v>
      </c>
      <c r="K14" s="8" t="str">
        <f t="shared" ref="K14:K65" si="2">IF(B14="","-","EUR")</f>
        <v>EUR</v>
      </c>
      <c r="L14" s="23" t="e">
        <f t="shared" ref="L14:L77" ca="1" si="3">IF(J14="EUR","EUR",K14&amp;J14&amp;" Curncy")</f>
        <v>#NAME?</v>
      </c>
      <c r="M14" s="23" t="e">
        <f ca="1">IF(L14="EUR",1,IF(L14="EURGBp Curncy",(_xll.BDP(L14,"PX_LAST")*100),_xll.BDP(L14,"PX_LAST")))</f>
        <v>#NAME?</v>
      </c>
      <c r="N14" s="239" t="str">
        <f ca="1">IFERROR(+E14/M14,"-")</f>
        <v>-</v>
      </c>
      <c r="O14" s="241" t="str">
        <f ca="1">IFERROR(N14,0)</f>
        <v>-</v>
      </c>
      <c r="P14" s="53">
        <v>42000</v>
      </c>
      <c r="Q14" s="53" t="e">
        <f ca="1">IF(E14="#N/A Field Not Applicable",0,E14*P14)</f>
        <v>#NAME?</v>
      </c>
      <c r="R14" s="53" t="e">
        <f t="shared" ref="R14:R77" ca="1" si="4">+Q14</f>
        <v>#NAME?</v>
      </c>
      <c r="S14" s="16" t="str">
        <f ca="1">IFERROR(P14*O14,"-")</f>
        <v>-</v>
      </c>
      <c r="T14" s="1206" t="str">
        <f ca="1">IFERROR(IF($B$9=H14,S14,0),"")</f>
        <v/>
      </c>
      <c r="U14" s="16" t="str">
        <f t="shared" ref="U14:U65" ca="1" si="5">IFERROR(IF($B$9=H14,R14,"0"),"")</f>
        <v/>
      </c>
      <c r="V14" s="8" t="e">
        <f ca="1">_xll.BDP(B14 &amp;" Equity", "DVD_FREQ")</f>
        <v>#NAME?</v>
      </c>
      <c r="W14" s="23" t="e">
        <f t="shared" ref="W14:W77" ca="1" si="6">I14</f>
        <v>#NAME?</v>
      </c>
      <c r="X14" s="239" t="e">
        <f ca="1">_xll.BDP(B14 &amp;" Equity", "EQY_DVD_YLD_IND_NET")</f>
        <v>#NAME?</v>
      </c>
      <c r="Y14" s="6"/>
      <c r="Z14" s="235"/>
      <c r="AA14" s="6" t="e">
        <f t="shared" ca="1" si="0"/>
        <v>#NAME?</v>
      </c>
      <c r="AB14" s="1211" t="str">
        <f t="shared" ref="AB14:AB32" ca="1" si="7">IFERROR(F14,"")</f>
        <v/>
      </c>
      <c r="AC14" s="1210" t="str">
        <f t="shared" ca="1" si="1"/>
        <v>-</v>
      </c>
      <c r="AH14" s="237" t="s">
        <v>13068</v>
      </c>
      <c r="AI14" s="348">
        <v>11032.2</v>
      </c>
      <c r="AJ14"/>
    </row>
    <row r="15" spans="1:36" ht="14.5">
      <c r="A15" s="6"/>
      <c r="B15" s="53" t="s">
        <v>12914</v>
      </c>
      <c r="C15" s="8" t="str">
        <f t="shared" ref="C15:C78" si="8">IF(B15="","",B15)</f>
        <v>4080 JP</v>
      </c>
      <c r="D15" s="14" t="e">
        <f ca="1">_xll.BDP(C15 &amp; " Equity","SECURITY_NAME")</f>
        <v>#NAME?</v>
      </c>
      <c r="E15" s="11" t="e">
        <f ca="1">_xll.BDP($C15 &amp;" Equity","dvd_sh_last")</f>
        <v>#NAME?</v>
      </c>
      <c r="F15" s="8" t="e">
        <f ca="1">_xll.BDP($C15 &amp; " Equity","dvd_ex_dt")</f>
        <v>#NAME?</v>
      </c>
      <c r="G15" s="8" t="e">
        <f ca="1">_xll.BDP($C15 &amp; " Equity","BDVD_NEXT_EST_DECL_DT")</f>
        <v>#NAME?</v>
      </c>
      <c r="H15" s="8" t="e">
        <f ca="1">_xll.BDP($C15&amp; " Equity","dvd_pay_dt")</f>
        <v>#NAME?</v>
      </c>
      <c r="I15" s="8" t="e">
        <f ca="1">_xll.BDP($C15&amp; " Equity","DVD_TYP_LAST")</f>
        <v>#NAME?</v>
      </c>
      <c r="J15" s="8" t="e">
        <f ca="1">_xll.BDP($C15&amp; " Equity","dvd_crncy")</f>
        <v>#NAME?</v>
      </c>
      <c r="K15" s="8" t="str">
        <f t="shared" si="2"/>
        <v>EUR</v>
      </c>
      <c r="L15" s="23" t="e">
        <f t="shared" ca="1" si="3"/>
        <v>#NAME?</v>
      </c>
      <c r="M15" s="23" t="e">
        <f ca="1">IF(L15="EUR",1,IF(L15="EURGBp Curncy",(_xll.BDP(L15,"PX_LAST")*100),_xll.BDP(L15,"PX_LAST")))</f>
        <v>#NAME?</v>
      </c>
      <c r="N15" s="239" t="str">
        <f ca="1">IFERROR(+E15/M15,"-")</f>
        <v>-</v>
      </c>
      <c r="O15" s="241" t="str">
        <f t="shared" ref="O15:O62" ca="1" si="9">IFERROR(N15,0)</f>
        <v>-</v>
      </c>
      <c r="P15" s="53">
        <v>16900</v>
      </c>
      <c r="Q15" s="53" t="e">
        <f t="shared" ref="Q15:Q77" ca="1" si="10">IF(E15="#N/A Field Not Applicable",0,E15*P15)</f>
        <v>#NAME?</v>
      </c>
      <c r="R15" s="53" t="e">
        <f t="shared" ca="1" si="4"/>
        <v>#NAME?</v>
      </c>
      <c r="S15" s="16" t="str">
        <f t="shared" ref="S15:S78" ca="1" si="11">IFERROR(P15*O15,"-")</f>
        <v>-</v>
      </c>
      <c r="T15" s="1206" t="str">
        <f t="shared" ref="T15:T78" ca="1" si="12">IFERROR(IF($B$9=H15,S15,0),"")</f>
        <v/>
      </c>
      <c r="U15" s="16" t="str">
        <f t="shared" ca="1" si="5"/>
        <v/>
      </c>
      <c r="V15" s="8" t="e">
        <f ca="1">_xll.BDP(B15 &amp;" Equity", "DVD_FREQ")</f>
        <v>#NAME?</v>
      </c>
      <c r="W15" s="23" t="e">
        <f t="shared" ca="1" si="6"/>
        <v>#NAME?</v>
      </c>
      <c r="X15" s="239" t="e">
        <f ca="1">_xll.BDP(B15 &amp;" Equity", "EQY_DVD_YLD_IND_NET")</f>
        <v>#NAME?</v>
      </c>
      <c r="Y15" s="6"/>
      <c r="Z15" s="6"/>
      <c r="AA15" s="6" t="e">
        <f t="shared" ca="1" si="0"/>
        <v>#NAME?</v>
      </c>
      <c r="AB15" s="1211" t="str">
        <f t="shared" ca="1" si="7"/>
        <v/>
      </c>
      <c r="AC15" s="1210" t="str">
        <f t="shared" ca="1" si="1"/>
        <v>-</v>
      </c>
      <c r="AH15" s="237" t="s">
        <v>13069</v>
      </c>
      <c r="AI15" s="348">
        <v>5102.4352531890218</v>
      </c>
      <c r="AJ15"/>
    </row>
    <row r="16" spans="1:36" ht="14.5">
      <c r="A16" s="6"/>
      <c r="B16" s="53" t="s">
        <v>12915</v>
      </c>
      <c r="C16" s="8" t="str">
        <f t="shared" si="8"/>
        <v>4092 JP</v>
      </c>
      <c r="D16" s="14" t="e">
        <f ca="1">_xll.BDP(C16 &amp; " Equity","SECURITY_NAME")</f>
        <v>#NAME?</v>
      </c>
      <c r="E16" s="11" t="e">
        <f ca="1">_xll.BDP($C16 &amp;" Equity","dvd_sh_last")</f>
        <v>#NAME?</v>
      </c>
      <c r="F16" s="8" t="e">
        <f ca="1">_xll.BDP($C16 &amp; " Equity","dvd_ex_dt")</f>
        <v>#NAME?</v>
      </c>
      <c r="G16" s="8" t="e">
        <f ca="1">_xll.BDP($C16 &amp; " Equity","BDVD_NEXT_EST_DECL_DT")</f>
        <v>#NAME?</v>
      </c>
      <c r="H16" s="8" t="e">
        <f ca="1">_xll.BDP($C16&amp; " Equity","dvd_pay_dt")</f>
        <v>#NAME?</v>
      </c>
      <c r="I16" s="8" t="e">
        <f ca="1">_xll.BDP($C16&amp; " Equity","DVD_TYP_LAST")</f>
        <v>#NAME?</v>
      </c>
      <c r="J16" s="8" t="e">
        <f ca="1">_xll.BDP($C16&amp; " Equity","dvd_crncy")</f>
        <v>#NAME?</v>
      </c>
      <c r="K16" s="8" t="str">
        <f t="shared" si="2"/>
        <v>EUR</v>
      </c>
      <c r="L16" s="23" t="e">
        <f t="shared" ca="1" si="3"/>
        <v>#NAME?</v>
      </c>
      <c r="M16" s="23" t="e">
        <f ca="1">IF(L16="EUR",1,IF(L16="EURGBp Curncy",(_xll.BDP(L16,"PX_LAST")*100),_xll.BDP(L16,"PX_LAST")))</f>
        <v>#NAME?</v>
      </c>
      <c r="N16" s="239" t="str">
        <f ca="1">IFERROR(+E16/M16,"-")</f>
        <v>-</v>
      </c>
      <c r="O16" s="241" t="str">
        <f t="shared" ca="1" si="9"/>
        <v>-</v>
      </c>
      <c r="P16" s="53">
        <v>17000</v>
      </c>
      <c r="Q16" s="53" t="e">
        <f t="shared" ca="1" si="10"/>
        <v>#NAME?</v>
      </c>
      <c r="R16" s="53" t="e">
        <f t="shared" ca="1" si="4"/>
        <v>#NAME?</v>
      </c>
      <c r="S16" s="16" t="str">
        <f t="shared" ca="1" si="11"/>
        <v>-</v>
      </c>
      <c r="T16" s="1206" t="str">
        <f t="shared" ca="1" si="12"/>
        <v/>
      </c>
      <c r="U16" s="16" t="str">
        <f t="shared" ca="1" si="5"/>
        <v/>
      </c>
      <c r="V16" s="8" t="e">
        <f ca="1">_xll.BDP(B16 &amp;" Equity", "DVD_FREQ")</f>
        <v>#NAME?</v>
      </c>
      <c r="W16" s="23" t="e">
        <f t="shared" ca="1" si="6"/>
        <v>#NAME?</v>
      </c>
      <c r="X16" s="239" t="e">
        <f ca="1">_xll.BDP(B16 &amp;" Equity", "EQY_DVD_YLD_IND_NET")</f>
        <v>#NAME?</v>
      </c>
      <c r="Y16" s="6"/>
      <c r="Z16" s="6"/>
      <c r="AA16" s="6" t="e">
        <f t="shared" ca="1" si="0"/>
        <v>#NAME?</v>
      </c>
      <c r="AB16" s="1211" t="str">
        <f t="shared" ca="1" si="7"/>
        <v/>
      </c>
      <c r="AC16" s="1210" t="str">
        <f t="shared" ca="1" si="1"/>
        <v>-</v>
      </c>
      <c r="AH16" s="237" t="s">
        <v>13070</v>
      </c>
      <c r="AI16" s="348">
        <v>2854.2713567839196</v>
      </c>
      <c r="AJ16"/>
    </row>
    <row r="17" spans="1:36" ht="14.5">
      <c r="A17" s="6"/>
      <c r="B17" s="53" t="s">
        <v>12916</v>
      </c>
      <c r="C17" s="8" t="str">
        <f t="shared" si="8"/>
        <v>4100 JP</v>
      </c>
      <c r="D17" s="14" t="e">
        <f ca="1">_xll.BDP(C17 &amp; " Equity","SECURITY_NAME")</f>
        <v>#NAME?</v>
      </c>
      <c r="E17" s="11" t="e">
        <f ca="1">_xll.BDP($C17 &amp;" Equity","dvd_sh_last")</f>
        <v>#NAME?</v>
      </c>
      <c r="F17" s="8" t="e">
        <f ca="1">_xll.BDP($C17 &amp; " Equity","dvd_ex_dt")</f>
        <v>#NAME?</v>
      </c>
      <c r="G17" s="8" t="e">
        <f ca="1">_xll.BDP($C17 &amp; " Equity","BDVD_NEXT_EST_DECL_DT")</f>
        <v>#NAME?</v>
      </c>
      <c r="H17" s="8" t="e">
        <f ca="1">_xll.BDP($C17&amp; " Equity","dvd_pay_dt")</f>
        <v>#NAME?</v>
      </c>
      <c r="I17" s="8" t="e">
        <f ca="1">_xll.BDP($C17&amp; " Equity","DVD_TYP_LAST")</f>
        <v>#NAME?</v>
      </c>
      <c r="J17" s="8" t="e">
        <f ca="1">_xll.BDP($C17&amp; " Equity","dvd_crncy")</f>
        <v>#NAME?</v>
      </c>
      <c r="K17" s="8" t="str">
        <f t="shared" si="2"/>
        <v>EUR</v>
      </c>
      <c r="L17" s="23" t="e">
        <f t="shared" ca="1" si="3"/>
        <v>#NAME?</v>
      </c>
      <c r="M17" s="23" t="e">
        <f ca="1">IF(L17="EUR",1,IF(L17="EURGBp Curncy",(_xll.BDP(L17,"PX_LAST")*100),_xll.BDP(L17,"PX_LAST")))</f>
        <v>#NAME?</v>
      </c>
      <c r="N17" s="239" t="str">
        <f t="shared" ref="N17:N65" ca="1" si="13">IFERROR(+E17/M17,"-")</f>
        <v>-</v>
      </c>
      <c r="O17" s="241" t="str">
        <f t="shared" ca="1" si="9"/>
        <v>-</v>
      </c>
      <c r="P17" s="53">
        <v>50000</v>
      </c>
      <c r="Q17" s="53" t="e">
        <f t="shared" ca="1" si="10"/>
        <v>#NAME?</v>
      </c>
      <c r="R17" s="53" t="e">
        <f t="shared" ca="1" si="4"/>
        <v>#NAME?</v>
      </c>
      <c r="S17" s="16" t="str">
        <f t="shared" ca="1" si="11"/>
        <v>-</v>
      </c>
      <c r="T17" s="1206" t="str">
        <f t="shared" ca="1" si="12"/>
        <v/>
      </c>
      <c r="U17" s="16" t="str">
        <f t="shared" ca="1" si="5"/>
        <v/>
      </c>
      <c r="V17" s="8" t="e">
        <f ca="1">_xll.BDP(B17 &amp;" Equity", "DVD_FREQ")</f>
        <v>#NAME?</v>
      </c>
      <c r="W17" s="23" t="e">
        <f t="shared" ca="1" si="6"/>
        <v>#NAME?</v>
      </c>
      <c r="X17" s="239" t="e">
        <f ca="1">_xll.BDP(B17 &amp;" Equity", "EQY_DVD_YLD_IND_NET")</f>
        <v>#NAME?</v>
      </c>
      <c r="Y17" s="6"/>
      <c r="Z17" s="6"/>
      <c r="AA17" s="6" t="e">
        <f t="shared" ca="1" si="0"/>
        <v>#NAME?</v>
      </c>
      <c r="AB17" s="1211" t="str">
        <f t="shared" ca="1" si="7"/>
        <v/>
      </c>
      <c r="AC17" s="1210" t="str">
        <f t="shared" ca="1" si="1"/>
        <v>-</v>
      </c>
      <c r="AH17" s="237" t="s">
        <v>13071</v>
      </c>
      <c r="AI17" s="348">
        <v>1971.3954387321221</v>
      </c>
      <c r="AJ17"/>
    </row>
    <row r="18" spans="1:36" ht="14.5">
      <c r="A18" s="6"/>
      <c r="B18" s="53" t="s">
        <v>12891</v>
      </c>
      <c r="C18" s="8" t="str">
        <f t="shared" si="8"/>
        <v>4004 JP</v>
      </c>
      <c r="D18" s="14" t="e">
        <f ca="1">_xll.BDP(C18 &amp; " Equity","SECURITY_NAME")</f>
        <v>#NAME?</v>
      </c>
      <c r="E18" s="11" t="e">
        <f ca="1">_xll.BDP($C18 &amp;" Equity","dvd_sh_last")</f>
        <v>#NAME?</v>
      </c>
      <c r="F18" s="8" t="e">
        <f ca="1">_xll.BDP($C18 &amp; " Equity","dvd_ex_dt")</f>
        <v>#NAME?</v>
      </c>
      <c r="G18" s="8" t="e">
        <f ca="1">_xll.BDP($C18 &amp; " Equity","BDVD_NEXT_EST_DECL_DT")</f>
        <v>#NAME?</v>
      </c>
      <c r="H18" s="8" t="e">
        <f ca="1">_xll.BDP($C18&amp; " Equity","dvd_pay_dt")</f>
        <v>#NAME?</v>
      </c>
      <c r="I18" s="8" t="e">
        <f ca="1">_xll.BDP($C18&amp; " Equity","DVD_TYP_LAST")</f>
        <v>#NAME?</v>
      </c>
      <c r="J18" s="8" t="e">
        <f ca="1">_xll.BDP($C18&amp; " Equity","dvd_crncy")</f>
        <v>#NAME?</v>
      </c>
      <c r="K18" s="8" t="str">
        <f t="shared" si="2"/>
        <v>EUR</v>
      </c>
      <c r="L18" s="23" t="e">
        <f t="shared" ca="1" si="3"/>
        <v>#NAME?</v>
      </c>
      <c r="M18" s="23" t="e">
        <f ca="1">IF(L18="EUR",1,IF(L18="EURGBp Curncy",(_xll.BDP(L18,"PX_LAST")*100),_xll.BDP(L18,"PX_LAST")))</f>
        <v>#NAME?</v>
      </c>
      <c r="N18" s="239" t="str">
        <f t="shared" ca="1" si="13"/>
        <v>-</v>
      </c>
      <c r="O18" s="241" t="str">
        <f t="shared" ca="1" si="9"/>
        <v>-</v>
      </c>
      <c r="P18" s="53">
        <v>42000</v>
      </c>
      <c r="Q18" s="53" t="e">
        <f t="shared" ca="1" si="10"/>
        <v>#NAME?</v>
      </c>
      <c r="R18" s="53" t="e">
        <f t="shared" ca="1" si="4"/>
        <v>#NAME?</v>
      </c>
      <c r="S18" s="16" t="str">
        <f ca="1">IFERROR(P18*O18,"-")</f>
        <v>-</v>
      </c>
      <c r="T18" s="1206" t="str">
        <f t="shared" ca="1" si="12"/>
        <v/>
      </c>
      <c r="U18" s="16" t="str">
        <f t="shared" ca="1" si="5"/>
        <v/>
      </c>
      <c r="V18" s="8" t="e">
        <f ca="1">_xll.BDP(B18 &amp;" Equity", "DVD_FREQ")</f>
        <v>#NAME?</v>
      </c>
      <c r="W18" s="23" t="e">
        <f t="shared" ca="1" si="6"/>
        <v>#NAME?</v>
      </c>
      <c r="X18" s="239" t="e">
        <f ca="1">_xll.BDP(B18 &amp;" Equity", "EQY_DVD_YLD_IND_NET")</f>
        <v>#NAME?</v>
      </c>
      <c r="Y18" s="6"/>
      <c r="Z18" s="6"/>
      <c r="AA18" s="6" t="e">
        <f t="shared" ca="1" si="0"/>
        <v>#NAME?</v>
      </c>
      <c r="AB18" s="1211" t="str">
        <f t="shared" ca="1" si="7"/>
        <v/>
      </c>
      <c r="AC18" s="1210" t="str">
        <f t="shared" ca="1" si="1"/>
        <v>-</v>
      </c>
      <c r="AH18" s="237" t="s">
        <v>13072</v>
      </c>
      <c r="AI18" s="348">
        <v>0</v>
      </c>
      <c r="AJ18"/>
    </row>
    <row r="19" spans="1:36" ht="14.5">
      <c r="A19" s="6"/>
      <c r="B19" s="53" t="s">
        <v>12917</v>
      </c>
      <c r="C19" s="8" t="str">
        <f t="shared" si="8"/>
        <v>5302 JP</v>
      </c>
      <c r="D19" s="14" t="e">
        <f ca="1">_xll.BDP(C19 &amp; " Equity","SECURITY_NAME")</f>
        <v>#NAME?</v>
      </c>
      <c r="E19" s="11" t="e">
        <f ca="1">_xll.BDP($C19 &amp;" Equity","dvd_sh_last")</f>
        <v>#NAME?</v>
      </c>
      <c r="F19" s="8" t="e">
        <f ca="1">_xll.BDP($C19 &amp; " Equity","dvd_ex_dt")</f>
        <v>#NAME?</v>
      </c>
      <c r="G19" s="8" t="e">
        <f ca="1">_xll.BDP($C19 &amp; " Equity","BDVD_NEXT_EST_DECL_DT")</f>
        <v>#NAME?</v>
      </c>
      <c r="H19" s="8" t="e">
        <f ca="1">_xll.BDP($C19&amp; " Equity","dvd_pay_dt")</f>
        <v>#NAME?</v>
      </c>
      <c r="I19" s="8" t="e">
        <f ca="1">_xll.BDP($C19&amp; " Equity","DVD_TYP_LAST")</f>
        <v>#NAME?</v>
      </c>
      <c r="J19" s="8" t="e">
        <f ca="1">_xll.BDP($C19&amp; " Equity","dvd_crncy")</f>
        <v>#NAME?</v>
      </c>
      <c r="K19" s="8" t="str">
        <f t="shared" si="2"/>
        <v>EUR</v>
      </c>
      <c r="L19" s="23" t="e">
        <f t="shared" ca="1" si="3"/>
        <v>#NAME?</v>
      </c>
      <c r="M19" s="23" t="e">
        <f ca="1">IF(L19="EUR",1,IF(L19="EURGBp Curncy",(_xll.BDP(L19,"PX_LAST")*100),_xll.BDP(L19,"PX_LAST")))</f>
        <v>#NAME?</v>
      </c>
      <c r="N19" s="239" t="str">
        <f t="shared" ca="1" si="13"/>
        <v>-</v>
      </c>
      <c r="O19" s="241" t="str">
        <f t="shared" ca="1" si="9"/>
        <v>-</v>
      </c>
      <c r="P19" s="53">
        <v>3800</v>
      </c>
      <c r="Q19" s="53" t="e">
        <f t="shared" ca="1" si="10"/>
        <v>#NAME?</v>
      </c>
      <c r="R19" s="53" t="e">
        <f t="shared" ca="1" si="4"/>
        <v>#NAME?</v>
      </c>
      <c r="S19" s="16" t="str">
        <f t="shared" ca="1" si="11"/>
        <v>-</v>
      </c>
      <c r="T19" s="1206" t="str">
        <f t="shared" ca="1" si="12"/>
        <v/>
      </c>
      <c r="U19" s="16" t="str">
        <f t="shared" ca="1" si="5"/>
        <v/>
      </c>
      <c r="V19" s="8" t="e">
        <f ca="1">_xll.BDP(B19 &amp;" Equity", "DVD_FREQ")</f>
        <v>#NAME?</v>
      </c>
      <c r="W19" s="23" t="e">
        <f t="shared" ca="1" si="6"/>
        <v>#NAME?</v>
      </c>
      <c r="X19" s="239" t="e">
        <f ca="1">_xll.BDP(B19 &amp;" Equity", "EQY_DVD_YLD_IND_NET")</f>
        <v>#NAME?</v>
      </c>
      <c r="Y19" s="6"/>
      <c r="Z19" s="6"/>
      <c r="AA19" s="6" t="e">
        <f t="shared" ca="1" si="0"/>
        <v>#NAME?</v>
      </c>
      <c r="AB19" s="1211" t="str">
        <f t="shared" ca="1" si="7"/>
        <v/>
      </c>
      <c r="AC19" s="1210" t="str">
        <f t="shared" ca="1" si="1"/>
        <v>-</v>
      </c>
      <c r="AH19" s="237" t="s">
        <v>13073</v>
      </c>
      <c r="AI19" s="348">
        <v>10200</v>
      </c>
      <c r="AJ19"/>
    </row>
    <row r="20" spans="1:36" ht="14.5">
      <c r="A20" s="6"/>
      <c r="B20" s="53" t="s">
        <v>12939</v>
      </c>
      <c r="C20" s="8" t="str">
        <f t="shared" si="8"/>
        <v>5310 JP</v>
      </c>
      <c r="D20" s="14" t="e">
        <f ca="1">_xll.BDP(C20 &amp; " Equity","SECURITY_NAME")</f>
        <v>#NAME?</v>
      </c>
      <c r="E20" s="11" t="e">
        <f ca="1">_xll.BDP($C20 &amp;" Equity","dvd_sh_last")</f>
        <v>#NAME?</v>
      </c>
      <c r="F20" s="8" t="e">
        <f ca="1">_xll.BDP($C20 &amp; " Equity","dvd_ex_dt")</f>
        <v>#NAME?</v>
      </c>
      <c r="G20" s="8" t="e">
        <f ca="1">_xll.BDP($C20 &amp; " Equity","BDVD_NEXT_EST_DECL_DT")</f>
        <v>#NAME?</v>
      </c>
      <c r="H20" s="8" t="e">
        <f ca="1">_xll.BDP($C20&amp; " Equity","dvd_pay_dt")</f>
        <v>#NAME?</v>
      </c>
      <c r="I20" s="8" t="e">
        <f ca="1">_xll.BDP($C20&amp; " Equity","DVD_TYP_LAST")</f>
        <v>#NAME?</v>
      </c>
      <c r="J20" s="8" t="e">
        <f ca="1">_xll.BDP($C20&amp; " Equity","dvd_crncy")</f>
        <v>#NAME?</v>
      </c>
      <c r="K20" s="8" t="str">
        <f t="shared" si="2"/>
        <v>EUR</v>
      </c>
      <c r="L20" s="23" t="e">
        <f t="shared" ca="1" si="3"/>
        <v>#NAME?</v>
      </c>
      <c r="M20" s="23" t="e">
        <f ca="1">IF(L20="EUR",1,IF(L20="EURGBp Curncy",(_xll.BDP(L20,"PX_LAST")*100),_xll.BDP(L20,"PX_LAST")))</f>
        <v>#NAME?</v>
      </c>
      <c r="N20" s="239" t="str">
        <f t="shared" ca="1" si="13"/>
        <v>-</v>
      </c>
      <c r="O20" s="241" t="str">
        <f t="shared" ca="1" si="9"/>
        <v>-</v>
      </c>
      <c r="P20" s="53">
        <v>5400</v>
      </c>
      <c r="Q20" s="53" t="e">
        <f t="shared" ca="1" si="10"/>
        <v>#NAME?</v>
      </c>
      <c r="R20" s="53" t="e">
        <f t="shared" ca="1" si="4"/>
        <v>#NAME?</v>
      </c>
      <c r="S20" s="16" t="str">
        <f t="shared" ca="1" si="11"/>
        <v>-</v>
      </c>
      <c r="T20" s="1206" t="str">
        <f t="shared" ca="1" si="12"/>
        <v/>
      </c>
      <c r="U20" s="16" t="str">
        <f t="shared" ca="1" si="5"/>
        <v/>
      </c>
      <c r="V20" s="8" t="e">
        <f ca="1">_xll.BDP(B20 &amp;" Equity", "DVD_FREQ")</f>
        <v>#NAME?</v>
      </c>
      <c r="W20" s="23" t="e">
        <f t="shared" ca="1" si="6"/>
        <v>#NAME?</v>
      </c>
      <c r="X20" s="239" t="e">
        <f ca="1">_xll.BDP(B20 &amp;" Equity", "EQY_DVD_YLD_IND_NET")</f>
        <v>#NAME?</v>
      </c>
      <c r="Y20" s="6"/>
      <c r="Z20" s="6"/>
      <c r="AA20" s="6" t="e">
        <f t="shared" ca="1" si="0"/>
        <v>#NAME?</v>
      </c>
      <c r="AB20" s="1211" t="str">
        <f t="shared" ca="1" si="7"/>
        <v/>
      </c>
      <c r="AC20" s="1210" t="str">
        <f t="shared" ca="1" si="1"/>
        <v>-</v>
      </c>
      <c r="AG20" s="1205"/>
      <c r="AH20" s="237" t="s">
        <v>13074</v>
      </c>
      <c r="AI20" s="348">
        <v>2226.5172013915735</v>
      </c>
      <c r="AJ20"/>
    </row>
    <row r="21" spans="1:36" ht="14.5">
      <c r="A21" s="6"/>
      <c r="B21" s="53" t="s">
        <v>12892</v>
      </c>
      <c r="C21" s="8" t="str">
        <f t="shared" si="8"/>
        <v>4005 JP</v>
      </c>
      <c r="D21" s="14" t="e">
        <f ca="1">_xll.BDP(C21 &amp; " Equity","SECURITY_NAME")</f>
        <v>#NAME?</v>
      </c>
      <c r="E21" s="11" t="e">
        <f ca="1">_xll.BDP($C21 &amp;" Equity","dvd_sh_last")</f>
        <v>#NAME?</v>
      </c>
      <c r="F21" s="8" t="e">
        <f ca="1">_xll.BDP($C21 &amp; " Equity","dvd_ex_dt")</f>
        <v>#NAME?</v>
      </c>
      <c r="G21" s="8" t="e">
        <f ca="1">_xll.BDP($C21 &amp; " Equity","BDVD_NEXT_EST_DECL_DT")</f>
        <v>#NAME?</v>
      </c>
      <c r="H21" s="8" t="e">
        <f ca="1">_xll.BDP($C21&amp; " Equity","dvd_pay_dt")</f>
        <v>#NAME?</v>
      </c>
      <c r="I21" s="8" t="e">
        <f ca="1">_xll.BDP($C21&amp; " Equity","DVD_TYP_LAST")</f>
        <v>#NAME?</v>
      </c>
      <c r="J21" s="8" t="e">
        <f ca="1">_xll.BDP($C21&amp; " Equity","dvd_crncy")</f>
        <v>#NAME?</v>
      </c>
      <c r="K21" s="8" t="str">
        <f t="shared" si="2"/>
        <v>EUR</v>
      </c>
      <c r="L21" s="23" t="e">
        <f t="shared" ca="1" si="3"/>
        <v>#NAME?</v>
      </c>
      <c r="M21" s="23" t="e">
        <f ca="1">IF(L21="EUR",1,IF(L21="EURGBp Curncy",(_xll.BDP(L21,"PX_LAST")*100),_xll.BDP(L21,"PX_LAST")))</f>
        <v>#NAME?</v>
      </c>
      <c r="N21" s="239" t="str">
        <f t="shared" ca="1" si="13"/>
        <v>-</v>
      </c>
      <c r="O21" s="241" t="str">
        <f t="shared" ca="1" si="9"/>
        <v>-</v>
      </c>
      <c r="P21" s="53">
        <v>31000</v>
      </c>
      <c r="Q21" s="53" t="e">
        <f t="shared" ca="1" si="10"/>
        <v>#NAME?</v>
      </c>
      <c r="R21" s="53" t="e">
        <f t="shared" ca="1" si="4"/>
        <v>#NAME?</v>
      </c>
      <c r="S21" s="16" t="str">
        <f t="shared" ca="1" si="11"/>
        <v>-</v>
      </c>
      <c r="T21" s="1206" t="str">
        <f t="shared" ca="1" si="12"/>
        <v/>
      </c>
      <c r="U21" s="16" t="str">
        <f t="shared" ca="1" si="5"/>
        <v/>
      </c>
      <c r="V21" s="8" t="e">
        <f ca="1">_xll.BDP(B21 &amp;" Equity", "DVD_FREQ")</f>
        <v>#NAME?</v>
      </c>
      <c r="W21" s="23" t="e">
        <f t="shared" ca="1" si="6"/>
        <v>#NAME?</v>
      </c>
      <c r="X21" s="239" t="e">
        <f ca="1">_xll.BDP(B21 &amp;" Equity", "EQY_DVD_YLD_IND_NET")</f>
        <v>#NAME?</v>
      </c>
      <c r="Y21" s="6"/>
      <c r="Z21" s="6"/>
      <c r="AA21" s="6" t="e">
        <f t="shared" ca="1" si="0"/>
        <v>#NAME?</v>
      </c>
      <c r="AB21" s="1211" t="str">
        <f t="shared" ca="1" si="7"/>
        <v/>
      </c>
      <c r="AC21" s="1210" t="str">
        <f t="shared" ca="1" si="1"/>
        <v>-</v>
      </c>
      <c r="AH21" s="237" t="s">
        <v>13075</v>
      </c>
      <c r="AI21" s="348">
        <v>0</v>
      </c>
      <c r="AJ21"/>
    </row>
    <row r="22" spans="1:36" ht="14.5">
      <c r="A22" s="6"/>
      <c r="B22" s="53" t="s">
        <v>12893</v>
      </c>
      <c r="C22" s="8" t="str">
        <f t="shared" si="8"/>
        <v>3401 JP</v>
      </c>
      <c r="D22" s="14" t="e">
        <f ca="1">_xll.BDP(C22 &amp; " Equity","SECURITY_NAME")</f>
        <v>#NAME?</v>
      </c>
      <c r="E22" s="11" t="e">
        <f ca="1">_xll.BDP($C22 &amp;" Equity","dvd_sh_last")</f>
        <v>#NAME?</v>
      </c>
      <c r="F22" s="8" t="e">
        <f ca="1">_xll.BDP($C22 &amp; " Equity","dvd_ex_dt")</f>
        <v>#NAME?</v>
      </c>
      <c r="G22" s="8" t="e">
        <f ca="1">_xll.BDP($C22 &amp; " Equity","BDVD_NEXT_EST_DECL_DT")</f>
        <v>#NAME?</v>
      </c>
      <c r="H22" s="8" t="e">
        <f ca="1">_xll.BDP($C22&amp; " Equity","dvd_pay_dt")</f>
        <v>#NAME?</v>
      </c>
      <c r="I22" s="8" t="e">
        <f ca="1">_xll.BDP($C22&amp; " Equity","DVD_TYP_LAST")</f>
        <v>#NAME?</v>
      </c>
      <c r="J22" s="8" t="e">
        <f ca="1">_xll.BDP($C22&amp; " Equity","dvd_crncy")</f>
        <v>#NAME?</v>
      </c>
      <c r="K22" s="8" t="str">
        <f t="shared" si="2"/>
        <v>EUR</v>
      </c>
      <c r="L22" s="23" t="e">
        <f t="shared" ca="1" si="3"/>
        <v>#NAME?</v>
      </c>
      <c r="M22" s="23" t="e">
        <f ca="1">IF(L22="EUR",1,IF(L22="EURGBp Curncy",(_xll.BDP(L22,"PX_LAST")*100),_xll.BDP(L22,"PX_LAST")))</f>
        <v>#NAME?</v>
      </c>
      <c r="N22" s="239" t="str">
        <f t="shared" ca="1" si="13"/>
        <v>-</v>
      </c>
      <c r="O22" s="241" t="str">
        <f t="shared" ca="1" si="9"/>
        <v>-</v>
      </c>
      <c r="P22" s="53">
        <v>89000</v>
      </c>
      <c r="Q22" s="53" t="e">
        <f t="shared" ca="1" si="10"/>
        <v>#NAME?</v>
      </c>
      <c r="R22" s="53" t="e">
        <f t="shared" ca="1" si="4"/>
        <v>#NAME?</v>
      </c>
      <c r="S22" s="16" t="str">
        <f t="shared" ca="1" si="11"/>
        <v>-</v>
      </c>
      <c r="T22" s="1206" t="str">
        <f t="shared" ca="1" si="12"/>
        <v/>
      </c>
      <c r="U22" s="16" t="str">
        <f t="shared" ca="1" si="5"/>
        <v/>
      </c>
      <c r="V22" s="8" t="e">
        <f ca="1">_xll.BDP(B22 &amp;" Equity", "DVD_FREQ")</f>
        <v>#NAME?</v>
      </c>
      <c r="W22" s="23" t="e">
        <f t="shared" ca="1" si="6"/>
        <v>#NAME?</v>
      </c>
      <c r="X22" s="239" t="e">
        <f ca="1">_xll.BDP(B22 &amp;" Equity", "EQY_DVD_YLD_IND_NET")</f>
        <v>#NAME?</v>
      </c>
      <c r="Y22" s="6"/>
      <c r="Z22" s="6"/>
      <c r="AA22" s="6" t="e">
        <f t="shared" ca="1" si="0"/>
        <v>#NAME?</v>
      </c>
      <c r="AB22" s="1211" t="str">
        <f t="shared" ca="1" si="7"/>
        <v/>
      </c>
      <c r="AC22" s="1210" t="str">
        <f t="shared" ca="1" si="1"/>
        <v>-</v>
      </c>
      <c r="AG22" s="1205"/>
      <c r="AH22" s="237" t="s">
        <v>13076</v>
      </c>
      <c r="AI22" s="348">
        <v>23053.730189408583</v>
      </c>
      <c r="AJ22"/>
    </row>
    <row r="23" spans="1:36" ht="14.5">
      <c r="A23" s="6"/>
      <c r="B23" s="53" t="s">
        <v>12894</v>
      </c>
      <c r="C23" s="8" t="str">
        <f t="shared" si="8"/>
        <v>051915 KS</v>
      </c>
      <c r="D23" s="14" t="e">
        <f ca="1">_xll.BDP(C23 &amp; " Equity","SECURITY_NAME")</f>
        <v>#NAME?</v>
      </c>
      <c r="E23" s="11" t="e">
        <f ca="1">_xll.BDP($C23 &amp;" Equity","dvd_sh_last")</f>
        <v>#NAME?</v>
      </c>
      <c r="F23" s="8" t="e">
        <f ca="1">_xll.BDP($C23 &amp; " Equity","dvd_ex_dt")</f>
        <v>#NAME?</v>
      </c>
      <c r="G23" s="8" t="e">
        <f ca="1">_xll.BDP($C23 &amp; " Equity","BDVD_NEXT_EST_DECL_DT")</f>
        <v>#NAME?</v>
      </c>
      <c r="H23" s="8" t="e">
        <f ca="1">_xll.BDP($C23&amp; " Equity","dvd_pay_dt")</f>
        <v>#NAME?</v>
      </c>
      <c r="I23" s="8" t="e">
        <f ca="1">_xll.BDP($C23&amp; " Equity","DVD_TYP_LAST")</f>
        <v>#NAME?</v>
      </c>
      <c r="J23" s="8" t="e">
        <f ca="1">_xll.BDP($C23&amp; " Equity","dvd_crncy")</f>
        <v>#NAME?</v>
      </c>
      <c r="K23" s="8" t="str">
        <f t="shared" si="2"/>
        <v>EUR</v>
      </c>
      <c r="L23" s="23" t="e">
        <f t="shared" ca="1" si="3"/>
        <v>#NAME?</v>
      </c>
      <c r="M23" s="23" t="e">
        <f ca="1">IF(L23="EUR",1,IF(L23="EURGBp Curncy",(_xll.BDP(L23,"PX_LAST")*100),_xll.BDP(L23,"PX_LAST")))</f>
        <v>#NAME?</v>
      </c>
      <c r="N23" s="239" t="str">
        <f ca="1">IFERROR(+E23/M23,"-")</f>
        <v>-</v>
      </c>
      <c r="O23" s="241" t="str">
        <f t="shared" ca="1" si="9"/>
        <v>-</v>
      </c>
      <c r="P23" s="53">
        <v>2200</v>
      </c>
      <c r="Q23" s="53" t="e">
        <f t="shared" ca="1" si="10"/>
        <v>#NAME?</v>
      </c>
      <c r="R23" s="53" t="e">
        <f t="shared" ca="1" si="4"/>
        <v>#NAME?</v>
      </c>
      <c r="S23" s="16" t="str">
        <f t="shared" ca="1" si="11"/>
        <v>-</v>
      </c>
      <c r="T23" s="1206" t="str">
        <f t="shared" ca="1" si="12"/>
        <v/>
      </c>
      <c r="U23" s="16" t="str">
        <f t="shared" ca="1" si="5"/>
        <v/>
      </c>
      <c r="V23" s="8" t="e">
        <f ca="1">_xll.BDP(B23 &amp;" Equity", "DVD_FREQ")</f>
        <v>#NAME?</v>
      </c>
      <c r="W23" s="23" t="e">
        <f t="shared" ca="1" si="6"/>
        <v>#NAME?</v>
      </c>
      <c r="X23" s="239" t="e">
        <f ca="1">_xll.BDP(B23 &amp;" Equity", "EQY_DVD_YLD_IND_NET")</f>
        <v>#NAME?</v>
      </c>
      <c r="Y23" s="6"/>
      <c r="Z23" s="6"/>
      <c r="AA23" s="6" t="e">
        <f t="shared" ca="1" si="0"/>
        <v>#NAME?</v>
      </c>
      <c r="AB23" s="1211" t="str">
        <f t="shared" ca="1" si="7"/>
        <v/>
      </c>
      <c r="AC23" s="1210" t="str">
        <f t="shared" ca="1" si="1"/>
        <v>-</v>
      </c>
      <c r="AH23" s="237" t="s">
        <v>13077</v>
      </c>
      <c r="AI23" s="348">
        <v>543.22153991497396</v>
      </c>
      <c r="AJ23"/>
    </row>
    <row r="24" spans="1:36" ht="14.5">
      <c r="A24" s="6"/>
      <c r="B24" s="53" t="s">
        <v>12895</v>
      </c>
      <c r="C24" s="8" t="str">
        <f t="shared" si="8"/>
        <v>006405 KS</v>
      </c>
      <c r="D24" s="14" t="e">
        <f ca="1">_xll.BDP(C24 &amp; " Equity","SECURITY_NAME")</f>
        <v>#NAME?</v>
      </c>
      <c r="E24" s="11" t="e">
        <f ca="1">_xll.BDP($C24 &amp;" Equity","dvd_sh_last")</f>
        <v>#NAME?</v>
      </c>
      <c r="F24" s="8" t="e">
        <f ca="1">_xll.BDP($C24 &amp; " Equity","dvd_ex_dt")</f>
        <v>#NAME?</v>
      </c>
      <c r="G24" s="8" t="e">
        <f ca="1">_xll.BDP($C24 &amp; " Equity","BDVD_NEXT_EST_DECL_DT")</f>
        <v>#NAME?</v>
      </c>
      <c r="H24" s="8" t="e">
        <f ca="1">_xll.BDP($C24&amp; " Equity","dvd_pay_dt")</f>
        <v>#NAME?</v>
      </c>
      <c r="I24" s="8" t="e">
        <f ca="1">_xll.BDP($C24&amp; " Equity","DVD_TYP_LAST")</f>
        <v>#NAME?</v>
      </c>
      <c r="J24" s="8" t="e">
        <f ca="1">_xll.BDP($C24&amp; " Equity","dvd_crncy")</f>
        <v>#NAME?</v>
      </c>
      <c r="K24" s="8" t="str">
        <f t="shared" si="2"/>
        <v>EUR</v>
      </c>
      <c r="L24" s="23" t="e">
        <f t="shared" ca="1" si="3"/>
        <v>#NAME?</v>
      </c>
      <c r="M24" s="23" t="e">
        <f ca="1">IF(L24="EUR",1,IF(L24="EURGBp Curncy",(_xll.BDP(L24,"PX_LAST")*100),_xll.BDP(L24,"PX_LAST")))</f>
        <v>#NAME?</v>
      </c>
      <c r="N24" s="239" t="str">
        <f t="shared" ca="1" si="13"/>
        <v>-</v>
      </c>
      <c r="O24" s="241" t="str">
        <f t="shared" ca="1" si="9"/>
        <v>-</v>
      </c>
      <c r="P24" s="53">
        <v>690</v>
      </c>
      <c r="Q24" s="53" t="e">
        <f t="shared" ca="1" si="10"/>
        <v>#NAME?</v>
      </c>
      <c r="R24" s="53" t="e">
        <f t="shared" ca="1" si="4"/>
        <v>#NAME?</v>
      </c>
      <c r="S24" s="16" t="str">
        <f t="shared" ca="1" si="11"/>
        <v>-</v>
      </c>
      <c r="T24" s="1206" t="str">
        <f t="shared" ca="1" si="12"/>
        <v/>
      </c>
      <c r="U24" s="16" t="str">
        <f t="shared" ca="1" si="5"/>
        <v/>
      </c>
      <c r="V24" s="8" t="e">
        <f ca="1">_xll.BDP(B24 &amp;" Equity", "DVD_FREQ")</f>
        <v>#NAME?</v>
      </c>
      <c r="W24" s="23" t="e">
        <f t="shared" ca="1" si="6"/>
        <v>#NAME?</v>
      </c>
      <c r="X24" s="239" t="e">
        <f ca="1">_xll.BDP(B24 &amp;" Equity", "EQY_DVD_YLD_IND_NET")</f>
        <v>#NAME?</v>
      </c>
      <c r="Y24" s="6"/>
      <c r="Z24" s="6"/>
      <c r="AA24" s="6" t="e">
        <f t="shared" ca="1" si="0"/>
        <v>#NAME?</v>
      </c>
      <c r="AB24" s="1211" t="str">
        <f t="shared" ca="1" si="7"/>
        <v/>
      </c>
      <c r="AC24" s="1210" t="str">
        <f t="shared" ca="1" si="1"/>
        <v>-</v>
      </c>
      <c r="AH24" s="237" t="s">
        <v>13078</v>
      </c>
      <c r="AI24" s="348">
        <v>8021.2499999999991</v>
      </c>
      <c r="AJ24"/>
    </row>
    <row r="25" spans="1:36" ht="14.5">
      <c r="A25" s="6"/>
      <c r="B25" s="53" t="s">
        <v>12896</v>
      </c>
      <c r="C25" s="8" t="str">
        <f t="shared" si="8"/>
        <v>096775 KS</v>
      </c>
      <c r="D25" s="14" t="e">
        <f ca="1">_xll.BDP(C25 &amp; " Equity","SECURITY_NAME")</f>
        <v>#NAME?</v>
      </c>
      <c r="E25" s="11" t="e">
        <f ca="1">_xll.BDP($C25 &amp;" Equity","dvd_sh_last")</f>
        <v>#NAME?</v>
      </c>
      <c r="F25" s="8" t="e">
        <f ca="1">_xll.BDP($C25 &amp; " Equity","dvd_ex_dt")</f>
        <v>#NAME?</v>
      </c>
      <c r="G25" s="8" t="e">
        <f ca="1">_xll.BDP($C25 &amp; " Equity","BDVD_NEXT_EST_DECL_DT")</f>
        <v>#NAME?</v>
      </c>
      <c r="H25" s="8" t="e">
        <f ca="1">_xll.BDP($C25&amp; " Equity","dvd_pay_dt")</f>
        <v>#NAME?</v>
      </c>
      <c r="I25" s="8" t="e">
        <f ca="1">_xll.BDP($C25&amp; " Equity","DVD_TYP_LAST")</f>
        <v>#NAME?</v>
      </c>
      <c r="J25" s="8" t="e">
        <f ca="1">_xll.BDP($C25&amp; " Equity","dvd_crncy")</f>
        <v>#NAME?</v>
      </c>
      <c r="K25" s="8" t="str">
        <f t="shared" si="2"/>
        <v>EUR</v>
      </c>
      <c r="L25" s="23" t="e">
        <f t="shared" ca="1" si="3"/>
        <v>#NAME?</v>
      </c>
      <c r="M25" s="23" t="e">
        <f ca="1">IF(L25="EUR",1,IF(L25="EURGBp Curncy",(_xll.BDP(L25,"PX_LAST")*100),_xll.BDP(L25,"PX_LAST")))</f>
        <v>#NAME?</v>
      </c>
      <c r="N25" s="239" t="str">
        <f t="shared" ca="1" si="13"/>
        <v>-</v>
      </c>
      <c r="O25" s="241" t="str">
        <f t="shared" ca="1" si="9"/>
        <v>-</v>
      </c>
      <c r="P25" s="53">
        <v>4027</v>
      </c>
      <c r="Q25" s="53" t="e">
        <f t="shared" ca="1" si="10"/>
        <v>#NAME?</v>
      </c>
      <c r="R25" s="53" t="e">
        <f t="shared" ca="1" si="4"/>
        <v>#NAME?</v>
      </c>
      <c r="S25" s="16" t="str">
        <f t="shared" ca="1" si="11"/>
        <v>-</v>
      </c>
      <c r="T25" s="1206" t="str">
        <f t="shared" ca="1" si="12"/>
        <v/>
      </c>
      <c r="U25" s="16" t="str">
        <f t="shared" ca="1" si="5"/>
        <v/>
      </c>
      <c r="V25" s="8" t="e">
        <f ca="1">_xll.BDP(B25 &amp;" Equity", "DVD_FREQ")</f>
        <v>#NAME?</v>
      </c>
      <c r="W25" s="23" t="e">
        <f t="shared" ca="1" si="6"/>
        <v>#NAME?</v>
      </c>
      <c r="X25" s="239" t="e">
        <f ca="1">_xll.BDP(B25 &amp;" Equity", "EQY_DVD_YLD_IND_NET")</f>
        <v>#NAME?</v>
      </c>
      <c r="Y25" s="6"/>
      <c r="Z25" s="6"/>
      <c r="AA25" s="6" t="e">
        <f t="shared" ca="1" si="0"/>
        <v>#NAME?</v>
      </c>
      <c r="AB25" s="1211" t="str">
        <f t="shared" ca="1" si="7"/>
        <v/>
      </c>
      <c r="AC25" s="1210" t="str">
        <f t="shared" ca="1" si="1"/>
        <v>-</v>
      </c>
      <c r="AH25" s="237" t="s">
        <v>13079</v>
      </c>
      <c r="AI25" s="348">
        <v>2086.6773675762438</v>
      </c>
      <c r="AJ25"/>
    </row>
    <row r="26" spans="1:36" ht="14.5">
      <c r="A26" s="6"/>
      <c r="B26" s="53" t="s">
        <v>12918</v>
      </c>
      <c r="C26" s="8" t="str">
        <f t="shared" si="8"/>
        <v>086520 KQ</v>
      </c>
      <c r="D26" s="14" t="e">
        <f ca="1">_xll.BDP(C26 &amp; " Equity","SECURITY_NAME")</f>
        <v>#NAME?</v>
      </c>
      <c r="E26" s="11" t="e">
        <f ca="1">_xll.BDP($C26 &amp;" Equity","dvd_sh_last")</f>
        <v>#NAME?</v>
      </c>
      <c r="F26" s="8" t="e">
        <f ca="1">_xll.BDP($C26 &amp; " Equity","dvd_ex_dt")</f>
        <v>#NAME?</v>
      </c>
      <c r="G26" s="8" t="e">
        <f ca="1">_xll.BDP($C26 &amp; " Equity","BDVD_NEXT_EST_DECL_DT")</f>
        <v>#NAME?</v>
      </c>
      <c r="H26" s="8" t="e">
        <f ca="1">_xll.BDP($C26&amp; " Equity","dvd_pay_dt")</f>
        <v>#NAME?</v>
      </c>
      <c r="I26" s="8" t="e">
        <f ca="1">_xll.BDP($C26&amp; " Equity","DVD_TYP_LAST")</f>
        <v>#NAME?</v>
      </c>
      <c r="J26" s="8" t="e">
        <f ca="1">_xll.BDP($C26&amp; " Equity","dvd_crncy")</f>
        <v>#NAME?</v>
      </c>
      <c r="K26" s="8" t="str">
        <f t="shared" si="2"/>
        <v>EUR</v>
      </c>
      <c r="L26" s="23" t="e">
        <f t="shared" ca="1" si="3"/>
        <v>#NAME?</v>
      </c>
      <c r="M26" s="23" t="e">
        <f ca="1">IF(L26="EUR",1,IF(L26="EURGBp Curncy",(_xll.BDP(L26,"PX_LAST")*100),_xll.BDP(L26,"PX_LAST")))</f>
        <v>#NAME?</v>
      </c>
      <c r="N26" s="239" t="str">
        <f t="shared" ca="1" si="13"/>
        <v>-</v>
      </c>
      <c r="O26" s="241" t="str">
        <f t="shared" ca="1" si="9"/>
        <v>-</v>
      </c>
      <c r="P26" s="53">
        <v>0</v>
      </c>
      <c r="Q26" s="53" t="e">
        <f t="shared" ca="1" si="10"/>
        <v>#NAME?</v>
      </c>
      <c r="R26" s="53" t="e">
        <f t="shared" ca="1" si="4"/>
        <v>#NAME?</v>
      </c>
      <c r="S26" s="16" t="str">
        <f t="shared" ca="1" si="11"/>
        <v>-</v>
      </c>
      <c r="T26" s="1206" t="str">
        <f t="shared" ca="1" si="12"/>
        <v/>
      </c>
      <c r="U26" s="16" t="str">
        <f ca="1">IFERROR(IF($B$9=H26,R26,"0"),"")</f>
        <v/>
      </c>
      <c r="V26" s="8" t="e">
        <f ca="1">_xll.BDP(B26 &amp;" Equity", "DVD_FREQ")</f>
        <v>#NAME?</v>
      </c>
      <c r="W26" s="23" t="e">
        <f t="shared" ca="1" si="6"/>
        <v>#NAME?</v>
      </c>
      <c r="X26" s="239" t="e">
        <f ca="1">_xll.BDP(B26 &amp;" Equity", "EQY_DVD_YLD_IND_NET")</f>
        <v>#NAME?</v>
      </c>
      <c r="Y26" s="6"/>
      <c r="Z26" s="6"/>
      <c r="AA26" s="6" t="e">
        <f t="shared" ca="1" si="0"/>
        <v>#NAME?</v>
      </c>
      <c r="AB26" s="1211" t="str">
        <f t="shared" ca="1" si="7"/>
        <v/>
      </c>
      <c r="AC26" s="1210" t="str">
        <f t="shared" ca="1" si="1"/>
        <v>-</v>
      </c>
      <c r="AH26" s="237" t="s">
        <v>13080</v>
      </c>
      <c r="AI26" s="348">
        <v>4948.6020199293698</v>
      </c>
      <c r="AJ26"/>
    </row>
    <row r="27" spans="1:36" ht="14.5">
      <c r="A27" s="6"/>
      <c r="B27" s="53" t="s">
        <v>12919</v>
      </c>
      <c r="C27" s="8" t="str">
        <f t="shared" si="8"/>
        <v>036830 KQ</v>
      </c>
      <c r="D27" s="14" t="e">
        <f ca="1">_xll.BDP(C27 &amp; " Equity","SECURITY_NAME")</f>
        <v>#NAME?</v>
      </c>
      <c r="E27" s="11" t="e">
        <f ca="1">_xll.BDP($C27 &amp;" Equity","dvd_sh_last")</f>
        <v>#NAME?</v>
      </c>
      <c r="F27" s="8" t="e">
        <f ca="1">_xll.BDP($C27 &amp; " Equity","dvd_ex_dt")</f>
        <v>#NAME?</v>
      </c>
      <c r="G27" s="8" t="e">
        <f ca="1">_xll.BDP($C27 &amp; " Equity","BDVD_NEXT_EST_DECL_DT")</f>
        <v>#NAME?</v>
      </c>
      <c r="H27" s="8" t="e">
        <f ca="1">_xll.BDP($C27&amp; " Equity","dvd_pay_dt")</f>
        <v>#NAME?</v>
      </c>
      <c r="I27" s="8" t="e">
        <f ca="1">_xll.BDP($C27&amp; " Equity","DVD_TYP_LAST")</f>
        <v>#NAME?</v>
      </c>
      <c r="J27" s="8" t="e">
        <f ca="1">_xll.BDP($C27&amp; " Equity","dvd_crncy")</f>
        <v>#NAME?</v>
      </c>
      <c r="K27" s="8" t="str">
        <f t="shared" si="2"/>
        <v>EUR</v>
      </c>
      <c r="L27" s="23" t="e">
        <f t="shared" ca="1" si="3"/>
        <v>#NAME?</v>
      </c>
      <c r="M27" s="23" t="e">
        <f ca="1">IF(L27="EUR",1,IF(L27="EURGBp Curncy",(_xll.BDP(L27,"PX_LAST")*100),_xll.BDP(L27,"PX_LAST")))</f>
        <v>#NAME?</v>
      </c>
      <c r="N27" s="239" t="str">
        <f t="shared" ca="1" si="13"/>
        <v>-</v>
      </c>
      <c r="O27" s="241" t="str">
        <f t="shared" ca="1" si="9"/>
        <v>-</v>
      </c>
      <c r="P27" s="53">
        <v>6900</v>
      </c>
      <c r="Q27" s="53" t="e">
        <f t="shared" ca="1" si="10"/>
        <v>#NAME?</v>
      </c>
      <c r="R27" s="53" t="e">
        <f t="shared" ca="1" si="4"/>
        <v>#NAME?</v>
      </c>
      <c r="S27" s="16" t="str">
        <f t="shared" ca="1" si="11"/>
        <v>-</v>
      </c>
      <c r="T27" s="1206" t="str">
        <f t="shared" ca="1" si="12"/>
        <v/>
      </c>
      <c r="U27" s="16" t="str">
        <f t="shared" ca="1" si="5"/>
        <v/>
      </c>
      <c r="V27" s="8" t="e">
        <f ca="1">_xll.BDP(B27 &amp;" Equity", "DVD_FREQ")</f>
        <v>#NAME?</v>
      </c>
      <c r="W27" s="23" t="e">
        <f t="shared" ca="1" si="6"/>
        <v>#NAME?</v>
      </c>
      <c r="X27" s="239" t="e">
        <f ca="1">_xll.BDP(B27 &amp;" Equity", "EQY_DVD_YLD_IND_NET")</f>
        <v>#NAME?</v>
      </c>
      <c r="Y27" s="6"/>
      <c r="Z27" s="6"/>
      <c r="AA27" s="6" t="e">
        <f t="shared" ca="1" si="0"/>
        <v>#NAME?</v>
      </c>
      <c r="AB27" s="1211" t="str">
        <f t="shared" ca="1" si="7"/>
        <v/>
      </c>
      <c r="AC27" s="1210" t="str">
        <f t="shared" ca="1" si="1"/>
        <v>-</v>
      </c>
      <c r="AH27" s="237" t="s">
        <v>13081</v>
      </c>
      <c r="AI27" s="348">
        <v>0</v>
      </c>
      <c r="AJ27"/>
    </row>
    <row r="28" spans="1:36" ht="14.5">
      <c r="A28" s="6"/>
      <c r="B28" s="53" t="s">
        <v>12897</v>
      </c>
      <c r="C28" s="8" t="str">
        <f t="shared" si="8"/>
        <v>NK FP</v>
      </c>
      <c r="D28" s="14" t="e">
        <f ca="1">_xll.BDP(C28 &amp; " Equity","SECURITY_NAME")</f>
        <v>#NAME?</v>
      </c>
      <c r="E28" s="11" t="e">
        <f ca="1">_xll.BDP($C28 &amp;" Equity","dvd_sh_last")</f>
        <v>#NAME?</v>
      </c>
      <c r="F28" s="8" t="e">
        <f ca="1">_xll.BDP($C28 &amp; " Equity","dvd_ex_dt")</f>
        <v>#NAME?</v>
      </c>
      <c r="G28" s="8" t="e">
        <f ca="1">_xll.BDP($C28 &amp; " Equity","BDVD_NEXT_EST_DECL_DT")</f>
        <v>#NAME?</v>
      </c>
      <c r="H28" s="8" t="e">
        <f ca="1">_xll.BDP($C28&amp; " Equity","dvd_pay_dt")</f>
        <v>#NAME?</v>
      </c>
      <c r="I28" s="8" t="e">
        <f ca="1">_xll.BDP($C28&amp; " Equity","DVD_TYP_LAST")</f>
        <v>#NAME?</v>
      </c>
      <c r="J28" s="8" t="e">
        <f ca="1">_xll.BDP($C28&amp; " Equity","dvd_crncy")</f>
        <v>#NAME?</v>
      </c>
      <c r="K28" s="8" t="str">
        <f t="shared" si="2"/>
        <v>EUR</v>
      </c>
      <c r="L28" s="23" t="e">
        <f t="shared" ca="1" si="3"/>
        <v>#NAME?</v>
      </c>
      <c r="M28" s="23" t="e">
        <f ca="1">IF(L28="EUR",1,IF(L28="EURGBp Curncy",(_xll.BDP(L28,"PX_LAST")*100),_xll.BDP(L28,"PX_LAST")))</f>
        <v>#NAME?</v>
      </c>
      <c r="N28" s="239" t="str">
        <f t="shared" ca="1" si="13"/>
        <v>-</v>
      </c>
      <c r="O28" s="241" t="str">
        <f t="shared" ca="1" si="9"/>
        <v>-</v>
      </c>
      <c r="P28" s="53">
        <v>6975</v>
      </c>
      <c r="Q28" s="53" t="e">
        <f t="shared" ca="1" si="10"/>
        <v>#NAME?</v>
      </c>
      <c r="R28" s="53" t="e">
        <f t="shared" ca="1" si="4"/>
        <v>#NAME?</v>
      </c>
      <c r="S28" s="16" t="str">
        <f t="shared" ca="1" si="11"/>
        <v>-</v>
      </c>
      <c r="T28" s="1206" t="str">
        <f t="shared" ca="1" si="12"/>
        <v/>
      </c>
      <c r="U28" s="16" t="str">
        <f t="shared" ca="1" si="5"/>
        <v/>
      </c>
      <c r="V28" s="8" t="e">
        <f ca="1">_xll.BDP(B28 &amp;" Equity", "DVD_FREQ")</f>
        <v>#NAME?</v>
      </c>
      <c r="W28" s="23" t="e">
        <f t="shared" ca="1" si="6"/>
        <v>#NAME?</v>
      </c>
      <c r="X28" s="239" t="e">
        <f ca="1">_xll.BDP(B28 &amp;" Equity", "EQY_DVD_YLD_IND_NET")</f>
        <v>#NAME?</v>
      </c>
      <c r="Y28" s="6"/>
      <c r="Z28" s="6"/>
      <c r="AA28" s="6" t="e">
        <f t="shared" ca="1" si="0"/>
        <v>#NAME?</v>
      </c>
      <c r="AB28" s="1211" t="str">
        <f t="shared" ca="1" si="7"/>
        <v/>
      </c>
      <c r="AC28" s="1210" t="str">
        <f t="shared" ca="1" si="1"/>
        <v>-</v>
      </c>
      <c r="AH28" s="237" t="s">
        <v>13082</v>
      </c>
      <c r="AI28" s="348">
        <v>43963.818784200805</v>
      </c>
      <c r="AJ28"/>
    </row>
    <row r="29" spans="1:36" ht="14.5">
      <c r="A29" s="6"/>
      <c r="B29" s="53" t="s">
        <v>12898</v>
      </c>
      <c r="C29" s="8" t="str">
        <f t="shared" si="8"/>
        <v>ERA FP</v>
      </c>
      <c r="D29" s="14" t="e">
        <f ca="1">_xll.BDP(C29 &amp; " Equity","SECURITY_NAME")</f>
        <v>#NAME?</v>
      </c>
      <c r="E29" s="11" t="e">
        <f ca="1">_xll.BDP($C29 &amp;" Equity","dvd_sh_last")</f>
        <v>#NAME?</v>
      </c>
      <c r="F29" s="8" t="e">
        <f ca="1">_xll.BDP($C29 &amp; " Equity","dvd_ex_dt")</f>
        <v>#NAME?</v>
      </c>
      <c r="G29" s="8" t="e">
        <f ca="1">_xll.BDP($C29 &amp; " Equity","BDVD_NEXT_EST_DECL_DT")</f>
        <v>#NAME?</v>
      </c>
      <c r="H29" s="8" t="e">
        <f ca="1">_xll.BDP($C29&amp; " Equity","dvd_pay_dt")</f>
        <v>#NAME?</v>
      </c>
      <c r="I29" s="8" t="e">
        <f ca="1">_xll.BDP($C29&amp; " Equity","DVD_TYP_LAST")</f>
        <v>#NAME?</v>
      </c>
      <c r="J29" s="8" t="e">
        <f ca="1">_xll.BDP($C29&amp; " Equity","dvd_crncy")</f>
        <v>#NAME?</v>
      </c>
      <c r="K29" s="8" t="str">
        <f t="shared" si="2"/>
        <v>EUR</v>
      </c>
      <c r="L29" s="23" t="e">
        <f t="shared" ca="1" si="3"/>
        <v>#NAME?</v>
      </c>
      <c r="M29" s="23" t="e">
        <f ca="1">IF(L29="EUR",1,IF(L29="EURGBp Curncy",(_xll.BDP(L29,"PX_LAST")*100),_xll.BDP(L29,"PX_LAST")))</f>
        <v>#NAME?</v>
      </c>
      <c r="N29" s="239" t="str">
        <f t="shared" ca="1" si="13"/>
        <v>-</v>
      </c>
      <c r="O29" s="241" t="str">
        <f t="shared" ca="1" si="9"/>
        <v>-</v>
      </c>
      <c r="P29" s="53">
        <v>6610</v>
      </c>
      <c r="Q29" s="53" t="e">
        <f t="shared" ca="1" si="10"/>
        <v>#NAME?</v>
      </c>
      <c r="R29" s="53" t="e">
        <f t="shared" ca="1" si="4"/>
        <v>#NAME?</v>
      </c>
      <c r="S29" s="16" t="str">
        <f t="shared" ca="1" si="11"/>
        <v>-</v>
      </c>
      <c r="T29" s="1206" t="str">
        <f t="shared" ca="1" si="12"/>
        <v/>
      </c>
      <c r="U29" s="16" t="str">
        <f t="shared" ca="1" si="5"/>
        <v/>
      </c>
      <c r="V29" s="8" t="e">
        <f ca="1">_xll.BDP(B29 &amp;" Equity", "DVD_FREQ")</f>
        <v>#NAME?</v>
      </c>
      <c r="W29" s="23" t="e">
        <f t="shared" ca="1" si="6"/>
        <v>#NAME?</v>
      </c>
      <c r="X29" s="239" t="e">
        <f ca="1">_xll.BDP(B29 &amp;" Equity", "EQY_DVD_YLD_IND_NET")</f>
        <v>#NAME?</v>
      </c>
      <c r="Y29" s="6"/>
      <c r="Z29" s="6"/>
      <c r="AA29" s="6" t="e">
        <f t="shared" ca="1" si="0"/>
        <v>#NAME?</v>
      </c>
      <c r="AB29" s="1211" t="str">
        <f t="shared" ca="1" si="7"/>
        <v/>
      </c>
      <c r="AC29" s="1210" t="str">
        <f t="shared" ca="1" si="1"/>
        <v>-</v>
      </c>
      <c r="AH29" s="237" t="s">
        <v>13083</v>
      </c>
      <c r="AI29" s="348">
        <v>24043.293390027062</v>
      </c>
      <c r="AJ29"/>
    </row>
    <row r="30" spans="1:36" ht="14.5">
      <c r="A30" s="6"/>
      <c r="B30" s="53" t="s">
        <v>12899</v>
      </c>
      <c r="C30" s="8" t="str">
        <f t="shared" si="8"/>
        <v>FR FP</v>
      </c>
      <c r="D30" s="14" t="e">
        <f ca="1">_xll.BDP(C30 &amp; " Equity","SECURITY_NAME")</f>
        <v>#NAME?</v>
      </c>
      <c r="E30" s="11" t="e">
        <f ca="1">_xll.BDP($C30 &amp;" Equity","dvd_sh_last")</f>
        <v>#NAME?</v>
      </c>
      <c r="F30" s="8" t="e">
        <f ca="1">_xll.BDP($C30 &amp; " Equity","dvd_ex_dt")</f>
        <v>#NAME?</v>
      </c>
      <c r="G30" s="8" t="e">
        <f ca="1">_xll.BDP($C30 &amp; " Equity","BDVD_NEXT_EST_DECL_DT")</f>
        <v>#NAME?</v>
      </c>
      <c r="H30" s="8" t="e">
        <f ca="1">_xll.BDP($C30&amp; " Equity","dvd_pay_dt")</f>
        <v>#NAME?</v>
      </c>
      <c r="I30" s="8" t="e">
        <f ca="1">_xll.BDP($C30&amp; " Equity","DVD_TYP_LAST")</f>
        <v>#NAME?</v>
      </c>
      <c r="J30" s="8" t="e">
        <f ca="1">_xll.BDP($C30&amp; " Equity","dvd_crncy")</f>
        <v>#NAME?</v>
      </c>
      <c r="K30" s="8" t="str">
        <f t="shared" si="2"/>
        <v>EUR</v>
      </c>
      <c r="L30" s="23" t="e">
        <f t="shared" ca="1" si="3"/>
        <v>#NAME?</v>
      </c>
      <c r="M30" s="23" t="e">
        <f ca="1">IF(L30="EUR",1,IF(L30="EURGBp Curncy",(_xll.BDP(L30,"PX_LAST")*100),_xll.BDP(L30,"PX_LAST")))</f>
        <v>#NAME?</v>
      </c>
      <c r="N30" s="239" t="str">
        <f t="shared" ca="1" si="13"/>
        <v>-</v>
      </c>
      <c r="O30" s="241" t="str">
        <f t="shared" ca="1" si="9"/>
        <v>-</v>
      </c>
      <c r="P30" s="53">
        <v>34000</v>
      </c>
      <c r="Q30" s="53" t="e">
        <f t="shared" ca="1" si="10"/>
        <v>#NAME?</v>
      </c>
      <c r="R30" s="53" t="e">
        <f t="shared" ca="1" si="4"/>
        <v>#NAME?</v>
      </c>
      <c r="S30" s="16" t="str">
        <f t="shared" ca="1" si="11"/>
        <v>-</v>
      </c>
      <c r="T30" s="1206" t="str">
        <f t="shared" ca="1" si="12"/>
        <v/>
      </c>
      <c r="U30" s="16" t="str">
        <f t="shared" ca="1" si="5"/>
        <v/>
      </c>
      <c r="V30" s="8" t="e">
        <f ca="1">_xll.BDP(B30 &amp;" Equity", "DVD_FREQ")</f>
        <v>#NAME?</v>
      </c>
      <c r="W30" s="23" t="e">
        <f t="shared" ca="1" si="6"/>
        <v>#NAME?</v>
      </c>
      <c r="X30" s="239" t="e">
        <f ca="1">_xll.BDP(B30 &amp;" Equity", "EQY_DVD_YLD_IND_NET")</f>
        <v>#NAME?</v>
      </c>
      <c r="Y30" s="6"/>
      <c r="Z30" s="6"/>
      <c r="AA30" s="6" t="e">
        <f t="shared" ca="1" si="0"/>
        <v>#NAME?</v>
      </c>
      <c r="AB30" s="1211" t="str">
        <f t="shared" ca="1" si="7"/>
        <v/>
      </c>
      <c r="AC30" s="1210" t="str">
        <f t="shared" ca="1" si="1"/>
        <v>-</v>
      </c>
      <c r="AH30" s="237" t="s">
        <v>13084</v>
      </c>
      <c r="AI30" s="348">
        <v>103343.08045061397</v>
      </c>
      <c r="AJ30"/>
    </row>
    <row r="31" spans="1:36" ht="14.5">
      <c r="A31" s="6"/>
      <c r="B31" s="53" t="s">
        <v>12900</v>
      </c>
      <c r="C31" s="8" t="str">
        <f t="shared" si="8"/>
        <v>CON GR</v>
      </c>
      <c r="D31" s="14" t="e">
        <f ca="1">_xll.BDP(C31 &amp; " Equity","SECURITY_NAME")</f>
        <v>#NAME?</v>
      </c>
      <c r="E31" s="11" t="e">
        <f ca="1">_xll.BDP($C31 &amp;" Equity","dvd_sh_last")</f>
        <v>#NAME?</v>
      </c>
      <c r="F31" s="8" t="e">
        <f ca="1">_xll.BDP($C31 &amp; " Equity","dvd_ex_dt")</f>
        <v>#NAME?</v>
      </c>
      <c r="G31" s="8" t="e">
        <f ca="1">_xll.BDP($C31 &amp; " Equity","BDVD_NEXT_EST_DECL_DT")</f>
        <v>#NAME?</v>
      </c>
      <c r="H31" s="8" t="e">
        <f ca="1">_xll.BDP($C31&amp; " Equity","dvd_pay_dt")</f>
        <v>#NAME?</v>
      </c>
      <c r="I31" s="8" t="e">
        <f ca="1">_xll.BDP($C31&amp; " Equity","DVD_TYP_LAST")</f>
        <v>#NAME?</v>
      </c>
      <c r="J31" s="8" t="e">
        <f ca="1">_xll.BDP($C31&amp; " Equity","dvd_crncy")</f>
        <v>#NAME?</v>
      </c>
      <c r="K31" s="8" t="str">
        <f t="shared" si="2"/>
        <v>EUR</v>
      </c>
      <c r="L31" s="23" t="e">
        <f t="shared" ca="1" si="3"/>
        <v>#NAME?</v>
      </c>
      <c r="M31" s="23" t="e">
        <f ca="1">IF(L31="EUR",1,IF(L31="EURGBp Curncy",(_xll.BDP(L31,"PX_LAST")*100),_xll.BDP(L31,"PX_LAST")))</f>
        <v>#NAME?</v>
      </c>
      <c r="N31" s="239" t="str">
        <f t="shared" ca="1" si="13"/>
        <v>-</v>
      </c>
      <c r="O31" s="241" t="str">
        <f t="shared" ca="1" si="9"/>
        <v>-</v>
      </c>
      <c r="P31" s="53">
        <v>3300</v>
      </c>
      <c r="Q31" s="53" t="e">
        <f t="shared" ca="1" si="10"/>
        <v>#NAME?</v>
      </c>
      <c r="R31" s="53" t="e">
        <f t="shared" ca="1" si="4"/>
        <v>#NAME?</v>
      </c>
      <c r="S31" s="16" t="str">
        <f t="shared" ca="1" si="11"/>
        <v>-</v>
      </c>
      <c r="T31" s="1206" t="str">
        <f t="shared" ca="1" si="12"/>
        <v/>
      </c>
      <c r="U31" s="16" t="str">
        <f t="shared" ca="1" si="5"/>
        <v/>
      </c>
      <c r="V31" s="8" t="e">
        <f ca="1">_xll.BDP(B31 &amp;" Equity", "DVD_FREQ")</f>
        <v>#NAME?</v>
      </c>
      <c r="W31" s="23" t="e">
        <f t="shared" ca="1" si="6"/>
        <v>#NAME?</v>
      </c>
      <c r="X31" s="239" t="e">
        <f ca="1">_xll.BDP(B31 &amp;" Equity", "EQY_DVD_YLD_IND_NET")</f>
        <v>#NAME?</v>
      </c>
      <c r="Y31" s="6"/>
      <c r="Z31" s="6"/>
      <c r="AA31" s="6" t="e">
        <f t="shared" ca="1" si="0"/>
        <v>#NAME?</v>
      </c>
      <c r="AB31" s="1211" t="str">
        <f t="shared" ca="1" si="7"/>
        <v/>
      </c>
      <c r="AC31" s="1210" t="str">
        <f t="shared" ca="1" si="1"/>
        <v>-</v>
      </c>
      <c r="AH31" s="237" t="s">
        <v>13085</v>
      </c>
      <c r="AI31" s="348">
        <v>0</v>
      </c>
      <c r="AJ31"/>
    </row>
    <row r="32" spans="1:36" ht="14.5">
      <c r="A32" s="6"/>
      <c r="B32" s="53" t="s">
        <v>12901</v>
      </c>
      <c r="C32" s="8" t="str">
        <f t="shared" si="8"/>
        <v>RNO FP</v>
      </c>
      <c r="D32" s="14" t="e">
        <f ca="1">_xll.BDP(C32 &amp; " Equity","SECURITY_NAME")</f>
        <v>#NAME?</v>
      </c>
      <c r="E32" s="11" t="e">
        <f ca="1">_xll.BDP($C32 &amp;" Equity","dvd_sh_last")</f>
        <v>#NAME?</v>
      </c>
      <c r="F32" s="8" t="e">
        <f ca="1">_xll.BDP($C32 &amp; " Equity","dvd_ex_dt")</f>
        <v>#NAME?</v>
      </c>
      <c r="G32" s="8" t="e">
        <f ca="1">_xll.BDP($C32 &amp; " Equity","BDVD_NEXT_EST_DECL_DT")</f>
        <v>#NAME?</v>
      </c>
      <c r="H32" s="8" t="e">
        <f ca="1">_xll.BDP($C32&amp; " Equity","dvd_pay_dt")</f>
        <v>#NAME?</v>
      </c>
      <c r="I32" s="8" t="e">
        <f ca="1">_xll.BDP($C32&amp; " Equity","DVD_TYP_LAST")</f>
        <v>#NAME?</v>
      </c>
      <c r="J32" s="8" t="e">
        <f ca="1">_xll.BDP($C32&amp; " Equity","dvd_crncy")</f>
        <v>#NAME?</v>
      </c>
      <c r="K32" s="8" t="str">
        <f t="shared" si="2"/>
        <v>EUR</v>
      </c>
      <c r="L32" s="23" t="e">
        <f t="shared" ca="1" si="3"/>
        <v>#NAME?</v>
      </c>
      <c r="M32" s="23" t="e">
        <f ca="1">IF(L32="EUR",1,IF(L32="EURGBp Curncy",(_xll.BDP(L32,"PX_LAST")*100),_xll.BDP(L32,"PX_LAST")))</f>
        <v>#NAME?</v>
      </c>
      <c r="N32" s="239" t="str">
        <f t="shared" ca="1" si="13"/>
        <v>-</v>
      </c>
      <c r="O32" s="241" t="str">
        <f t="shared" ca="1" si="9"/>
        <v>-</v>
      </c>
      <c r="P32" s="53">
        <v>17900</v>
      </c>
      <c r="Q32" s="53" t="e">
        <f t="shared" ca="1" si="10"/>
        <v>#NAME?</v>
      </c>
      <c r="R32" s="53" t="e">
        <f t="shared" ca="1" si="4"/>
        <v>#NAME?</v>
      </c>
      <c r="S32" s="16" t="str">
        <f t="shared" ca="1" si="11"/>
        <v>-</v>
      </c>
      <c r="T32" s="1206" t="str">
        <f t="shared" ca="1" si="12"/>
        <v/>
      </c>
      <c r="U32" s="16" t="str">
        <f t="shared" ca="1" si="5"/>
        <v/>
      </c>
      <c r="V32" s="8" t="e">
        <f ca="1">_xll.BDP(B32 &amp;" Equity", "DVD_FREQ")</f>
        <v>#NAME?</v>
      </c>
      <c r="W32" s="23" t="e">
        <f t="shared" ca="1" si="6"/>
        <v>#NAME?</v>
      </c>
      <c r="X32" s="239" t="e">
        <f ca="1">_xll.BDP(B32 &amp;" Equity", "EQY_DVD_YLD_IND_NET")</f>
        <v>#NAME?</v>
      </c>
      <c r="Y32" s="6"/>
      <c r="Z32" s="6"/>
      <c r="AA32" s="6" t="e">
        <f t="shared" ca="1" si="0"/>
        <v>#NAME?</v>
      </c>
      <c r="AB32" s="1211" t="str">
        <f t="shared" ca="1" si="7"/>
        <v/>
      </c>
      <c r="AC32" s="1210" t="str">
        <f t="shared" ca="1" si="1"/>
        <v>-</v>
      </c>
      <c r="AH32" s="237" t="s">
        <v>12854</v>
      </c>
      <c r="AI32" s="348">
        <v>5266.3316582914576</v>
      </c>
      <c r="AJ32"/>
    </row>
    <row r="33" spans="1:36" ht="14.5">
      <c r="A33" s="6"/>
      <c r="B33" s="53" t="s">
        <v>12920</v>
      </c>
      <c r="C33" s="8" t="str">
        <f t="shared" si="8"/>
        <v>NKL CN</v>
      </c>
      <c r="D33" s="14" t="e">
        <f ca="1">_xll.BDP(C33 &amp; " Equity","SECURITY_NAME")</f>
        <v>#NAME?</v>
      </c>
      <c r="E33" s="11" t="e">
        <f ca="1">_xll.BDP($C33 &amp;" Equity","dvd_sh_last")</f>
        <v>#NAME?</v>
      </c>
      <c r="F33" s="8" t="e">
        <f ca="1">_xll.BDP($C33 &amp; " Equity","dvd_ex_dt")</f>
        <v>#NAME?</v>
      </c>
      <c r="G33" s="8" t="e">
        <f ca="1">_xll.BDP($C33 &amp; " Equity","BDVD_NEXT_EST_DECL_DT")</f>
        <v>#NAME?</v>
      </c>
      <c r="H33" s="8" t="e">
        <f ca="1">_xll.BDP($C33&amp; " Equity","dvd_pay_dt")</f>
        <v>#NAME?</v>
      </c>
      <c r="I33" s="8" t="e">
        <f ca="1">_xll.BDP($C33&amp; " Equity","DVD_TYP_LAST")</f>
        <v>#NAME?</v>
      </c>
      <c r="J33" s="8" t="e">
        <f ca="1">_xll.BDP($C33&amp; " Equity","dvd_crncy")</f>
        <v>#NAME?</v>
      </c>
      <c r="K33" s="8" t="str">
        <f t="shared" si="2"/>
        <v>EUR</v>
      </c>
      <c r="L33" s="23" t="e">
        <f t="shared" ca="1" si="3"/>
        <v>#NAME?</v>
      </c>
      <c r="M33" s="23" t="e">
        <f ca="1">IF(L33="EUR",1,IF(L33="EURGBp Curncy",(_xll.BDP(L33,"PX_LAST")*100),_xll.BDP(L33,"PX_LAST")))</f>
        <v>#NAME?</v>
      </c>
      <c r="N33" s="239" t="str">
        <f t="shared" ca="1" si="13"/>
        <v>-</v>
      </c>
      <c r="O33" s="241" t="str">
        <f t="shared" ca="1" si="9"/>
        <v>-</v>
      </c>
      <c r="P33" s="53">
        <v>24000</v>
      </c>
      <c r="Q33" s="53" t="e">
        <f t="shared" ca="1" si="10"/>
        <v>#NAME?</v>
      </c>
      <c r="R33" s="53" t="e">
        <f t="shared" ca="1" si="4"/>
        <v>#NAME?</v>
      </c>
      <c r="S33" s="16" t="str">
        <f t="shared" ca="1" si="11"/>
        <v>-</v>
      </c>
      <c r="T33" s="1206" t="str">
        <f t="shared" ca="1" si="12"/>
        <v/>
      </c>
      <c r="U33" s="16" t="str">
        <f t="shared" ca="1" si="5"/>
        <v/>
      </c>
      <c r="V33" s="8" t="e">
        <f ca="1">_xll.BDP(B33 &amp;" Equity", "DVD_FREQ")</f>
        <v>#NAME?</v>
      </c>
      <c r="W33" s="23" t="e">
        <f t="shared" ca="1" si="6"/>
        <v>#NAME?</v>
      </c>
      <c r="X33" s="239" t="e">
        <f ca="1">_xll.BDP(B33 &amp;" Equity", "EQY_DVD_YLD_IND_NET")</f>
        <v>#NAME?</v>
      </c>
      <c r="Y33" s="6"/>
      <c r="Z33" s="6"/>
      <c r="AA33" s="6" t="e">
        <f t="shared" ca="1" si="0"/>
        <v>#NAME?</v>
      </c>
      <c r="AB33" s="1211"/>
      <c r="AC33" s="1210" t="str">
        <f t="shared" ca="1" si="1"/>
        <v>-</v>
      </c>
      <c r="AH33" s="237" t="s">
        <v>13066</v>
      </c>
      <c r="AI33" s="348">
        <v>248656.8246500591</v>
      </c>
      <c r="AJ33"/>
    </row>
    <row r="34" spans="1:36" ht="14.5">
      <c r="A34" s="6"/>
      <c r="B34" s="53" t="s">
        <v>12902</v>
      </c>
      <c r="C34" s="8" t="str">
        <f t="shared" si="8"/>
        <v>SYR AU</v>
      </c>
      <c r="D34" s="14" t="e">
        <f ca="1">_xll.BDP(C34 &amp; " Equity","SECURITY_NAME")</f>
        <v>#NAME?</v>
      </c>
      <c r="E34" s="11" t="e">
        <f ca="1">_xll.BDP($C34 &amp;" Equity","dvd_sh_last")</f>
        <v>#NAME?</v>
      </c>
      <c r="F34" s="8" t="e">
        <f ca="1">_xll.BDP($C34 &amp; " Equity","dvd_ex_dt")</f>
        <v>#NAME?</v>
      </c>
      <c r="G34" s="8" t="e">
        <f ca="1">_xll.BDP($C34 &amp; " Equity","BDVD_NEXT_EST_DECL_DT")</f>
        <v>#NAME?</v>
      </c>
      <c r="H34" s="8" t="e">
        <f ca="1">_xll.BDP($C34&amp; " Equity","dvd_pay_dt")</f>
        <v>#NAME?</v>
      </c>
      <c r="I34" s="8" t="e">
        <f ca="1">_xll.BDP($C34&amp; " Equity","DVD_TYP_LAST")</f>
        <v>#NAME?</v>
      </c>
      <c r="J34" s="8" t="e">
        <f ca="1">_xll.BDP($C34&amp; " Equity","dvd_crncy")</f>
        <v>#NAME?</v>
      </c>
      <c r="K34" s="8" t="str">
        <f t="shared" si="2"/>
        <v>EUR</v>
      </c>
      <c r="L34" s="23" t="e">
        <f t="shared" ca="1" si="3"/>
        <v>#NAME?</v>
      </c>
      <c r="M34" s="23" t="e">
        <f ca="1">IF(L34="EUR",1,IF(L34="EURGBp Curncy",(_xll.BDP(L34,"PX_LAST")*100),_xll.BDP(L34,"PX_LAST")))</f>
        <v>#NAME?</v>
      </c>
      <c r="N34" s="239" t="str">
        <f t="shared" ca="1" si="13"/>
        <v>-</v>
      </c>
      <c r="O34" s="241" t="str">
        <f t="shared" ca="1" si="9"/>
        <v>-</v>
      </c>
      <c r="P34" s="53">
        <v>828480</v>
      </c>
      <c r="Q34" s="53" t="e">
        <f t="shared" ca="1" si="10"/>
        <v>#NAME?</v>
      </c>
      <c r="R34" s="53" t="e">
        <f t="shared" ca="1" si="4"/>
        <v>#NAME?</v>
      </c>
      <c r="S34" s="16" t="str">
        <f t="shared" ca="1" si="11"/>
        <v>-</v>
      </c>
      <c r="T34" s="1206" t="str">
        <f t="shared" ca="1" si="12"/>
        <v/>
      </c>
      <c r="U34" s="16" t="str">
        <f t="shared" ca="1" si="5"/>
        <v/>
      </c>
      <c r="V34" s="8" t="e">
        <f ca="1">_xll.BDP(B34 &amp;" Equity", "DVD_FREQ")</f>
        <v>#NAME?</v>
      </c>
      <c r="W34" s="23" t="e">
        <f t="shared" ca="1" si="6"/>
        <v>#NAME?</v>
      </c>
      <c r="X34" s="239" t="e">
        <f ca="1">_xll.BDP(B34 &amp;" Equity", "EQY_DVD_YLD_IND_NET")</f>
        <v>#NAME?</v>
      </c>
      <c r="Y34" s="6"/>
      <c r="Z34" s="6"/>
      <c r="AA34" s="6" t="e">
        <f t="shared" ca="1" si="0"/>
        <v>#NAME?</v>
      </c>
      <c r="AB34" s="1211"/>
      <c r="AC34" s="1210" t="str">
        <f t="shared" ca="1" si="1"/>
        <v>-</v>
      </c>
      <c r="AH34"/>
      <c r="AI34"/>
      <c r="AJ34"/>
    </row>
    <row r="35" spans="1:36" ht="14.5">
      <c r="A35" s="6"/>
      <c r="B35" s="53" t="s">
        <v>12921</v>
      </c>
      <c r="C35" s="8" t="str">
        <f t="shared" si="8"/>
        <v>ALELIO SS</v>
      </c>
      <c r="D35" s="14" t="e">
        <f ca="1">_xll.BDP(C35 &amp; " Equity","SECURITY_NAME")</f>
        <v>#NAME?</v>
      </c>
      <c r="E35" s="11" t="e">
        <f ca="1">_xll.BDP($C35 &amp;" Equity","dvd_sh_last")</f>
        <v>#NAME?</v>
      </c>
      <c r="F35" s="8" t="e">
        <f ca="1">_xll.BDP($C35 &amp; " Equity","dvd_ex_dt")</f>
        <v>#NAME?</v>
      </c>
      <c r="G35" s="8" t="e">
        <f ca="1">_xll.BDP($C35 &amp; " Equity","BDVD_NEXT_EST_DECL_DT")</f>
        <v>#NAME?</v>
      </c>
      <c r="H35" s="8" t="e">
        <f ca="1">_xll.BDP($C35&amp; " Equity","dvd_pay_dt")</f>
        <v>#NAME?</v>
      </c>
      <c r="I35" s="8" t="e">
        <f ca="1">_xll.BDP($C35&amp; " Equity","DVD_TYP_LAST")</f>
        <v>#NAME?</v>
      </c>
      <c r="J35" s="8" t="e">
        <f ca="1">_xll.BDP($C35&amp; " Equity","dvd_crncy")</f>
        <v>#NAME?</v>
      </c>
      <c r="K35" s="8" t="str">
        <f t="shared" si="2"/>
        <v>EUR</v>
      </c>
      <c r="L35" s="23" t="e">
        <f t="shared" ca="1" si="3"/>
        <v>#NAME?</v>
      </c>
      <c r="M35" s="23" t="e">
        <f ca="1">IF(L35="EUR",1,IF(L35="EURGBp Curncy",(_xll.BDP(L35,"PX_LAST")*100),_xll.BDP(L35,"PX_LAST")))</f>
        <v>#NAME?</v>
      </c>
      <c r="N35" s="239" t="str">
        <f t="shared" ca="1" si="13"/>
        <v>-</v>
      </c>
      <c r="O35" s="241" t="str">
        <f t="shared" ca="1" si="9"/>
        <v>-</v>
      </c>
      <c r="P35" s="53">
        <v>341291</v>
      </c>
      <c r="Q35" s="53" t="e">
        <f t="shared" ca="1" si="10"/>
        <v>#NAME?</v>
      </c>
      <c r="R35" s="53" t="e">
        <f t="shared" ca="1" si="4"/>
        <v>#NAME?</v>
      </c>
      <c r="S35" s="16" t="str">
        <f t="shared" ca="1" si="11"/>
        <v>-</v>
      </c>
      <c r="T35" s="1206" t="str">
        <f t="shared" ca="1" si="12"/>
        <v/>
      </c>
      <c r="U35" s="16" t="str">
        <f t="shared" ca="1" si="5"/>
        <v/>
      </c>
      <c r="V35" s="8" t="e">
        <f ca="1">_xll.BDP(B35 &amp;" Equity", "DVD_FREQ")</f>
        <v>#NAME?</v>
      </c>
      <c r="W35" s="23" t="e">
        <f t="shared" ca="1" si="6"/>
        <v>#NAME?</v>
      </c>
      <c r="X35" s="239" t="e">
        <f ca="1">_xll.BDP(B35 &amp;" Equity", "EQY_DVD_YLD_IND_NET")</f>
        <v>#NAME?</v>
      </c>
      <c r="Y35" s="6"/>
      <c r="Z35" s="6"/>
      <c r="AA35" s="6" t="e">
        <f t="shared" ca="1" si="0"/>
        <v>#NAME?</v>
      </c>
      <c r="AB35" s="1211"/>
      <c r="AC35" s="1210" t="str">
        <f t="shared" ca="1" si="1"/>
        <v>-</v>
      </c>
      <c r="AH35"/>
      <c r="AI35"/>
      <c r="AJ35"/>
    </row>
    <row r="36" spans="1:36" ht="14.5">
      <c r="A36" s="6"/>
      <c r="B36" s="53" t="s">
        <v>12903</v>
      </c>
      <c r="C36" s="8" t="str">
        <f t="shared" si="8"/>
        <v>EAF US</v>
      </c>
      <c r="D36" s="14" t="e">
        <f ca="1">_xll.BDP(C36 &amp; " Equity","SECURITY_NAME")</f>
        <v>#NAME?</v>
      </c>
      <c r="E36" s="11" t="e">
        <f ca="1">_xll.BDP($C36 &amp;" Equity","dvd_sh_last")</f>
        <v>#NAME?</v>
      </c>
      <c r="F36" s="8" t="e">
        <f ca="1">_xll.BDP($C36 &amp; " Equity","dvd_ex_dt")</f>
        <v>#NAME?</v>
      </c>
      <c r="G36" s="8" t="e">
        <f ca="1">_xll.BDP($C36 &amp; " Equity","BDVD_NEXT_EST_DECL_DT")</f>
        <v>#NAME?</v>
      </c>
      <c r="H36" s="8" t="e">
        <f ca="1">_xll.BDP($C36&amp; " Equity","dvd_pay_dt")</f>
        <v>#NAME?</v>
      </c>
      <c r="I36" s="8" t="e">
        <f ca="1">_xll.BDP($C36&amp; " Equity","DVD_TYP_LAST")</f>
        <v>#NAME?</v>
      </c>
      <c r="J36" s="8" t="e">
        <f ca="1">_xll.BDP($C36&amp; " Equity","dvd_crncy")</f>
        <v>#NAME?</v>
      </c>
      <c r="K36" s="8" t="str">
        <f t="shared" si="2"/>
        <v>EUR</v>
      </c>
      <c r="L36" s="23" t="e">
        <f t="shared" ca="1" si="3"/>
        <v>#NAME?</v>
      </c>
      <c r="M36" s="23" t="e">
        <f ca="1">IF(L36="EUR",1,IF(L36="EURGBp Curncy",(_xll.BDP(L36,"PX_LAST")*100),_xll.BDP(L36,"PX_LAST")))</f>
        <v>#NAME?</v>
      </c>
      <c r="N36" s="239" t="str">
        <f t="shared" ca="1" si="13"/>
        <v>-</v>
      </c>
      <c r="O36" s="241" t="str">
        <f t="shared" ca="1" si="9"/>
        <v>-</v>
      </c>
      <c r="P36" s="53">
        <v>14400</v>
      </c>
      <c r="Q36" s="53" t="e">
        <f t="shared" ca="1" si="10"/>
        <v>#NAME?</v>
      </c>
      <c r="R36" s="53" t="e">
        <f t="shared" ca="1" si="4"/>
        <v>#NAME?</v>
      </c>
      <c r="S36" s="16" t="str">
        <f t="shared" ca="1" si="11"/>
        <v>-</v>
      </c>
      <c r="T36" s="1206" t="str">
        <f t="shared" ca="1" si="12"/>
        <v/>
      </c>
      <c r="U36" s="16" t="str">
        <f t="shared" ca="1" si="5"/>
        <v/>
      </c>
      <c r="V36" s="8" t="e">
        <f ca="1">_xll.BDP(B36 &amp;" Equity", "DVD_FREQ")</f>
        <v>#NAME?</v>
      </c>
      <c r="W36" s="23" t="e">
        <f t="shared" ca="1" si="6"/>
        <v>#NAME?</v>
      </c>
      <c r="X36" s="239" t="e">
        <f ca="1">_xll.BDP(B36 &amp;" Equity", "EQY_DVD_YLD_IND_NET")</f>
        <v>#NAME?</v>
      </c>
      <c r="Y36" s="6"/>
      <c r="Z36" s="6"/>
      <c r="AA36" s="6" t="e">
        <f t="shared" ca="1" si="0"/>
        <v>#NAME?</v>
      </c>
      <c r="AB36" s="1211" t="e">
        <f t="shared" ref="AB36:AB62" ca="1" si="14">F36</f>
        <v>#NAME?</v>
      </c>
      <c r="AC36" s="1210" t="str">
        <f t="shared" ca="1" si="1"/>
        <v>-</v>
      </c>
      <c r="AH36"/>
      <c r="AI36"/>
      <c r="AJ36"/>
    </row>
    <row r="37" spans="1:36" ht="14.5">
      <c r="A37" s="6"/>
      <c r="B37" s="53" t="s">
        <v>12904</v>
      </c>
      <c r="C37" s="8" t="str">
        <f t="shared" si="8"/>
        <v>8053 JP</v>
      </c>
      <c r="D37" s="14" t="e">
        <f ca="1">_xll.BDP(C37 &amp; " Equity","SECURITY_NAME")</f>
        <v>#NAME?</v>
      </c>
      <c r="E37" s="11" t="e">
        <f ca="1">_xll.BDP($C37 &amp;" Equity","dvd_sh_last")</f>
        <v>#NAME?</v>
      </c>
      <c r="F37" s="8" t="e">
        <f ca="1">_xll.BDP($C37 &amp; " Equity","dvd_ex_dt")</f>
        <v>#NAME?</v>
      </c>
      <c r="G37" s="8" t="e">
        <f ca="1">_xll.BDP($C37 &amp; " Equity","BDVD_NEXT_EST_DECL_DT")</f>
        <v>#NAME?</v>
      </c>
      <c r="H37" s="8" t="e">
        <f ca="1">_xll.BDP($C37&amp; " Equity","dvd_pay_dt")</f>
        <v>#NAME?</v>
      </c>
      <c r="I37" s="8" t="e">
        <f ca="1">_xll.BDP($C37&amp; " Equity","DVD_TYP_LAST")</f>
        <v>#NAME?</v>
      </c>
      <c r="J37" s="8" t="e">
        <f ca="1">_xll.BDP($C37&amp; " Equity","dvd_crncy")</f>
        <v>#NAME?</v>
      </c>
      <c r="K37" s="8" t="str">
        <f t="shared" si="2"/>
        <v>EUR</v>
      </c>
      <c r="L37" s="23" t="e">
        <f t="shared" ca="1" si="3"/>
        <v>#NAME?</v>
      </c>
      <c r="M37" s="23" t="e">
        <f ca="1">IF(L37="EUR",1,IF(L37="EURGBp Curncy",(_xll.BDP(L37,"PX_LAST")*100),_xll.BDP(L37,"PX_LAST")))</f>
        <v>#NAME?</v>
      </c>
      <c r="N37" s="239" t="str">
        <f t="shared" ca="1" si="13"/>
        <v>-</v>
      </c>
      <c r="O37" s="241" t="str">
        <f t="shared" ca="1" si="9"/>
        <v>-</v>
      </c>
      <c r="P37" s="53">
        <v>6400</v>
      </c>
      <c r="Q37" s="53" t="e">
        <f t="shared" ca="1" si="10"/>
        <v>#NAME?</v>
      </c>
      <c r="R37" s="53" t="e">
        <f t="shared" ca="1" si="4"/>
        <v>#NAME?</v>
      </c>
      <c r="S37" s="16" t="str">
        <f t="shared" ca="1" si="11"/>
        <v>-</v>
      </c>
      <c r="T37" s="1206" t="str">
        <f t="shared" ca="1" si="12"/>
        <v/>
      </c>
      <c r="U37" s="16" t="str">
        <f t="shared" ca="1" si="5"/>
        <v/>
      </c>
      <c r="V37" s="8" t="e">
        <f ca="1">_xll.BDP(B37 &amp;" Equity", "DVD_FREQ")</f>
        <v>#NAME?</v>
      </c>
      <c r="W37" s="23" t="e">
        <f t="shared" ca="1" si="6"/>
        <v>#NAME?</v>
      </c>
      <c r="X37" s="239" t="e">
        <f ca="1">_xll.BDP(B37 &amp;" Equity", "EQY_DVD_YLD_IND_NET")</f>
        <v>#NAME?</v>
      </c>
      <c r="Y37" s="6"/>
      <c r="Z37" s="6"/>
      <c r="AA37" s="6" t="e">
        <f t="shared" ca="1" si="0"/>
        <v>#NAME?</v>
      </c>
      <c r="AB37" s="1211" t="e">
        <f t="shared" ca="1" si="14"/>
        <v>#NAME?</v>
      </c>
      <c r="AC37" s="1210" t="str">
        <f t="shared" ca="1" si="1"/>
        <v>-</v>
      </c>
      <c r="AH37"/>
      <c r="AI37"/>
      <c r="AJ37"/>
    </row>
    <row r="38" spans="1:36" ht="14.5">
      <c r="A38" s="6"/>
      <c r="B38" s="53" t="s">
        <v>12905</v>
      </c>
      <c r="C38" s="8" t="str">
        <f t="shared" si="8"/>
        <v>1958 HK</v>
      </c>
      <c r="D38" s="14" t="e">
        <f ca="1">_xll.BDP(C38 &amp; " Equity","SECURITY_NAME")</f>
        <v>#NAME?</v>
      </c>
      <c r="E38" s="11" t="e">
        <f ca="1">_xll.BDP($C38 &amp;" Equity","dvd_sh_last")</f>
        <v>#NAME?</v>
      </c>
      <c r="F38" s="8" t="e">
        <f ca="1">_xll.BDP($C38 &amp; " Equity","dvd_ex_dt")</f>
        <v>#NAME?</v>
      </c>
      <c r="G38" s="8" t="e">
        <f ca="1">_xll.BDP($C38 &amp; " Equity","BDVD_NEXT_EST_DECL_DT")</f>
        <v>#NAME?</v>
      </c>
      <c r="H38" s="8" t="e">
        <f ca="1">_xll.BDP($C38&amp; " Equity","dvd_pay_dt")</f>
        <v>#NAME?</v>
      </c>
      <c r="I38" s="8" t="e">
        <f ca="1">_xll.BDP($C38&amp; " Equity","DVD_TYP_LAST")</f>
        <v>#NAME?</v>
      </c>
      <c r="J38" s="8" t="e">
        <f ca="1">_xll.BDP($C38&amp; " Equity","dvd_crncy")</f>
        <v>#NAME?</v>
      </c>
      <c r="K38" s="8" t="str">
        <f t="shared" si="2"/>
        <v>EUR</v>
      </c>
      <c r="L38" s="23" t="e">
        <f t="shared" ca="1" si="3"/>
        <v>#NAME?</v>
      </c>
      <c r="M38" s="23" t="e">
        <f ca="1">IF(L38="EUR",1,IF(L38="EURGBp Curncy",(_xll.BDP(L38,"PX_LAST")*100),_xll.BDP(L38,"PX_LAST")))</f>
        <v>#NAME?</v>
      </c>
      <c r="N38" s="239" t="str">
        <f t="shared" ca="1" si="13"/>
        <v>-</v>
      </c>
      <c r="O38" s="241" t="str">
        <f t="shared" ca="1" si="9"/>
        <v>-</v>
      </c>
      <c r="P38" s="53">
        <v>2000000</v>
      </c>
      <c r="Q38" s="53" t="e">
        <f t="shared" ca="1" si="10"/>
        <v>#NAME?</v>
      </c>
      <c r="R38" s="53" t="e">
        <f t="shared" ca="1" si="4"/>
        <v>#NAME?</v>
      </c>
      <c r="S38" s="16" t="str">
        <f t="shared" ca="1" si="11"/>
        <v>-</v>
      </c>
      <c r="T38" s="1206" t="str">
        <f t="shared" ca="1" si="12"/>
        <v/>
      </c>
      <c r="U38" s="16" t="str">
        <f t="shared" ca="1" si="5"/>
        <v/>
      </c>
      <c r="V38" s="8" t="e">
        <f ca="1">_xll.BDP(B38 &amp;" Equity", "DVD_FREQ")</f>
        <v>#NAME?</v>
      </c>
      <c r="W38" s="23" t="e">
        <f t="shared" ca="1" si="6"/>
        <v>#NAME?</v>
      </c>
      <c r="X38" s="239" t="e">
        <f ca="1">_xll.BDP(B38 &amp;" Equity", "EQY_DVD_YLD_IND_NET")</f>
        <v>#NAME?</v>
      </c>
      <c r="Y38" s="6"/>
      <c r="Z38" s="6"/>
      <c r="AA38" s="6" t="e">
        <f t="shared" ca="1" si="0"/>
        <v>#NAME?</v>
      </c>
      <c r="AB38" s="1211" t="e">
        <f t="shared" ca="1" si="14"/>
        <v>#NAME?</v>
      </c>
      <c r="AC38" s="1210" t="str">
        <f t="shared" ca="1" si="1"/>
        <v>-</v>
      </c>
      <c r="AH38"/>
      <c r="AI38"/>
      <c r="AJ38"/>
    </row>
    <row r="39" spans="1:36" ht="14.5">
      <c r="A39" s="6"/>
      <c r="B39" s="53" t="s">
        <v>12923</v>
      </c>
      <c r="C39" s="8" t="str">
        <f t="shared" si="8"/>
        <v>4094 JP</v>
      </c>
      <c r="D39" s="14" t="e">
        <f ca="1">_xll.BDP(C39 &amp; " Equity","SECURITY_NAME")</f>
        <v>#NAME?</v>
      </c>
      <c r="E39" s="11" t="e">
        <f ca="1">_xll.BDP($C39 &amp;" Equity","dvd_sh_last")</f>
        <v>#NAME?</v>
      </c>
      <c r="F39" s="8" t="e">
        <f ca="1">_xll.BDP($C39 &amp; " Equity","dvd_ex_dt")</f>
        <v>#NAME?</v>
      </c>
      <c r="G39" s="8" t="e">
        <f ca="1">_xll.BDP($C39 &amp; " Equity","BDVD_NEXT_EST_DECL_DT")</f>
        <v>#NAME?</v>
      </c>
      <c r="H39" s="8" t="e">
        <f ca="1">_xll.BDP($C39&amp; " Equity","dvd_pay_dt")</f>
        <v>#NAME?</v>
      </c>
      <c r="I39" s="8" t="e">
        <f ca="1">_xll.BDP($C39&amp; " Equity","DVD_TYP_LAST")</f>
        <v>#NAME?</v>
      </c>
      <c r="J39" s="8" t="e">
        <f ca="1">_xll.BDP($C39&amp; " Equity","dvd_crncy")</f>
        <v>#NAME?</v>
      </c>
      <c r="K39" s="8" t="str">
        <f t="shared" si="2"/>
        <v>EUR</v>
      </c>
      <c r="L39" s="23" t="e">
        <f t="shared" ca="1" si="3"/>
        <v>#NAME?</v>
      </c>
      <c r="M39" s="23" t="e">
        <f ca="1">IF(L39="EUR",1,IF(L39="EURGBp Curncy",(_xll.BDP(L39,"PX_LAST")*100),_xll.BDP(L39,"PX_LAST")))</f>
        <v>#NAME?</v>
      </c>
      <c r="N39" s="239" t="str">
        <f t="shared" ca="1" si="13"/>
        <v>-</v>
      </c>
      <c r="O39" s="241" t="str">
        <f t="shared" ca="1" si="9"/>
        <v>-</v>
      </c>
      <c r="P39" s="53">
        <v>17000</v>
      </c>
      <c r="Q39" s="53" t="e">
        <f ca="1">IF(E39="#N/A Field Not Applicable",0,E39*P39)</f>
        <v>#NAME?</v>
      </c>
      <c r="R39" s="53" t="e">
        <f ca="1">+Q39</f>
        <v>#NAME?</v>
      </c>
      <c r="S39" s="16" t="str">
        <f t="shared" ca="1" si="11"/>
        <v>-</v>
      </c>
      <c r="T39" s="1206" t="str">
        <f t="shared" ca="1" si="12"/>
        <v/>
      </c>
      <c r="U39" s="16" t="str">
        <f t="shared" ca="1" si="5"/>
        <v/>
      </c>
      <c r="V39" s="8" t="e">
        <f ca="1">_xll.BDP(B39 &amp;" Equity", "DVD_FREQ")</f>
        <v>#NAME?</v>
      </c>
      <c r="W39" s="23" t="e">
        <f t="shared" ca="1" si="6"/>
        <v>#NAME?</v>
      </c>
      <c r="X39" s="239" t="e">
        <f ca="1">_xll.BDP(B39 &amp;" Equity", "EQY_DVD_YLD_IND_NET")</f>
        <v>#NAME?</v>
      </c>
      <c r="Y39" s="6"/>
      <c r="Z39" s="6"/>
      <c r="AA39" s="6" t="e">
        <f t="shared" ca="1" si="0"/>
        <v>#NAME?</v>
      </c>
      <c r="AB39" s="1211" t="e">
        <f t="shared" ca="1" si="14"/>
        <v>#NAME?</v>
      </c>
      <c r="AC39" s="1210" t="str">
        <f t="shared" ca="1" si="1"/>
        <v>-</v>
      </c>
      <c r="AH39"/>
      <c r="AI39"/>
      <c r="AJ39"/>
    </row>
    <row r="40" spans="1:36" ht="14.5">
      <c r="A40" s="6"/>
      <c r="B40" s="53" t="s">
        <v>12924</v>
      </c>
      <c r="C40" s="8" t="str">
        <f t="shared" si="8"/>
        <v>NILSY US</v>
      </c>
      <c r="D40" s="14" t="e">
        <f ca="1">_xll.BDP(C40 &amp; " Equity","SECURITY_NAME")</f>
        <v>#NAME?</v>
      </c>
      <c r="E40" s="11" t="e">
        <f ca="1">_xll.BDP($C40 &amp;" Equity","dvd_sh_last")</f>
        <v>#NAME?</v>
      </c>
      <c r="F40" s="8" t="e">
        <f ca="1">_xll.BDP($C40 &amp; " Equity","dvd_ex_dt")</f>
        <v>#NAME?</v>
      </c>
      <c r="G40" s="8" t="e">
        <f ca="1">_xll.BDP($C40 &amp; " Equity","BDVD_NEXT_EST_DECL_DT")</f>
        <v>#NAME?</v>
      </c>
      <c r="H40" s="8" t="e">
        <f ca="1">_xll.BDP($C40&amp; " Equity","dvd_pay_dt")</f>
        <v>#NAME?</v>
      </c>
      <c r="I40" s="8" t="e">
        <f ca="1">_xll.BDP($C40&amp; " Equity","DVD_TYP_LAST")</f>
        <v>#NAME?</v>
      </c>
      <c r="J40" s="8" t="e">
        <f ca="1">_xll.BDP($C40&amp; " Equity","dvd_crncy")</f>
        <v>#NAME?</v>
      </c>
      <c r="K40" s="8" t="str">
        <f t="shared" si="2"/>
        <v>EUR</v>
      </c>
      <c r="L40" s="23" t="e">
        <f t="shared" ca="1" si="3"/>
        <v>#NAME?</v>
      </c>
      <c r="M40" s="23" t="e">
        <f ca="1">IF(L40="EUR",1,IF(L40="EURGBp Curncy",(_xll.BDP(L40,"PX_LAST")*100),_xll.BDP(L40,"PX_LAST")))</f>
        <v>#NAME?</v>
      </c>
      <c r="N40" s="239" t="str">
        <f t="shared" ca="1" si="13"/>
        <v>-</v>
      </c>
      <c r="O40" s="241" t="str">
        <f t="shared" ca="1" si="9"/>
        <v>-</v>
      </c>
      <c r="P40" s="53">
        <v>7170</v>
      </c>
      <c r="Q40" s="53" t="e">
        <f t="shared" ca="1" si="10"/>
        <v>#NAME?</v>
      </c>
      <c r="R40" s="53" t="e">
        <f t="shared" ca="1" si="4"/>
        <v>#NAME?</v>
      </c>
      <c r="S40" s="16" t="str">
        <f t="shared" ca="1" si="11"/>
        <v>-</v>
      </c>
      <c r="T40" s="1206" t="str">
        <f t="shared" ca="1" si="12"/>
        <v/>
      </c>
      <c r="U40" s="16" t="str">
        <f t="shared" ca="1" si="5"/>
        <v/>
      </c>
      <c r="V40" s="8" t="e">
        <f ca="1">_xll.BDP(B40 &amp;" Equity", "DVD_FREQ")</f>
        <v>#NAME?</v>
      </c>
      <c r="W40" s="23" t="e">
        <f t="shared" ca="1" si="6"/>
        <v>#NAME?</v>
      </c>
      <c r="X40" s="239" t="e">
        <f ca="1">_xll.BDP(B40 &amp;" Equity", "EQY_DVD_YLD_IND_NET")</f>
        <v>#NAME?</v>
      </c>
      <c r="Y40" s="6"/>
      <c r="Z40" s="6"/>
      <c r="AA40" s="6" t="e">
        <f t="shared" ca="1" si="0"/>
        <v>#NAME?</v>
      </c>
      <c r="AB40" s="1211" t="e">
        <f t="shared" ca="1" si="14"/>
        <v>#NAME?</v>
      </c>
      <c r="AC40" s="1210" t="str">
        <f t="shared" ca="1" si="1"/>
        <v>-</v>
      </c>
      <c r="AH40"/>
      <c r="AI40"/>
      <c r="AJ40"/>
    </row>
    <row r="41" spans="1:36" ht="14.5">
      <c r="A41" s="6"/>
      <c r="B41" s="53" t="s">
        <v>12925</v>
      </c>
      <c r="C41" s="8" t="str">
        <f t="shared" si="8"/>
        <v>4109 JP</v>
      </c>
      <c r="D41" s="14" t="e">
        <f ca="1">_xll.BDP(C41 &amp; " Equity","SECURITY_NAME")</f>
        <v>#NAME?</v>
      </c>
      <c r="E41" s="11" t="e">
        <f ca="1">_xll.BDP($C41 &amp;" Equity","dvd_sh_last")</f>
        <v>#NAME?</v>
      </c>
      <c r="F41" s="8" t="e">
        <f ca="1">_xll.BDP($C41 &amp; " Equity","dvd_ex_dt")</f>
        <v>#NAME?</v>
      </c>
      <c r="G41" s="8" t="e">
        <f ca="1">_xll.BDP($C41 &amp; " Equity","BDVD_NEXT_EST_DECL_DT")</f>
        <v>#NAME?</v>
      </c>
      <c r="H41" s="8" t="e">
        <f ca="1">_xll.BDP($C41&amp; " Equity","dvd_pay_dt")</f>
        <v>#NAME?</v>
      </c>
      <c r="I41" s="8" t="e">
        <f ca="1">_xll.BDP($C41&amp; " Equity","DVD_TYP_LAST")</f>
        <v>#NAME?</v>
      </c>
      <c r="J41" s="8" t="e">
        <f ca="1">_xll.BDP($C41&amp; " Equity","dvd_crncy")</f>
        <v>#NAME?</v>
      </c>
      <c r="K41" s="8" t="str">
        <f t="shared" si="2"/>
        <v>EUR</v>
      </c>
      <c r="L41" s="23" t="e">
        <f t="shared" ca="1" si="3"/>
        <v>#NAME?</v>
      </c>
      <c r="M41" s="23" t="e">
        <f ca="1">IF(L41="EUR",1,IF(L41="EURGBp Curncy",(_xll.BDP(L41,"PX_LAST")*100),_xll.BDP(L41,"PX_LAST")))</f>
        <v>#NAME?</v>
      </c>
      <c r="N41" s="239" t="str">
        <f t="shared" ca="1" si="13"/>
        <v>-</v>
      </c>
      <c r="O41" s="241" t="str">
        <f t="shared" ca="1" si="9"/>
        <v>-</v>
      </c>
      <c r="P41" s="53">
        <v>14200</v>
      </c>
      <c r="Q41" s="53" t="e">
        <f t="shared" ca="1" si="10"/>
        <v>#NAME?</v>
      </c>
      <c r="R41" s="53" t="e">
        <f t="shared" ca="1" si="4"/>
        <v>#NAME?</v>
      </c>
      <c r="S41" s="16" t="str">
        <f t="shared" ca="1" si="11"/>
        <v>-</v>
      </c>
      <c r="T41" s="1206" t="str">
        <f t="shared" ca="1" si="12"/>
        <v/>
      </c>
      <c r="U41" s="16" t="str">
        <f t="shared" ca="1" si="5"/>
        <v/>
      </c>
      <c r="V41" s="8" t="e">
        <f ca="1">_xll.BDP(B41 &amp;" Equity", "DVD_FREQ")</f>
        <v>#NAME?</v>
      </c>
      <c r="W41" s="23" t="e">
        <f t="shared" ca="1" si="6"/>
        <v>#NAME?</v>
      </c>
      <c r="X41" s="239" t="e">
        <f ca="1">_xll.BDP(B41 &amp;" Equity", "EQY_DVD_YLD_IND_NET")</f>
        <v>#NAME?</v>
      </c>
      <c r="Y41" s="6"/>
      <c r="Z41" s="6"/>
      <c r="AA41" s="6" t="e">
        <f t="shared" ca="1" si="0"/>
        <v>#NAME?</v>
      </c>
      <c r="AB41" s="1211" t="e">
        <f t="shared" ca="1" si="14"/>
        <v>#NAME?</v>
      </c>
      <c r="AC41" s="1210" t="str">
        <f t="shared" ca="1" si="1"/>
        <v>-</v>
      </c>
      <c r="AH41"/>
      <c r="AI41"/>
      <c r="AJ41"/>
    </row>
    <row r="42" spans="1:36" ht="14.5">
      <c r="A42" s="6"/>
      <c r="B42" s="53" t="s">
        <v>12906</v>
      </c>
      <c r="C42" s="8" t="str">
        <f t="shared" si="8"/>
        <v>WSA AU</v>
      </c>
      <c r="D42" s="14" t="e">
        <f ca="1">_xll.BDP(C42 &amp; " Equity","SECURITY_NAME")</f>
        <v>#NAME?</v>
      </c>
      <c r="E42" s="11" t="e">
        <f ca="1">_xll.BDP($C42 &amp;" Equity","dvd_sh_last")</f>
        <v>#NAME?</v>
      </c>
      <c r="F42" s="8" t="e">
        <f ca="1">_xll.BDP($C42 &amp; " Equity","dvd_ex_dt")</f>
        <v>#NAME?</v>
      </c>
      <c r="G42" s="8" t="e">
        <f ca="1">_xll.BDP($C42 &amp; " Equity","BDVD_NEXT_EST_DECL_DT")</f>
        <v>#NAME?</v>
      </c>
      <c r="H42" s="8" t="e">
        <f ca="1">_xll.BDP($C42&amp; " Equity","dvd_pay_dt")</f>
        <v>#NAME?</v>
      </c>
      <c r="I42" s="8" t="e">
        <f ca="1">_xll.BDP($C42&amp; " Equity","DVD_TYP_LAST")</f>
        <v>#NAME?</v>
      </c>
      <c r="J42" s="8" t="e">
        <f ca="1">_xll.BDP($C42&amp; " Equity","dvd_crncy")</f>
        <v>#NAME?</v>
      </c>
      <c r="K42" s="8" t="str">
        <f t="shared" si="2"/>
        <v>EUR</v>
      </c>
      <c r="L42" s="23" t="e">
        <f t="shared" ca="1" si="3"/>
        <v>#NAME?</v>
      </c>
      <c r="M42" s="23" t="e">
        <f ca="1">IF(L42="EUR",1,IF(L42="EURGBp Curncy",(_xll.BDP(L42,"PX_LAST")*100),_xll.BDP(L42,"PX_LAST")))</f>
        <v>#NAME?</v>
      </c>
      <c r="N42" s="239" t="str">
        <f t="shared" ca="1" si="13"/>
        <v>-</v>
      </c>
      <c r="O42" s="241" t="str">
        <f t="shared" ca="1" si="9"/>
        <v>-</v>
      </c>
      <c r="P42" s="53">
        <v>220000</v>
      </c>
      <c r="Q42" s="53" t="e">
        <f t="shared" ca="1" si="10"/>
        <v>#NAME?</v>
      </c>
      <c r="R42" s="53" t="e">
        <f t="shared" ca="1" si="4"/>
        <v>#NAME?</v>
      </c>
      <c r="S42" s="16" t="str">
        <f t="shared" ca="1" si="11"/>
        <v>-</v>
      </c>
      <c r="T42" s="1206" t="str">
        <f t="shared" ca="1" si="12"/>
        <v/>
      </c>
      <c r="U42" s="16" t="str">
        <f t="shared" ca="1" si="5"/>
        <v/>
      </c>
      <c r="V42" s="8" t="e">
        <f ca="1">_xll.BDP(B42 &amp;" Equity", "DVD_FREQ")</f>
        <v>#NAME?</v>
      </c>
      <c r="W42" s="23" t="e">
        <f t="shared" ca="1" si="6"/>
        <v>#NAME?</v>
      </c>
      <c r="X42" s="239" t="e">
        <f ca="1">_xll.BDP(B42 &amp;" Equity", "EQY_DVD_YLD_IND_NET")</f>
        <v>#NAME?</v>
      </c>
      <c r="Y42" s="6"/>
      <c r="Z42" s="6"/>
      <c r="AA42" s="6" t="e">
        <f t="shared" ca="1" si="0"/>
        <v>#NAME?</v>
      </c>
      <c r="AB42" s="1211" t="e">
        <f t="shared" ca="1" si="14"/>
        <v>#NAME?</v>
      </c>
      <c r="AC42" s="1210" t="str">
        <f t="shared" ca="1" si="1"/>
        <v>-</v>
      </c>
      <c r="AH42"/>
      <c r="AI42"/>
      <c r="AJ42"/>
    </row>
    <row r="43" spans="1:36" ht="14.5">
      <c r="A43" s="6"/>
      <c r="B43" s="53" t="s">
        <v>12907</v>
      </c>
      <c r="C43" s="8" t="str">
        <f t="shared" si="8"/>
        <v>VOW3 GY</v>
      </c>
      <c r="D43" s="14" t="e">
        <f ca="1">_xll.BDP(C43 &amp; " Equity","SECURITY_NAME")</f>
        <v>#NAME?</v>
      </c>
      <c r="E43" s="11" t="e">
        <f ca="1">_xll.BDP($C43 &amp;" Equity","dvd_sh_last")</f>
        <v>#NAME?</v>
      </c>
      <c r="F43" s="8" t="e">
        <f ca="1">_xll.BDP($C43 &amp; " Equity","dvd_ex_dt")</f>
        <v>#NAME?</v>
      </c>
      <c r="G43" s="8" t="e">
        <f ca="1">_xll.BDP($C43 &amp; " Equity","BDVD_NEXT_EST_DECL_DT")</f>
        <v>#NAME?</v>
      </c>
      <c r="H43" s="8" t="e">
        <f ca="1">_xll.BDP($C43&amp; " Equity","dvd_pay_dt")</f>
        <v>#NAME?</v>
      </c>
      <c r="I43" s="8" t="e">
        <f ca="1">_xll.BDP($C43&amp; " Equity","DVD_TYP_LAST")</f>
        <v>#NAME?</v>
      </c>
      <c r="J43" s="8" t="e">
        <f ca="1">_xll.BDP($C43&amp; " Equity","dvd_crncy")</f>
        <v>#NAME?</v>
      </c>
      <c r="K43" s="8" t="str">
        <f t="shared" si="2"/>
        <v>EUR</v>
      </c>
      <c r="L43" s="23" t="e">
        <f t="shared" ca="1" si="3"/>
        <v>#NAME?</v>
      </c>
      <c r="M43" s="23" t="e">
        <f ca="1">IF(L43="EUR",1,IF(L43="EURGBp Curncy",(_xll.BDP(L43,"PX_LAST")*100),_xll.BDP(L43,"PX_LAST")))</f>
        <v>#NAME?</v>
      </c>
      <c r="N43" s="239" t="str">
        <f t="shared" ca="1" si="13"/>
        <v>-</v>
      </c>
      <c r="O43" s="241" t="str">
        <f t="shared" ca="1" si="9"/>
        <v>-</v>
      </c>
      <c r="P43" s="53">
        <v>2270</v>
      </c>
      <c r="Q43" s="53" t="e">
        <f t="shared" ca="1" si="10"/>
        <v>#NAME?</v>
      </c>
      <c r="R43" s="53" t="e">
        <f t="shared" ca="1" si="4"/>
        <v>#NAME?</v>
      </c>
      <c r="S43" s="16" t="str">
        <f t="shared" ca="1" si="11"/>
        <v>-</v>
      </c>
      <c r="T43" s="1206" t="str">
        <f t="shared" ca="1" si="12"/>
        <v/>
      </c>
      <c r="U43" s="16" t="str">
        <f t="shared" ca="1" si="5"/>
        <v/>
      </c>
      <c r="V43" s="8" t="e">
        <f ca="1">_xll.BDP(B43 &amp;" Equity", "DVD_FREQ")</f>
        <v>#NAME?</v>
      </c>
      <c r="W43" s="23" t="e">
        <f t="shared" ca="1" si="6"/>
        <v>#NAME?</v>
      </c>
      <c r="X43" s="239" t="e">
        <f ca="1">_xll.BDP(B43 &amp;" Equity", "EQY_DVD_YLD_IND_NET")</f>
        <v>#NAME?</v>
      </c>
      <c r="Y43" s="6"/>
      <c r="Z43" s="6"/>
      <c r="AA43" s="6" t="e">
        <f t="shared" ca="1" si="0"/>
        <v>#NAME?</v>
      </c>
      <c r="AB43" s="1211" t="e">
        <f t="shared" ca="1" si="14"/>
        <v>#NAME?</v>
      </c>
      <c r="AC43" s="1210" t="str">
        <f t="shared" ca="1" si="1"/>
        <v>-</v>
      </c>
      <c r="AH43"/>
      <c r="AI43"/>
      <c r="AJ43"/>
    </row>
    <row r="44" spans="1:36" ht="14.5">
      <c r="A44" s="6"/>
      <c r="B44" s="53" t="s">
        <v>12926</v>
      </c>
      <c r="C44" s="8" t="str">
        <f t="shared" si="8"/>
        <v>GLEN LN</v>
      </c>
      <c r="D44" s="14" t="e">
        <f ca="1">_xll.BDP(C44 &amp; " Equity","SECURITY_NAME")</f>
        <v>#NAME?</v>
      </c>
      <c r="E44" s="11" t="e">
        <f ca="1">_xll.BDP($C44 &amp;" Equity","dvd_sh_last")</f>
        <v>#NAME?</v>
      </c>
      <c r="F44" s="8" t="e">
        <f ca="1">_xll.BDP($C44 &amp; " Equity","dvd_ex_dt")</f>
        <v>#NAME?</v>
      </c>
      <c r="G44" s="8" t="e">
        <f ca="1">_xll.BDP($C44 &amp; " Equity","BDVD_NEXT_EST_DECL_DT")</f>
        <v>#NAME?</v>
      </c>
      <c r="H44" s="8" t="e">
        <f ca="1">_xll.BDP($C44&amp; " Equity","dvd_pay_dt")</f>
        <v>#NAME?</v>
      </c>
      <c r="I44" s="8" t="e">
        <f ca="1">_xll.BDP($C44&amp; " Equity","DVD_TYP_LAST")</f>
        <v>#NAME?</v>
      </c>
      <c r="J44" s="8" t="e">
        <f ca="1">_xll.BDP($C44&amp; " Equity","dvd_crncy")</f>
        <v>#NAME?</v>
      </c>
      <c r="K44" s="8" t="str">
        <f t="shared" si="2"/>
        <v>EUR</v>
      </c>
      <c r="L44" s="23" t="e">
        <f t="shared" ca="1" si="3"/>
        <v>#NAME?</v>
      </c>
      <c r="M44" s="23" t="e">
        <f ca="1">IF(L44="EUR",1,IF(L44="EURGBp Curncy",(_xll.BDP(L44,"PX_LAST")*100),_xll.BDP(L44,"PX_LAST")))</f>
        <v>#NAME?</v>
      </c>
      <c r="N44" s="239" t="str">
        <f t="shared" ca="1" si="13"/>
        <v>-</v>
      </c>
      <c r="O44" s="241" t="str">
        <f t="shared" ca="1" si="9"/>
        <v>-</v>
      </c>
      <c r="P44" s="53">
        <v>39000</v>
      </c>
      <c r="Q44" s="53" t="e">
        <f t="shared" ca="1" si="10"/>
        <v>#NAME?</v>
      </c>
      <c r="R44" s="53" t="e">
        <f t="shared" ca="1" si="4"/>
        <v>#NAME?</v>
      </c>
      <c r="S44" s="16" t="str">
        <f t="shared" ca="1" si="11"/>
        <v>-</v>
      </c>
      <c r="T44" s="1206" t="str">
        <f t="shared" ca="1" si="12"/>
        <v/>
      </c>
      <c r="U44" s="16" t="str">
        <f t="shared" ca="1" si="5"/>
        <v/>
      </c>
      <c r="V44" s="8" t="e">
        <f ca="1">_xll.BDP(B44 &amp;" Equity", "DVD_FREQ")</f>
        <v>#NAME?</v>
      </c>
      <c r="W44" s="23" t="e">
        <f t="shared" ca="1" si="6"/>
        <v>#NAME?</v>
      </c>
      <c r="X44" s="239" t="e">
        <f ca="1">_xll.BDP(B44 &amp;" Equity", "EQY_DVD_YLD_IND_NET")</f>
        <v>#NAME?</v>
      </c>
      <c r="Y44" s="6"/>
      <c r="Z44" s="6"/>
      <c r="AA44" s="6" t="e">
        <f t="shared" ca="1" si="0"/>
        <v>#NAME?</v>
      </c>
      <c r="AB44" s="1211" t="e">
        <f t="shared" ca="1" si="14"/>
        <v>#NAME?</v>
      </c>
      <c r="AC44" s="1210" t="str">
        <f t="shared" ca="1" si="1"/>
        <v>-</v>
      </c>
      <c r="AH44"/>
      <c r="AI44"/>
      <c r="AJ44"/>
    </row>
    <row r="45" spans="1:36" ht="14.5">
      <c r="A45" s="6"/>
      <c r="B45" s="53" t="s">
        <v>12927</v>
      </c>
      <c r="C45" s="8" t="str">
        <f t="shared" si="8"/>
        <v>064960 KS</v>
      </c>
      <c r="D45" s="14" t="e">
        <f ca="1">_xll.BDP(C45 &amp; " Equity","SECURITY_NAME")</f>
        <v>#NAME?</v>
      </c>
      <c r="E45" s="11" t="e">
        <f ca="1">_xll.BDP($C45 &amp;" Equity","dvd_sh_last")</f>
        <v>#NAME?</v>
      </c>
      <c r="F45" s="8" t="e">
        <f ca="1">_xll.BDP($C45 &amp; " Equity","dvd_ex_dt")</f>
        <v>#NAME?</v>
      </c>
      <c r="G45" s="8" t="e">
        <f ca="1">_xll.BDP($C45 &amp; " Equity","BDVD_NEXT_EST_DECL_DT")</f>
        <v>#NAME?</v>
      </c>
      <c r="H45" s="8" t="e">
        <f ca="1">_xll.BDP($C45&amp; " Equity","dvd_pay_dt")</f>
        <v>#NAME?</v>
      </c>
      <c r="I45" s="8" t="e">
        <f ca="1">_xll.BDP($C45&amp; " Equity","DVD_TYP_LAST")</f>
        <v>#NAME?</v>
      </c>
      <c r="J45" s="8" t="e">
        <f ca="1">_xll.BDP($C45&amp; " Equity","dvd_crncy")</f>
        <v>#NAME?</v>
      </c>
      <c r="K45" s="8" t="str">
        <f t="shared" si="2"/>
        <v>EUR</v>
      </c>
      <c r="L45" s="23" t="e">
        <f t="shared" ca="1" si="3"/>
        <v>#NAME?</v>
      </c>
      <c r="M45" s="23" t="e">
        <f ca="1">IF(L45="EUR",1,IF(L45="EURGBp Curncy",(_xll.BDP(L45,"PX_LAST")*100),_xll.BDP(L45,"PX_LAST")))</f>
        <v>#NAME?</v>
      </c>
      <c r="N45" s="239" t="str">
        <f t="shared" ca="1" si="13"/>
        <v>-</v>
      </c>
      <c r="O45" s="241" t="str">
        <f t="shared" ca="1" si="9"/>
        <v>-</v>
      </c>
      <c r="P45" s="53">
        <v>11000</v>
      </c>
      <c r="Q45" s="53" t="e">
        <f t="shared" ca="1" si="10"/>
        <v>#NAME?</v>
      </c>
      <c r="R45" s="53" t="e">
        <f t="shared" ca="1" si="4"/>
        <v>#NAME?</v>
      </c>
      <c r="S45" s="16" t="str">
        <f t="shared" ca="1" si="11"/>
        <v>-</v>
      </c>
      <c r="T45" s="1206" t="str">
        <f ca="1">IFERROR(IF($B$9=H45,S45,0),"")</f>
        <v/>
      </c>
      <c r="U45" s="16" t="str">
        <f t="shared" ca="1" si="5"/>
        <v/>
      </c>
      <c r="V45" s="8" t="e">
        <f ca="1">_xll.BDP(B45 &amp;" Equity", "DVD_FREQ")</f>
        <v>#NAME?</v>
      </c>
      <c r="W45" s="23" t="e">
        <f t="shared" ca="1" si="6"/>
        <v>#NAME?</v>
      </c>
      <c r="X45" s="239" t="e">
        <f ca="1">_xll.BDP(B45 &amp;" Equity", "EQY_DVD_YLD_IND_NET")</f>
        <v>#NAME?</v>
      </c>
      <c r="Y45" s="6"/>
      <c r="Z45" s="6"/>
      <c r="AA45" s="6" t="e">
        <f t="shared" ca="1" si="0"/>
        <v>#NAME?</v>
      </c>
      <c r="AB45" s="1211" t="e">
        <f t="shared" ca="1" si="14"/>
        <v>#NAME?</v>
      </c>
      <c r="AC45" s="1210" t="str">
        <f t="shared" ca="1" si="1"/>
        <v>-</v>
      </c>
      <c r="AH45"/>
      <c r="AI45"/>
      <c r="AJ45"/>
    </row>
    <row r="46" spans="1:36" ht="14.5">
      <c r="A46" s="6"/>
      <c r="B46" s="53" t="s">
        <v>12908</v>
      </c>
      <c r="C46" s="8" t="str">
        <f t="shared" si="8"/>
        <v>005490 KS</v>
      </c>
      <c r="D46" s="14" t="e">
        <f ca="1">_xll.BDP(C46 &amp; " Equity","SECURITY_NAME")</f>
        <v>#NAME?</v>
      </c>
      <c r="E46" s="11" t="e">
        <f ca="1">_xll.BDP($C46 &amp;" Equity","dvd_sh_last")</f>
        <v>#NAME?</v>
      </c>
      <c r="F46" s="8" t="e">
        <f ca="1">_xll.BDP($C46 &amp; " Equity","dvd_ex_dt")</f>
        <v>#NAME?</v>
      </c>
      <c r="G46" s="8" t="e">
        <f ca="1">_xll.BDP($C46 &amp; " Equity","BDVD_NEXT_EST_DECL_DT")</f>
        <v>#NAME?</v>
      </c>
      <c r="H46" s="12" t="e">
        <f ca="1">_xll.BDP($C46&amp; " Equity","dvd_pay_dt")</f>
        <v>#NAME?</v>
      </c>
      <c r="I46" s="8" t="e">
        <f ca="1">_xll.BDP($C46&amp; " Equity","DVD_TYP_LAST")</f>
        <v>#NAME?</v>
      </c>
      <c r="J46" s="8" t="e">
        <f ca="1">_xll.BDP($C46&amp; " Equity","dvd_crncy")</f>
        <v>#NAME?</v>
      </c>
      <c r="K46" s="8" t="str">
        <f t="shared" si="2"/>
        <v>EUR</v>
      </c>
      <c r="L46" s="23" t="e">
        <f t="shared" ca="1" si="3"/>
        <v>#NAME?</v>
      </c>
      <c r="M46" s="23" t="e">
        <f ca="1">IF(L46="EUR",1,IF(L46="EURGBp Curncy",(_xll.BDP(L46,"PX_LAST")*100),_xll.BDP(L46,"PX_LAST")))</f>
        <v>#NAME?</v>
      </c>
      <c r="N46" s="239" t="str">
        <f t="shared" ca="1" si="13"/>
        <v>-</v>
      </c>
      <c r="O46" s="241" t="str">
        <f ca="1">IFERROR(N46,0)</f>
        <v>-</v>
      </c>
      <c r="P46" s="53">
        <v>1090</v>
      </c>
      <c r="Q46" s="53" t="e">
        <f t="shared" ca="1" si="10"/>
        <v>#NAME?</v>
      </c>
      <c r="R46" s="53" t="e">
        <f ca="1">+Q46</f>
        <v>#NAME?</v>
      </c>
      <c r="S46" s="16" t="str">
        <f t="shared" ca="1" si="11"/>
        <v>-</v>
      </c>
      <c r="T46" s="1206" t="str">
        <f ca="1">IFERROR(IF($B$9=H46,S46,0),"")</f>
        <v/>
      </c>
      <c r="U46" s="16" t="str">
        <f t="shared" ca="1" si="5"/>
        <v/>
      </c>
      <c r="V46" s="8" t="e">
        <f ca="1">_xll.BDP(B46 &amp;" Equity", "DVD_FREQ")</f>
        <v>#NAME?</v>
      </c>
      <c r="W46" s="23" t="e">
        <f t="shared" ca="1" si="6"/>
        <v>#NAME?</v>
      </c>
      <c r="X46" s="239" t="e">
        <f ca="1">_xll.BDP(B46 &amp;" Equity", "EQY_DVD_YLD_IND_NET")</f>
        <v>#NAME?</v>
      </c>
      <c r="Y46" s="6"/>
      <c r="Z46" s="6"/>
      <c r="AA46" s="6" t="e">
        <f t="shared" ca="1" si="0"/>
        <v>#NAME?</v>
      </c>
      <c r="AB46" s="1211" t="e">
        <f t="shared" ca="1" si="14"/>
        <v>#NAME?</v>
      </c>
      <c r="AC46" s="1210" t="str">
        <f t="shared" ca="1" si="1"/>
        <v>-</v>
      </c>
      <c r="AH46"/>
      <c r="AI46"/>
      <c r="AJ46"/>
    </row>
    <row r="47" spans="1:36" ht="14.5">
      <c r="A47" s="6"/>
      <c r="B47" s="53" t="s">
        <v>12976</v>
      </c>
      <c r="C47" s="8" t="str">
        <f t="shared" si="8"/>
        <v>056190 KS</v>
      </c>
      <c r="D47" s="14" t="e">
        <f ca="1">_xll.BDP(C47 &amp; " Equity","SECURITY_NAME")</f>
        <v>#NAME?</v>
      </c>
      <c r="E47" s="11" t="e">
        <f ca="1">_xll.BDP($C47 &amp;" Equity","dvd_sh_last")</f>
        <v>#NAME?</v>
      </c>
      <c r="F47" s="8" t="e">
        <f ca="1">_xll.BDP($C47 &amp; " Equity","dvd_ex_dt")</f>
        <v>#NAME?</v>
      </c>
      <c r="G47" s="8" t="e">
        <f ca="1">_xll.BDP($C47 &amp; " Equity","BDVD_NEXT_EST_DECL_DT")</f>
        <v>#NAME?</v>
      </c>
      <c r="H47" s="8" t="e">
        <f ca="1">_xll.BDP($C47&amp; " Equity","dvd_pay_dt")</f>
        <v>#NAME?</v>
      </c>
      <c r="I47" s="8" t="e">
        <f ca="1">_xll.BDP($C47&amp; " Equity","DVD_TYP_LAST")</f>
        <v>#NAME?</v>
      </c>
      <c r="J47" s="8" t="e">
        <f ca="1">_xll.BDP($C47&amp; " Equity","dvd_crncy")</f>
        <v>#NAME?</v>
      </c>
      <c r="K47" s="8" t="str">
        <f t="shared" si="2"/>
        <v>EUR</v>
      </c>
      <c r="L47" s="23" t="e">
        <f t="shared" ca="1" si="3"/>
        <v>#NAME?</v>
      </c>
      <c r="M47" s="23" t="e">
        <f ca="1">IF(L47="EUR",1,IF(L47="EURGBp Curncy",(_xll.BDP(L47,"PX_LAST")*100),_xll.BDP(L47,"PX_LAST")))</f>
        <v>#NAME?</v>
      </c>
      <c r="N47" s="239" t="str">
        <f t="shared" ca="1" si="13"/>
        <v>-</v>
      </c>
      <c r="O47" s="241" t="str">
        <f t="shared" ca="1" si="9"/>
        <v>-</v>
      </c>
      <c r="P47" s="53">
        <v>41715</v>
      </c>
      <c r="Q47" s="53" t="e">
        <f ca="1">IF(E47="#N/A Field Not Applicable",0,E47*P47)</f>
        <v>#NAME?</v>
      </c>
      <c r="R47" s="53" t="e">
        <f ca="1">+Q47</f>
        <v>#NAME?</v>
      </c>
      <c r="S47" s="16" t="str">
        <f t="shared" ca="1" si="11"/>
        <v>-</v>
      </c>
      <c r="T47" s="1206" t="str">
        <f t="shared" ca="1" si="12"/>
        <v/>
      </c>
      <c r="U47" s="16" t="str">
        <f t="shared" ca="1" si="5"/>
        <v/>
      </c>
      <c r="V47" s="8" t="e">
        <f ca="1">_xll.BDP(B47 &amp;" Equity", "DVD_FREQ")</f>
        <v>#NAME?</v>
      </c>
      <c r="W47" s="23" t="e">
        <f t="shared" ca="1" si="6"/>
        <v>#NAME?</v>
      </c>
      <c r="X47" s="239" t="e">
        <f ca="1">_xll.BDP(B47 &amp;" Equity", "EQY_DVD_YLD_IND_NET")</f>
        <v>#NAME?</v>
      </c>
      <c r="Y47" s="6"/>
      <c r="Z47" s="6"/>
      <c r="AA47" s="6" t="e">
        <f t="shared" ca="1" si="0"/>
        <v>#NAME?</v>
      </c>
      <c r="AB47" s="1211" t="e">
        <f t="shared" ca="1" si="14"/>
        <v>#NAME?</v>
      </c>
      <c r="AC47" s="1210" t="str">
        <f t="shared" ca="1" si="1"/>
        <v>-</v>
      </c>
      <c r="AH47"/>
      <c r="AI47"/>
      <c r="AJ47"/>
    </row>
    <row r="48" spans="1:36" ht="14.5">
      <c r="A48" s="6"/>
      <c r="B48" s="53" t="s">
        <v>12928</v>
      </c>
      <c r="C48" s="8" t="str">
        <f t="shared" si="8"/>
        <v>4023 JP</v>
      </c>
      <c r="D48" s="14" t="e">
        <f ca="1">_xll.BDP(C48 &amp; " Equity","SECURITY_NAME")</f>
        <v>#NAME?</v>
      </c>
      <c r="E48" s="11" t="e">
        <f ca="1">_xll.BDP($C48 &amp;" Equity","dvd_sh_last")</f>
        <v>#NAME?</v>
      </c>
      <c r="F48" s="8" t="e">
        <f ca="1">_xll.BDP($C48 &amp; " Equity","dvd_ex_dt")</f>
        <v>#NAME?</v>
      </c>
      <c r="G48" s="8" t="e">
        <f ca="1">_xll.BDP($C48 &amp; " Equity","BDVD_NEXT_EST_DECL_DT")</f>
        <v>#NAME?</v>
      </c>
      <c r="H48" s="8" t="e">
        <f ca="1">_xll.BDP($C48&amp; " Equity","dvd_pay_dt")</f>
        <v>#NAME?</v>
      </c>
      <c r="I48" s="8" t="e">
        <f ca="1">_xll.BDP($C48&amp; " Equity","DVD_TYP_LAST")</f>
        <v>#NAME?</v>
      </c>
      <c r="J48" s="8" t="e">
        <f ca="1">_xll.BDP($C48&amp; " Equity","dvd_crncy")</f>
        <v>#NAME?</v>
      </c>
      <c r="K48" s="8" t="str">
        <f t="shared" si="2"/>
        <v>EUR</v>
      </c>
      <c r="L48" s="23" t="e">
        <f t="shared" ca="1" si="3"/>
        <v>#NAME?</v>
      </c>
      <c r="M48" s="23" t="e">
        <f ca="1">IF(L48="EUR",1,IF(L48="EURGBp Curncy",(_xll.BDP(L48,"PX_LAST")*100),_xll.BDP(L48,"PX_LAST")))</f>
        <v>#NAME?</v>
      </c>
      <c r="N48" s="239" t="str">
        <f ca="1">IFERROR(+E48/M48,"-")</f>
        <v>-</v>
      </c>
      <c r="O48" s="241" t="str">
        <f ca="1">IFERROR(N48,0)</f>
        <v>-</v>
      </c>
      <c r="P48" s="53">
        <v>1670</v>
      </c>
      <c r="Q48" s="53" t="e">
        <f t="shared" ca="1" si="10"/>
        <v>#NAME?</v>
      </c>
      <c r="R48" s="53" t="e">
        <f t="shared" ca="1" si="4"/>
        <v>#NAME?</v>
      </c>
      <c r="S48" s="16" t="str">
        <f t="shared" ca="1" si="11"/>
        <v>-</v>
      </c>
      <c r="T48" s="1206" t="str">
        <f t="shared" ca="1" si="12"/>
        <v/>
      </c>
      <c r="U48" s="16" t="str">
        <f t="shared" ca="1" si="5"/>
        <v/>
      </c>
      <c r="V48" s="8" t="e">
        <f ca="1">_xll.BDP(B48 &amp;" Equity", "DVD_FREQ")</f>
        <v>#NAME?</v>
      </c>
      <c r="W48" s="23" t="e">
        <f t="shared" ca="1" si="6"/>
        <v>#NAME?</v>
      </c>
      <c r="X48" s="239" t="e">
        <f ca="1">_xll.BDP(B48 &amp;" Equity", "EQY_DVD_YLD_IND_NET")</f>
        <v>#NAME?</v>
      </c>
      <c r="Y48" s="6"/>
      <c r="Z48" s="6"/>
      <c r="AA48" s="6" t="e">
        <f t="shared" ca="1" si="0"/>
        <v>#NAME?</v>
      </c>
      <c r="AB48" s="1211" t="e">
        <f t="shared" ca="1" si="14"/>
        <v>#NAME?</v>
      </c>
      <c r="AC48" s="1210" t="str">
        <f t="shared" ca="1" si="1"/>
        <v>-</v>
      </c>
      <c r="AH48"/>
      <c r="AI48"/>
      <c r="AJ48"/>
    </row>
    <row r="49" spans="1:36" ht="14.5">
      <c r="A49" s="6"/>
      <c r="B49" s="8" t="s">
        <v>12929</v>
      </c>
      <c r="C49" s="8" t="str">
        <f t="shared" si="8"/>
        <v>4205 JP</v>
      </c>
      <c r="D49" s="14" t="e">
        <f ca="1">_xll.BDP(C49 &amp; " Equity","SECURITY_NAME")</f>
        <v>#NAME?</v>
      </c>
      <c r="E49" s="11" t="e">
        <f ca="1">_xll.BDP($C49 &amp;" Equity","dvd_sh_last")</f>
        <v>#NAME?</v>
      </c>
      <c r="F49" s="8" t="e">
        <f ca="1">_xll.BDP($C49 &amp; " Equity","dvd_ex_dt")</f>
        <v>#NAME?</v>
      </c>
      <c r="G49" s="8" t="e">
        <f ca="1">_xll.BDP($C49 &amp; " Equity","BDVD_NEXT_EST_DECL_DT")</f>
        <v>#NAME?</v>
      </c>
      <c r="H49" s="8" t="e">
        <f ca="1">_xll.BDP($C49&amp; " Equity","dvd_pay_dt")</f>
        <v>#NAME?</v>
      </c>
      <c r="I49" s="8" t="e">
        <f ca="1">_xll.BDP($C49&amp; " Equity","DVD_TYP_LAST")</f>
        <v>#NAME?</v>
      </c>
      <c r="J49" s="8" t="e">
        <f ca="1">_xll.BDP($C49&amp; " Equity","dvd_crncy")</f>
        <v>#NAME?</v>
      </c>
      <c r="K49" s="8" t="str">
        <f t="shared" si="2"/>
        <v>EUR</v>
      </c>
      <c r="L49" s="23" t="e">
        <f t="shared" ca="1" si="3"/>
        <v>#NAME?</v>
      </c>
      <c r="M49" s="23" t="e">
        <f ca="1">IF(L49="EUR",1,IF(L49="EURGBp Curncy",(_xll.BDP(L49,"PX_LAST")*100),_xll.BDP(L49,"PX_LAST")))</f>
        <v>#NAME?</v>
      </c>
      <c r="N49" s="239" t="str">
        <f t="shared" ca="1" si="13"/>
        <v>-</v>
      </c>
      <c r="O49" s="241" t="str">
        <f t="shared" ca="1" si="9"/>
        <v>-</v>
      </c>
      <c r="P49" s="53">
        <v>17000</v>
      </c>
      <c r="Q49" s="53" t="e">
        <f t="shared" ca="1" si="10"/>
        <v>#NAME?</v>
      </c>
      <c r="R49" s="53" t="e">
        <f t="shared" ca="1" si="4"/>
        <v>#NAME?</v>
      </c>
      <c r="S49" s="16" t="str">
        <f t="shared" ca="1" si="11"/>
        <v>-</v>
      </c>
      <c r="T49" s="1206" t="str">
        <f t="shared" ca="1" si="12"/>
        <v/>
      </c>
      <c r="U49" s="16" t="str">
        <f t="shared" ca="1" si="5"/>
        <v/>
      </c>
      <c r="V49" s="8" t="e">
        <f ca="1">_xll.BDP(B49 &amp;" Equity", "DVD_FREQ")</f>
        <v>#NAME?</v>
      </c>
      <c r="W49" s="23" t="e">
        <f t="shared" ca="1" si="6"/>
        <v>#NAME?</v>
      </c>
      <c r="X49" s="239" t="e">
        <f ca="1">_xll.BDP(B49 &amp;" Equity", "EQY_DVD_YLD_IND_NET")</f>
        <v>#NAME?</v>
      </c>
      <c r="Y49" s="6"/>
      <c r="Z49" s="6"/>
      <c r="AA49" s="6" t="e">
        <f t="shared" ca="1" si="0"/>
        <v>#NAME?</v>
      </c>
      <c r="AB49" s="1211" t="e">
        <f t="shared" ca="1" si="14"/>
        <v>#NAME?</v>
      </c>
      <c r="AC49" s="1210" t="str">
        <f t="shared" ca="1" si="1"/>
        <v>-</v>
      </c>
      <c r="AH49"/>
      <c r="AI49"/>
      <c r="AJ49"/>
    </row>
    <row r="50" spans="1:36" ht="14.5">
      <c r="A50" s="6"/>
      <c r="B50" s="8" t="s">
        <v>12909</v>
      </c>
      <c r="C50" s="8" t="str">
        <f t="shared" si="8"/>
        <v>6502 JP</v>
      </c>
      <c r="D50" s="14" t="e">
        <f ca="1">_xll.BDP(C50 &amp; " Equity","SECURITY_NAME")</f>
        <v>#NAME?</v>
      </c>
      <c r="E50" s="11" t="e">
        <f ca="1">_xll.BDP($C50 &amp;" Equity","dvd_sh_last")</f>
        <v>#NAME?</v>
      </c>
      <c r="F50" s="8" t="e">
        <f ca="1">_xll.BDP($C50 &amp; " Equity","dvd_ex_dt")</f>
        <v>#NAME?</v>
      </c>
      <c r="G50" s="8" t="e">
        <f ca="1">_xll.BDP($C50 &amp; " Equity","BDVD_NEXT_EST_DECL_DT")</f>
        <v>#NAME?</v>
      </c>
      <c r="H50" s="8" t="e">
        <f ca="1">_xll.BDP($C50&amp; " Equity","dvd_pay_dt")</f>
        <v>#NAME?</v>
      </c>
      <c r="I50" s="8" t="e">
        <f ca="1">_xll.BDP($C50&amp; " Equity","DVD_TYP_LAST")</f>
        <v>#NAME?</v>
      </c>
      <c r="J50" s="8" t="e">
        <f ca="1">_xll.BDP($C50&amp; " Equity","dvd_crncy")</f>
        <v>#NAME?</v>
      </c>
      <c r="K50" s="8" t="str">
        <f t="shared" si="2"/>
        <v>EUR</v>
      </c>
      <c r="L50" s="23" t="e">
        <f t="shared" ca="1" si="3"/>
        <v>#NAME?</v>
      </c>
      <c r="M50" s="23" t="e">
        <f ca="1">IF(L50="EUR",1,IF(L50="EURGBp Curncy",(_xll.BDP(L50,"PX_LAST")*100),_xll.BDP(L50,"PX_LAST")))</f>
        <v>#NAME?</v>
      </c>
      <c r="N50" s="239" t="str">
        <f t="shared" ca="1" si="13"/>
        <v>-</v>
      </c>
      <c r="O50" s="241" t="str">
        <f t="shared" ca="1" si="9"/>
        <v>-</v>
      </c>
      <c r="P50" s="53">
        <v>11000</v>
      </c>
      <c r="Q50" s="53" t="e">
        <f t="shared" ca="1" si="10"/>
        <v>#NAME?</v>
      </c>
      <c r="R50" s="53" t="e">
        <f t="shared" ca="1" si="4"/>
        <v>#NAME?</v>
      </c>
      <c r="S50" s="16" t="str">
        <f t="shared" ca="1" si="11"/>
        <v>-</v>
      </c>
      <c r="T50" s="1206" t="str">
        <f t="shared" ca="1" si="12"/>
        <v/>
      </c>
      <c r="U50" s="16" t="str">
        <f t="shared" ca="1" si="5"/>
        <v/>
      </c>
      <c r="V50" s="8" t="e">
        <f ca="1">_xll.BDP(B50 &amp;" Equity", "DVD_FREQ")</f>
        <v>#NAME?</v>
      </c>
      <c r="W50" s="23" t="e">
        <f t="shared" ca="1" si="6"/>
        <v>#NAME?</v>
      </c>
      <c r="X50" s="239" t="e">
        <f ca="1">_xll.BDP(B50 &amp;" Equity", "EQY_DVD_YLD_IND_NET")</f>
        <v>#NAME?</v>
      </c>
      <c r="Y50" s="6"/>
      <c r="Z50" s="6"/>
      <c r="AA50" s="6" t="e">
        <f t="shared" ca="1" si="0"/>
        <v>#NAME?</v>
      </c>
      <c r="AB50" s="1211" t="e">
        <f t="shared" ca="1" si="14"/>
        <v>#NAME?</v>
      </c>
      <c r="AC50" s="1210" t="str">
        <f t="shared" ca="1" si="1"/>
        <v>-</v>
      </c>
      <c r="AH50"/>
      <c r="AI50"/>
      <c r="AJ50"/>
    </row>
    <row r="51" spans="1:36" ht="14.5">
      <c r="A51" s="6"/>
      <c r="B51" s="8" t="s">
        <v>12930</v>
      </c>
      <c r="C51" s="8" t="str">
        <f t="shared" si="8"/>
        <v>BMN LN</v>
      </c>
      <c r="D51" s="14" t="e">
        <f ca="1">_xll.BDP(C51 &amp; " Equity","SECURITY_NAME")</f>
        <v>#NAME?</v>
      </c>
      <c r="E51" s="11" t="e">
        <f ca="1">_xll.BDP($C51 &amp;" Equity","dvd_sh_last")</f>
        <v>#NAME?</v>
      </c>
      <c r="F51" s="8" t="e">
        <f ca="1">_xll.BDP($C51 &amp; " Equity","dvd_ex_dt")</f>
        <v>#NAME?</v>
      </c>
      <c r="G51" s="8" t="e">
        <f ca="1">_xll.BDP($C51 &amp; " Equity","BDVD_NEXT_EST_DECL_DT")</f>
        <v>#NAME?</v>
      </c>
      <c r="H51" s="8" t="e">
        <f ca="1">_xll.BDP($C51&amp; " Equity","dvd_pay_dt")</f>
        <v>#NAME?</v>
      </c>
      <c r="I51" s="8" t="e">
        <f ca="1">_xll.BDP($C51&amp; " Equity","DVD_TYP_LAST")</f>
        <v>#NAME?</v>
      </c>
      <c r="J51" s="8" t="e">
        <f ca="1">_xll.BDP($C51&amp; " Equity","dvd_crncy")</f>
        <v>#NAME?</v>
      </c>
      <c r="K51" s="8" t="str">
        <f t="shared" si="2"/>
        <v>EUR</v>
      </c>
      <c r="L51" s="23" t="e">
        <f t="shared" ca="1" si="3"/>
        <v>#NAME?</v>
      </c>
      <c r="M51" s="23" t="e">
        <f ca="1">IF(L51="EUR",1,IF(L51="EURGBp Curncy",(_xll.BDP(L51,"PX_LAST")*100),_xll.BDP(L51,"PX_LAST")))</f>
        <v>#NAME?</v>
      </c>
      <c r="N51" s="239" t="str">
        <f t="shared" ca="1" si="13"/>
        <v>-</v>
      </c>
      <c r="O51" s="241" t="str">
        <f t="shared" ca="1" si="9"/>
        <v>-</v>
      </c>
      <c r="P51" s="53">
        <v>420000</v>
      </c>
      <c r="Q51" s="53" t="e">
        <f t="shared" ca="1" si="10"/>
        <v>#NAME?</v>
      </c>
      <c r="R51" s="53" t="e">
        <f t="shared" ca="1" si="4"/>
        <v>#NAME?</v>
      </c>
      <c r="S51" s="16" t="str">
        <f t="shared" ca="1" si="11"/>
        <v>-</v>
      </c>
      <c r="T51" s="1206" t="str">
        <f t="shared" ca="1" si="12"/>
        <v/>
      </c>
      <c r="U51" s="16" t="str">
        <f t="shared" ca="1" si="5"/>
        <v/>
      </c>
      <c r="V51" s="8" t="e">
        <f ca="1">_xll.BDP(B51 &amp;" Equity", "DVD_FREQ")</f>
        <v>#NAME?</v>
      </c>
      <c r="W51" s="23" t="e">
        <f t="shared" ca="1" si="6"/>
        <v>#NAME?</v>
      </c>
      <c r="X51" s="239" t="e">
        <f ca="1">_xll.BDP(B51 &amp;" Equity", "EQY_DVD_YLD_IND_NET")</f>
        <v>#NAME?</v>
      </c>
      <c r="Y51" s="6"/>
      <c r="Z51" s="6"/>
      <c r="AA51" s="6" t="e">
        <f t="shared" ca="1" si="0"/>
        <v>#NAME?</v>
      </c>
      <c r="AC51" s="1210" t="str">
        <f t="shared" ca="1" si="1"/>
        <v>-</v>
      </c>
      <c r="AH51"/>
      <c r="AI51"/>
      <c r="AJ51"/>
    </row>
    <row r="52" spans="1:36" ht="14.5">
      <c r="A52" s="6"/>
      <c r="B52" s="8" t="s">
        <v>12931</v>
      </c>
      <c r="C52" s="8" t="str">
        <f t="shared" si="8"/>
        <v>5563 JP</v>
      </c>
      <c r="D52" s="14" t="e">
        <f ca="1">_xll.BDP(C52 &amp; " Equity","SECURITY_NAME")</f>
        <v>#NAME?</v>
      </c>
      <c r="E52" s="11" t="e">
        <f ca="1">_xll.BDP($C52 &amp;" Equity","dvd_sh_last")</f>
        <v>#NAME?</v>
      </c>
      <c r="F52" s="8" t="e">
        <f ca="1">_xll.BDP($C52 &amp; " Equity","dvd_ex_dt")</f>
        <v>#NAME?</v>
      </c>
      <c r="G52" s="8" t="e">
        <f ca="1">_xll.BDP($C52 &amp; " Equity","BDVD_NEXT_EST_DECL_DT")</f>
        <v>#NAME?</v>
      </c>
      <c r="H52" s="8" t="e">
        <f ca="1">_xll.BDP($C52&amp; " Equity","dvd_pay_dt")</f>
        <v>#NAME?</v>
      </c>
      <c r="I52" s="8" t="e">
        <f ca="1">_xll.BDP($C52&amp; " Equity","DVD_TYP_LAST")</f>
        <v>#NAME?</v>
      </c>
      <c r="J52" s="8" t="e">
        <f ca="1">_xll.BDP($C52&amp; " Equity","dvd_crncy")</f>
        <v>#NAME?</v>
      </c>
      <c r="K52" s="8" t="str">
        <f t="shared" si="2"/>
        <v>EUR</v>
      </c>
      <c r="L52" s="23" t="e">
        <f t="shared" ca="1" si="3"/>
        <v>#NAME?</v>
      </c>
      <c r="M52" s="23" t="e">
        <f ca="1">IF(L52="EUR",1,IF(L52="EURGBp Curncy",(_xll.BDP(L52,"PX_LAST")*100),_xll.BDP(L52,"PX_LAST")))</f>
        <v>#NAME?</v>
      </c>
      <c r="N52" s="239" t="str">
        <f t="shared" ca="1" si="13"/>
        <v>-</v>
      </c>
      <c r="O52" s="241" t="str">
        <f t="shared" ca="1" si="9"/>
        <v>-</v>
      </c>
      <c r="P52" s="53">
        <v>69000</v>
      </c>
      <c r="Q52" s="53" t="e">
        <f t="shared" ca="1" si="10"/>
        <v>#NAME?</v>
      </c>
      <c r="R52" s="53" t="e">
        <f t="shared" ca="1" si="4"/>
        <v>#NAME?</v>
      </c>
      <c r="S52" s="16" t="str">
        <f t="shared" ca="1" si="11"/>
        <v>-</v>
      </c>
      <c r="T52" s="1206" t="str">
        <f t="shared" ca="1" si="12"/>
        <v/>
      </c>
      <c r="U52" s="16" t="str">
        <f t="shared" ca="1" si="5"/>
        <v/>
      </c>
      <c r="V52" s="8" t="e">
        <f ca="1">_xll.BDP(B52 &amp;" Equity", "DVD_FREQ")</f>
        <v>#NAME?</v>
      </c>
      <c r="W52" s="23" t="e">
        <f t="shared" ca="1" si="6"/>
        <v>#NAME?</v>
      </c>
      <c r="X52" s="239" t="e">
        <f ca="1">_xll.BDP(B52 &amp;" Equity", "EQY_DVD_YLD_IND_NET")</f>
        <v>#NAME?</v>
      </c>
      <c r="Y52" s="6"/>
      <c r="Z52" s="6"/>
      <c r="AA52" s="6" t="e">
        <f t="shared" ca="1" si="0"/>
        <v>#NAME?</v>
      </c>
      <c r="AB52" s="6" t="e">
        <f t="shared" ca="1" si="14"/>
        <v>#NAME?</v>
      </c>
      <c r="AC52" s="1210" t="str">
        <f t="shared" ca="1" si="1"/>
        <v>-</v>
      </c>
      <c r="AH52"/>
      <c r="AI52"/>
      <c r="AJ52"/>
    </row>
    <row r="53" spans="1:36" ht="14.5">
      <c r="A53" s="6"/>
      <c r="B53" s="8" t="s">
        <v>12932</v>
      </c>
      <c r="C53" s="8" t="str">
        <f t="shared" si="8"/>
        <v>4047 JP</v>
      </c>
      <c r="D53" s="14" t="e">
        <f ca="1">_xll.BDP(C53 &amp; " Equity","SECURITY_NAME")</f>
        <v>#NAME?</v>
      </c>
      <c r="E53" s="11" t="e">
        <f ca="1">_xll.BDP($C53 &amp;" Equity","dvd_sh_last")</f>
        <v>#NAME?</v>
      </c>
      <c r="F53" s="8" t="e">
        <f ca="1">_xll.BDP($C53 &amp; " Equity","dvd_ex_dt")</f>
        <v>#NAME?</v>
      </c>
      <c r="G53" s="8" t="e">
        <f ca="1">_xll.BDP($C53 &amp; " Equity","BDVD_NEXT_EST_DECL_DT")</f>
        <v>#NAME?</v>
      </c>
      <c r="H53" s="8" t="e">
        <f ca="1">_xll.BDP($C53&amp; " Equity","dvd_pay_dt")</f>
        <v>#NAME?</v>
      </c>
      <c r="I53" s="8" t="e">
        <f ca="1">_xll.BDP($C53&amp; " Equity","DVD_TYP_LAST")</f>
        <v>#NAME?</v>
      </c>
      <c r="J53" s="8" t="e">
        <f ca="1">_xll.BDP($C53&amp; " Equity","dvd_crncy")</f>
        <v>#NAME?</v>
      </c>
      <c r="K53" s="8" t="str">
        <f t="shared" si="2"/>
        <v>EUR</v>
      </c>
      <c r="L53" s="23" t="e">
        <f t="shared" ca="1" si="3"/>
        <v>#NAME?</v>
      </c>
      <c r="M53" s="23" t="e">
        <f ca="1">IF(L53="EUR",1,IF(L53="EURGBp Curncy",(_xll.BDP(L53,"PX_LAST")*100),_xll.BDP(L53,"PX_LAST")))</f>
        <v>#NAME?</v>
      </c>
      <c r="N53" s="239" t="str">
        <f t="shared" ca="1" si="13"/>
        <v>-</v>
      </c>
      <c r="O53" s="241" t="str">
        <f t="shared" ca="1" si="9"/>
        <v>-</v>
      </c>
      <c r="P53" s="53">
        <v>17000</v>
      </c>
      <c r="Q53" s="53" t="e">
        <f t="shared" ca="1" si="10"/>
        <v>#NAME?</v>
      </c>
      <c r="R53" s="53" t="e">
        <f t="shared" ca="1" si="4"/>
        <v>#NAME?</v>
      </c>
      <c r="S53" s="16" t="str">
        <f t="shared" ca="1" si="11"/>
        <v>-</v>
      </c>
      <c r="T53" s="1206" t="str">
        <f t="shared" ca="1" si="12"/>
        <v/>
      </c>
      <c r="U53" s="16" t="str">
        <f t="shared" ca="1" si="5"/>
        <v/>
      </c>
      <c r="V53" s="8" t="e">
        <f ca="1">_xll.BDP(B53 &amp;" Equity", "DVD_FREQ")</f>
        <v>#NAME?</v>
      </c>
      <c r="W53" s="23" t="e">
        <f t="shared" ca="1" si="6"/>
        <v>#NAME?</v>
      </c>
      <c r="X53" s="239" t="e">
        <f ca="1">_xll.BDP(B53 &amp;" Equity", "EQY_DVD_YLD_IND_NET")</f>
        <v>#NAME?</v>
      </c>
      <c r="Y53" s="6"/>
      <c r="Z53" s="6"/>
      <c r="AA53" s="6" t="e">
        <f t="shared" ca="1" si="0"/>
        <v>#NAME?</v>
      </c>
      <c r="AB53" s="6" t="e">
        <f t="shared" ca="1" si="14"/>
        <v>#NAME?</v>
      </c>
      <c r="AC53" s="1210" t="str">
        <f t="shared" ca="1" si="1"/>
        <v>-</v>
      </c>
      <c r="AH53"/>
      <c r="AI53"/>
      <c r="AJ53"/>
    </row>
    <row r="54" spans="1:36" ht="14.5">
      <c r="A54" s="6"/>
      <c r="B54" s="8" t="s">
        <v>12933</v>
      </c>
      <c r="C54" s="8" t="str">
        <f t="shared" si="8"/>
        <v>6246 JP</v>
      </c>
      <c r="D54" s="14" t="e">
        <f ca="1">_xll.BDP(C54 &amp; " Equity","SECURITY_NAME")</f>
        <v>#NAME?</v>
      </c>
      <c r="E54" s="11" t="e">
        <f ca="1">_xll.BDP($C54 &amp;" Equity","dvd_sh_last")</f>
        <v>#NAME?</v>
      </c>
      <c r="F54" s="8" t="e">
        <f ca="1">_xll.BDP($C54 &amp; " Equity","dvd_ex_dt")</f>
        <v>#NAME?</v>
      </c>
      <c r="G54" s="8" t="e">
        <f ca="1">_xll.BDP($C54 &amp; " Equity","BDVD_NEXT_EST_DECL_DT")</f>
        <v>#NAME?</v>
      </c>
      <c r="H54" s="8" t="e">
        <f ca="1">_xll.BDP($C54&amp; " Equity","dvd_pay_dt")</f>
        <v>#NAME?</v>
      </c>
      <c r="I54" s="8" t="e">
        <f ca="1">_xll.BDP($C54&amp; " Equity","DVD_TYP_LAST")</f>
        <v>#NAME?</v>
      </c>
      <c r="J54" s="8" t="e">
        <f ca="1">_xll.BDP($C54&amp; " Equity","dvd_crncy")</f>
        <v>#NAME?</v>
      </c>
      <c r="K54" s="8" t="str">
        <f t="shared" si="2"/>
        <v>EUR</v>
      </c>
      <c r="L54" s="23" t="e">
        <f t="shared" ca="1" si="3"/>
        <v>#NAME?</v>
      </c>
      <c r="M54" s="23" t="e">
        <f ca="1">IF(L54="EUR",1,IF(L54="EURGBp Curncy",(_xll.BDP(L54,"PX_LAST")*100),_xll.BDP(L54,"PX_LAST")))</f>
        <v>#NAME?</v>
      </c>
      <c r="N54" s="239" t="str">
        <f t="shared" ca="1" si="13"/>
        <v>-</v>
      </c>
      <c r="O54" s="241" t="str">
        <f t="shared" ca="1" si="9"/>
        <v>-</v>
      </c>
      <c r="P54" s="53">
        <v>22000</v>
      </c>
      <c r="Q54" s="53" t="e">
        <f t="shared" ca="1" si="10"/>
        <v>#NAME?</v>
      </c>
      <c r="R54" s="53" t="e">
        <f t="shared" ca="1" si="4"/>
        <v>#NAME?</v>
      </c>
      <c r="S54" s="16" t="str">
        <f t="shared" ca="1" si="11"/>
        <v>-</v>
      </c>
      <c r="T54" s="1206" t="str">
        <f t="shared" ca="1" si="12"/>
        <v/>
      </c>
      <c r="U54" s="16" t="str">
        <f t="shared" ca="1" si="5"/>
        <v/>
      </c>
      <c r="V54" s="8" t="e">
        <f ca="1">_xll.BDP(B54 &amp;" Equity", "DVD_FREQ")</f>
        <v>#NAME?</v>
      </c>
      <c r="W54" s="23" t="e">
        <f t="shared" ca="1" si="6"/>
        <v>#NAME?</v>
      </c>
      <c r="X54" s="239" t="e">
        <f ca="1">_xll.BDP(B54 &amp;" Equity", "EQY_DVD_YLD_IND_NET")</f>
        <v>#NAME?</v>
      </c>
      <c r="Y54" s="6"/>
      <c r="Z54" s="6"/>
      <c r="AA54" s="6" t="e">
        <f t="shared" ca="1" si="0"/>
        <v>#NAME?</v>
      </c>
      <c r="AB54" s="6" t="e">
        <f t="shared" ca="1" si="14"/>
        <v>#NAME?</v>
      </c>
      <c r="AC54" s="1210" t="str">
        <f t="shared" ca="1" si="1"/>
        <v>-</v>
      </c>
      <c r="AH54"/>
      <c r="AI54"/>
      <c r="AJ54"/>
    </row>
    <row r="55" spans="1:36" ht="14.5">
      <c r="A55" s="6"/>
      <c r="B55" s="8" t="s">
        <v>12934</v>
      </c>
      <c r="C55" s="8" t="str">
        <f t="shared" si="8"/>
        <v>6882 JP</v>
      </c>
      <c r="D55" s="14" t="e">
        <f ca="1">_xll.BDP(C55 &amp; " Equity","SECURITY_NAME")</f>
        <v>#NAME?</v>
      </c>
      <c r="E55" s="11" t="e">
        <f ca="1">_xll.BDP($C55 &amp;" Equity","dvd_sh_last")</f>
        <v>#NAME?</v>
      </c>
      <c r="F55" s="8" t="e">
        <f ca="1">_xll.BDP($C55 &amp; " Equity","dvd_ex_dt")</f>
        <v>#NAME?</v>
      </c>
      <c r="G55" s="8" t="e">
        <f ca="1">_xll.BDP($C55 &amp; " Equity","BDVD_NEXT_EST_DECL_DT")</f>
        <v>#NAME?</v>
      </c>
      <c r="H55" s="8" t="e">
        <f ca="1">_xll.BDP($C55&amp; " Equity","dvd_pay_dt")</f>
        <v>#NAME?</v>
      </c>
      <c r="I55" s="8" t="e">
        <f ca="1">_xll.BDP($C55&amp; " Equity","DVD_TYP_LAST")</f>
        <v>#NAME?</v>
      </c>
      <c r="J55" s="8" t="e">
        <f ca="1">_xll.BDP($C55&amp; " Equity","dvd_crncy")</f>
        <v>#NAME?</v>
      </c>
      <c r="K55" s="8" t="str">
        <f t="shared" si="2"/>
        <v>EUR</v>
      </c>
      <c r="L55" s="23" t="e">
        <f t="shared" ca="1" si="3"/>
        <v>#NAME?</v>
      </c>
      <c r="M55" s="23" t="e">
        <f ca="1">IF(L55="EUR",1,IF(L55="EURGBp Curncy",(_xll.BDP(L55,"PX_LAST")*100),_xll.BDP(L55,"PX_LAST")))</f>
        <v>#NAME?</v>
      </c>
      <c r="N55" s="239" t="str">
        <f t="shared" ca="1" si="13"/>
        <v>-</v>
      </c>
      <c r="O55" s="241" t="str">
        <f t="shared" ca="1" si="9"/>
        <v>-</v>
      </c>
      <c r="P55" s="53">
        <v>33900</v>
      </c>
      <c r="Q55" s="53" t="e">
        <f t="shared" ca="1" si="10"/>
        <v>#NAME?</v>
      </c>
      <c r="R55" s="53" t="e">
        <f t="shared" ca="1" si="4"/>
        <v>#NAME?</v>
      </c>
      <c r="S55" s="16" t="str">
        <f t="shared" ca="1" si="11"/>
        <v>-</v>
      </c>
      <c r="T55" s="1206" t="str">
        <f t="shared" ca="1" si="12"/>
        <v/>
      </c>
      <c r="U55" s="16" t="str">
        <f t="shared" ca="1" si="5"/>
        <v/>
      </c>
      <c r="V55" s="8" t="e">
        <f ca="1">_xll.BDP(B55 &amp;" Equity", "DVD_FREQ")</f>
        <v>#NAME?</v>
      </c>
      <c r="W55" s="23" t="e">
        <f t="shared" ca="1" si="6"/>
        <v>#NAME?</v>
      </c>
      <c r="X55" s="239" t="e">
        <f ca="1">_xll.BDP(B55 &amp;" Equity", "EQY_DVD_YLD_IND_NET")</f>
        <v>#NAME?</v>
      </c>
      <c r="Y55" s="6"/>
      <c r="Z55" s="6"/>
      <c r="AA55" s="6" t="e">
        <f t="shared" ca="1" si="0"/>
        <v>#NAME?</v>
      </c>
      <c r="AB55" s="6" t="e">
        <f t="shared" ca="1" si="14"/>
        <v>#NAME?</v>
      </c>
      <c r="AC55" s="1210" t="str">
        <f t="shared" ca="1" si="1"/>
        <v>-</v>
      </c>
      <c r="AH55"/>
      <c r="AI55"/>
      <c r="AJ55"/>
    </row>
    <row r="56" spans="1:36" ht="14.5">
      <c r="A56" s="6"/>
      <c r="B56" s="8" t="s">
        <v>12935</v>
      </c>
      <c r="C56" s="8" t="str">
        <f t="shared" si="8"/>
        <v>4044 JP</v>
      </c>
      <c r="D56" s="14" t="e">
        <f ca="1">_xll.BDP(C56 &amp; " Equity","SECURITY_NAME")</f>
        <v>#NAME?</v>
      </c>
      <c r="E56" s="11" t="e">
        <f ca="1">_xll.BDP($C56 &amp;" Equity","dvd_sh_last")</f>
        <v>#NAME?</v>
      </c>
      <c r="F56" s="8" t="e">
        <f ca="1">_xll.BDP($C56 &amp; " Equity","dvd_ex_dt")</f>
        <v>#NAME?</v>
      </c>
      <c r="G56" s="8" t="e">
        <f ca="1">_xll.BDP($C56 &amp; " Equity","BDVD_NEXT_EST_DECL_DT")</f>
        <v>#NAME?</v>
      </c>
      <c r="H56" s="8" t="e">
        <f ca="1">_xll.BDP($C56&amp; " Equity","dvd_pay_dt")</f>
        <v>#NAME?</v>
      </c>
      <c r="I56" s="8" t="e">
        <f ca="1">_xll.BDP($C56&amp; " Equity","DVD_TYP_LAST")</f>
        <v>#NAME?</v>
      </c>
      <c r="J56" s="8" t="e">
        <f ca="1">_xll.BDP($C56&amp; " Equity","dvd_crncy")</f>
        <v>#NAME?</v>
      </c>
      <c r="K56" s="8" t="str">
        <f t="shared" si="2"/>
        <v>EUR</v>
      </c>
      <c r="L56" s="23" t="e">
        <f t="shared" ca="1" si="3"/>
        <v>#NAME?</v>
      </c>
      <c r="M56" s="23" t="e">
        <f ca="1">IF(L56="EUR",1,IF(L56="EURGBp Curncy",(_xll.BDP(L56,"PX_LAST")*100),_xll.BDP(L56,"PX_LAST")))</f>
        <v>#NAME?</v>
      </c>
      <c r="N56" s="239" t="str">
        <f t="shared" ca="1" si="13"/>
        <v>-</v>
      </c>
      <c r="O56" s="241" t="str">
        <f t="shared" ca="1" si="9"/>
        <v>-</v>
      </c>
      <c r="P56" s="53">
        <v>11700</v>
      </c>
      <c r="Q56" s="53" t="e">
        <f t="shared" ca="1" si="10"/>
        <v>#NAME?</v>
      </c>
      <c r="R56" s="53" t="e">
        <f t="shared" ca="1" si="4"/>
        <v>#NAME?</v>
      </c>
      <c r="S56" s="16" t="str">
        <f t="shared" ca="1" si="11"/>
        <v>-</v>
      </c>
      <c r="T56" s="1206" t="str">
        <f t="shared" ca="1" si="12"/>
        <v/>
      </c>
      <c r="U56" s="16" t="str">
        <f t="shared" ca="1" si="5"/>
        <v/>
      </c>
      <c r="V56" s="8" t="e">
        <f ca="1">_xll.BDP(B56 &amp;" Equity", "DVD_FREQ")</f>
        <v>#NAME?</v>
      </c>
      <c r="W56" s="23" t="e">
        <f t="shared" ca="1" si="6"/>
        <v>#NAME?</v>
      </c>
      <c r="X56" s="239" t="e">
        <f ca="1">_xll.BDP(B56 &amp;" Equity", "EQY_DVD_YLD_IND_NET")</f>
        <v>#NAME?</v>
      </c>
      <c r="Y56" s="6"/>
      <c r="Z56" s="6"/>
      <c r="AA56" s="6" t="e">
        <f t="shared" ca="1" si="0"/>
        <v>#NAME?</v>
      </c>
      <c r="AB56" s="6" t="e">
        <f t="shared" ca="1" si="14"/>
        <v>#NAME?</v>
      </c>
      <c r="AC56" s="1210" t="str">
        <f t="shared" ca="1" si="1"/>
        <v>-</v>
      </c>
      <c r="AH56"/>
      <c r="AI56"/>
      <c r="AJ56"/>
    </row>
    <row r="57" spans="1:36" ht="14.5">
      <c r="A57" s="6"/>
      <c r="B57" s="8" t="s">
        <v>12936</v>
      </c>
      <c r="C57" s="8" t="str">
        <f t="shared" si="8"/>
        <v>5232 JP</v>
      </c>
      <c r="D57" s="14" t="e">
        <f ca="1">_xll.BDP(C57 &amp; " Equity","SECURITY_NAME")</f>
        <v>#NAME?</v>
      </c>
      <c r="E57" s="11" t="e">
        <f ca="1">_xll.BDP($C57 &amp;" Equity","dvd_sh_last")</f>
        <v>#NAME?</v>
      </c>
      <c r="F57" s="8" t="e">
        <f ca="1">_xll.BDP($C57 &amp; " Equity","dvd_ex_dt")</f>
        <v>#NAME?</v>
      </c>
      <c r="G57" s="8" t="e">
        <f ca="1">_xll.BDP($C57 &amp; " Equity","BDVD_NEXT_EST_DECL_DT")</f>
        <v>#NAME?</v>
      </c>
      <c r="H57" s="8" t="e">
        <f ca="1">_xll.BDP($C57&amp; " Equity","dvd_pay_dt")</f>
        <v>#NAME?</v>
      </c>
      <c r="I57" s="8" t="e">
        <f ca="1">_xll.BDP($C57&amp; " Equity","DVD_TYP_LAST")</f>
        <v>#NAME?</v>
      </c>
      <c r="J57" s="8" t="e">
        <f ca="1">_xll.BDP($C57&amp; " Equity","dvd_crncy")</f>
        <v>#NAME?</v>
      </c>
      <c r="K57" s="8" t="str">
        <f t="shared" si="2"/>
        <v>EUR</v>
      </c>
      <c r="L57" s="23" t="e">
        <f t="shared" ca="1" si="3"/>
        <v>#NAME?</v>
      </c>
      <c r="M57" s="23" t="e">
        <f ca="1">IF(L57="EUR",1,IF(L57="EURGBp Curncy",(_xll.BDP(L57,"PX_LAST")*100),_xll.BDP(L57,"PX_LAST")))</f>
        <v>#NAME?</v>
      </c>
      <c r="N57" s="239" t="str">
        <f t="shared" ca="1" si="13"/>
        <v>-</v>
      </c>
      <c r="O57" s="241" t="str">
        <f t="shared" ca="1" si="9"/>
        <v>-</v>
      </c>
      <c r="P57" s="53">
        <v>11000</v>
      </c>
      <c r="Q57" s="53" t="e">
        <f t="shared" ca="1" si="10"/>
        <v>#NAME?</v>
      </c>
      <c r="R57" s="53" t="e">
        <f t="shared" ca="1" si="4"/>
        <v>#NAME?</v>
      </c>
      <c r="S57" s="16" t="str">
        <f t="shared" ca="1" si="11"/>
        <v>-</v>
      </c>
      <c r="T57" s="1206" t="str">
        <f t="shared" ca="1" si="12"/>
        <v/>
      </c>
      <c r="U57" s="16" t="str">
        <f t="shared" ca="1" si="5"/>
        <v/>
      </c>
      <c r="V57" s="8" t="e">
        <f ca="1">_xll.BDP(B57 &amp;" Equity", "DVD_FREQ")</f>
        <v>#NAME?</v>
      </c>
      <c r="W57" s="23" t="e">
        <f t="shared" ca="1" si="6"/>
        <v>#NAME?</v>
      </c>
      <c r="X57" s="239" t="e">
        <f ca="1">_xll.BDP(B57 &amp;" Equity", "EQY_DVD_YLD_IND_NET")</f>
        <v>#NAME?</v>
      </c>
      <c r="Y57" s="6"/>
      <c r="Z57" s="6"/>
      <c r="AA57" s="6" t="e">
        <f t="shared" ca="1" si="0"/>
        <v>#NAME?</v>
      </c>
      <c r="AB57" s="6" t="e">
        <f t="shared" ca="1" si="14"/>
        <v>#NAME?</v>
      </c>
      <c r="AC57" s="1210" t="str">
        <f t="shared" ca="1" si="1"/>
        <v>-</v>
      </c>
      <c r="AH57"/>
      <c r="AI57"/>
      <c r="AJ57"/>
    </row>
    <row r="58" spans="1:36" ht="14.5">
      <c r="A58" s="6"/>
      <c r="B58" s="8" t="s">
        <v>12937</v>
      </c>
      <c r="C58" s="8" t="str">
        <f t="shared" si="8"/>
        <v>SFR AU</v>
      </c>
      <c r="D58" s="14" t="e">
        <f ca="1">_xll.BDP(C58 &amp; " Equity","SECURITY_NAME")</f>
        <v>#NAME?</v>
      </c>
      <c r="E58" s="11" t="e">
        <f ca="1">_xll.BDP($C58 &amp;" Equity","dvd_sh_last")</f>
        <v>#NAME?</v>
      </c>
      <c r="F58" s="8" t="e">
        <f ca="1">_xll.BDP($C58 &amp; " Equity","dvd_ex_dt")</f>
        <v>#NAME?</v>
      </c>
      <c r="G58" s="8" t="e">
        <f ca="1">_xll.BDP($C58 &amp; " Equity","BDVD_NEXT_EST_DECL_DT")</f>
        <v>#NAME?</v>
      </c>
      <c r="H58" s="8" t="e">
        <f ca="1">_xll.BDP($C58&amp; " Equity","dvd_pay_dt")</f>
        <v>#NAME?</v>
      </c>
      <c r="I58" s="8" t="e">
        <f ca="1">_xll.BDP($C58&amp; " Equity","DVD_TYP_LAST")</f>
        <v>#NAME?</v>
      </c>
      <c r="J58" s="8" t="e">
        <f ca="1">_xll.BDP($C58&amp; " Equity","dvd_crncy")</f>
        <v>#NAME?</v>
      </c>
      <c r="K58" s="8" t="str">
        <f t="shared" si="2"/>
        <v>EUR</v>
      </c>
      <c r="L58" s="23" t="e">
        <f t="shared" ca="1" si="3"/>
        <v>#NAME?</v>
      </c>
      <c r="M58" s="23" t="e">
        <f ca="1">IF(L58="EUR",1,IF(L58="EURGBp Curncy",(_xll.BDP(L58,"PX_LAST")*100),_xll.BDP(L58,"PX_LAST")))</f>
        <v>#NAME?</v>
      </c>
      <c r="N58" s="239" t="str">
        <f t="shared" ca="1" si="13"/>
        <v>-</v>
      </c>
      <c r="O58" s="241" t="str">
        <f t="shared" ca="1" si="9"/>
        <v>-</v>
      </c>
      <c r="P58" s="53">
        <v>84000</v>
      </c>
      <c r="Q58" s="53" t="e">
        <f t="shared" ca="1" si="10"/>
        <v>#NAME?</v>
      </c>
      <c r="R58" s="53" t="e">
        <f t="shared" ca="1" si="4"/>
        <v>#NAME?</v>
      </c>
      <c r="S58" s="16" t="str">
        <f t="shared" ca="1" si="11"/>
        <v>-</v>
      </c>
      <c r="T58" s="1206" t="str">
        <f t="shared" ca="1" si="12"/>
        <v/>
      </c>
      <c r="U58" s="16" t="str">
        <f t="shared" ca="1" si="5"/>
        <v/>
      </c>
      <c r="V58" s="8" t="e">
        <f ca="1">_xll.BDP(B58 &amp;" Equity", "DVD_FREQ")</f>
        <v>#NAME?</v>
      </c>
      <c r="W58" s="23" t="e">
        <f t="shared" ca="1" si="6"/>
        <v>#NAME?</v>
      </c>
      <c r="X58" s="239" t="e">
        <f ca="1">_xll.BDP(B58 &amp;" Equity", "EQY_DVD_YLD_IND_NET")</f>
        <v>#NAME?</v>
      </c>
      <c r="Y58" s="6"/>
      <c r="Z58" s="6"/>
      <c r="AA58" s="6" t="e">
        <f t="shared" ca="1" si="0"/>
        <v>#NAME?</v>
      </c>
      <c r="AB58" s="6" t="e">
        <f t="shared" ca="1" si="14"/>
        <v>#NAME?</v>
      </c>
      <c r="AC58" s="1210" t="str">
        <f t="shared" ca="1" si="1"/>
        <v>-</v>
      </c>
      <c r="AH58"/>
      <c r="AI58"/>
      <c r="AJ58"/>
    </row>
    <row r="59" spans="1:36" ht="14.5">
      <c r="A59" s="6"/>
      <c r="B59" s="8" t="s">
        <v>12938</v>
      </c>
      <c r="C59" s="8" t="str">
        <f t="shared" si="8"/>
        <v>5233 JP</v>
      </c>
      <c r="D59" s="14" t="e">
        <f ca="1">_xll.BDP(C59 &amp; " Equity","SECURITY_NAME")</f>
        <v>#NAME?</v>
      </c>
      <c r="E59" s="11" t="e">
        <f ca="1">_xll.BDP($C59 &amp;" Equity","dvd_sh_last")</f>
        <v>#NAME?</v>
      </c>
      <c r="F59" s="8" t="e">
        <f ca="1">_xll.BDP($C59 &amp; " Equity","dvd_ex_dt")</f>
        <v>#NAME?</v>
      </c>
      <c r="G59" s="8" t="e">
        <f ca="1">_xll.BDP($C59 &amp; " Equity","BDVD_NEXT_EST_DECL_DT")</f>
        <v>#NAME?</v>
      </c>
      <c r="H59" s="8" t="e">
        <f ca="1">_xll.BDP($C59&amp; " Equity","dvd_pay_dt")</f>
        <v>#NAME?</v>
      </c>
      <c r="I59" s="8" t="e">
        <f ca="1">_xll.BDP($C59&amp; " Equity","DVD_TYP_LAST")</f>
        <v>#NAME?</v>
      </c>
      <c r="J59" s="8" t="e">
        <f ca="1">_xll.BDP($C59&amp; " Equity","dvd_crncy")</f>
        <v>#NAME?</v>
      </c>
      <c r="K59" s="8" t="str">
        <f t="shared" si="2"/>
        <v>EUR</v>
      </c>
      <c r="L59" s="23" t="e">
        <f t="shared" ca="1" si="3"/>
        <v>#NAME?</v>
      </c>
      <c r="M59" s="23" t="e">
        <f ca="1">IF(L59="EUR",1,IF(L59="EURGBp Curncy",(_xll.BDP(L59,"PX_LAST")*100),_xll.BDP(L59,"PX_LAST")))</f>
        <v>#NAME?</v>
      </c>
      <c r="N59" s="239" t="str">
        <f t="shared" ca="1" si="13"/>
        <v>-</v>
      </c>
      <c r="O59" s="241" t="str">
        <f t="shared" ca="1" si="9"/>
        <v>-</v>
      </c>
      <c r="P59" s="53">
        <v>22000</v>
      </c>
      <c r="Q59" s="53" t="e">
        <f t="shared" ca="1" si="10"/>
        <v>#NAME?</v>
      </c>
      <c r="R59" s="53" t="e">
        <f t="shared" ca="1" si="4"/>
        <v>#NAME?</v>
      </c>
      <c r="S59" s="16" t="str">
        <f t="shared" ca="1" si="11"/>
        <v>-</v>
      </c>
      <c r="T59" s="1206" t="str">
        <f t="shared" ca="1" si="12"/>
        <v/>
      </c>
      <c r="U59" s="16" t="str">
        <f t="shared" ca="1" si="5"/>
        <v/>
      </c>
      <c r="V59" s="8" t="e">
        <f ca="1">_xll.BDP(B59 &amp;" Equity", "DVD_FREQ")</f>
        <v>#NAME?</v>
      </c>
      <c r="W59" s="23" t="e">
        <f t="shared" ca="1" si="6"/>
        <v>#NAME?</v>
      </c>
      <c r="X59" s="239" t="e">
        <f ca="1">_xll.BDP(B59 &amp;" Equity", "EQY_DVD_YLD_IND_NET")</f>
        <v>#NAME?</v>
      </c>
      <c r="Y59" s="6"/>
      <c r="Z59" s="6"/>
      <c r="AA59" s="6" t="e">
        <f t="shared" ca="1" si="0"/>
        <v>#NAME?</v>
      </c>
      <c r="AB59" s="6" t="e">
        <f t="shared" ca="1" si="14"/>
        <v>#NAME?</v>
      </c>
      <c r="AC59" s="1210" t="str">
        <f t="shared" ca="1" si="1"/>
        <v>-</v>
      </c>
      <c r="AH59"/>
      <c r="AI59"/>
      <c r="AJ59"/>
    </row>
    <row r="60" spans="1:36" ht="14.5">
      <c r="A60" s="6"/>
      <c r="B60" s="8" t="s">
        <v>13047</v>
      </c>
      <c r="C60" s="8" t="str">
        <f t="shared" si="8"/>
        <v>6762 JP</v>
      </c>
      <c r="D60" s="14" t="e">
        <f ca="1">_xll.BDP(C60 &amp; " Equity","SECURITY_NAME")</f>
        <v>#NAME?</v>
      </c>
      <c r="E60" s="11" t="e">
        <f ca="1">_xll.BDP($C60 &amp;" Equity","dvd_sh_last")</f>
        <v>#NAME?</v>
      </c>
      <c r="F60" s="8" t="e">
        <f ca="1">_xll.BDP($C60 &amp; " Equity","dvd_ex_dt")</f>
        <v>#NAME?</v>
      </c>
      <c r="G60" s="8" t="e">
        <f ca="1">_xll.BDP($C60 &amp; " Equity","BDVD_NEXT_EST_DECL_DT")</f>
        <v>#NAME?</v>
      </c>
      <c r="H60" s="8" t="e">
        <f ca="1">_xll.BDP($C60&amp; " Equity","dvd_pay_dt")</f>
        <v>#NAME?</v>
      </c>
      <c r="I60" s="8" t="e">
        <f ca="1">_xll.BDP($C60&amp; " Equity","DVD_TYP_LAST")</f>
        <v>#NAME?</v>
      </c>
      <c r="J60" s="8" t="e">
        <f ca="1">_xll.BDP($C60&amp; " Equity","dvd_crncy")</f>
        <v>#NAME?</v>
      </c>
      <c r="K60" s="8" t="str">
        <f t="shared" si="2"/>
        <v>EUR</v>
      </c>
      <c r="L60" s="23" t="e">
        <f t="shared" ca="1" si="3"/>
        <v>#NAME?</v>
      </c>
      <c r="M60" s="23" t="e">
        <f ca="1">IF(L60="EUR",1,IF(L60="EURGBp Curncy",(_xll.BDP(L60,"PX_LAST")*100),_xll.BDP(L60,"PX_LAST")))</f>
        <v>#NAME?</v>
      </c>
      <c r="N60" s="239" t="str">
        <f t="shared" ca="1" si="13"/>
        <v>-</v>
      </c>
      <c r="O60" s="241" t="str">
        <f t="shared" ca="1" si="9"/>
        <v>-</v>
      </c>
      <c r="P60" s="53">
        <v>6700</v>
      </c>
      <c r="Q60" s="53" t="e">
        <f t="shared" ca="1" si="10"/>
        <v>#NAME?</v>
      </c>
      <c r="R60" s="53" t="e">
        <f t="shared" ca="1" si="4"/>
        <v>#NAME?</v>
      </c>
      <c r="S60" s="16" t="str">
        <f t="shared" ca="1" si="11"/>
        <v>-</v>
      </c>
      <c r="T60" s="1206" t="str">
        <f t="shared" ca="1" si="12"/>
        <v/>
      </c>
      <c r="U60" s="16" t="str">
        <f t="shared" ca="1" si="5"/>
        <v/>
      </c>
      <c r="V60" s="8" t="e">
        <f ca="1">_xll.BDP(B60 &amp;" Equity", "DVD_FREQ")</f>
        <v>#NAME?</v>
      </c>
      <c r="W60" s="23" t="e">
        <f t="shared" ca="1" si="6"/>
        <v>#NAME?</v>
      </c>
      <c r="X60" s="239" t="e">
        <f ca="1">_xll.BDP(B60 &amp;" Equity", "EQY_DVD_YLD_IND_NET")</f>
        <v>#NAME?</v>
      </c>
      <c r="Y60" s="6"/>
      <c r="Z60" s="6"/>
      <c r="AA60" s="6" t="e">
        <f t="shared" ca="1" si="0"/>
        <v>#NAME?</v>
      </c>
      <c r="AB60" s="6" t="e">
        <f t="shared" ca="1" si="14"/>
        <v>#NAME?</v>
      </c>
      <c r="AC60" s="1210" t="str">
        <f t="shared" ca="1" si="1"/>
        <v>-</v>
      </c>
      <c r="AH60"/>
      <c r="AI60"/>
      <c r="AJ60"/>
    </row>
    <row r="61" spans="1:36" ht="14.5">
      <c r="A61" s="6"/>
      <c r="B61" s="8" t="s">
        <v>13049</v>
      </c>
      <c r="C61" s="8" t="str">
        <f t="shared" si="8"/>
        <v>VTSC GR</v>
      </c>
      <c r="D61" s="14" t="e">
        <f ca="1">_xll.BDP(C61 &amp; " Equity","SECURITY_NAME")</f>
        <v>#NAME?</v>
      </c>
      <c r="E61" s="11" t="e">
        <f ca="1">_xll.BDP($C61 &amp;" Equity","dvd_sh_last")</f>
        <v>#NAME?</v>
      </c>
      <c r="F61" s="8" t="e">
        <f ca="1">_xll.BDP($C61 &amp; " Equity","dvd_ex_dt")</f>
        <v>#NAME?</v>
      </c>
      <c r="G61" s="8" t="e">
        <f ca="1">_xll.BDP($C61 &amp; " Equity","BDVD_NEXT_EST_DECL_DT")</f>
        <v>#NAME?</v>
      </c>
      <c r="H61" s="8" t="e">
        <f ca="1">_xll.BDP($C61&amp; " Equity","dvd_pay_dt")</f>
        <v>#NAME?</v>
      </c>
      <c r="I61" s="8" t="e">
        <f ca="1">_xll.BDP($C61&amp; " Equity","DVD_TYP_LAST")</f>
        <v>#NAME?</v>
      </c>
      <c r="J61" s="8" t="e">
        <f ca="1">_xll.BDP($C61&amp; " Equity","dvd_crncy")</f>
        <v>#NAME?</v>
      </c>
      <c r="K61" s="8" t="str">
        <f t="shared" si="2"/>
        <v>EUR</v>
      </c>
      <c r="L61" s="23" t="e">
        <f t="shared" ca="1" si="3"/>
        <v>#NAME?</v>
      </c>
      <c r="M61" s="23" t="e">
        <f ca="1">IF(L61="EUR",1,IF(L61="EURGBp Curncy",(_xll.BDP(L61,"PX_LAST")*100),_xll.BDP(L61,"PX_LAST")))</f>
        <v>#NAME?</v>
      </c>
      <c r="N61" s="239" t="str">
        <f t="shared" ca="1" si="13"/>
        <v>-</v>
      </c>
      <c r="O61" s="241" t="str">
        <f t="shared" ca="1" si="9"/>
        <v>-</v>
      </c>
      <c r="P61" s="53">
        <v>15200</v>
      </c>
      <c r="Q61" s="53" t="e">
        <f t="shared" ca="1" si="10"/>
        <v>#NAME?</v>
      </c>
      <c r="R61" s="53" t="e">
        <f t="shared" ca="1" si="4"/>
        <v>#NAME?</v>
      </c>
      <c r="S61" s="16" t="str">
        <f t="shared" ca="1" si="11"/>
        <v>-</v>
      </c>
      <c r="T61" s="1206" t="str">
        <f t="shared" ca="1" si="12"/>
        <v/>
      </c>
      <c r="U61" s="16" t="str">
        <f t="shared" ca="1" si="5"/>
        <v/>
      </c>
      <c r="V61" s="8" t="e">
        <f ca="1">_xll.BDP(B61 &amp;" Equity", "DVD_FREQ")</f>
        <v>#NAME?</v>
      </c>
      <c r="W61" s="23" t="e">
        <f t="shared" ca="1" si="6"/>
        <v>#NAME?</v>
      </c>
      <c r="X61" s="239" t="e">
        <f ca="1">_xll.BDP(B61 &amp;" Equity", "EQY_DVD_YLD_IND_NET")</f>
        <v>#NAME?</v>
      </c>
      <c r="Y61" s="6"/>
      <c r="Z61" s="6"/>
      <c r="AA61" s="6" t="e">
        <f t="shared" ca="1" si="0"/>
        <v>#NAME?</v>
      </c>
      <c r="AC61" s="1210" t="str">
        <f t="shared" ca="1" si="1"/>
        <v>-</v>
      </c>
      <c r="AH61"/>
      <c r="AI61"/>
      <c r="AJ61"/>
    </row>
    <row r="62" spans="1:36" ht="14.5">
      <c r="A62" s="6"/>
      <c r="B62" s="8" t="s">
        <v>13052</v>
      </c>
      <c r="C62" s="8" t="str">
        <f t="shared" si="8"/>
        <v>7013 JT</v>
      </c>
      <c r="D62" s="14" t="e">
        <f ca="1">_xll.BDP(C62 &amp; " Equity","SECURITY_NAME")</f>
        <v>#NAME?</v>
      </c>
      <c r="E62" s="11" t="e">
        <f ca="1">_xll.BDP($C62 &amp;" Equity","dvd_sh_last")</f>
        <v>#NAME?</v>
      </c>
      <c r="F62" s="8" t="e">
        <f ca="1">_xll.BDP($C62 &amp; " Equity","dvd_ex_dt")</f>
        <v>#NAME?</v>
      </c>
      <c r="G62" s="8" t="e">
        <f ca="1">_xll.BDP($C62 &amp; " Equity","BDVD_NEXT_EST_DECL_DT")</f>
        <v>#NAME?</v>
      </c>
      <c r="H62" s="8" t="e">
        <f ca="1">_xll.BDP($C62&amp; " Equity","dvd_pay_dt")</f>
        <v>#NAME?</v>
      </c>
      <c r="I62" s="8" t="e">
        <f ca="1">_xll.BDP($C62&amp; " Equity","DVD_TYP_LAST")</f>
        <v>#NAME?</v>
      </c>
      <c r="J62" s="8" t="e">
        <f ca="1">_xll.BDP($C62&amp; " Equity","dvd_crncy")</f>
        <v>#NAME?</v>
      </c>
      <c r="K62" s="8" t="str">
        <f t="shared" si="2"/>
        <v>EUR</v>
      </c>
      <c r="L62" s="23" t="e">
        <f t="shared" ca="1" si="3"/>
        <v>#NAME?</v>
      </c>
      <c r="M62" s="23" t="e">
        <f ca="1">IF(L62="EUR",1,IF(L62="EURGBp Curncy",(_xll.BDP(L62,"PX_LAST")*100),_xll.BDP(L62,"PX_LAST")))</f>
        <v>#NAME?</v>
      </c>
      <c r="N62" s="239" t="str">
        <f t="shared" ca="1" si="13"/>
        <v>-</v>
      </c>
      <c r="O62" s="241" t="str">
        <f t="shared" ca="1" si="9"/>
        <v>-</v>
      </c>
      <c r="P62" s="53">
        <v>22000</v>
      </c>
      <c r="Q62" s="53" t="e">
        <f t="shared" ca="1" si="10"/>
        <v>#NAME?</v>
      </c>
      <c r="R62" s="53" t="e">
        <f t="shared" ca="1" si="4"/>
        <v>#NAME?</v>
      </c>
      <c r="S62" s="16" t="str">
        <f t="shared" ca="1" si="11"/>
        <v>-</v>
      </c>
      <c r="T62" s="1206" t="str">
        <f t="shared" ca="1" si="12"/>
        <v/>
      </c>
      <c r="U62" s="16" t="str">
        <f t="shared" ca="1" si="5"/>
        <v/>
      </c>
      <c r="V62" s="8" t="e">
        <f ca="1">_xll.BDP(B62 &amp;" Equity", "DVD_FREQ")</f>
        <v>#NAME?</v>
      </c>
      <c r="W62" s="23" t="e">
        <f t="shared" ca="1" si="6"/>
        <v>#NAME?</v>
      </c>
      <c r="X62" s="239" t="e">
        <f ca="1">_xll.BDP(B62 &amp;" Equity", "EQY_DVD_YLD_IND_NET")</f>
        <v>#NAME?</v>
      </c>
      <c r="Y62" s="6"/>
      <c r="Z62" s="6"/>
      <c r="AA62" s="6" t="e">
        <f t="shared" ca="1" si="0"/>
        <v>#NAME?</v>
      </c>
      <c r="AB62" s="6" t="e">
        <f t="shared" ca="1" si="14"/>
        <v>#NAME?</v>
      </c>
      <c r="AC62" s="1210" t="str">
        <f t="shared" ca="1" si="1"/>
        <v>-</v>
      </c>
      <c r="AH62"/>
      <c r="AI62"/>
      <c r="AJ62"/>
    </row>
    <row r="63" spans="1:36" ht="14.5">
      <c r="A63" s="6"/>
      <c r="B63" s="8"/>
      <c r="C63" s="8" t="str">
        <f t="shared" si="8"/>
        <v/>
      </c>
      <c r="D63" s="14" t="str">
        <f>_xll.BDP(C63 &amp; " Equity","SECURITY_NAME")</f>
        <v>#N/A Invalid Security</v>
      </c>
      <c r="E63" s="11" t="str">
        <f>_xll.BDP($C63 &amp;" Equity","dvd_sh_last")</f>
        <v>#N/A Invalid Security</v>
      </c>
      <c r="F63" s="8" t="str">
        <f>_xll.BDP($C63 &amp; " Equity","dvd_ex_dt")</f>
        <v>#N/A Invalid Security</v>
      </c>
      <c r="G63" s="8" t="str">
        <f>_xll.BDP($C63 &amp; " Equity","BDVD_NEXT_EST_DECL_DT")</f>
        <v>#N/A Invalid Security</v>
      </c>
      <c r="H63" s="8" t="str">
        <f>_xll.BDP($C63&amp; " Equity","dvd_pay_dt")</f>
        <v>#N/A Invalid Security</v>
      </c>
      <c r="I63" s="8" t="str">
        <f>_xll.BDP($C63&amp; " Equity","DVD_TYP_LAST")</f>
        <v>#N/A Invalid Security</v>
      </c>
      <c r="J63" s="8" t="str">
        <f>_xll.BDP($C63&amp; " Equity","dvd_crncy")</f>
        <v>#N/A Invalid Security</v>
      </c>
      <c r="K63" s="8" t="str">
        <f t="shared" si="2"/>
        <v>-</v>
      </c>
      <c r="L63" s="23" t="str">
        <f t="shared" si="3"/>
        <v>-#N/A Invalid Security Curncy</v>
      </c>
      <c r="M63" s="23" t="e">
        <f ca="1">IF(L63="EUR",1,IF(L63="EURGBp Curncy",(_xll.BDP(L63,"PX_LAST")*100),_xll.BDP(L63,"PX_LAST")))</f>
        <v>#NAME?</v>
      </c>
      <c r="N63" s="239" t="str">
        <f t="shared" ca="1" si="13"/>
        <v>-</v>
      </c>
      <c r="O63" s="241"/>
      <c r="P63" s="53"/>
      <c r="Q63" s="53" t="e">
        <f t="shared" si="10"/>
        <v>#VALUE!</v>
      </c>
      <c r="R63" s="53" t="e">
        <f t="shared" si="4"/>
        <v>#VALUE!</v>
      </c>
      <c r="S63" s="16">
        <f t="shared" si="11"/>
        <v>0</v>
      </c>
      <c r="T63" s="1206">
        <f t="shared" si="12"/>
        <v>0</v>
      </c>
      <c r="U63" s="16" t="str">
        <f t="shared" si="5"/>
        <v>0</v>
      </c>
      <c r="V63" s="8" t="str">
        <f>_xll.BDP(B63 &amp;" Equity", "DVD_FREQ")</f>
        <v>#N/A Invalid Security</v>
      </c>
      <c r="W63" s="23" t="str">
        <f t="shared" si="6"/>
        <v>#N/A Invalid Security</v>
      </c>
      <c r="X63" s="239" t="str">
        <f>_xll.BDP(B63 &amp;" Equity", "EQY_DVD_YLD_IND_NET")</f>
        <v>#N/A Invalid Security</v>
      </c>
      <c r="Y63" s="6"/>
      <c r="Z63" s="6"/>
      <c r="AC63" s="1210"/>
      <c r="AH63"/>
      <c r="AI63"/>
      <c r="AJ63"/>
    </row>
    <row r="64" spans="1:36" ht="14.5">
      <c r="A64" s="6"/>
      <c r="B64" s="8"/>
      <c r="C64" s="8" t="str">
        <f t="shared" si="8"/>
        <v/>
      </c>
      <c r="D64" s="14" t="str">
        <f>_xll.BDP(C64 &amp; " Equity","SECURITY_NAME")</f>
        <v>#N/A Invalid Security</v>
      </c>
      <c r="E64" s="11" t="str">
        <f>_xll.BDP($C64 &amp;" Equity","dvd_sh_last")</f>
        <v>#N/A Invalid Security</v>
      </c>
      <c r="F64" s="8" t="str">
        <f>_xll.BDP($C64 &amp; " Equity","dvd_ex_dt")</f>
        <v>#N/A Invalid Security</v>
      </c>
      <c r="G64" s="8" t="str">
        <f>_xll.BDP($C64 &amp; " Equity","BDVD_NEXT_EST_DECL_DT")</f>
        <v>#N/A Invalid Security</v>
      </c>
      <c r="H64" s="8" t="str">
        <f>_xll.BDP($C64&amp; " Equity","dvd_pay_dt")</f>
        <v>#N/A Invalid Security</v>
      </c>
      <c r="I64" s="8" t="str">
        <f>_xll.BDP($C64&amp; " Equity","DVD_TYP_LAST")</f>
        <v>#N/A Invalid Security</v>
      </c>
      <c r="J64" s="8" t="str">
        <f>_xll.BDP($C64&amp; " Equity","dvd_crncy")</f>
        <v>#N/A Invalid Security</v>
      </c>
      <c r="K64" s="8" t="str">
        <f t="shared" si="2"/>
        <v>-</v>
      </c>
      <c r="L64" s="23" t="str">
        <f t="shared" si="3"/>
        <v>-#N/A Invalid Security Curncy</v>
      </c>
      <c r="M64" s="23" t="e">
        <f ca="1">IF(L64="EUR",1,IF(L64="EURGBp Curncy",(_xll.BDP(L64,"PX_LAST")*100),_xll.BDP(L64,"PX_LAST")))</f>
        <v>#NAME?</v>
      </c>
      <c r="N64" s="239" t="str">
        <f t="shared" ca="1" si="13"/>
        <v>-</v>
      </c>
      <c r="O64" s="241"/>
      <c r="P64" s="53"/>
      <c r="Q64" s="53" t="e">
        <f t="shared" si="10"/>
        <v>#VALUE!</v>
      </c>
      <c r="R64" s="53" t="e">
        <f t="shared" si="4"/>
        <v>#VALUE!</v>
      </c>
      <c r="S64" s="16">
        <f t="shared" si="11"/>
        <v>0</v>
      </c>
      <c r="T64" s="1206">
        <f t="shared" si="12"/>
        <v>0</v>
      </c>
      <c r="U64" s="16" t="str">
        <f t="shared" si="5"/>
        <v>0</v>
      </c>
      <c r="V64" s="8" t="str">
        <f>_xll.BDP(B64 &amp;" Equity", "DVD_FREQ")</f>
        <v>#N/A Invalid Security</v>
      </c>
      <c r="W64" s="23" t="str">
        <f t="shared" si="6"/>
        <v>#N/A Invalid Security</v>
      </c>
      <c r="X64" s="239" t="str">
        <f>_xll.BDP(B64 &amp;" Equity", "EQY_DVD_YLD_IND_NET")</f>
        <v>#N/A Invalid Security</v>
      </c>
      <c r="Y64" s="6"/>
      <c r="Z64" s="6"/>
      <c r="AC64" s="1210"/>
      <c r="AH64"/>
      <c r="AI64"/>
      <c r="AJ64"/>
    </row>
    <row r="65" spans="1:36" ht="14.5">
      <c r="A65" s="6"/>
      <c r="B65" s="8"/>
      <c r="C65" s="8" t="str">
        <f t="shared" si="8"/>
        <v/>
      </c>
      <c r="D65" s="14" t="str">
        <f>_xll.BDP(C65 &amp; " Equity","SECURITY_NAME")</f>
        <v>#N/A Invalid Security</v>
      </c>
      <c r="E65" s="11" t="str">
        <f>_xll.BDP($C65 &amp;" Equity","dvd_sh_last")</f>
        <v>#N/A Invalid Security</v>
      </c>
      <c r="F65" s="8" t="str">
        <f>_xll.BDP($C65 &amp; " Equity","dvd_ex_dt")</f>
        <v>#N/A Invalid Security</v>
      </c>
      <c r="G65" s="8" t="str">
        <f>_xll.BDP($C65 &amp; " Equity","BDVD_NEXT_EST_DECL_DT")</f>
        <v>#N/A Invalid Security</v>
      </c>
      <c r="H65" s="8" t="str">
        <f>_xll.BDP($C65&amp; " Equity","dvd_pay_dt")</f>
        <v>#N/A Invalid Security</v>
      </c>
      <c r="I65" s="8" t="str">
        <f>_xll.BDP($C65&amp; " Equity","DVD_TYP_LAST")</f>
        <v>#N/A Invalid Security</v>
      </c>
      <c r="J65" s="8" t="str">
        <f>_xll.BDP($C65&amp; " Equity","dvd_crncy")</f>
        <v>#N/A Invalid Security</v>
      </c>
      <c r="K65" s="8" t="str">
        <f t="shared" si="2"/>
        <v>-</v>
      </c>
      <c r="L65" s="23" t="str">
        <f t="shared" si="3"/>
        <v>-#N/A Invalid Security Curncy</v>
      </c>
      <c r="M65" s="23" t="e">
        <f ca="1">IF(L65="EUR",1,IF(L65="EURGBp Curncy",(_xll.BDP(L65,"PX_LAST")*100),_xll.BDP(L65,"PX_LAST")))</f>
        <v>#NAME?</v>
      </c>
      <c r="N65" s="239" t="str">
        <f t="shared" ca="1" si="13"/>
        <v>-</v>
      </c>
      <c r="O65" s="241"/>
      <c r="P65" s="53"/>
      <c r="Q65" s="53" t="e">
        <f t="shared" si="10"/>
        <v>#VALUE!</v>
      </c>
      <c r="R65" s="53" t="e">
        <f t="shared" si="4"/>
        <v>#VALUE!</v>
      </c>
      <c r="S65" s="16">
        <f t="shared" si="11"/>
        <v>0</v>
      </c>
      <c r="T65" s="1206">
        <f t="shared" si="12"/>
        <v>0</v>
      </c>
      <c r="U65" s="16" t="str">
        <f t="shared" si="5"/>
        <v>0</v>
      </c>
      <c r="V65" s="8" t="str">
        <f>_xll.BDP(B65 &amp;" Equity", "DVD_FREQ")</f>
        <v>#N/A Invalid Security</v>
      </c>
      <c r="W65" s="23" t="str">
        <f t="shared" si="6"/>
        <v>#N/A Invalid Security</v>
      </c>
      <c r="X65" s="239" t="str">
        <f>_xll.BDP(B65 &amp;" Equity", "EQY_DVD_YLD_IND_NET")</f>
        <v>#N/A Invalid Security</v>
      </c>
      <c r="Y65" s="6"/>
      <c r="Z65" s="6"/>
      <c r="AC65" s="1210"/>
      <c r="AH65"/>
      <c r="AI65"/>
      <c r="AJ65"/>
    </row>
    <row r="66" spans="1:36" ht="14.5">
      <c r="A66" s="6"/>
      <c r="B66" s="8"/>
      <c r="C66" s="8" t="str">
        <f t="shared" si="8"/>
        <v/>
      </c>
      <c r="D66" s="14" t="str">
        <f>_xll.BDP(C66 &amp; " Equity","SECURITY_NAME")</f>
        <v>#N/A Invalid Security</v>
      </c>
      <c r="E66" s="11" t="str">
        <f>_xll.BDP($C66 &amp;" Equity","dvd_sh_last")</f>
        <v>#N/A Invalid Security</v>
      </c>
      <c r="F66" s="8" t="str">
        <f>_xll.BDP($C66 &amp; " Equity","dvd_ex_dt")</f>
        <v>#N/A Invalid Security</v>
      </c>
      <c r="G66" s="8" t="str">
        <f>_xll.BDP($C66 &amp; " Equity","BDVD_NEXT_EST_DECL_DT")</f>
        <v>#N/A Invalid Security</v>
      </c>
      <c r="H66" s="8" t="str">
        <f>_xll.BDP($C66&amp; " Equity","dvd_pay_dt")</f>
        <v>#N/A Invalid Security</v>
      </c>
      <c r="I66" s="8" t="str">
        <f>_xll.BDP($C66&amp; " Equity","DVD_TYP_LAST")</f>
        <v>#N/A Invalid Security</v>
      </c>
      <c r="J66" s="8" t="str">
        <f>_xll.BDP($C66&amp; " Equity","dvd_crncy")</f>
        <v>#N/A Invalid Security</v>
      </c>
      <c r="K66" s="8" t="str">
        <f t="shared" ref="K66:K100" si="15">IF(B66="","-","EUR")</f>
        <v>-</v>
      </c>
      <c r="L66" s="23" t="str">
        <f t="shared" si="3"/>
        <v>-#N/A Invalid Security Curncy</v>
      </c>
      <c r="M66" s="23" t="e">
        <f ca="1">IF(L66="EUR",1,IF(L66="EURGBp Curncy",(_xll.BDP(L66,"PX_LAST")*100),_xll.BDP(L66,"PX_LAST")))</f>
        <v>#NAME?</v>
      </c>
      <c r="N66" s="239" t="str">
        <f t="shared" ref="N66:N100" ca="1" si="16">IFERROR(+E66/M66,"-")</f>
        <v>-</v>
      </c>
      <c r="O66" s="241"/>
      <c r="P66" s="53"/>
      <c r="Q66" s="53" t="e">
        <f t="shared" si="10"/>
        <v>#VALUE!</v>
      </c>
      <c r="R66" s="53" t="e">
        <f t="shared" si="4"/>
        <v>#VALUE!</v>
      </c>
      <c r="S66" s="16">
        <f t="shared" si="11"/>
        <v>0</v>
      </c>
      <c r="T66" s="1206">
        <f t="shared" si="12"/>
        <v>0</v>
      </c>
      <c r="U66" s="16" t="str">
        <f t="shared" ref="U66:U100" si="17">IFERROR(IF($B$9=H66,R66,"0"),"")</f>
        <v>0</v>
      </c>
      <c r="V66" s="8" t="str">
        <f>_xll.BDP(B66 &amp;" Equity", "DVD_FREQ")</f>
        <v>#N/A Invalid Security</v>
      </c>
      <c r="W66" s="23" t="str">
        <f t="shared" si="6"/>
        <v>#N/A Invalid Security</v>
      </c>
      <c r="X66" s="239" t="str">
        <f>_xll.BDP(B66 &amp;" Equity", "EQY_DVD_YLD_IND_NET")</f>
        <v>#N/A Invalid Security</v>
      </c>
      <c r="Y66" s="6"/>
      <c r="Z66" s="6"/>
      <c r="AC66" s="1210"/>
      <c r="AH66"/>
      <c r="AI66"/>
      <c r="AJ66"/>
    </row>
    <row r="67" spans="1:36" ht="14.5">
      <c r="A67" s="6"/>
      <c r="B67" s="8"/>
      <c r="C67" s="8" t="str">
        <f t="shared" si="8"/>
        <v/>
      </c>
      <c r="D67" s="14" t="str">
        <f>_xll.BDP(C67 &amp; " Equity","SECURITY_NAME")</f>
        <v>#N/A Invalid Security</v>
      </c>
      <c r="E67" s="11" t="str">
        <f>_xll.BDP($C67 &amp;" Equity","dvd_sh_last")</f>
        <v>#N/A Invalid Security</v>
      </c>
      <c r="F67" s="8" t="str">
        <f>_xll.BDP($C67 &amp; " Equity","dvd_ex_dt")</f>
        <v>#N/A Invalid Security</v>
      </c>
      <c r="G67" s="8" t="str">
        <f>_xll.BDP($C67 &amp; " Equity","BDVD_NEXT_EST_DECL_DT")</f>
        <v>#N/A Invalid Security</v>
      </c>
      <c r="H67" s="8" t="str">
        <f>_xll.BDP($C67&amp; " Equity","dvd_pay_dt")</f>
        <v>#N/A Invalid Security</v>
      </c>
      <c r="I67" s="8" t="str">
        <f>_xll.BDP($C67&amp; " Equity","DVD_TYP_LAST")</f>
        <v>#N/A Invalid Security</v>
      </c>
      <c r="J67" s="8" t="str">
        <f>_xll.BDP($C67&amp; " Equity","dvd_crncy")</f>
        <v>#N/A Invalid Security</v>
      </c>
      <c r="K67" s="8" t="str">
        <f t="shared" si="15"/>
        <v>-</v>
      </c>
      <c r="L67" s="23" t="str">
        <f t="shared" si="3"/>
        <v>-#N/A Invalid Security Curncy</v>
      </c>
      <c r="M67" s="23" t="e">
        <f ca="1">IF(L67="EUR",1,IF(L67="EURGBp Curncy",(_xll.BDP(L67,"PX_LAST")*100),_xll.BDP(L67,"PX_LAST")))</f>
        <v>#NAME?</v>
      </c>
      <c r="N67" s="239" t="str">
        <f t="shared" ca="1" si="16"/>
        <v>-</v>
      </c>
      <c r="O67" s="241"/>
      <c r="P67" s="53"/>
      <c r="Q67" s="53" t="e">
        <f t="shared" si="10"/>
        <v>#VALUE!</v>
      </c>
      <c r="R67" s="53" t="e">
        <f t="shared" si="4"/>
        <v>#VALUE!</v>
      </c>
      <c r="S67" s="16">
        <f t="shared" si="11"/>
        <v>0</v>
      </c>
      <c r="T67" s="1206">
        <f t="shared" si="12"/>
        <v>0</v>
      </c>
      <c r="U67" s="16" t="str">
        <f t="shared" si="17"/>
        <v>0</v>
      </c>
      <c r="V67" s="8" t="str">
        <f>_xll.BDP(B67 &amp;" Equity", "DVD_FREQ")</f>
        <v>#N/A Invalid Security</v>
      </c>
      <c r="W67" s="23" t="str">
        <f t="shared" si="6"/>
        <v>#N/A Invalid Security</v>
      </c>
      <c r="X67" s="239" t="str">
        <f>_xll.BDP(B67 &amp;" Equity", "EQY_DVD_YLD_IND_NET")</f>
        <v>#N/A Invalid Security</v>
      </c>
      <c r="Y67" s="6"/>
      <c r="Z67" s="6"/>
      <c r="AC67" s="1210"/>
      <c r="AH67"/>
      <c r="AI67"/>
    </row>
    <row r="68" spans="1:36" ht="14.5">
      <c r="A68" s="6"/>
      <c r="B68" s="8"/>
      <c r="C68" s="8" t="str">
        <f t="shared" si="8"/>
        <v/>
      </c>
      <c r="D68" s="14" t="str">
        <f>_xll.BDP(C68 &amp; " Equity","SECURITY_NAME")</f>
        <v>#N/A Invalid Security</v>
      </c>
      <c r="E68" s="11" t="str">
        <f>_xll.BDP($C68 &amp;" Equity","dvd_sh_last")</f>
        <v>#N/A Invalid Security</v>
      </c>
      <c r="F68" s="8" t="str">
        <f>_xll.BDP($C68 &amp; " Equity","dvd_ex_dt")</f>
        <v>#N/A Invalid Security</v>
      </c>
      <c r="G68" s="8" t="str">
        <f>_xll.BDP($C68 &amp; " Equity","BDVD_NEXT_EST_DECL_DT")</f>
        <v>#N/A Invalid Security</v>
      </c>
      <c r="H68" s="8" t="str">
        <f>_xll.BDP($C68&amp; " Equity","dvd_pay_dt")</f>
        <v>#N/A Invalid Security</v>
      </c>
      <c r="I68" s="8" t="str">
        <f>_xll.BDP($C68&amp; " Equity","DVD_TYP_LAST")</f>
        <v>#N/A Invalid Security</v>
      </c>
      <c r="J68" s="8" t="str">
        <f>_xll.BDP($C68&amp; " Equity","dvd_crncy")</f>
        <v>#N/A Invalid Security</v>
      </c>
      <c r="K68" s="8" t="str">
        <f t="shared" si="15"/>
        <v>-</v>
      </c>
      <c r="L68" s="23" t="str">
        <f t="shared" si="3"/>
        <v>-#N/A Invalid Security Curncy</v>
      </c>
      <c r="M68" s="23" t="e">
        <f ca="1">IF(L68="EUR",1,IF(L68="EURGBp Curncy",(_xll.BDP(L68,"PX_LAST")*100),_xll.BDP(L68,"PX_LAST")))</f>
        <v>#NAME?</v>
      </c>
      <c r="N68" s="239" t="str">
        <f t="shared" ca="1" si="16"/>
        <v>-</v>
      </c>
      <c r="O68" s="241"/>
      <c r="P68" s="53"/>
      <c r="Q68" s="53" t="e">
        <f t="shared" si="10"/>
        <v>#VALUE!</v>
      </c>
      <c r="R68" s="53" t="e">
        <f t="shared" si="4"/>
        <v>#VALUE!</v>
      </c>
      <c r="S68" s="16">
        <f t="shared" si="11"/>
        <v>0</v>
      </c>
      <c r="T68" s="1206">
        <f t="shared" si="12"/>
        <v>0</v>
      </c>
      <c r="U68" s="16" t="str">
        <f t="shared" si="17"/>
        <v>0</v>
      </c>
      <c r="V68" s="8" t="str">
        <f>_xll.BDP(B68 &amp;" Equity", "DVD_FREQ")</f>
        <v>#N/A Invalid Security</v>
      </c>
      <c r="W68" s="23" t="str">
        <f t="shared" si="6"/>
        <v>#N/A Invalid Security</v>
      </c>
      <c r="X68" s="239" t="str">
        <f>_xll.BDP(B68 &amp;" Equity", "EQY_DVD_YLD_IND_NET")</f>
        <v>#N/A Invalid Security</v>
      </c>
      <c r="Y68" s="6"/>
      <c r="Z68" s="6"/>
      <c r="AC68" s="1210"/>
      <c r="AH68"/>
      <c r="AI68"/>
    </row>
    <row r="69" spans="1:36" ht="14.5">
      <c r="A69" s="6"/>
      <c r="B69" s="8"/>
      <c r="C69" s="8" t="str">
        <f t="shared" si="8"/>
        <v/>
      </c>
      <c r="D69" s="14" t="str">
        <f>_xll.BDP(C69 &amp; " Equity","SECURITY_NAME")</f>
        <v>#N/A Invalid Security</v>
      </c>
      <c r="E69" s="11" t="str">
        <f>_xll.BDP($C69 &amp;" Equity","dvd_sh_last")</f>
        <v>#N/A Invalid Security</v>
      </c>
      <c r="F69" s="8" t="str">
        <f>_xll.BDP($C69 &amp; " Equity","dvd_ex_dt")</f>
        <v>#N/A Invalid Security</v>
      </c>
      <c r="G69" s="8" t="str">
        <f>_xll.BDP($C69 &amp; " Equity","BDVD_NEXT_EST_DECL_DT")</f>
        <v>#N/A Invalid Security</v>
      </c>
      <c r="H69" s="8" t="str">
        <f>_xll.BDP($C69&amp; " Equity","dvd_pay_dt")</f>
        <v>#N/A Invalid Security</v>
      </c>
      <c r="I69" s="8" t="str">
        <f>_xll.BDP($C69&amp; " Equity","DVD_TYP_LAST")</f>
        <v>#N/A Invalid Security</v>
      </c>
      <c r="J69" s="8" t="str">
        <f>_xll.BDP($C69&amp; " Equity","dvd_crncy")</f>
        <v>#N/A Invalid Security</v>
      </c>
      <c r="K69" s="8" t="str">
        <f t="shared" si="15"/>
        <v>-</v>
      </c>
      <c r="L69" s="23" t="str">
        <f t="shared" si="3"/>
        <v>-#N/A Invalid Security Curncy</v>
      </c>
      <c r="M69" s="23" t="e">
        <f ca="1">IF(L69="EUR",1,IF(L69="EURGBp Curncy",(_xll.BDP(L69,"PX_LAST")*100),_xll.BDP(L69,"PX_LAST")))</f>
        <v>#NAME?</v>
      </c>
      <c r="N69" s="239" t="str">
        <f t="shared" ca="1" si="16"/>
        <v>-</v>
      </c>
      <c r="O69" s="241"/>
      <c r="P69" s="53"/>
      <c r="Q69" s="53" t="e">
        <f t="shared" si="10"/>
        <v>#VALUE!</v>
      </c>
      <c r="R69" s="53" t="e">
        <f t="shared" si="4"/>
        <v>#VALUE!</v>
      </c>
      <c r="S69" s="16">
        <f t="shared" si="11"/>
        <v>0</v>
      </c>
      <c r="T69" s="1206">
        <f t="shared" si="12"/>
        <v>0</v>
      </c>
      <c r="U69" s="16" t="str">
        <f t="shared" si="17"/>
        <v>0</v>
      </c>
      <c r="V69" s="8" t="str">
        <f>_xll.BDP(B69 &amp;" Equity", "DVD_FREQ")</f>
        <v>#N/A Invalid Security</v>
      </c>
      <c r="W69" s="23" t="str">
        <f t="shared" si="6"/>
        <v>#N/A Invalid Security</v>
      </c>
      <c r="X69" s="239" t="str">
        <f>_xll.BDP(B69 &amp;" Equity", "EQY_DVD_YLD_IND_NET")</f>
        <v>#N/A Invalid Security</v>
      </c>
      <c r="Y69" s="6"/>
      <c r="Z69" s="6"/>
      <c r="AC69" s="1210"/>
      <c r="AH69"/>
      <c r="AI69"/>
    </row>
    <row r="70" spans="1:36" ht="14.5">
      <c r="A70" s="6"/>
      <c r="B70" s="8"/>
      <c r="C70" s="8" t="str">
        <f t="shared" si="8"/>
        <v/>
      </c>
      <c r="D70" s="14" t="str">
        <f>_xll.BDP(C70 &amp; " Equity","SECURITY_NAME")</f>
        <v>#N/A Invalid Security</v>
      </c>
      <c r="E70" s="11" t="str">
        <f>_xll.BDP($C70 &amp;" Equity","dvd_sh_last")</f>
        <v>#N/A Invalid Security</v>
      </c>
      <c r="F70" s="8" t="str">
        <f>_xll.BDP($C70 &amp; " Equity","dvd_ex_dt")</f>
        <v>#N/A Invalid Security</v>
      </c>
      <c r="G70" s="8" t="str">
        <f>_xll.BDP($C70 &amp; " Equity","BDVD_NEXT_EST_DECL_DT")</f>
        <v>#N/A Invalid Security</v>
      </c>
      <c r="H70" s="8" t="str">
        <f>_xll.BDP($C70&amp; " Equity","dvd_pay_dt")</f>
        <v>#N/A Invalid Security</v>
      </c>
      <c r="I70" s="8" t="str">
        <f>_xll.BDP($C70&amp; " Equity","DVD_TYP_LAST")</f>
        <v>#N/A Invalid Security</v>
      </c>
      <c r="J70" s="8" t="str">
        <f>_xll.BDP($C70&amp; " Equity","dvd_crncy")</f>
        <v>#N/A Invalid Security</v>
      </c>
      <c r="K70" s="8" t="str">
        <f t="shared" si="15"/>
        <v>-</v>
      </c>
      <c r="L70" s="23" t="str">
        <f t="shared" si="3"/>
        <v>-#N/A Invalid Security Curncy</v>
      </c>
      <c r="M70" s="23" t="e">
        <f ca="1">IF(L70="EUR",1,IF(L70="EURGBp Curncy",(_xll.BDP(L70,"PX_LAST")*100),_xll.BDP(L70,"PX_LAST")))</f>
        <v>#NAME?</v>
      </c>
      <c r="N70" s="239" t="str">
        <f t="shared" ca="1" si="16"/>
        <v>-</v>
      </c>
      <c r="O70" s="241"/>
      <c r="P70" s="53"/>
      <c r="Q70" s="53" t="e">
        <f t="shared" si="10"/>
        <v>#VALUE!</v>
      </c>
      <c r="R70" s="53" t="e">
        <f t="shared" si="4"/>
        <v>#VALUE!</v>
      </c>
      <c r="S70" s="16">
        <f t="shared" si="11"/>
        <v>0</v>
      </c>
      <c r="T70" s="1206">
        <f t="shared" si="12"/>
        <v>0</v>
      </c>
      <c r="U70" s="16" t="str">
        <f t="shared" si="17"/>
        <v>0</v>
      </c>
      <c r="V70" s="8" t="str">
        <f>_xll.BDP(B70 &amp;" Equity", "DVD_FREQ")</f>
        <v>#N/A Invalid Security</v>
      </c>
      <c r="W70" s="23" t="str">
        <f t="shared" si="6"/>
        <v>#N/A Invalid Security</v>
      </c>
      <c r="X70" s="239" t="str">
        <f>_xll.BDP(B70 &amp;" Equity", "EQY_DVD_YLD_IND_NET")</f>
        <v>#N/A Invalid Security</v>
      </c>
      <c r="Y70" s="6"/>
      <c r="Z70" s="6"/>
      <c r="AC70" s="1210"/>
      <c r="AH70"/>
      <c r="AI70"/>
    </row>
    <row r="71" spans="1:36" ht="14.5">
      <c r="A71" s="6"/>
      <c r="B71" s="8"/>
      <c r="C71" s="8" t="str">
        <f t="shared" si="8"/>
        <v/>
      </c>
      <c r="D71" s="14" t="str">
        <f>_xll.BDP(C71 &amp; " Equity","SECURITY_NAME")</f>
        <v>#N/A Invalid Security</v>
      </c>
      <c r="E71" s="11" t="str">
        <f>_xll.BDP($C71 &amp;" Equity","dvd_sh_last")</f>
        <v>#N/A Invalid Security</v>
      </c>
      <c r="F71" s="8" t="str">
        <f>_xll.BDP($C71 &amp; " Equity","dvd_ex_dt")</f>
        <v>#N/A Invalid Security</v>
      </c>
      <c r="G71" s="8" t="str">
        <f>_xll.BDP($C71 &amp; " Equity","BDVD_NEXT_EST_DECL_DT")</f>
        <v>#N/A Invalid Security</v>
      </c>
      <c r="H71" s="8" t="str">
        <f>_xll.BDP($C71&amp; " Equity","dvd_pay_dt")</f>
        <v>#N/A Invalid Security</v>
      </c>
      <c r="I71" s="8" t="str">
        <f>_xll.BDP($C71&amp; " Equity","DVD_TYP_LAST")</f>
        <v>#N/A Invalid Security</v>
      </c>
      <c r="J71" s="8" t="str">
        <f>_xll.BDP($C71&amp; " Equity","dvd_crncy")</f>
        <v>#N/A Invalid Security</v>
      </c>
      <c r="K71" s="8" t="str">
        <f t="shared" si="15"/>
        <v>-</v>
      </c>
      <c r="L71" s="23" t="str">
        <f t="shared" si="3"/>
        <v>-#N/A Invalid Security Curncy</v>
      </c>
      <c r="M71" s="23" t="e">
        <f ca="1">IF(L71="EUR",1,IF(L71="EURGBp Curncy",(_xll.BDP(L71,"PX_LAST")*100),_xll.BDP(L71,"PX_LAST")))</f>
        <v>#NAME?</v>
      </c>
      <c r="N71" s="239" t="str">
        <f t="shared" ca="1" si="16"/>
        <v>-</v>
      </c>
      <c r="O71" s="241"/>
      <c r="P71" s="53"/>
      <c r="Q71" s="53" t="e">
        <f t="shared" si="10"/>
        <v>#VALUE!</v>
      </c>
      <c r="R71" s="53" t="e">
        <f t="shared" si="4"/>
        <v>#VALUE!</v>
      </c>
      <c r="S71" s="16">
        <f t="shared" si="11"/>
        <v>0</v>
      </c>
      <c r="T71" s="1206">
        <f t="shared" si="12"/>
        <v>0</v>
      </c>
      <c r="U71" s="16" t="str">
        <f t="shared" si="17"/>
        <v>0</v>
      </c>
      <c r="V71" s="8" t="str">
        <f>_xll.BDP(B71 &amp;" Equity", "DVD_FREQ")</f>
        <v>#N/A Invalid Security</v>
      </c>
      <c r="W71" s="23" t="str">
        <f t="shared" si="6"/>
        <v>#N/A Invalid Security</v>
      </c>
      <c r="X71" s="239" t="str">
        <f>_xll.BDP(B71 &amp;" Equity", "EQY_DVD_YLD_IND_NET")</f>
        <v>#N/A Invalid Security</v>
      </c>
      <c r="Y71" s="6"/>
      <c r="Z71" s="6"/>
      <c r="AC71" s="1210"/>
      <c r="AH71"/>
      <c r="AI71"/>
    </row>
    <row r="72" spans="1:36" ht="14.5">
      <c r="A72" s="6"/>
      <c r="B72" s="8"/>
      <c r="C72" s="8" t="str">
        <f t="shared" si="8"/>
        <v/>
      </c>
      <c r="D72" s="14" t="str">
        <f>_xll.BDP(C72 &amp; " Equity","SECURITY_NAME")</f>
        <v>#N/A Invalid Security</v>
      </c>
      <c r="E72" s="11" t="str">
        <f>_xll.BDP($C72 &amp;" Equity","dvd_sh_last")</f>
        <v>#N/A Invalid Security</v>
      </c>
      <c r="F72" s="8" t="str">
        <f>_xll.BDP($C72 &amp; " Equity","dvd_ex_dt")</f>
        <v>#N/A Invalid Security</v>
      </c>
      <c r="G72" s="8" t="str">
        <f>_xll.BDP($C72 &amp; " Equity","BDVD_NEXT_EST_DECL_DT")</f>
        <v>#N/A Invalid Security</v>
      </c>
      <c r="H72" s="8" t="str">
        <f>_xll.BDP($C72&amp; " Equity","dvd_pay_dt")</f>
        <v>#N/A Invalid Security</v>
      </c>
      <c r="I72" s="8" t="str">
        <f>_xll.BDP($C72&amp; " Equity","DVD_TYP_LAST")</f>
        <v>#N/A Invalid Security</v>
      </c>
      <c r="J72" s="8" t="str">
        <f>_xll.BDP($C72&amp; " Equity","dvd_crncy")</f>
        <v>#N/A Invalid Security</v>
      </c>
      <c r="K72" s="8" t="str">
        <f t="shared" si="15"/>
        <v>-</v>
      </c>
      <c r="L72" s="23" t="str">
        <f t="shared" si="3"/>
        <v>-#N/A Invalid Security Curncy</v>
      </c>
      <c r="M72" s="23" t="e">
        <f ca="1">IF(L72="EUR",1,IF(L72="EURGBp Curncy",(_xll.BDP(L72,"PX_LAST")*100),_xll.BDP(L72,"PX_LAST")))</f>
        <v>#NAME?</v>
      </c>
      <c r="N72" s="239" t="str">
        <f t="shared" ca="1" si="16"/>
        <v>-</v>
      </c>
      <c r="O72" s="241"/>
      <c r="P72" s="53"/>
      <c r="Q72" s="53" t="e">
        <f t="shared" si="10"/>
        <v>#VALUE!</v>
      </c>
      <c r="R72" s="53" t="e">
        <f t="shared" si="4"/>
        <v>#VALUE!</v>
      </c>
      <c r="S72" s="16">
        <f t="shared" si="11"/>
        <v>0</v>
      </c>
      <c r="T72" s="1206">
        <f t="shared" si="12"/>
        <v>0</v>
      </c>
      <c r="U72" s="16" t="str">
        <f t="shared" si="17"/>
        <v>0</v>
      </c>
      <c r="V72" s="8" t="str">
        <f>_xll.BDP(B72 &amp;" Equity", "DVD_FREQ")</f>
        <v>#N/A Invalid Security</v>
      </c>
      <c r="W72" s="23" t="str">
        <f t="shared" si="6"/>
        <v>#N/A Invalid Security</v>
      </c>
      <c r="X72" s="239" t="str">
        <f>_xll.BDP(B72 &amp;" Equity", "EQY_DVD_YLD_IND_NET")</f>
        <v>#N/A Invalid Security</v>
      </c>
      <c r="Y72" s="6"/>
      <c r="Z72" s="6"/>
      <c r="AC72" s="1210"/>
      <c r="AH72"/>
      <c r="AI72"/>
    </row>
    <row r="73" spans="1:36" ht="14.5">
      <c r="A73" s="6"/>
      <c r="B73" s="8"/>
      <c r="C73" s="8" t="str">
        <f t="shared" si="8"/>
        <v/>
      </c>
      <c r="D73" s="14" t="str">
        <f>_xll.BDP(C73 &amp; " Equity","SECURITY_NAME")</f>
        <v>#N/A Invalid Security</v>
      </c>
      <c r="E73" s="11" t="str">
        <f>_xll.BDP($C73 &amp;" Equity","dvd_sh_last")</f>
        <v>#N/A Invalid Security</v>
      </c>
      <c r="F73" s="8" t="str">
        <f>_xll.BDP($C73 &amp; " Equity","dvd_ex_dt")</f>
        <v>#N/A Invalid Security</v>
      </c>
      <c r="G73" s="8" t="str">
        <f>_xll.BDP($C73 &amp; " Equity","BDVD_NEXT_EST_DECL_DT")</f>
        <v>#N/A Invalid Security</v>
      </c>
      <c r="H73" s="8" t="str">
        <f>_xll.BDP($C73&amp; " Equity","dvd_pay_dt")</f>
        <v>#N/A Invalid Security</v>
      </c>
      <c r="I73" s="8" t="str">
        <f>_xll.BDP($C73&amp; " Equity","DVD_TYP_LAST")</f>
        <v>#N/A Invalid Security</v>
      </c>
      <c r="J73" s="8" t="str">
        <f>_xll.BDP($C73&amp; " Equity","dvd_crncy")</f>
        <v>#N/A Invalid Security</v>
      </c>
      <c r="K73" s="8" t="str">
        <f t="shared" si="15"/>
        <v>-</v>
      </c>
      <c r="L73" s="23" t="str">
        <f t="shared" si="3"/>
        <v>-#N/A Invalid Security Curncy</v>
      </c>
      <c r="M73" s="23" t="e">
        <f ca="1">IF(L73="EUR",1,IF(L73="EURGBp Curncy",(_xll.BDP(L73,"PX_LAST")*100),_xll.BDP(L73,"PX_LAST")))</f>
        <v>#NAME?</v>
      </c>
      <c r="N73" s="239" t="str">
        <f t="shared" ca="1" si="16"/>
        <v>-</v>
      </c>
      <c r="O73" s="241"/>
      <c r="P73" s="53"/>
      <c r="Q73" s="53" t="e">
        <f t="shared" si="10"/>
        <v>#VALUE!</v>
      </c>
      <c r="R73" s="53" t="e">
        <f t="shared" si="4"/>
        <v>#VALUE!</v>
      </c>
      <c r="S73" s="16">
        <f t="shared" si="11"/>
        <v>0</v>
      </c>
      <c r="T73" s="1206">
        <f t="shared" si="12"/>
        <v>0</v>
      </c>
      <c r="U73" s="16" t="str">
        <f t="shared" si="17"/>
        <v>0</v>
      </c>
      <c r="V73" s="8" t="str">
        <f>_xll.BDP(B73 &amp;" Equity", "DVD_FREQ")</f>
        <v>#N/A Invalid Security</v>
      </c>
      <c r="W73" s="23" t="str">
        <f t="shared" si="6"/>
        <v>#N/A Invalid Security</v>
      </c>
      <c r="X73" s="239" t="str">
        <f>_xll.BDP(B73 &amp;" Equity", "EQY_DVD_YLD_IND_NET")</f>
        <v>#N/A Invalid Security</v>
      </c>
      <c r="Y73" s="6"/>
      <c r="Z73" s="6"/>
      <c r="AC73" s="1210"/>
      <c r="AH73"/>
      <c r="AI73"/>
    </row>
    <row r="74" spans="1:36" ht="14.5">
      <c r="A74" s="6"/>
      <c r="B74" s="8"/>
      <c r="C74" s="8" t="str">
        <f t="shared" si="8"/>
        <v/>
      </c>
      <c r="D74" s="14" t="str">
        <f>_xll.BDP(C74 &amp; " Equity","SECURITY_NAME")</f>
        <v>#N/A Invalid Security</v>
      </c>
      <c r="E74" s="11" t="str">
        <f>_xll.BDP($C74 &amp;" Equity","dvd_sh_last")</f>
        <v>#N/A Invalid Security</v>
      </c>
      <c r="F74" s="8" t="str">
        <f>_xll.BDP($C74 &amp; " Equity","dvd_ex_dt")</f>
        <v>#N/A Invalid Security</v>
      </c>
      <c r="G74" s="8" t="str">
        <f>_xll.BDP($C74 &amp; " Equity","BDVD_NEXT_EST_DECL_DT")</f>
        <v>#N/A Invalid Security</v>
      </c>
      <c r="H74" s="8" t="str">
        <f>_xll.BDP($C74&amp; " Equity","dvd_pay_dt")</f>
        <v>#N/A Invalid Security</v>
      </c>
      <c r="I74" s="8" t="str">
        <f>_xll.BDP($C74&amp; " Equity","DVD_TYP_LAST")</f>
        <v>#N/A Invalid Security</v>
      </c>
      <c r="J74" s="8" t="str">
        <f>_xll.BDP($C74&amp; " Equity","dvd_crncy")</f>
        <v>#N/A Invalid Security</v>
      </c>
      <c r="K74" s="8" t="str">
        <f t="shared" si="15"/>
        <v>-</v>
      </c>
      <c r="L74" s="23" t="str">
        <f t="shared" si="3"/>
        <v>-#N/A Invalid Security Curncy</v>
      </c>
      <c r="M74" s="23" t="e">
        <f ca="1">IF(L74="EUR",1,IF(L74="EURGBp Curncy",(_xll.BDP(L74,"PX_LAST")*100),_xll.BDP(L74,"PX_LAST")))</f>
        <v>#NAME?</v>
      </c>
      <c r="N74" s="239" t="str">
        <f t="shared" ca="1" si="16"/>
        <v>-</v>
      </c>
      <c r="O74" s="241"/>
      <c r="P74" s="53"/>
      <c r="Q74" s="53" t="e">
        <f t="shared" si="10"/>
        <v>#VALUE!</v>
      </c>
      <c r="R74" s="53" t="e">
        <f t="shared" si="4"/>
        <v>#VALUE!</v>
      </c>
      <c r="S74" s="16">
        <f t="shared" si="11"/>
        <v>0</v>
      </c>
      <c r="T74" s="1206">
        <f t="shared" si="12"/>
        <v>0</v>
      </c>
      <c r="U74" s="16" t="str">
        <f t="shared" si="17"/>
        <v>0</v>
      </c>
      <c r="V74" s="8" t="str">
        <f>_xll.BDP(B74 &amp;" Equity", "DVD_FREQ")</f>
        <v>#N/A Invalid Security</v>
      </c>
      <c r="W74" s="23" t="str">
        <f t="shared" si="6"/>
        <v>#N/A Invalid Security</v>
      </c>
      <c r="X74" s="239" t="str">
        <f>_xll.BDP(B74 &amp;" Equity", "EQY_DVD_YLD_IND_NET")</f>
        <v>#N/A Invalid Security</v>
      </c>
      <c r="Y74" s="6"/>
      <c r="Z74" s="6"/>
      <c r="AC74" s="1210"/>
      <c r="AH74"/>
      <c r="AI74"/>
    </row>
    <row r="75" spans="1:36" ht="14.5">
      <c r="A75" s="6"/>
      <c r="B75" s="8"/>
      <c r="C75" s="8" t="str">
        <f t="shared" si="8"/>
        <v/>
      </c>
      <c r="D75" s="14" t="str">
        <f>_xll.BDP(C75 &amp; " Equity","SECURITY_NAME")</f>
        <v>#N/A Invalid Security</v>
      </c>
      <c r="E75" s="11" t="str">
        <f>_xll.BDP($C75 &amp;" Equity","dvd_sh_last")</f>
        <v>#N/A Invalid Security</v>
      </c>
      <c r="F75" s="8" t="str">
        <f>_xll.BDP($C75 &amp; " Equity","dvd_ex_dt")</f>
        <v>#N/A Invalid Security</v>
      </c>
      <c r="G75" s="8" t="str">
        <f>_xll.BDP($C75 &amp; " Equity","BDVD_NEXT_EST_DECL_DT")</f>
        <v>#N/A Invalid Security</v>
      </c>
      <c r="H75" s="8" t="str">
        <f>_xll.BDP($C75&amp; " Equity","dvd_pay_dt")</f>
        <v>#N/A Invalid Security</v>
      </c>
      <c r="I75" s="8" t="str">
        <f>_xll.BDP($C75&amp; " Equity","DVD_TYP_LAST")</f>
        <v>#N/A Invalid Security</v>
      </c>
      <c r="J75" s="8" t="str">
        <f>_xll.BDP($C75&amp; " Equity","dvd_crncy")</f>
        <v>#N/A Invalid Security</v>
      </c>
      <c r="K75" s="8" t="str">
        <f t="shared" si="15"/>
        <v>-</v>
      </c>
      <c r="L75" s="23" t="str">
        <f t="shared" si="3"/>
        <v>-#N/A Invalid Security Curncy</v>
      </c>
      <c r="M75" s="23" t="e">
        <f ca="1">IF(L75="EUR",1,IF(L75="EURGBp Curncy",(_xll.BDP(L75,"PX_LAST")*100),_xll.BDP(L75,"PX_LAST")))</f>
        <v>#NAME?</v>
      </c>
      <c r="N75" s="239" t="str">
        <f t="shared" ca="1" si="16"/>
        <v>-</v>
      </c>
      <c r="O75" s="241"/>
      <c r="P75" s="53"/>
      <c r="Q75" s="53" t="e">
        <f t="shared" si="10"/>
        <v>#VALUE!</v>
      </c>
      <c r="R75" s="53" t="e">
        <f t="shared" si="4"/>
        <v>#VALUE!</v>
      </c>
      <c r="S75" s="16">
        <f t="shared" si="11"/>
        <v>0</v>
      </c>
      <c r="T75" s="1206">
        <f t="shared" si="12"/>
        <v>0</v>
      </c>
      <c r="U75" s="16" t="str">
        <f t="shared" si="17"/>
        <v>0</v>
      </c>
      <c r="V75" s="8" t="str">
        <f>_xll.BDP(B75 &amp;" Equity", "DVD_FREQ")</f>
        <v>#N/A Invalid Security</v>
      </c>
      <c r="W75" s="23" t="str">
        <f t="shared" si="6"/>
        <v>#N/A Invalid Security</v>
      </c>
      <c r="X75" s="239" t="str">
        <f>_xll.BDP(B75 &amp;" Equity", "EQY_DVD_YLD_IND_NET")</f>
        <v>#N/A Invalid Security</v>
      </c>
      <c r="Y75" s="6"/>
      <c r="Z75" s="6"/>
      <c r="AC75" s="1210"/>
      <c r="AH75"/>
      <c r="AI75"/>
    </row>
    <row r="76" spans="1:36" ht="14.5">
      <c r="A76" s="6"/>
      <c r="B76" s="8"/>
      <c r="C76" s="8" t="str">
        <f t="shared" si="8"/>
        <v/>
      </c>
      <c r="D76" s="14" t="str">
        <f>_xll.BDP(C76 &amp; " Equity","SECURITY_NAME")</f>
        <v>#N/A Invalid Security</v>
      </c>
      <c r="E76" s="11" t="str">
        <f>_xll.BDP($C76 &amp;" Equity","dvd_sh_last")</f>
        <v>#N/A Invalid Security</v>
      </c>
      <c r="F76" s="8" t="str">
        <f>_xll.BDP($C76 &amp; " Equity","dvd_ex_dt")</f>
        <v>#N/A Invalid Security</v>
      </c>
      <c r="G76" s="8" t="str">
        <f>_xll.BDP($C76 &amp; " Equity","BDVD_NEXT_EST_DECL_DT")</f>
        <v>#N/A Invalid Security</v>
      </c>
      <c r="H76" s="8" t="str">
        <f>_xll.BDP($C76&amp; " Equity","dvd_pay_dt")</f>
        <v>#N/A Invalid Security</v>
      </c>
      <c r="I76" s="8" t="str">
        <f>_xll.BDP($C76&amp; " Equity","DVD_TYP_LAST")</f>
        <v>#N/A Invalid Security</v>
      </c>
      <c r="J76" s="8" t="str">
        <f>_xll.BDP($C76&amp; " Equity","dvd_crncy")</f>
        <v>#N/A Invalid Security</v>
      </c>
      <c r="K76" s="8" t="str">
        <f t="shared" si="15"/>
        <v>-</v>
      </c>
      <c r="L76" s="23" t="str">
        <f t="shared" si="3"/>
        <v>-#N/A Invalid Security Curncy</v>
      </c>
      <c r="M76" s="23" t="e">
        <f ca="1">IF(L76="EUR",1,IF(L76="EURGBp Curncy",(_xll.BDP(L76,"PX_LAST")*100),_xll.BDP(L76,"PX_LAST")))</f>
        <v>#NAME?</v>
      </c>
      <c r="N76" s="239" t="str">
        <f t="shared" ca="1" si="16"/>
        <v>-</v>
      </c>
      <c r="O76" s="241"/>
      <c r="P76" s="53"/>
      <c r="Q76" s="53" t="e">
        <f t="shared" si="10"/>
        <v>#VALUE!</v>
      </c>
      <c r="R76" s="53" t="e">
        <f t="shared" si="4"/>
        <v>#VALUE!</v>
      </c>
      <c r="S76" s="16">
        <f t="shared" si="11"/>
        <v>0</v>
      </c>
      <c r="T76" s="1206">
        <f t="shared" si="12"/>
        <v>0</v>
      </c>
      <c r="U76" s="16" t="str">
        <f t="shared" si="17"/>
        <v>0</v>
      </c>
      <c r="V76" s="8" t="str">
        <f>_xll.BDP(B76 &amp;" Equity", "DVD_FREQ")</f>
        <v>#N/A Invalid Security</v>
      </c>
      <c r="W76" s="23" t="str">
        <f t="shared" si="6"/>
        <v>#N/A Invalid Security</v>
      </c>
      <c r="X76" s="239" t="str">
        <f>_xll.BDP(B76 &amp;" Equity", "EQY_DVD_YLD_IND_NET")</f>
        <v>#N/A Invalid Security</v>
      </c>
      <c r="Y76" s="6"/>
      <c r="Z76" s="6"/>
      <c r="AC76" s="1210"/>
      <c r="AH76"/>
      <c r="AI76"/>
    </row>
    <row r="77" spans="1:36" ht="14.5">
      <c r="A77" s="6"/>
      <c r="B77" s="8"/>
      <c r="C77" s="8" t="str">
        <f t="shared" si="8"/>
        <v/>
      </c>
      <c r="D77" s="14" t="str">
        <f>_xll.BDP(C77 &amp; " Equity","SECURITY_NAME")</f>
        <v>#N/A Invalid Security</v>
      </c>
      <c r="E77" s="11" t="str">
        <f>_xll.BDP($C77 &amp;" Equity","dvd_sh_last")</f>
        <v>#N/A Invalid Security</v>
      </c>
      <c r="F77" s="8" t="str">
        <f>_xll.BDP($C77 &amp; " Equity","dvd_ex_dt")</f>
        <v>#N/A Invalid Security</v>
      </c>
      <c r="G77" s="8" t="str">
        <f>_xll.BDP($C77 &amp; " Equity","BDVD_NEXT_EST_DECL_DT")</f>
        <v>#N/A Invalid Security</v>
      </c>
      <c r="H77" s="8" t="str">
        <f>_xll.BDP($C77&amp; " Equity","dvd_pay_dt")</f>
        <v>#N/A Invalid Security</v>
      </c>
      <c r="I77" s="8" t="str">
        <f>_xll.BDP($C77&amp; " Equity","DVD_TYP_LAST")</f>
        <v>#N/A Invalid Security</v>
      </c>
      <c r="J77" s="8" t="str">
        <f>_xll.BDP($C77&amp; " Equity","dvd_crncy")</f>
        <v>#N/A Invalid Security</v>
      </c>
      <c r="K77" s="8" t="str">
        <f t="shared" si="15"/>
        <v>-</v>
      </c>
      <c r="L77" s="23" t="str">
        <f t="shared" si="3"/>
        <v>-#N/A Invalid Security Curncy</v>
      </c>
      <c r="M77" s="23" t="e">
        <f ca="1">IF(L77="EUR",1,IF(L77="EURGBp Curncy",(_xll.BDP(L77,"PX_LAST")*100),_xll.BDP(L77,"PX_LAST")))</f>
        <v>#NAME?</v>
      </c>
      <c r="N77" s="239" t="str">
        <f t="shared" ca="1" si="16"/>
        <v>-</v>
      </c>
      <c r="O77" s="241"/>
      <c r="P77" s="53"/>
      <c r="Q77" s="53" t="e">
        <f t="shared" si="10"/>
        <v>#VALUE!</v>
      </c>
      <c r="R77" s="53" t="e">
        <f t="shared" si="4"/>
        <v>#VALUE!</v>
      </c>
      <c r="S77" s="16">
        <f t="shared" si="11"/>
        <v>0</v>
      </c>
      <c r="T77" s="1206">
        <f t="shared" si="12"/>
        <v>0</v>
      </c>
      <c r="U77" s="16" t="str">
        <f t="shared" si="17"/>
        <v>0</v>
      </c>
      <c r="V77" s="8" t="str">
        <f>_xll.BDP(B77 &amp;" Equity", "DVD_FREQ")</f>
        <v>#N/A Invalid Security</v>
      </c>
      <c r="W77" s="23" t="str">
        <f t="shared" si="6"/>
        <v>#N/A Invalid Security</v>
      </c>
      <c r="X77" s="239" t="str">
        <f>_xll.BDP(B77 &amp;" Equity", "EQY_DVD_YLD_IND_NET")</f>
        <v>#N/A Invalid Security</v>
      </c>
      <c r="Y77" s="6"/>
      <c r="Z77" s="6"/>
      <c r="AC77" s="1210"/>
      <c r="AH77"/>
      <c r="AI77"/>
    </row>
    <row r="78" spans="1:36" ht="14.5">
      <c r="A78" s="6"/>
      <c r="B78" s="8"/>
      <c r="C78" s="8" t="str">
        <f t="shared" si="8"/>
        <v/>
      </c>
      <c r="D78" s="14" t="str">
        <f>_xll.BDP(C78 &amp; " Equity","SECURITY_NAME")</f>
        <v>#N/A Invalid Security</v>
      </c>
      <c r="E78" s="11" t="str">
        <f>_xll.BDP($C78 &amp;" Equity","dvd_sh_last")</f>
        <v>#N/A Invalid Security</v>
      </c>
      <c r="F78" s="8" t="str">
        <f>_xll.BDP($C78 &amp; " Equity","dvd_ex_dt")</f>
        <v>#N/A Invalid Security</v>
      </c>
      <c r="G78" s="8" t="str">
        <f>_xll.BDP($C78 &amp; " Equity","BDVD_NEXT_EST_DECL_DT")</f>
        <v>#N/A Invalid Security</v>
      </c>
      <c r="H78" s="8" t="str">
        <f>_xll.BDP($C78&amp; " Equity","dvd_pay_dt")</f>
        <v>#N/A Invalid Security</v>
      </c>
      <c r="I78" s="8" t="str">
        <f>_xll.BDP($C78&amp; " Equity","DVD_TYP_LAST")</f>
        <v>#N/A Invalid Security</v>
      </c>
      <c r="J78" s="8" t="str">
        <f>_xll.BDP($C78&amp; " Equity","dvd_crncy")</f>
        <v>#N/A Invalid Security</v>
      </c>
      <c r="K78" s="8" t="str">
        <f t="shared" si="15"/>
        <v>-</v>
      </c>
      <c r="L78" s="23" t="str">
        <f t="shared" ref="L78:L100" si="18">IF(J78="EUR","EUR",K78&amp;J78&amp;" Curncy")</f>
        <v>-#N/A Invalid Security Curncy</v>
      </c>
      <c r="M78" s="23" t="e">
        <f ca="1">IF(L78="EUR",1,IF(L78="EURGBp Curncy",(_xll.BDP(L78,"PX_LAST")*100),_xll.BDP(L78,"PX_LAST")))</f>
        <v>#NAME?</v>
      </c>
      <c r="N78" s="239" t="str">
        <f t="shared" ca="1" si="16"/>
        <v>-</v>
      </c>
      <c r="O78" s="241"/>
      <c r="P78" s="53"/>
      <c r="Q78" s="53" t="e">
        <f t="shared" ref="Q78:Q100" si="19">IF(E78="#N/A Field Not Applicable",0,E78*P78)</f>
        <v>#VALUE!</v>
      </c>
      <c r="R78" s="53" t="e">
        <f t="shared" ref="R78:R100" si="20">+Q78</f>
        <v>#VALUE!</v>
      </c>
      <c r="S78" s="16">
        <f t="shared" si="11"/>
        <v>0</v>
      </c>
      <c r="T78" s="1206">
        <f t="shared" si="12"/>
        <v>0</v>
      </c>
      <c r="U78" s="16" t="str">
        <f t="shared" si="17"/>
        <v>0</v>
      </c>
      <c r="V78" s="8" t="str">
        <f>_xll.BDP(B78 &amp;" Equity", "DVD_FREQ")</f>
        <v>#N/A Invalid Security</v>
      </c>
      <c r="W78" s="23" t="str">
        <f t="shared" ref="W78:W141" si="21">I78</f>
        <v>#N/A Invalid Security</v>
      </c>
      <c r="X78" s="239" t="str">
        <f>_xll.BDP(B78 &amp;" Equity", "EQY_DVD_YLD_IND_NET")</f>
        <v>#N/A Invalid Security</v>
      </c>
      <c r="Y78" s="6"/>
      <c r="Z78" s="6"/>
      <c r="AC78" s="1210"/>
      <c r="AH78"/>
      <c r="AI78"/>
    </row>
    <row r="79" spans="1:36" ht="14.5">
      <c r="A79" s="6"/>
      <c r="B79" s="8"/>
      <c r="C79" s="8" t="str">
        <f t="shared" ref="C79:C100" si="22">IF(B79="","",B79)</f>
        <v/>
      </c>
      <c r="D79" s="14" t="str">
        <f>_xll.BDP(C79 &amp; " Equity","SECURITY_NAME")</f>
        <v>#N/A Invalid Security</v>
      </c>
      <c r="E79" s="11" t="str">
        <f>_xll.BDP($C79 &amp;" Equity","dvd_sh_last")</f>
        <v>#N/A Invalid Security</v>
      </c>
      <c r="F79" s="8" t="str">
        <f>_xll.BDP($C79 &amp; " Equity","dvd_ex_dt")</f>
        <v>#N/A Invalid Security</v>
      </c>
      <c r="G79" s="8" t="str">
        <f>_xll.BDP($C79 &amp; " Equity","BDVD_NEXT_EST_DECL_DT")</f>
        <v>#N/A Invalid Security</v>
      </c>
      <c r="H79" s="8" t="str">
        <f>_xll.BDP($C79&amp; " Equity","dvd_pay_dt")</f>
        <v>#N/A Invalid Security</v>
      </c>
      <c r="I79" s="8" t="str">
        <f>_xll.BDP($C79&amp; " Equity","DVD_TYP_LAST")</f>
        <v>#N/A Invalid Security</v>
      </c>
      <c r="J79" s="8" t="str">
        <f>_xll.BDP($C79&amp; " Equity","dvd_crncy")</f>
        <v>#N/A Invalid Security</v>
      </c>
      <c r="K79" s="8" t="str">
        <f t="shared" si="15"/>
        <v>-</v>
      </c>
      <c r="L79" s="23" t="str">
        <f t="shared" si="18"/>
        <v>-#N/A Invalid Security Curncy</v>
      </c>
      <c r="M79" s="23" t="e">
        <f ca="1">IF(L79="EUR",1,IF(L79="EURGBp Curncy",(_xll.BDP(L79,"PX_LAST")*100),_xll.BDP(L79,"PX_LAST")))</f>
        <v>#NAME?</v>
      </c>
      <c r="N79" s="239" t="str">
        <f t="shared" ca="1" si="16"/>
        <v>-</v>
      </c>
      <c r="O79" s="241"/>
      <c r="P79" s="53"/>
      <c r="Q79" s="53" t="e">
        <f t="shared" si="19"/>
        <v>#VALUE!</v>
      </c>
      <c r="R79" s="53" t="e">
        <f t="shared" si="20"/>
        <v>#VALUE!</v>
      </c>
      <c r="S79" s="16">
        <f t="shared" ref="S79:S100" si="23">IFERROR(P79*O79,"-")</f>
        <v>0</v>
      </c>
      <c r="T79" s="1206">
        <f t="shared" ref="T79:T100" si="24">IFERROR(IF($B$9=H79,S79,0),"")</f>
        <v>0</v>
      </c>
      <c r="U79" s="16" t="str">
        <f t="shared" si="17"/>
        <v>0</v>
      </c>
      <c r="V79" s="8" t="str">
        <f>_xll.BDP(B79 &amp;" Equity", "DVD_FREQ")</f>
        <v>#N/A Invalid Security</v>
      </c>
      <c r="W79" s="23" t="str">
        <f t="shared" si="21"/>
        <v>#N/A Invalid Security</v>
      </c>
      <c r="X79" s="239" t="str">
        <f>_xll.BDP(B79 &amp;" Equity", "EQY_DVD_YLD_IND_NET")</f>
        <v>#N/A Invalid Security</v>
      </c>
      <c r="Y79" s="6"/>
      <c r="Z79" s="6"/>
      <c r="AC79" s="1210"/>
      <c r="AH79"/>
      <c r="AI79"/>
    </row>
    <row r="80" spans="1:36" ht="14.5">
      <c r="A80" s="6"/>
      <c r="B80" s="8"/>
      <c r="C80" s="8" t="str">
        <f t="shared" si="22"/>
        <v/>
      </c>
      <c r="D80" s="14" t="str">
        <f>_xll.BDP(C80 &amp; " Equity","SECURITY_NAME")</f>
        <v>#N/A Invalid Security</v>
      </c>
      <c r="E80" s="11" t="str">
        <f>_xll.BDP($C80 &amp;" Equity","dvd_sh_last")</f>
        <v>#N/A Invalid Security</v>
      </c>
      <c r="F80" s="8" t="str">
        <f>_xll.BDP($C80 &amp; " Equity","dvd_ex_dt")</f>
        <v>#N/A Invalid Security</v>
      </c>
      <c r="G80" s="8" t="str">
        <f>_xll.BDP($C80 &amp; " Equity","BDVD_NEXT_EST_DECL_DT")</f>
        <v>#N/A Invalid Security</v>
      </c>
      <c r="H80" s="8" t="str">
        <f>_xll.BDP($C80&amp; " Equity","dvd_pay_dt")</f>
        <v>#N/A Invalid Security</v>
      </c>
      <c r="I80" s="8" t="str">
        <f>_xll.BDP($C80&amp; " Equity","DVD_TYP_LAST")</f>
        <v>#N/A Invalid Security</v>
      </c>
      <c r="J80" s="8" t="str">
        <f>_xll.BDP($C80&amp; " Equity","dvd_crncy")</f>
        <v>#N/A Invalid Security</v>
      </c>
      <c r="K80" s="8" t="str">
        <f t="shared" si="15"/>
        <v>-</v>
      </c>
      <c r="L80" s="23" t="str">
        <f t="shared" si="18"/>
        <v>-#N/A Invalid Security Curncy</v>
      </c>
      <c r="M80" s="23" t="e">
        <f ca="1">IF(L80="EUR",1,IF(L80="EURGBp Curncy",(_xll.BDP(L80,"PX_LAST")*100),_xll.BDP(L80,"PX_LAST")))</f>
        <v>#NAME?</v>
      </c>
      <c r="N80" s="239" t="str">
        <f t="shared" ca="1" si="16"/>
        <v>-</v>
      </c>
      <c r="O80" s="241"/>
      <c r="P80" s="53"/>
      <c r="Q80" s="53" t="e">
        <f t="shared" si="19"/>
        <v>#VALUE!</v>
      </c>
      <c r="R80" s="53" t="e">
        <f t="shared" si="20"/>
        <v>#VALUE!</v>
      </c>
      <c r="S80" s="16">
        <f t="shared" si="23"/>
        <v>0</v>
      </c>
      <c r="T80" s="1206">
        <f t="shared" si="24"/>
        <v>0</v>
      </c>
      <c r="U80" s="16" t="str">
        <f t="shared" si="17"/>
        <v>0</v>
      </c>
      <c r="V80" s="8" t="str">
        <f>_xll.BDP(B80 &amp;" Equity", "DVD_FREQ")</f>
        <v>#N/A Invalid Security</v>
      </c>
      <c r="W80" s="23" t="str">
        <f t="shared" si="21"/>
        <v>#N/A Invalid Security</v>
      </c>
      <c r="X80" s="239" t="str">
        <f>_xll.BDP(B80 &amp;" Equity", "EQY_DVD_YLD_IND_NET")</f>
        <v>#N/A Invalid Security</v>
      </c>
      <c r="Y80" s="6"/>
      <c r="Z80" s="6"/>
      <c r="AC80" s="1210"/>
      <c r="AH80"/>
      <c r="AI80"/>
    </row>
    <row r="81" spans="1:35" ht="14.5">
      <c r="A81" s="6"/>
      <c r="B81" s="8"/>
      <c r="C81" s="8" t="str">
        <f t="shared" si="22"/>
        <v/>
      </c>
      <c r="D81" s="14" t="str">
        <f>_xll.BDP(C81 &amp; " Equity","SECURITY_NAME")</f>
        <v>#N/A Invalid Security</v>
      </c>
      <c r="E81" s="11" t="str">
        <f>_xll.BDP($C81 &amp;" Equity","dvd_sh_last")</f>
        <v>#N/A Invalid Security</v>
      </c>
      <c r="F81" s="8" t="str">
        <f>_xll.BDP($C81 &amp; " Equity","dvd_ex_dt")</f>
        <v>#N/A Invalid Security</v>
      </c>
      <c r="G81" s="8" t="str">
        <f>_xll.BDP($C81 &amp; " Equity","BDVD_NEXT_EST_DECL_DT")</f>
        <v>#N/A Invalid Security</v>
      </c>
      <c r="H81" s="8" t="str">
        <f>_xll.BDP($C81&amp; " Equity","dvd_pay_dt")</f>
        <v>#N/A Invalid Security</v>
      </c>
      <c r="I81" s="8" t="str">
        <f>_xll.BDP($C81&amp; " Equity","DVD_TYP_LAST")</f>
        <v>#N/A Invalid Security</v>
      </c>
      <c r="J81" s="8" t="str">
        <f>_xll.BDP($C81&amp; " Equity","dvd_crncy")</f>
        <v>#N/A Invalid Security</v>
      </c>
      <c r="K81" s="8" t="str">
        <f t="shared" si="15"/>
        <v>-</v>
      </c>
      <c r="L81" s="23" t="str">
        <f t="shared" si="18"/>
        <v>-#N/A Invalid Security Curncy</v>
      </c>
      <c r="M81" s="23" t="e">
        <f ca="1">IF(L81="EUR",1,IF(L81="EURGBp Curncy",(_xll.BDP(L81,"PX_LAST")*100),_xll.BDP(L81,"PX_LAST")))</f>
        <v>#NAME?</v>
      </c>
      <c r="N81" s="239" t="str">
        <f t="shared" ca="1" si="16"/>
        <v>-</v>
      </c>
      <c r="O81" s="241"/>
      <c r="P81" s="53"/>
      <c r="Q81" s="53" t="e">
        <f t="shared" si="19"/>
        <v>#VALUE!</v>
      </c>
      <c r="R81" s="53" t="e">
        <f t="shared" si="20"/>
        <v>#VALUE!</v>
      </c>
      <c r="S81" s="16">
        <f t="shared" si="23"/>
        <v>0</v>
      </c>
      <c r="T81" s="1206">
        <f t="shared" si="24"/>
        <v>0</v>
      </c>
      <c r="U81" s="16" t="str">
        <f t="shared" si="17"/>
        <v>0</v>
      </c>
      <c r="V81" s="8" t="str">
        <f>_xll.BDP(B81 &amp;" Equity", "DVD_FREQ")</f>
        <v>#N/A Invalid Security</v>
      </c>
      <c r="W81" s="23" t="str">
        <f t="shared" si="21"/>
        <v>#N/A Invalid Security</v>
      </c>
      <c r="X81" s="239" t="str">
        <f>_xll.BDP(B81 &amp;" Equity", "EQY_DVD_YLD_IND_NET")</f>
        <v>#N/A Invalid Security</v>
      </c>
      <c r="Y81" s="6"/>
      <c r="Z81" s="6"/>
      <c r="AC81" s="1210"/>
      <c r="AH81"/>
      <c r="AI81"/>
    </row>
    <row r="82" spans="1:35" ht="14.5">
      <c r="A82" s="6"/>
      <c r="B82" s="8"/>
      <c r="C82" s="8" t="str">
        <f t="shared" si="22"/>
        <v/>
      </c>
      <c r="D82" s="14" t="str">
        <f>_xll.BDP(C82 &amp; " Equity","SECURITY_NAME")</f>
        <v>#N/A Invalid Security</v>
      </c>
      <c r="E82" s="11" t="str">
        <f>_xll.BDP($C82 &amp;" Equity","dvd_sh_last")</f>
        <v>#N/A Invalid Security</v>
      </c>
      <c r="F82" s="8" t="str">
        <f>_xll.BDP($C82 &amp; " Equity","dvd_ex_dt")</f>
        <v>#N/A Invalid Security</v>
      </c>
      <c r="G82" s="8" t="str">
        <f>_xll.BDP($C82 &amp; " Equity","BDVD_NEXT_EST_DECL_DT")</f>
        <v>#N/A Invalid Security</v>
      </c>
      <c r="H82" s="8" t="str">
        <f>_xll.BDP($C82&amp; " Equity","dvd_pay_dt")</f>
        <v>#N/A Invalid Security</v>
      </c>
      <c r="I82" s="8" t="str">
        <f>_xll.BDP($C82&amp; " Equity","DVD_TYP_LAST")</f>
        <v>#N/A Invalid Security</v>
      </c>
      <c r="J82" s="8" t="str">
        <f>_xll.BDP($C82&amp; " Equity","dvd_crncy")</f>
        <v>#N/A Invalid Security</v>
      </c>
      <c r="K82" s="8" t="str">
        <f t="shared" si="15"/>
        <v>-</v>
      </c>
      <c r="L82" s="23" t="str">
        <f t="shared" si="18"/>
        <v>-#N/A Invalid Security Curncy</v>
      </c>
      <c r="M82" s="23" t="e">
        <f ca="1">IF(L82="EUR",1,IF(L82="EURGBp Curncy",(_xll.BDP(L82,"PX_LAST")*100),_xll.BDP(L82,"PX_LAST")))</f>
        <v>#NAME?</v>
      </c>
      <c r="N82" s="239" t="str">
        <f t="shared" ca="1" si="16"/>
        <v>-</v>
      </c>
      <c r="O82" s="241"/>
      <c r="P82" s="53"/>
      <c r="Q82" s="53" t="e">
        <f t="shared" si="19"/>
        <v>#VALUE!</v>
      </c>
      <c r="R82" s="53" t="e">
        <f t="shared" si="20"/>
        <v>#VALUE!</v>
      </c>
      <c r="S82" s="16">
        <f t="shared" si="23"/>
        <v>0</v>
      </c>
      <c r="T82" s="1206">
        <f t="shared" si="24"/>
        <v>0</v>
      </c>
      <c r="U82" s="16" t="str">
        <f t="shared" si="17"/>
        <v>0</v>
      </c>
      <c r="V82" s="8" t="str">
        <f>_xll.BDP(B82 &amp;" Equity", "DVD_FREQ")</f>
        <v>#N/A Invalid Security</v>
      </c>
      <c r="W82" s="23" t="str">
        <f t="shared" si="21"/>
        <v>#N/A Invalid Security</v>
      </c>
      <c r="X82" s="239" t="str">
        <f>_xll.BDP(B82 &amp;" Equity", "EQY_DVD_YLD_IND_NET")</f>
        <v>#N/A Invalid Security</v>
      </c>
      <c r="Y82" s="6"/>
      <c r="Z82" s="6"/>
      <c r="AC82" s="1210"/>
      <c r="AH82"/>
      <c r="AI82"/>
    </row>
    <row r="83" spans="1:35" ht="14.5">
      <c r="A83" s="6"/>
      <c r="B83" s="8"/>
      <c r="C83" s="8" t="str">
        <f t="shared" si="22"/>
        <v/>
      </c>
      <c r="D83" s="14" t="str">
        <f>_xll.BDP(C83 &amp; " Equity","SECURITY_NAME")</f>
        <v>#N/A Invalid Security</v>
      </c>
      <c r="E83" s="11" t="str">
        <f>_xll.BDP($C83 &amp;" Equity","dvd_sh_last")</f>
        <v>#N/A Invalid Security</v>
      </c>
      <c r="F83" s="8" t="str">
        <f>_xll.BDP($C83 &amp; " Equity","dvd_ex_dt")</f>
        <v>#N/A Invalid Security</v>
      </c>
      <c r="G83" s="8" t="str">
        <f>_xll.BDP($C83 &amp; " Equity","BDVD_NEXT_EST_DECL_DT")</f>
        <v>#N/A Invalid Security</v>
      </c>
      <c r="H83" s="8" t="str">
        <f>_xll.BDP($C83&amp; " Equity","dvd_pay_dt")</f>
        <v>#N/A Invalid Security</v>
      </c>
      <c r="I83" s="8" t="str">
        <f>_xll.BDP($C83&amp; " Equity","DVD_TYP_LAST")</f>
        <v>#N/A Invalid Security</v>
      </c>
      <c r="J83" s="8" t="str">
        <f>_xll.BDP($C83&amp; " Equity","dvd_crncy")</f>
        <v>#N/A Invalid Security</v>
      </c>
      <c r="K83" s="8" t="str">
        <f t="shared" si="15"/>
        <v>-</v>
      </c>
      <c r="L83" s="23" t="str">
        <f t="shared" si="18"/>
        <v>-#N/A Invalid Security Curncy</v>
      </c>
      <c r="M83" s="23" t="e">
        <f ca="1">IF(L83="EUR",1,IF(L83="EURGBp Curncy",(_xll.BDP(L83,"PX_LAST")*100),_xll.BDP(L83,"PX_LAST")))</f>
        <v>#NAME?</v>
      </c>
      <c r="N83" s="239" t="str">
        <f t="shared" ca="1" si="16"/>
        <v>-</v>
      </c>
      <c r="O83" s="241"/>
      <c r="P83" s="53"/>
      <c r="Q83" s="53" t="e">
        <f t="shared" si="19"/>
        <v>#VALUE!</v>
      </c>
      <c r="R83" s="53" t="e">
        <f t="shared" si="20"/>
        <v>#VALUE!</v>
      </c>
      <c r="S83" s="16">
        <f t="shared" si="23"/>
        <v>0</v>
      </c>
      <c r="T83" s="1206">
        <f t="shared" si="24"/>
        <v>0</v>
      </c>
      <c r="U83" s="16" t="str">
        <f t="shared" si="17"/>
        <v>0</v>
      </c>
      <c r="V83" s="8" t="str">
        <f>_xll.BDP(B83 &amp;" Equity", "DVD_FREQ")</f>
        <v>#N/A Invalid Security</v>
      </c>
      <c r="W83" s="23" t="str">
        <f t="shared" si="21"/>
        <v>#N/A Invalid Security</v>
      </c>
      <c r="X83" s="239" t="str">
        <f>_xll.BDP(B83 &amp;" Equity", "EQY_DVD_YLD_IND_NET")</f>
        <v>#N/A Invalid Security</v>
      </c>
      <c r="Y83" s="6"/>
      <c r="Z83" s="6"/>
      <c r="AC83" s="1210"/>
      <c r="AH83"/>
      <c r="AI83"/>
    </row>
    <row r="84" spans="1:35" ht="14.5">
      <c r="A84" s="6"/>
      <c r="B84" s="8"/>
      <c r="C84" s="8" t="str">
        <f t="shared" si="22"/>
        <v/>
      </c>
      <c r="D84" s="14" t="str">
        <f>_xll.BDP(C84 &amp; " Equity","SECURITY_NAME")</f>
        <v>#N/A Invalid Security</v>
      </c>
      <c r="E84" s="11" t="str">
        <f>_xll.BDP($C84 &amp;" Equity","dvd_sh_last")</f>
        <v>#N/A Invalid Security</v>
      </c>
      <c r="F84" s="8" t="str">
        <f>_xll.BDP($C84 &amp; " Equity","dvd_ex_dt")</f>
        <v>#N/A Invalid Security</v>
      </c>
      <c r="G84" s="8" t="str">
        <f>_xll.BDP($C84 &amp; " Equity","BDVD_NEXT_EST_DECL_DT")</f>
        <v>#N/A Invalid Security</v>
      </c>
      <c r="H84" s="8" t="str">
        <f>_xll.BDP($C84&amp; " Equity","dvd_pay_dt")</f>
        <v>#N/A Invalid Security</v>
      </c>
      <c r="I84" s="8" t="str">
        <f>_xll.BDP($C84&amp; " Equity","DVD_TYP_LAST")</f>
        <v>#N/A Invalid Security</v>
      </c>
      <c r="J84" s="8" t="str">
        <f>_xll.BDP($C84&amp; " Equity","dvd_crncy")</f>
        <v>#N/A Invalid Security</v>
      </c>
      <c r="K84" s="8" t="str">
        <f t="shared" si="15"/>
        <v>-</v>
      </c>
      <c r="L84" s="23" t="str">
        <f t="shared" si="18"/>
        <v>-#N/A Invalid Security Curncy</v>
      </c>
      <c r="M84" s="23" t="e">
        <f ca="1">IF(L84="EUR",1,IF(L84="EURGBp Curncy",(_xll.BDP(L84,"PX_LAST")*100),_xll.BDP(L84,"PX_LAST")))</f>
        <v>#NAME?</v>
      </c>
      <c r="N84" s="239" t="str">
        <f t="shared" ca="1" si="16"/>
        <v>-</v>
      </c>
      <c r="O84" s="241"/>
      <c r="P84" s="53"/>
      <c r="Q84" s="53" t="e">
        <f t="shared" si="19"/>
        <v>#VALUE!</v>
      </c>
      <c r="R84" s="53" t="e">
        <f t="shared" si="20"/>
        <v>#VALUE!</v>
      </c>
      <c r="S84" s="16">
        <f t="shared" si="23"/>
        <v>0</v>
      </c>
      <c r="T84" s="1206">
        <f t="shared" si="24"/>
        <v>0</v>
      </c>
      <c r="U84" s="16" t="str">
        <f t="shared" si="17"/>
        <v>0</v>
      </c>
      <c r="V84" s="8" t="str">
        <f>_xll.BDP(B84 &amp;" Equity", "DVD_FREQ")</f>
        <v>#N/A Invalid Security</v>
      </c>
      <c r="W84" s="23" t="str">
        <f t="shared" si="21"/>
        <v>#N/A Invalid Security</v>
      </c>
      <c r="X84" s="239" t="str">
        <f>_xll.BDP(B84 &amp;" Equity", "EQY_DVD_YLD_IND_NET")</f>
        <v>#N/A Invalid Security</v>
      </c>
      <c r="Y84" s="6"/>
      <c r="Z84" s="6"/>
      <c r="AC84" s="1210"/>
      <c r="AH84"/>
      <c r="AI84"/>
    </row>
    <row r="85" spans="1:35" ht="14.5">
      <c r="A85" s="6"/>
      <c r="B85" s="8"/>
      <c r="C85" s="8" t="str">
        <f t="shared" si="22"/>
        <v/>
      </c>
      <c r="D85" s="14" t="str">
        <f>_xll.BDP(C85 &amp; " Equity","SECURITY_NAME")</f>
        <v>#N/A Invalid Security</v>
      </c>
      <c r="E85" s="11" t="str">
        <f>_xll.BDP($C85 &amp;" Equity","dvd_sh_last")</f>
        <v>#N/A Invalid Security</v>
      </c>
      <c r="F85" s="8" t="str">
        <f>_xll.BDP($C85 &amp; " Equity","dvd_ex_dt")</f>
        <v>#N/A Invalid Security</v>
      </c>
      <c r="G85" s="8" t="str">
        <f>_xll.BDP($C85 &amp; " Equity","BDVD_NEXT_EST_DECL_DT")</f>
        <v>#N/A Invalid Security</v>
      </c>
      <c r="H85" s="8" t="str">
        <f>_xll.BDP($C85&amp; " Equity","dvd_pay_dt")</f>
        <v>#N/A Invalid Security</v>
      </c>
      <c r="I85" s="8" t="str">
        <f>_xll.BDP($C85&amp; " Equity","DVD_TYP_LAST")</f>
        <v>#N/A Invalid Security</v>
      </c>
      <c r="J85" s="8" t="str">
        <f>_xll.BDP($C85&amp; " Equity","dvd_crncy")</f>
        <v>#N/A Invalid Security</v>
      </c>
      <c r="K85" s="8" t="str">
        <f t="shared" si="15"/>
        <v>-</v>
      </c>
      <c r="L85" s="23" t="str">
        <f t="shared" si="18"/>
        <v>-#N/A Invalid Security Curncy</v>
      </c>
      <c r="M85" s="23" t="e">
        <f ca="1">IF(L85="EUR",1,IF(L85="EURGBp Curncy",(_xll.BDP(L85,"PX_LAST")*100),_xll.BDP(L85,"PX_LAST")))</f>
        <v>#NAME?</v>
      </c>
      <c r="N85" s="239" t="str">
        <f t="shared" ca="1" si="16"/>
        <v>-</v>
      </c>
      <c r="O85" s="241"/>
      <c r="P85" s="53"/>
      <c r="Q85" s="53" t="e">
        <f t="shared" si="19"/>
        <v>#VALUE!</v>
      </c>
      <c r="R85" s="53" t="e">
        <f t="shared" si="20"/>
        <v>#VALUE!</v>
      </c>
      <c r="S85" s="16">
        <f t="shared" si="23"/>
        <v>0</v>
      </c>
      <c r="T85" s="1206">
        <f t="shared" si="24"/>
        <v>0</v>
      </c>
      <c r="U85" s="16" t="str">
        <f t="shared" si="17"/>
        <v>0</v>
      </c>
      <c r="V85" s="8" t="str">
        <f>_xll.BDP(B85 &amp;" Equity", "DVD_FREQ")</f>
        <v>#N/A Invalid Security</v>
      </c>
      <c r="W85" s="23" t="str">
        <f t="shared" si="21"/>
        <v>#N/A Invalid Security</v>
      </c>
      <c r="X85" s="239" t="str">
        <f>_xll.BDP(B85 &amp;" Equity", "EQY_DVD_YLD_IND_NET")</f>
        <v>#N/A Invalid Security</v>
      </c>
      <c r="Y85" s="6"/>
      <c r="Z85" s="6"/>
      <c r="AC85" s="1210"/>
      <c r="AH85"/>
      <c r="AI85"/>
    </row>
    <row r="86" spans="1:35" ht="14.5">
      <c r="A86" s="6"/>
      <c r="B86" s="8"/>
      <c r="C86" s="8" t="str">
        <f t="shared" si="22"/>
        <v/>
      </c>
      <c r="D86" s="14" t="str">
        <f>_xll.BDP(C86 &amp; " Equity","SECURITY_NAME")</f>
        <v>#N/A Invalid Security</v>
      </c>
      <c r="E86" s="11" t="str">
        <f>_xll.BDP($C86 &amp;" Equity","dvd_sh_last")</f>
        <v>#N/A Invalid Security</v>
      </c>
      <c r="F86" s="8" t="str">
        <f>_xll.BDP($C86 &amp; " Equity","dvd_ex_dt")</f>
        <v>#N/A Invalid Security</v>
      </c>
      <c r="G86" s="8" t="str">
        <f>_xll.BDP($C86 &amp; " Equity","BDVD_NEXT_EST_DECL_DT")</f>
        <v>#N/A Invalid Security</v>
      </c>
      <c r="H86" s="8" t="str">
        <f>_xll.BDP($C86&amp; " Equity","dvd_pay_dt")</f>
        <v>#N/A Invalid Security</v>
      </c>
      <c r="I86" s="8" t="str">
        <f>_xll.BDP($C86&amp; " Equity","DVD_TYP_LAST")</f>
        <v>#N/A Invalid Security</v>
      </c>
      <c r="J86" s="8" t="str">
        <f>_xll.BDP($C86&amp; " Equity","dvd_crncy")</f>
        <v>#N/A Invalid Security</v>
      </c>
      <c r="K86" s="8" t="str">
        <f t="shared" si="15"/>
        <v>-</v>
      </c>
      <c r="L86" s="23" t="str">
        <f t="shared" si="18"/>
        <v>-#N/A Invalid Security Curncy</v>
      </c>
      <c r="M86" s="23" t="e">
        <f ca="1">IF(L86="EUR",1,IF(L86="EURGBp Curncy",(_xll.BDP(L86,"PX_LAST")*100),_xll.BDP(L86,"PX_LAST")))</f>
        <v>#NAME?</v>
      </c>
      <c r="N86" s="239" t="str">
        <f t="shared" ca="1" si="16"/>
        <v>-</v>
      </c>
      <c r="O86" s="241"/>
      <c r="P86" s="53"/>
      <c r="Q86" s="53" t="e">
        <f t="shared" si="19"/>
        <v>#VALUE!</v>
      </c>
      <c r="R86" s="53" t="e">
        <f t="shared" si="20"/>
        <v>#VALUE!</v>
      </c>
      <c r="S86" s="16">
        <f t="shared" si="23"/>
        <v>0</v>
      </c>
      <c r="T86" s="1206">
        <f t="shared" si="24"/>
        <v>0</v>
      </c>
      <c r="U86" s="16" t="str">
        <f t="shared" si="17"/>
        <v>0</v>
      </c>
      <c r="V86" s="8" t="str">
        <f>_xll.BDP(B86 &amp;" Equity", "DVD_FREQ")</f>
        <v>#N/A Invalid Security</v>
      </c>
      <c r="W86" s="23" t="str">
        <f t="shared" si="21"/>
        <v>#N/A Invalid Security</v>
      </c>
      <c r="X86" s="239" t="str">
        <f>_xll.BDP(B86 &amp;" Equity", "EQY_DVD_YLD_IND_NET")</f>
        <v>#N/A Invalid Security</v>
      </c>
      <c r="Y86" s="6"/>
      <c r="Z86" s="6"/>
      <c r="AC86" s="1210"/>
      <c r="AH86"/>
      <c r="AI86"/>
    </row>
    <row r="87" spans="1:35" ht="14.5">
      <c r="A87" s="6"/>
      <c r="B87" s="8"/>
      <c r="C87" s="8" t="str">
        <f t="shared" si="22"/>
        <v/>
      </c>
      <c r="D87" s="14" t="str">
        <f>_xll.BDP(C87 &amp; " Equity","SECURITY_NAME")</f>
        <v>#N/A Invalid Security</v>
      </c>
      <c r="E87" s="11" t="str">
        <f>_xll.BDP($C87 &amp;" Equity","dvd_sh_last")</f>
        <v>#N/A Invalid Security</v>
      </c>
      <c r="F87" s="8" t="str">
        <f>_xll.BDP($C87 &amp; " Equity","dvd_ex_dt")</f>
        <v>#N/A Invalid Security</v>
      </c>
      <c r="G87" s="8" t="str">
        <f>_xll.BDP($C87 &amp; " Equity","BDVD_NEXT_EST_DECL_DT")</f>
        <v>#N/A Invalid Security</v>
      </c>
      <c r="H87" s="8" t="str">
        <f>_xll.BDP($C87&amp; " Equity","dvd_pay_dt")</f>
        <v>#N/A Invalid Security</v>
      </c>
      <c r="I87" s="8" t="str">
        <f>_xll.BDP($C87&amp; " Equity","DVD_TYP_LAST")</f>
        <v>#N/A Invalid Security</v>
      </c>
      <c r="J87" s="8" t="str">
        <f>_xll.BDP($C87&amp; " Equity","dvd_crncy")</f>
        <v>#N/A Invalid Security</v>
      </c>
      <c r="K87" s="8" t="str">
        <f t="shared" si="15"/>
        <v>-</v>
      </c>
      <c r="L87" s="23" t="str">
        <f t="shared" si="18"/>
        <v>-#N/A Invalid Security Curncy</v>
      </c>
      <c r="M87" s="23" t="e">
        <f ca="1">IF(L87="EUR",1,IF(L87="EURGBp Curncy",(_xll.BDP(L87,"PX_LAST")*100),_xll.BDP(L87,"PX_LAST")))</f>
        <v>#NAME?</v>
      </c>
      <c r="N87" s="239" t="str">
        <f t="shared" ca="1" si="16"/>
        <v>-</v>
      </c>
      <c r="O87" s="241"/>
      <c r="P87" s="53"/>
      <c r="Q87" s="53" t="e">
        <f t="shared" si="19"/>
        <v>#VALUE!</v>
      </c>
      <c r="R87" s="53" t="e">
        <f t="shared" si="20"/>
        <v>#VALUE!</v>
      </c>
      <c r="S87" s="16">
        <f t="shared" si="23"/>
        <v>0</v>
      </c>
      <c r="T87" s="1206">
        <f t="shared" si="24"/>
        <v>0</v>
      </c>
      <c r="U87" s="16" t="str">
        <f t="shared" si="17"/>
        <v>0</v>
      </c>
      <c r="V87" s="8" t="str">
        <f>_xll.BDP(B87 &amp;" Equity", "DVD_FREQ")</f>
        <v>#N/A Invalid Security</v>
      </c>
      <c r="W87" s="23" t="str">
        <f t="shared" si="21"/>
        <v>#N/A Invalid Security</v>
      </c>
      <c r="X87" s="239" t="str">
        <f>_xll.BDP(B87 &amp;" Equity", "EQY_DVD_YLD_IND_NET")</f>
        <v>#N/A Invalid Security</v>
      </c>
      <c r="Y87" s="6"/>
      <c r="Z87" s="6"/>
      <c r="AC87" s="1210"/>
      <c r="AH87"/>
      <c r="AI87"/>
    </row>
    <row r="88" spans="1:35">
      <c r="A88" s="6"/>
      <c r="B88" s="8"/>
      <c r="C88" s="8" t="str">
        <f t="shared" si="22"/>
        <v/>
      </c>
      <c r="D88" s="14" t="str">
        <f>_xll.BDP(C88 &amp; " Equity","SECURITY_NAME")</f>
        <v>#N/A Invalid Security</v>
      </c>
      <c r="E88" s="11" t="str">
        <f>_xll.BDP($C88 &amp;" Equity","dvd_sh_last")</f>
        <v>#N/A Invalid Security</v>
      </c>
      <c r="F88" s="8" t="str">
        <f>_xll.BDP($C88 &amp; " Equity","dvd_ex_dt")</f>
        <v>#N/A Invalid Security</v>
      </c>
      <c r="G88" s="8" t="str">
        <f>_xll.BDP($C88 &amp; " Equity","BDVD_NEXT_EST_DECL_DT")</f>
        <v>#N/A Invalid Security</v>
      </c>
      <c r="H88" s="8" t="str">
        <f>_xll.BDP($C88&amp; " Equity","dvd_pay_dt")</f>
        <v>#N/A Invalid Security</v>
      </c>
      <c r="I88" s="8" t="str">
        <f>_xll.BDP($C88&amp; " Equity","DVD_TYP_LAST")</f>
        <v>#N/A Invalid Security</v>
      </c>
      <c r="J88" s="8" t="str">
        <f>_xll.BDP($C88&amp; " Equity","dvd_crncy")</f>
        <v>#N/A Invalid Security</v>
      </c>
      <c r="K88" s="8" t="str">
        <f t="shared" si="15"/>
        <v>-</v>
      </c>
      <c r="L88" s="23" t="str">
        <f t="shared" si="18"/>
        <v>-#N/A Invalid Security Curncy</v>
      </c>
      <c r="M88" s="23" t="e">
        <f ca="1">IF(L88="EUR",1,IF(L88="EURGBp Curncy",(_xll.BDP(L88,"PX_LAST")*100),_xll.BDP(L88,"PX_LAST")))</f>
        <v>#NAME?</v>
      </c>
      <c r="N88" s="239" t="str">
        <f t="shared" ca="1" si="16"/>
        <v>-</v>
      </c>
      <c r="O88" s="241"/>
      <c r="P88" s="53"/>
      <c r="Q88" s="53" t="e">
        <f t="shared" si="19"/>
        <v>#VALUE!</v>
      </c>
      <c r="R88" s="53" t="e">
        <f t="shared" si="20"/>
        <v>#VALUE!</v>
      </c>
      <c r="S88" s="16">
        <f t="shared" si="23"/>
        <v>0</v>
      </c>
      <c r="T88" s="1206">
        <f t="shared" si="24"/>
        <v>0</v>
      </c>
      <c r="U88" s="16" t="str">
        <f t="shared" si="17"/>
        <v>0</v>
      </c>
      <c r="V88" s="8" t="str">
        <f>_xll.BDP(B88 &amp;" Equity", "DVD_FREQ")</f>
        <v>#N/A Invalid Security</v>
      </c>
      <c r="W88" s="23" t="str">
        <f t="shared" si="21"/>
        <v>#N/A Invalid Security</v>
      </c>
      <c r="X88" s="239" t="str">
        <f>_xll.BDP(B88 &amp;" Equity", "EQY_DVD_YLD_IND_NET")</f>
        <v>#N/A Invalid Security</v>
      </c>
      <c r="Y88" s="6"/>
      <c r="Z88" s="6"/>
      <c r="AC88" s="1210"/>
    </row>
    <row r="89" spans="1:35">
      <c r="A89" s="6"/>
      <c r="B89" s="8"/>
      <c r="C89" s="8" t="str">
        <f t="shared" si="22"/>
        <v/>
      </c>
      <c r="D89" s="14" t="str">
        <f>_xll.BDP(C89 &amp; " Equity","SECURITY_NAME")</f>
        <v>#N/A Invalid Security</v>
      </c>
      <c r="E89" s="11" t="str">
        <f>_xll.BDP($C89 &amp;" Equity","dvd_sh_last")</f>
        <v>#N/A Invalid Security</v>
      </c>
      <c r="F89" s="8" t="str">
        <f>_xll.BDP($C89 &amp; " Equity","dvd_ex_dt")</f>
        <v>#N/A Invalid Security</v>
      </c>
      <c r="G89" s="8" t="str">
        <f>_xll.BDP($C89 &amp; " Equity","BDVD_NEXT_EST_DECL_DT")</f>
        <v>#N/A Invalid Security</v>
      </c>
      <c r="H89" s="8" t="str">
        <f>_xll.BDP($C89&amp; " Equity","dvd_pay_dt")</f>
        <v>#N/A Invalid Security</v>
      </c>
      <c r="I89" s="8" t="str">
        <f>_xll.BDP($C89&amp; " Equity","DVD_TYP_LAST")</f>
        <v>#N/A Invalid Security</v>
      </c>
      <c r="J89" s="8" t="str">
        <f>_xll.BDP($C89&amp; " Equity","dvd_crncy")</f>
        <v>#N/A Invalid Security</v>
      </c>
      <c r="K89" s="8" t="str">
        <f t="shared" si="15"/>
        <v>-</v>
      </c>
      <c r="L89" s="23" t="str">
        <f t="shared" si="18"/>
        <v>-#N/A Invalid Security Curncy</v>
      </c>
      <c r="M89" s="23" t="e">
        <f ca="1">IF(L89="EUR",1,IF(L89="EURGBp Curncy",(_xll.BDP(L89,"PX_LAST")*100),_xll.BDP(L89,"PX_LAST")))</f>
        <v>#NAME?</v>
      </c>
      <c r="N89" s="239" t="str">
        <f t="shared" ca="1" si="16"/>
        <v>-</v>
      </c>
      <c r="O89" s="241"/>
      <c r="P89" s="53"/>
      <c r="Q89" s="53" t="e">
        <f t="shared" si="19"/>
        <v>#VALUE!</v>
      </c>
      <c r="R89" s="53" t="e">
        <f t="shared" si="20"/>
        <v>#VALUE!</v>
      </c>
      <c r="S89" s="16">
        <f t="shared" si="23"/>
        <v>0</v>
      </c>
      <c r="T89" s="1206">
        <f t="shared" si="24"/>
        <v>0</v>
      </c>
      <c r="U89" s="16" t="str">
        <f t="shared" si="17"/>
        <v>0</v>
      </c>
      <c r="V89" s="8" t="str">
        <f>_xll.BDP(B89 &amp;" Equity", "DVD_FREQ")</f>
        <v>#N/A Invalid Security</v>
      </c>
      <c r="W89" s="23" t="str">
        <f t="shared" si="21"/>
        <v>#N/A Invalid Security</v>
      </c>
      <c r="X89" s="239" t="str">
        <f>_xll.BDP(B89 &amp;" Equity", "EQY_DVD_YLD_IND_NET")</f>
        <v>#N/A Invalid Security</v>
      </c>
      <c r="Y89" s="6"/>
      <c r="Z89" s="6"/>
      <c r="AC89" s="1210"/>
    </row>
    <row r="90" spans="1:35">
      <c r="A90" s="6"/>
      <c r="B90" s="8"/>
      <c r="C90" s="8" t="str">
        <f t="shared" si="22"/>
        <v/>
      </c>
      <c r="D90" s="14" t="str">
        <f>_xll.BDP(C90 &amp; " Equity","SECURITY_NAME")</f>
        <v>#N/A Invalid Security</v>
      </c>
      <c r="E90" s="11" t="str">
        <f>_xll.BDP($C90 &amp;" Equity","dvd_sh_last")</f>
        <v>#N/A Invalid Security</v>
      </c>
      <c r="F90" s="8" t="str">
        <f>_xll.BDP($C90 &amp; " Equity","dvd_ex_dt")</f>
        <v>#N/A Invalid Security</v>
      </c>
      <c r="G90" s="8" t="str">
        <f>_xll.BDP($C90 &amp; " Equity","BDVD_NEXT_EST_DECL_DT")</f>
        <v>#N/A Invalid Security</v>
      </c>
      <c r="H90" s="8" t="str">
        <f>_xll.BDP($C90&amp; " Equity","dvd_pay_dt")</f>
        <v>#N/A Invalid Security</v>
      </c>
      <c r="I90" s="8" t="str">
        <f>_xll.BDP($C90&amp; " Equity","DVD_TYP_LAST")</f>
        <v>#N/A Invalid Security</v>
      </c>
      <c r="J90" s="8" t="str">
        <f>_xll.BDP($C90&amp; " Equity","dvd_crncy")</f>
        <v>#N/A Invalid Security</v>
      </c>
      <c r="K90" s="8" t="str">
        <f t="shared" si="15"/>
        <v>-</v>
      </c>
      <c r="L90" s="23" t="str">
        <f t="shared" si="18"/>
        <v>-#N/A Invalid Security Curncy</v>
      </c>
      <c r="M90" s="23" t="e">
        <f ca="1">IF(L90="EUR",1,IF(L90="EURGBp Curncy",(_xll.BDP(L90,"PX_LAST")*100),_xll.BDP(L90,"PX_LAST")))</f>
        <v>#NAME?</v>
      </c>
      <c r="N90" s="239" t="str">
        <f t="shared" ca="1" si="16"/>
        <v>-</v>
      </c>
      <c r="O90" s="241"/>
      <c r="P90" s="53"/>
      <c r="Q90" s="53" t="e">
        <f t="shared" si="19"/>
        <v>#VALUE!</v>
      </c>
      <c r="R90" s="53" t="e">
        <f t="shared" si="20"/>
        <v>#VALUE!</v>
      </c>
      <c r="S90" s="16">
        <f t="shared" si="23"/>
        <v>0</v>
      </c>
      <c r="T90" s="1206">
        <f t="shared" si="24"/>
        <v>0</v>
      </c>
      <c r="U90" s="16" t="str">
        <f t="shared" si="17"/>
        <v>0</v>
      </c>
      <c r="V90" s="8" t="str">
        <f>_xll.BDP(B90 &amp;" Equity", "DVD_FREQ")</f>
        <v>#N/A Invalid Security</v>
      </c>
      <c r="W90" s="23" t="str">
        <f t="shared" si="21"/>
        <v>#N/A Invalid Security</v>
      </c>
      <c r="X90" s="239" t="str">
        <f>_xll.BDP(B90 &amp;" Equity", "EQY_DVD_YLD_IND_NET")</f>
        <v>#N/A Invalid Security</v>
      </c>
      <c r="Y90" s="6"/>
      <c r="Z90" s="6"/>
      <c r="AC90" s="1210"/>
    </row>
    <row r="91" spans="1:35">
      <c r="A91" s="6"/>
      <c r="B91" s="8"/>
      <c r="C91" s="8" t="str">
        <f t="shared" si="22"/>
        <v/>
      </c>
      <c r="D91" s="14" t="str">
        <f>_xll.BDP(C91 &amp; " Equity","SECURITY_NAME")</f>
        <v>#N/A Invalid Security</v>
      </c>
      <c r="E91" s="11" t="str">
        <f>_xll.BDP($C91 &amp;" Equity","dvd_sh_last")</f>
        <v>#N/A Invalid Security</v>
      </c>
      <c r="F91" s="8" t="str">
        <f>_xll.BDP($C91 &amp; " Equity","dvd_ex_dt")</f>
        <v>#N/A Invalid Security</v>
      </c>
      <c r="G91" s="8" t="str">
        <f>_xll.BDP($C91 &amp; " Equity","BDVD_NEXT_EST_DECL_DT")</f>
        <v>#N/A Invalid Security</v>
      </c>
      <c r="H91" s="8" t="str">
        <f>_xll.BDP($C91&amp; " Equity","dvd_pay_dt")</f>
        <v>#N/A Invalid Security</v>
      </c>
      <c r="I91" s="8" t="str">
        <f>_xll.BDP($C91&amp; " Equity","DVD_TYP_LAST")</f>
        <v>#N/A Invalid Security</v>
      </c>
      <c r="J91" s="8" t="str">
        <f>_xll.BDP($C91&amp; " Equity","dvd_crncy")</f>
        <v>#N/A Invalid Security</v>
      </c>
      <c r="K91" s="8" t="str">
        <f t="shared" si="15"/>
        <v>-</v>
      </c>
      <c r="L91" s="23" t="str">
        <f t="shared" si="18"/>
        <v>-#N/A Invalid Security Curncy</v>
      </c>
      <c r="M91" s="23" t="e">
        <f ca="1">IF(L91="EUR",1,IF(L91="EURGBp Curncy",(_xll.BDP(L91,"PX_LAST")*100),_xll.BDP(L91,"PX_LAST")))</f>
        <v>#NAME?</v>
      </c>
      <c r="N91" s="239" t="str">
        <f t="shared" ca="1" si="16"/>
        <v>-</v>
      </c>
      <c r="O91" s="241">
        <v>0</v>
      </c>
      <c r="P91" s="53">
        <v>0</v>
      </c>
      <c r="Q91" s="53" t="e">
        <f t="shared" si="19"/>
        <v>#VALUE!</v>
      </c>
      <c r="R91" s="53" t="e">
        <f t="shared" si="20"/>
        <v>#VALUE!</v>
      </c>
      <c r="S91" s="16">
        <f t="shared" si="23"/>
        <v>0</v>
      </c>
      <c r="T91" s="1206">
        <f t="shared" si="24"/>
        <v>0</v>
      </c>
      <c r="U91" s="16" t="str">
        <f t="shared" si="17"/>
        <v>0</v>
      </c>
      <c r="V91" s="8" t="str">
        <f>_xll.BDP(B91 &amp;" Equity", "DVD_FREQ")</f>
        <v>#N/A Invalid Security</v>
      </c>
      <c r="W91" s="23" t="str">
        <f t="shared" si="21"/>
        <v>#N/A Invalid Security</v>
      </c>
      <c r="X91" s="239" t="str">
        <f>_xll.BDP(B91 &amp;" Equity", "EQY_DVD_YLD_IND_NET")</f>
        <v>#N/A Invalid Security</v>
      </c>
      <c r="Y91" s="6"/>
      <c r="Z91" s="6"/>
      <c r="AC91" s="1210"/>
    </row>
    <row r="92" spans="1:35">
      <c r="A92" s="6"/>
      <c r="B92" s="8"/>
      <c r="C92" s="8" t="str">
        <f t="shared" si="22"/>
        <v/>
      </c>
      <c r="D92" s="14" t="str">
        <f>_xll.BDP(C92 &amp; " Equity","SECURITY_NAME")</f>
        <v>#N/A Invalid Security</v>
      </c>
      <c r="E92" s="11" t="str">
        <f>_xll.BDP($C92 &amp;" Equity","dvd_sh_last")</f>
        <v>#N/A Invalid Security</v>
      </c>
      <c r="F92" s="8" t="str">
        <f>_xll.BDP($C92 &amp; " Equity","dvd_ex_dt")</f>
        <v>#N/A Invalid Security</v>
      </c>
      <c r="G92" s="8" t="str">
        <f>_xll.BDP($C92 &amp; " Equity","BDVD_NEXT_EST_DECL_DT")</f>
        <v>#N/A Invalid Security</v>
      </c>
      <c r="H92" s="8" t="str">
        <f>_xll.BDP($C92&amp; " Equity","dvd_pay_dt")</f>
        <v>#N/A Invalid Security</v>
      </c>
      <c r="I92" s="8" t="str">
        <f>_xll.BDP($C92&amp; " Equity","DVD_TYP_LAST")</f>
        <v>#N/A Invalid Security</v>
      </c>
      <c r="J92" s="8" t="str">
        <f>_xll.BDP($C92&amp; " Equity","dvd_crncy")</f>
        <v>#N/A Invalid Security</v>
      </c>
      <c r="K92" s="8" t="str">
        <f t="shared" si="15"/>
        <v>-</v>
      </c>
      <c r="L92" s="23" t="str">
        <f t="shared" si="18"/>
        <v>-#N/A Invalid Security Curncy</v>
      </c>
      <c r="M92" s="23" t="e">
        <f ca="1">IF(L92="EUR",1,IF(L92="EURGBp Curncy",(_xll.BDP(L92,"PX_LAST")*100),_xll.BDP(L92,"PX_LAST")))</f>
        <v>#NAME?</v>
      </c>
      <c r="N92" s="239" t="str">
        <f t="shared" ca="1" si="16"/>
        <v>-</v>
      </c>
      <c r="O92" s="241">
        <v>0</v>
      </c>
      <c r="P92" s="53">
        <v>0</v>
      </c>
      <c r="Q92" s="53" t="e">
        <f t="shared" si="19"/>
        <v>#VALUE!</v>
      </c>
      <c r="R92" s="53" t="e">
        <f t="shared" si="20"/>
        <v>#VALUE!</v>
      </c>
      <c r="S92" s="16">
        <f t="shared" si="23"/>
        <v>0</v>
      </c>
      <c r="T92" s="1206">
        <f t="shared" si="24"/>
        <v>0</v>
      </c>
      <c r="U92" s="16" t="str">
        <f t="shared" si="17"/>
        <v>0</v>
      </c>
      <c r="V92" s="8" t="str">
        <f>_xll.BDP(B92 &amp;" Equity", "DVD_FREQ")</f>
        <v>#N/A Invalid Security</v>
      </c>
      <c r="W92" s="23" t="str">
        <f t="shared" si="21"/>
        <v>#N/A Invalid Security</v>
      </c>
      <c r="X92" s="239" t="str">
        <f>_xll.BDP(B92 &amp;" Equity", "EQY_DVD_YLD_IND_NET")</f>
        <v>#N/A Invalid Security</v>
      </c>
      <c r="Y92" s="6"/>
      <c r="Z92" s="6"/>
      <c r="AC92" s="1210"/>
    </row>
    <row r="93" spans="1:35">
      <c r="A93" s="6"/>
      <c r="B93" s="8"/>
      <c r="C93" s="8" t="str">
        <f t="shared" si="22"/>
        <v/>
      </c>
      <c r="D93" s="14" t="str">
        <f>_xll.BDP(C93 &amp; " Equity","SECURITY_NAME")</f>
        <v>#N/A Invalid Security</v>
      </c>
      <c r="E93" s="11" t="str">
        <f>_xll.BDP($C93 &amp;" Equity","dvd_sh_last")</f>
        <v>#N/A Invalid Security</v>
      </c>
      <c r="F93" s="8" t="str">
        <f>_xll.BDP($C93 &amp; " Equity","dvd_ex_dt")</f>
        <v>#N/A Invalid Security</v>
      </c>
      <c r="G93" s="8" t="str">
        <f>_xll.BDP($C93 &amp; " Equity","BDVD_NEXT_EST_DECL_DT")</f>
        <v>#N/A Invalid Security</v>
      </c>
      <c r="H93" s="8" t="str">
        <f>_xll.BDP($C93&amp; " Equity","dvd_pay_dt")</f>
        <v>#N/A Invalid Security</v>
      </c>
      <c r="I93" s="8" t="str">
        <f>_xll.BDP($C93&amp; " Equity","DVD_TYP_LAST")</f>
        <v>#N/A Invalid Security</v>
      </c>
      <c r="J93" s="8" t="str">
        <f>_xll.BDP($C93&amp; " Equity","dvd_crncy")</f>
        <v>#N/A Invalid Security</v>
      </c>
      <c r="K93" s="8" t="str">
        <f t="shared" si="15"/>
        <v>-</v>
      </c>
      <c r="L93" s="23" t="str">
        <f t="shared" si="18"/>
        <v>-#N/A Invalid Security Curncy</v>
      </c>
      <c r="M93" s="23" t="e">
        <f ca="1">IF(L93="EUR",1,IF(L93="EURGBp Curncy",(_xll.BDP(L93,"PX_LAST")*100),_xll.BDP(L93,"PX_LAST")))</f>
        <v>#NAME?</v>
      </c>
      <c r="N93" s="239" t="str">
        <f t="shared" ca="1" si="16"/>
        <v>-</v>
      </c>
      <c r="O93" s="241"/>
      <c r="P93" s="53"/>
      <c r="Q93" s="53" t="e">
        <f t="shared" si="19"/>
        <v>#VALUE!</v>
      </c>
      <c r="R93" s="53" t="e">
        <f t="shared" si="20"/>
        <v>#VALUE!</v>
      </c>
      <c r="S93" s="16">
        <f t="shared" si="23"/>
        <v>0</v>
      </c>
      <c r="T93" s="1206">
        <f t="shared" si="24"/>
        <v>0</v>
      </c>
      <c r="U93" s="16" t="str">
        <f t="shared" si="17"/>
        <v>0</v>
      </c>
      <c r="V93" s="8" t="str">
        <f>_xll.BDP(B93 &amp;" Equity", "DVD_FREQ")</f>
        <v>#N/A Invalid Security</v>
      </c>
      <c r="W93" s="23" t="str">
        <f t="shared" si="21"/>
        <v>#N/A Invalid Security</v>
      </c>
      <c r="X93" s="239" t="str">
        <f>_xll.BDP(B93 &amp;" Equity", "EQY_DVD_YLD_IND_NET")</f>
        <v>#N/A Invalid Security</v>
      </c>
      <c r="Y93" s="6"/>
      <c r="Z93" s="6"/>
      <c r="AC93" s="1210"/>
    </row>
    <row r="94" spans="1:35">
      <c r="A94" s="6"/>
      <c r="B94" s="8"/>
      <c r="C94" s="8" t="str">
        <f t="shared" si="22"/>
        <v/>
      </c>
      <c r="D94" s="14" t="str">
        <f>_xll.BDP(C94 &amp; " Equity","SECURITY_NAME")</f>
        <v>#N/A Invalid Security</v>
      </c>
      <c r="E94" s="11" t="str">
        <f>_xll.BDP($C94 &amp;" Equity","dvd_sh_last")</f>
        <v>#N/A Invalid Security</v>
      </c>
      <c r="F94" s="8" t="str">
        <f>_xll.BDP($C94 &amp; " Equity","dvd_ex_dt")</f>
        <v>#N/A Invalid Security</v>
      </c>
      <c r="G94" s="8" t="str">
        <f>_xll.BDP($C94 &amp; " Equity","BDVD_NEXT_EST_DECL_DT")</f>
        <v>#N/A Invalid Security</v>
      </c>
      <c r="H94" s="8" t="str">
        <f>_xll.BDP($C94&amp; " Equity","dvd_pay_dt")</f>
        <v>#N/A Invalid Security</v>
      </c>
      <c r="I94" s="8" t="str">
        <f>_xll.BDP($C94&amp; " Equity","DVD_TYP_LAST")</f>
        <v>#N/A Invalid Security</v>
      </c>
      <c r="J94" s="8" t="str">
        <f>_xll.BDP($C94&amp; " Equity","dvd_crncy")</f>
        <v>#N/A Invalid Security</v>
      </c>
      <c r="K94" s="8" t="str">
        <f t="shared" si="15"/>
        <v>-</v>
      </c>
      <c r="L94" s="23" t="str">
        <f t="shared" si="18"/>
        <v>-#N/A Invalid Security Curncy</v>
      </c>
      <c r="M94" s="23" t="e">
        <f ca="1">IF(L94="EUR",1,IF(L94="EURGBp Curncy",(_xll.BDP(L94,"PX_LAST")*100),_xll.BDP(L94,"PX_LAST")))</f>
        <v>#NAME?</v>
      </c>
      <c r="N94" s="239" t="str">
        <f t="shared" ca="1" si="16"/>
        <v>-</v>
      </c>
      <c r="O94" s="241"/>
      <c r="P94" s="53"/>
      <c r="Q94" s="53" t="e">
        <f t="shared" si="19"/>
        <v>#VALUE!</v>
      </c>
      <c r="R94" s="53" t="e">
        <f t="shared" si="20"/>
        <v>#VALUE!</v>
      </c>
      <c r="S94" s="16">
        <f t="shared" si="23"/>
        <v>0</v>
      </c>
      <c r="T94" s="1206">
        <f t="shared" si="24"/>
        <v>0</v>
      </c>
      <c r="U94" s="16" t="str">
        <f t="shared" si="17"/>
        <v>0</v>
      </c>
      <c r="V94" s="8" t="str">
        <f>_xll.BDP(B94 &amp;" Equity", "DVD_FREQ")</f>
        <v>#N/A Invalid Security</v>
      </c>
      <c r="W94" s="23" t="str">
        <f t="shared" si="21"/>
        <v>#N/A Invalid Security</v>
      </c>
      <c r="X94" s="239" t="str">
        <f>_xll.BDP(B94 &amp;" Equity", "EQY_DVD_YLD_IND_NET")</f>
        <v>#N/A Invalid Security</v>
      </c>
      <c r="Y94" s="6"/>
      <c r="Z94" s="6"/>
      <c r="AC94" s="1210"/>
    </row>
    <row r="95" spans="1:35">
      <c r="A95" s="6"/>
      <c r="B95" s="8"/>
      <c r="C95" s="8" t="str">
        <f t="shared" si="22"/>
        <v/>
      </c>
      <c r="D95" s="14" t="str">
        <f>_xll.BDP(C95 &amp; " Equity","SECURITY_NAME")</f>
        <v>#N/A Invalid Security</v>
      </c>
      <c r="E95" s="11" t="str">
        <f>_xll.BDP($C95 &amp;" Equity","dvd_sh_last")</f>
        <v>#N/A Invalid Security</v>
      </c>
      <c r="F95" s="8" t="str">
        <f>_xll.BDP($C95 &amp; " Equity","dvd_ex_dt")</f>
        <v>#N/A Invalid Security</v>
      </c>
      <c r="G95" s="8" t="str">
        <f>_xll.BDP($C95 &amp; " Equity","BDVD_NEXT_EST_DECL_DT")</f>
        <v>#N/A Invalid Security</v>
      </c>
      <c r="H95" s="8" t="str">
        <f>_xll.BDP($C95&amp; " Equity","dvd_pay_dt")</f>
        <v>#N/A Invalid Security</v>
      </c>
      <c r="I95" s="8" t="str">
        <f>_xll.BDP($C95&amp; " Equity","DVD_TYP_LAST")</f>
        <v>#N/A Invalid Security</v>
      </c>
      <c r="J95" s="8" t="str">
        <f>_xll.BDP($C95&amp; " Equity","dvd_crncy")</f>
        <v>#N/A Invalid Security</v>
      </c>
      <c r="K95" s="8" t="str">
        <f t="shared" si="15"/>
        <v>-</v>
      </c>
      <c r="L95" s="23" t="str">
        <f t="shared" si="18"/>
        <v>-#N/A Invalid Security Curncy</v>
      </c>
      <c r="M95" s="23" t="e">
        <f ca="1">IF(L95="EUR",1,IF(L95="EURGBp Curncy",(_xll.BDP(L95,"PX_LAST")*100),_xll.BDP(L95,"PX_LAST")))</f>
        <v>#NAME?</v>
      </c>
      <c r="N95" s="239" t="str">
        <f t="shared" ca="1" si="16"/>
        <v>-</v>
      </c>
      <c r="O95" s="241"/>
      <c r="P95" s="53"/>
      <c r="Q95" s="53" t="e">
        <f t="shared" si="19"/>
        <v>#VALUE!</v>
      </c>
      <c r="R95" s="53" t="e">
        <f t="shared" si="20"/>
        <v>#VALUE!</v>
      </c>
      <c r="S95" s="16">
        <f t="shared" si="23"/>
        <v>0</v>
      </c>
      <c r="T95" s="1206">
        <f t="shared" si="24"/>
        <v>0</v>
      </c>
      <c r="U95" s="16" t="str">
        <f t="shared" si="17"/>
        <v>0</v>
      </c>
      <c r="V95" s="8" t="str">
        <f>_xll.BDP(B95 &amp;" Equity", "DVD_FREQ")</f>
        <v>#N/A Invalid Security</v>
      </c>
      <c r="W95" s="23" t="str">
        <f t="shared" si="21"/>
        <v>#N/A Invalid Security</v>
      </c>
      <c r="X95" s="239" t="str">
        <f>_xll.BDP(B95 &amp;" Equity", "EQY_DVD_YLD_IND_NET")</f>
        <v>#N/A Invalid Security</v>
      </c>
      <c r="Y95" s="6"/>
      <c r="Z95" s="6"/>
      <c r="AC95" s="1210"/>
    </row>
    <row r="96" spans="1:35">
      <c r="A96" s="6"/>
      <c r="B96" s="8"/>
      <c r="C96" s="8" t="str">
        <f t="shared" si="22"/>
        <v/>
      </c>
      <c r="D96" s="14" t="str">
        <f>_xll.BDP(C96 &amp; " Equity","SECURITY_NAME")</f>
        <v>#N/A Invalid Security</v>
      </c>
      <c r="E96" s="11" t="str">
        <f>_xll.BDP($C96 &amp;" Equity","dvd_sh_last")</f>
        <v>#N/A Invalid Security</v>
      </c>
      <c r="F96" s="8" t="str">
        <f>_xll.BDP($C96 &amp; " Equity","dvd_ex_dt")</f>
        <v>#N/A Invalid Security</v>
      </c>
      <c r="G96" s="8" t="str">
        <f>_xll.BDP($C96 &amp; " Equity","BDVD_NEXT_EST_DECL_DT")</f>
        <v>#N/A Invalid Security</v>
      </c>
      <c r="H96" s="8" t="str">
        <f>_xll.BDP($C96&amp; " Equity","dvd_pay_dt")</f>
        <v>#N/A Invalid Security</v>
      </c>
      <c r="I96" s="8" t="str">
        <f>_xll.BDP($C96&amp; " Equity","DVD_TYP_LAST")</f>
        <v>#N/A Invalid Security</v>
      </c>
      <c r="J96" s="8" t="str">
        <f>_xll.BDP($C96&amp; " Equity","dvd_crncy")</f>
        <v>#N/A Invalid Security</v>
      </c>
      <c r="K96" s="8" t="str">
        <f t="shared" si="15"/>
        <v>-</v>
      </c>
      <c r="L96" s="23" t="str">
        <f t="shared" si="18"/>
        <v>-#N/A Invalid Security Curncy</v>
      </c>
      <c r="M96" s="23" t="e">
        <f ca="1">IF(L96="EUR",1,IF(L96="EURGBp Curncy",(_xll.BDP(L96,"PX_LAST")*100),_xll.BDP(L96,"PX_LAST")))</f>
        <v>#NAME?</v>
      </c>
      <c r="N96" s="239" t="str">
        <f t="shared" ca="1" si="16"/>
        <v>-</v>
      </c>
      <c r="O96" s="241"/>
      <c r="P96" s="53"/>
      <c r="Q96" s="53" t="e">
        <f t="shared" si="19"/>
        <v>#VALUE!</v>
      </c>
      <c r="R96" s="53" t="e">
        <f t="shared" si="20"/>
        <v>#VALUE!</v>
      </c>
      <c r="S96" s="16">
        <f t="shared" si="23"/>
        <v>0</v>
      </c>
      <c r="T96" s="1206">
        <f t="shared" si="24"/>
        <v>0</v>
      </c>
      <c r="U96" s="16" t="str">
        <f t="shared" si="17"/>
        <v>0</v>
      </c>
      <c r="V96" s="8" t="str">
        <f>_xll.BDP(B96 &amp;" Equity", "DVD_FREQ")</f>
        <v>#N/A Invalid Security</v>
      </c>
      <c r="W96" s="23" t="str">
        <f t="shared" si="21"/>
        <v>#N/A Invalid Security</v>
      </c>
      <c r="X96" s="239" t="str">
        <f>_xll.BDP(B96 &amp;" Equity", "EQY_DVD_YLD_IND_NET")</f>
        <v>#N/A Invalid Security</v>
      </c>
      <c r="Y96" s="6"/>
      <c r="Z96" s="6"/>
      <c r="AC96" s="1210"/>
    </row>
    <row r="97" spans="1:29">
      <c r="A97" s="6"/>
      <c r="B97" s="8"/>
      <c r="C97" s="8" t="str">
        <f t="shared" si="22"/>
        <v/>
      </c>
      <c r="D97" s="14" t="str">
        <f>_xll.BDP(C97 &amp; " Equity","SECURITY_NAME")</f>
        <v>#N/A Invalid Security</v>
      </c>
      <c r="E97" s="11" t="str">
        <f>_xll.BDP($C97 &amp;" Equity","dvd_sh_last")</f>
        <v>#N/A Invalid Security</v>
      </c>
      <c r="F97" s="8" t="str">
        <f>_xll.BDP($C97 &amp; " Equity","dvd_ex_dt")</f>
        <v>#N/A Invalid Security</v>
      </c>
      <c r="G97" s="8" t="str">
        <f>_xll.BDP($C97 &amp; " Equity","BDVD_NEXT_EST_DECL_DT")</f>
        <v>#N/A Invalid Security</v>
      </c>
      <c r="H97" s="8" t="str">
        <f>_xll.BDP($C97&amp; " Equity","dvd_pay_dt")</f>
        <v>#N/A Invalid Security</v>
      </c>
      <c r="I97" s="8" t="str">
        <f>_xll.BDP($C97&amp; " Equity","DVD_TYP_LAST")</f>
        <v>#N/A Invalid Security</v>
      </c>
      <c r="J97" s="8" t="str">
        <f>_xll.BDP($C97&amp; " Equity","dvd_crncy")</f>
        <v>#N/A Invalid Security</v>
      </c>
      <c r="K97" s="8" t="str">
        <f t="shared" si="15"/>
        <v>-</v>
      </c>
      <c r="L97" s="23" t="str">
        <f t="shared" si="18"/>
        <v>-#N/A Invalid Security Curncy</v>
      </c>
      <c r="M97" s="23" t="e">
        <f ca="1">IF(L97="EUR",1,IF(L97="EURGBp Curncy",(_xll.BDP(L97,"PX_LAST")*100),_xll.BDP(L97,"PX_LAST")))</f>
        <v>#NAME?</v>
      </c>
      <c r="N97" s="239" t="str">
        <f t="shared" ca="1" si="16"/>
        <v>-</v>
      </c>
      <c r="O97" s="241"/>
      <c r="P97" s="53"/>
      <c r="Q97" s="53" t="e">
        <f t="shared" si="19"/>
        <v>#VALUE!</v>
      </c>
      <c r="R97" s="53" t="e">
        <f t="shared" si="20"/>
        <v>#VALUE!</v>
      </c>
      <c r="S97" s="16">
        <f t="shared" si="23"/>
        <v>0</v>
      </c>
      <c r="T97" s="1206">
        <f t="shared" si="24"/>
        <v>0</v>
      </c>
      <c r="U97" s="16" t="str">
        <f t="shared" si="17"/>
        <v>0</v>
      </c>
      <c r="V97" s="8" t="str">
        <f>_xll.BDP(B97 &amp;" Equity", "DVD_FREQ")</f>
        <v>#N/A Invalid Security</v>
      </c>
      <c r="W97" s="23" t="str">
        <f t="shared" si="21"/>
        <v>#N/A Invalid Security</v>
      </c>
      <c r="X97" s="239" t="str">
        <f>_xll.BDP(B97 &amp;" Equity", "EQY_DVD_YLD_IND_NET")</f>
        <v>#N/A Invalid Security</v>
      </c>
      <c r="Y97" s="6"/>
      <c r="Z97" s="6"/>
      <c r="AC97" s="1210"/>
    </row>
    <row r="98" spans="1:29">
      <c r="A98" s="6"/>
      <c r="B98" s="8"/>
      <c r="C98" s="8" t="str">
        <f t="shared" si="22"/>
        <v/>
      </c>
      <c r="D98" s="14" t="str">
        <f>_xll.BDP(C98 &amp; " Equity","SECURITY_NAME")</f>
        <v>#N/A Invalid Security</v>
      </c>
      <c r="E98" s="11" t="str">
        <f>_xll.BDP($C98 &amp;" Equity","dvd_sh_last")</f>
        <v>#N/A Invalid Security</v>
      </c>
      <c r="F98" s="8" t="str">
        <f>_xll.BDP($C98 &amp; " Equity","dvd_ex_dt")</f>
        <v>#N/A Invalid Security</v>
      </c>
      <c r="G98" s="8" t="str">
        <f>_xll.BDP($C98 &amp; " Equity","BDVD_NEXT_EST_DECL_DT")</f>
        <v>#N/A Invalid Security</v>
      </c>
      <c r="H98" s="8" t="str">
        <f>_xll.BDP($C98&amp; " Equity","dvd_pay_dt")</f>
        <v>#N/A Invalid Security</v>
      </c>
      <c r="I98" s="8" t="str">
        <f>_xll.BDP($C98&amp; " Equity","DVD_TYP_LAST")</f>
        <v>#N/A Invalid Security</v>
      </c>
      <c r="J98" s="8" t="str">
        <f>_xll.BDP($C98&amp; " Equity","dvd_crncy")</f>
        <v>#N/A Invalid Security</v>
      </c>
      <c r="K98" s="8" t="str">
        <f t="shared" si="15"/>
        <v>-</v>
      </c>
      <c r="L98" s="23" t="str">
        <f t="shared" si="18"/>
        <v>-#N/A Invalid Security Curncy</v>
      </c>
      <c r="M98" s="23" t="e">
        <f ca="1">IF(L98="EUR",1,IF(L98="EURGBp Curncy",(_xll.BDP(L98,"PX_LAST")*100),_xll.BDP(L98,"PX_LAST")))</f>
        <v>#NAME?</v>
      </c>
      <c r="N98" s="239" t="str">
        <f t="shared" ca="1" si="16"/>
        <v>-</v>
      </c>
      <c r="O98" s="241"/>
      <c r="P98" s="53"/>
      <c r="Q98" s="53" t="e">
        <f t="shared" si="19"/>
        <v>#VALUE!</v>
      </c>
      <c r="R98" s="53" t="e">
        <f t="shared" si="20"/>
        <v>#VALUE!</v>
      </c>
      <c r="S98" s="16">
        <f t="shared" si="23"/>
        <v>0</v>
      </c>
      <c r="T98" s="1206">
        <f t="shared" si="24"/>
        <v>0</v>
      </c>
      <c r="U98" s="16" t="str">
        <f t="shared" si="17"/>
        <v>0</v>
      </c>
      <c r="V98" s="8" t="str">
        <f>_xll.BDP(B98 &amp;" Equity", "DVD_FREQ")</f>
        <v>#N/A Invalid Security</v>
      </c>
      <c r="W98" s="23" t="str">
        <f t="shared" si="21"/>
        <v>#N/A Invalid Security</v>
      </c>
      <c r="X98" s="239" t="str">
        <f>_xll.BDP(B98 &amp;" Equity", "EQY_DVD_YLD_IND_NET")</f>
        <v>#N/A Invalid Security</v>
      </c>
      <c r="Y98" s="6"/>
      <c r="Z98" s="6"/>
      <c r="AC98" s="1210"/>
    </row>
    <row r="99" spans="1:29">
      <c r="A99" s="6"/>
      <c r="B99" s="8"/>
      <c r="C99" s="8" t="str">
        <f t="shared" si="22"/>
        <v/>
      </c>
      <c r="D99" s="14" t="str">
        <f>_xll.BDP(C99 &amp; " Equity","SECURITY_NAME")</f>
        <v>#N/A Invalid Security</v>
      </c>
      <c r="E99" s="11" t="str">
        <f>_xll.BDP($C99 &amp;" Equity","dvd_sh_last")</f>
        <v>#N/A Invalid Security</v>
      </c>
      <c r="F99" s="8" t="str">
        <f>_xll.BDP($C99 &amp; " Equity","dvd_ex_dt")</f>
        <v>#N/A Invalid Security</v>
      </c>
      <c r="G99" s="8" t="str">
        <f>_xll.BDP($C99 &amp; " Equity","BDVD_NEXT_EST_DECL_DT")</f>
        <v>#N/A Invalid Security</v>
      </c>
      <c r="H99" s="8" t="str">
        <f>_xll.BDP($C99&amp; " Equity","dvd_pay_dt")</f>
        <v>#N/A Invalid Security</v>
      </c>
      <c r="I99" s="8" t="str">
        <f>_xll.BDP($C99&amp; " Equity","DVD_TYP_LAST")</f>
        <v>#N/A Invalid Security</v>
      </c>
      <c r="J99" s="8" t="str">
        <f>_xll.BDP($C99&amp; " Equity","dvd_crncy")</f>
        <v>#N/A Invalid Security</v>
      </c>
      <c r="K99" s="8" t="str">
        <f t="shared" si="15"/>
        <v>-</v>
      </c>
      <c r="L99" s="23" t="str">
        <f t="shared" si="18"/>
        <v>-#N/A Invalid Security Curncy</v>
      </c>
      <c r="M99" s="23" t="e">
        <f ca="1">IF(L99="EUR",1,IF(L99="EURGBp Curncy",(_xll.BDP(L99,"PX_LAST")*100),_xll.BDP(L99,"PX_LAST")))</f>
        <v>#NAME?</v>
      </c>
      <c r="N99" s="239" t="str">
        <f t="shared" ca="1" si="16"/>
        <v>-</v>
      </c>
      <c r="O99" s="241"/>
      <c r="P99" s="53"/>
      <c r="Q99" s="53" t="e">
        <f t="shared" si="19"/>
        <v>#VALUE!</v>
      </c>
      <c r="R99" s="53" t="e">
        <f t="shared" si="20"/>
        <v>#VALUE!</v>
      </c>
      <c r="S99" s="16">
        <f t="shared" si="23"/>
        <v>0</v>
      </c>
      <c r="T99" s="1206">
        <f t="shared" si="24"/>
        <v>0</v>
      </c>
      <c r="U99" s="16" t="str">
        <f t="shared" si="17"/>
        <v>0</v>
      </c>
      <c r="V99" s="8" t="str">
        <f>_xll.BDP(B99 &amp;" Equity", "DVD_FREQ")</f>
        <v>#N/A Invalid Security</v>
      </c>
      <c r="W99" s="23" t="str">
        <f t="shared" si="21"/>
        <v>#N/A Invalid Security</v>
      </c>
      <c r="X99" s="239" t="str">
        <f>_xll.BDP(B99 &amp;" Equity", "EQY_DVD_YLD_IND_NET")</f>
        <v>#N/A Invalid Security</v>
      </c>
      <c r="Y99" s="6"/>
      <c r="Z99" s="6"/>
      <c r="AC99" s="1210"/>
    </row>
    <row r="100" spans="1:29">
      <c r="A100" s="6"/>
      <c r="B100" s="8"/>
      <c r="C100" s="8" t="str">
        <f t="shared" si="22"/>
        <v/>
      </c>
      <c r="D100" s="14" t="str">
        <f>_xll.BDP(C100 &amp; " Equity","SECURITY_NAME")</f>
        <v>#N/A Invalid Security</v>
      </c>
      <c r="E100" s="11" t="str">
        <f>_xll.BDP($C100 &amp;" Equity","dvd_sh_last")</f>
        <v>#N/A Invalid Security</v>
      </c>
      <c r="F100" s="8" t="str">
        <f>_xll.BDP($C100 &amp; " Equity","dvd_ex_dt")</f>
        <v>#N/A Invalid Security</v>
      </c>
      <c r="G100" s="8" t="str">
        <f>_xll.BDP($C100 &amp; " Equity","BDVD_NEXT_EST_DECL_DT")</f>
        <v>#N/A Invalid Security</v>
      </c>
      <c r="H100" s="8" t="str">
        <f>_xll.BDP($C100&amp; " Equity","dvd_pay_dt")</f>
        <v>#N/A Invalid Security</v>
      </c>
      <c r="I100" s="8" t="str">
        <f>_xll.BDP($C100&amp; " Equity","DVD_TYP_LAST")</f>
        <v>#N/A Invalid Security</v>
      </c>
      <c r="J100" s="8" t="str">
        <f>_xll.BDP($C100&amp; " Equity","dvd_crncy")</f>
        <v>#N/A Invalid Security</v>
      </c>
      <c r="K100" s="8" t="str">
        <f t="shared" si="15"/>
        <v>-</v>
      </c>
      <c r="L100" s="23" t="str">
        <f t="shared" si="18"/>
        <v>-#N/A Invalid Security Curncy</v>
      </c>
      <c r="M100" s="23" t="e">
        <f ca="1">IF(L100="EUR",1,IF(L100="EURGBp Curncy",(_xll.BDP(L100,"PX_LAST")*100),_xll.BDP(L100,"PX_LAST")))</f>
        <v>#NAME?</v>
      </c>
      <c r="N100" s="239" t="str">
        <f t="shared" ca="1" si="16"/>
        <v>-</v>
      </c>
      <c r="O100" s="241"/>
      <c r="P100" s="53"/>
      <c r="Q100" s="53" t="e">
        <f t="shared" si="19"/>
        <v>#VALUE!</v>
      </c>
      <c r="R100" s="53" t="e">
        <f t="shared" si="20"/>
        <v>#VALUE!</v>
      </c>
      <c r="S100" s="16">
        <f t="shared" si="23"/>
        <v>0</v>
      </c>
      <c r="T100" s="1206">
        <f t="shared" si="24"/>
        <v>0</v>
      </c>
      <c r="U100" s="16" t="str">
        <f t="shared" si="17"/>
        <v>0</v>
      </c>
      <c r="V100" s="8" t="str">
        <f>_xll.BDP(B100 &amp;" Equity", "DVD_FREQ")</f>
        <v>#N/A Invalid Security</v>
      </c>
      <c r="W100" s="23" t="str">
        <f t="shared" si="21"/>
        <v>#N/A Invalid Security</v>
      </c>
      <c r="X100" s="239" t="str">
        <f>_xll.BDP(B100 &amp;" Equity", "EQY_DVD_YLD_IND_NET")</f>
        <v>#N/A Invalid Security</v>
      </c>
      <c r="Y100" s="6"/>
      <c r="Z100" s="6"/>
      <c r="AC100" s="1210"/>
    </row>
    <row r="101" spans="1:29" s="6" customFormat="1">
      <c r="B101" s="8"/>
      <c r="D101" s="14"/>
      <c r="E101" s="11"/>
      <c r="F101" s="8"/>
      <c r="G101" s="8"/>
      <c r="H101" s="8"/>
      <c r="I101" s="8"/>
      <c r="J101" s="8"/>
      <c r="K101" s="8"/>
      <c r="L101" s="8"/>
      <c r="M101" s="23"/>
      <c r="N101" s="239"/>
      <c r="O101" s="241"/>
      <c r="P101" s="53"/>
      <c r="Q101" s="53"/>
      <c r="R101" s="53"/>
      <c r="S101" s="16"/>
      <c r="T101" s="16"/>
      <c r="U101" s="16"/>
      <c r="V101" s="8" t="str">
        <f>_xll.BDP(B101 &amp;" Equity", "DVD_FREQ")</f>
        <v>#N/A Invalid Security</v>
      </c>
      <c r="W101" s="23">
        <f t="shared" si="21"/>
        <v>0</v>
      </c>
      <c r="X101" s="239" t="str">
        <f>_xll.BDP(B101 &amp;" Equity", "EQY_DVD_YLD_IND_NET")</f>
        <v>#N/A Invalid Security</v>
      </c>
      <c r="AC101" s="1210"/>
    </row>
    <row r="102" spans="1:29" s="6" customFormat="1">
      <c r="B102" s="8"/>
      <c r="D102" s="14"/>
      <c r="E102" s="11"/>
      <c r="F102" s="8"/>
      <c r="G102" s="8"/>
      <c r="H102" s="8"/>
      <c r="I102" s="8"/>
      <c r="J102" s="8"/>
      <c r="K102" s="8"/>
      <c r="L102" s="8"/>
      <c r="M102" s="23"/>
      <c r="N102" s="239"/>
      <c r="O102" s="241"/>
      <c r="P102" s="53"/>
      <c r="Q102" s="53"/>
      <c r="R102" s="53"/>
      <c r="S102" s="16"/>
      <c r="T102" s="16"/>
      <c r="U102" s="16"/>
      <c r="V102" s="8" t="str">
        <f>_xll.BDP(B102 &amp;" Equity", "DVD_FREQ")</f>
        <v>#N/A Invalid Security</v>
      </c>
      <c r="W102" s="23">
        <f t="shared" si="21"/>
        <v>0</v>
      </c>
      <c r="X102" s="239" t="str">
        <f>_xll.BDP(B102 &amp;" Equity", "EQY_DVD_YLD_IND_NET")</f>
        <v>#N/A Invalid Security</v>
      </c>
      <c r="AC102" s="1210"/>
    </row>
    <row r="103" spans="1:29" s="6" customFormat="1">
      <c r="B103" s="8"/>
      <c r="D103" s="14"/>
      <c r="E103" s="11"/>
      <c r="F103" s="8"/>
      <c r="G103" s="8"/>
      <c r="H103" s="8"/>
      <c r="I103" s="8"/>
      <c r="J103" s="8"/>
      <c r="K103" s="8"/>
      <c r="L103" s="8"/>
      <c r="M103" s="23"/>
      <c r="N103" s="239"/>
      <c r="O103" s="241"/>
      <c r="P103" s="53"/>
      <c r="Q103" s="53"/>
      <c r="R103" s="53"/>
      <c r="S103" s="16"/>
      <c r="T103" s="16"/>
      <c r="U103" s="16"/>
      <c r="V103" s="8" t="str">
        <f>_xll.BDP(B103 &amp;" Equity", "DVD_FREQ")</f>
        <v>#N/A Invalid Security</v>
      </c>
      <c r="W103" s="23">
        <f t="shared" si="21"/>
        <v>0</v>
      </c>
      <c r="X103" s="239" t="str">
        <f>_xll.BDP(B103 &amp;" Equity", "EQY_DVD_YLD_IND_NET")</f>
        <v>#N/A Invalid Security</v>
      </c>
      <c r="AC103" s="1210"/>
    </row>
    <row r="104" spans="1:29" s="6" customFormat="1">
      <c r="B104" s="8"/>
      <c r="D104" s="14"/>
      <c r="E104" s="11"/>
      <c r="F104" s="8"/>
      <c r="G104" s="8"/>
      <c r="H104" s="8"/>
      <c r="I104" s="8"/>
      <c r="J104" s="8"/>
      <c r="K104" s="8"/>
      <c r="L104" s="8"/>
      <c r="M104" s="23"/>
      <c r="N104" s="239"/>
      <c r="O104" s="241"/>
      <c r="P104" s="53"/>
      <c r="Q104" s="53"/>
      <c r="R104" s="53"/>
      <c r="S104" s="16"/>
      <c r="T104" s="16"/>
      <c r="U104" s="16"/>
      <c r="V104" s="8" t="str">
        <f>_xll.BDP(B104 &amp;" Equity", "DVD_FREQ")</f>
        <v>#N/A Invalid Security</v>
      </c>
      <c r="W104" s="23">
        <f t="shared" si="21"/>
        <v>0</v>
      </c>
      <c r="X104" s="239" t="str">
        <f>_xll.BDP(B104 &amp;" Equity", "EQY_DVD_YLD_IND_NET")</f>
        <v>#N/A Invalid Security</v>
      </c>
      <c r="AC104" s="1210"/>
    </row>
    <row r="105" spans="1:29" s="6" customFormat="1">
      <c r="B105" s="8"/>
      <c r="D105" s="14"/>
      <c r="E105" s="11"/>
      <c r="F105" s="8"/>
      <c r="G105" s="8"/>
      <c r="H105" s="8"/>
      <c r="I105" s="8"/>
      <c r="J105" s="8"/>
      <c r="K105" s="8"/>
      <c r="L105" s="8"/>
      <c r="M105" s="23"/>
      <c r="N105" s="239"/>
      <c r="O105" s="241"/>
      <c r="P105" s="53"/>
      <c r="Q105" s="53"/>
      <c r="R105" s="53"/>
      <c r="S105" s="16"/>
      <c r="T105" s="16"/>
      <c r="U105" s="16"/>
      <c r="V105" s="8" t="str">
        <f>_xll.BDP(B105 &amp;" Equity", "DVD_FREQ")</f>
        <v>#N/A Invalid Security</v>
      </c>
      <c r="W105" s="23">
        <f t="shared" si="21"/>
        <v>0</v>
      </c>
      <c r="X105" s="239" t="str">
        <f>_xll.BDP(B105 &amp;" Equity", "EQY_DVD_YLD_IND_NET")</f>
        <v>#N/A Invalid Security</v>
      </c>
      <c r="AC105" s="1210"/>
    </row>
    <row r="106" spans="1:29" s="6" customFormat="1">
      <c r="B106" s="8"/>
      <c r="D106" s="14"/>
      <c r="E106" s="11"/>
      <c r="F106" s="8"/>
      <c r="G106" s="8"/>
      <c r="H106" s="8"/>
      <c r="I106" s="8"/>
      <c r="J106" s="8"/>
      <c r="K106" s="8"/>
      <c r="L106" s="8"/>
      <c r="M106" s="23"/>
      <c r="N106" s="239"/>
      <c r="O106" s="241"/>
      <c r="P106" s="53"/>
      <c r="Q106" s="53"/>
      <c r="R106" s="53"/>
      <c r="S106" s="16"/>
      <c r="T106" s="16"/>
      <c r="U106" s="16"/>
      <c r="V106" s="8" t="str">
        <f>_xll.BDP(B106 &amp;" Equity", "DVD_FREQ")</f>
        <v>#N/A Invalid Security</v>
      </c>
      <c r="W106" s="23">
        <f t="shared" si="21"/>
        <v>0</v>
      </c>
      <c r="X106" s="239" t="str">
        <f>_xll.BDP(B106 &amp;" Equity", "EQY_DVD_YLD_IND_NET")</f>
        <v>#N/A Invalid Security</v>
      </c>
      <c r="AC106" s="1210"/>
    </row>
    <row r="107" spans="1:29" s="6" customFormat="1">
      <c r="B107" s="8"/>
      <c r="D107" s="14"/>
      <c r="E107" s="11"/>
      <c r="F107" s="8"/>
      <c r="G107" s="8"/>
      <c r="H107" s="8"/>
      <c r="I107" s="8"/>
      <c r="J107" s="8"/>
      <c r="K107" s="8"/>
      <c r="L107" s="8"/>
      <c r="M107" s="23"/>
      <c r="N107" s="239"/>
      <c r="O107" s="241"/>
      <c r="P107" s="53"/>
      <c r="Q107" s="53"/>
      <c r="R107" s="53"/>
      <c r="S107" s="16"/>
      <c r="T107" s="16"/>
      <c r="U107" s="16"/>
      <c r="V107" s="8" t="str">
        <f>_xll.BDP(B107 &amp;" Equity", "DVD_FREQ")</f>
        <v>#N/A Invalid Security</v>
      </c>
      <c r="W107" s="23">
        <f t="shared" si="21"/>
        <v>0</v>
      </c>
      <c r="X107" s="239" t="str">
        <f>_xll.BDP(B107 &amp;" Equity", "EQY_DVD_YLD_IND_NET")</f>
        <v>#N/A Invalid Security</v>
      </c>
      <c r="AC107" s="1210"/>
    </row>
    <row r="108" spans="1:29" s="6" customFormat="1">
      <c r="B108" s="8"/>
      <c r="D108" s="14"/>
      <c r="E108" s="11"/>
      <c r="F108" s="8"/>
      <c r="G108" s="8"/>
      <c r="H108" s="8"/>
      <c r="I108" s="8"/>
      <c r="J108" s="8"/>
      <c r="K108" s="8"/>
      <c r="L108" s="8"/>
      <c r="M108" s="23"/>
      <c r="N108" s="239"/>
      <c r="O108" s="241"/>
      <c r="P108" s="53"/>
      <c r="Q108" s="53"/>
      <c r="R108" s="53"/>
      <c r="S108" s="16"/>
      <c r="T108" s="16"/>
      <c r="U108" s="16"/>
      <c r="V108" s="8" t="str">
        <f>_xll.BDP(B108 &amp;" Equity", "DVD_FREQ")</f>
        <v>#N/A Invalid Security</v>
      </c>
      <c r="W108" s="23">
        <f t="shared" si="21"/>
        <v>0</v>
      </c>
      <c r="X108" s="239" t="str">
        <f>_xll.BDP(B108 &amp;" Equity", "EQY_DVD_YLD_IND_NET")</f>
        <v>#N/A Invalid Security</v>
      </c>
      <c r="AC108" s="1210"/>
    </row>
    <row r="109" spans="1:29" s="6" customFormat="1">
      <c r="B109" s="8"/>
      <c r="D109" s="14"/>
      <c r="E109" s="11"/>
      <c r="F109" s="8"/>
      <c r="G109" s="8"/>
      <c r="H109" s="8"/>
      <c r="I109" s="8"/>
      <c r="J109" s="8"/>
      <c r="K109" s="8"/>
      <c r="L109" s="8"/>
      <c r="M109" s="23"/>
      <c r="N109" s="239"/>
      <c r="O109" s="241"/>
      <c r="P109" s="53"/>
      <c r="Q109" s="53"/>
      <c r="R109" s="53"/>
      <c r="S109" s="16"/>
      <c r="T109" s="16"/>
      <c r="U109" s="16"/>
      <c r="V109" s="8" t="str">
        <f>_xll.BDP(B109 &amp;" Equity", "DVD_FREQ")</f>
        <v>#N/A Invalid Security</v>
      </c>
      <c r="W109" s="23">
        <f t="shared" si="21"/>
        <v>0</v>
      </c>
      <c r="X109" s="239" t="str">
        <f>_xll.BDP(B109 &amp;" Equity", "EQY_DVD_YLD_IND_NET")</f>
        <v>#N/A Invalid Security</v>
      </c>
    </row>
    <row r="110" spans="1:29" s="6" customFormat="1" ht="13.5" thickBot="1">
      <c r="B110" s="8"/>
      <c r="D110" s="14"/>
      <c r="E110" s="57"/>
      <c r="M110" s="57"/>
      <c r="P110" s="57"/>
      <c r="Q110" s="57"/>
      <c r="R110" s="53"/>
      <c r="V110" s="8" t="str">
        <f>_xll.BDP(B110 &amp;" Equity", "DVD_FREQ")</f>
        <v>#N/A Invalid Security</v>
      </c>
      <c r="W110" s="23">
        <f t="shared" si="21"/>
        <v>0</v>
      </c>
      <c r="X110" s="239" t="str">
        <f>_xll.BDP(B110 &amp;" Equity", "EQY_DVD_YLD_IND_NET")</f>
        <v>#N/A Invalid Security</v>
      </c>
    </row>
    <row r="111" spans="1:29" s="6" customFormat="1" ht="13.5" thickBot="1">
      <c r="B111" s="8"/>
      <c r="D111" s="14"/>
      <c r="E111" s="57"/>
      <c r="M111" s="78"/>
      <c r="P111" s="57"/>
      <c r="Q111" s="57"/>
      <c r="R111" s="53"/>
      <c r="T111" s="40">
        <f ca="1">SUM(T13:T100)</f>
        <v>0</v>
      </c>
      <c r="U111" s="363"/>
      <c r="V111" s="8" t="str">
        <f>_xll.BDP(B111 &amp;" Equity", "DVD_FREQ")</f>
        <v>#N/A Invalid Security</v>
      </c>
      <c r="W111" s="23">
        <f t="shared" si="21"/>
        <v>0</v>
      </c>
      <c r="X111" s="239" t="str">
        <f>_xll.BDP(B111 &amp;" Equity", "EQY_DVD_YLD_IND_NET")</f>
        <v>#N/A Invalid Security</v>
      </c>
    </row>
    <row r="112" spans="1:29" s="6" customFormat="1">
      <c r="B112" s="8"/>
      <c r="D112" s="14"/>
      <c r="E112" s="57"/>
      <c r="M112" s="57"/>
      <c r="P112" s="57"/>
      <c r="Q112" s="57"/>
      <c r="R112" s="53"/>
      <c r="V112" s="8" t="str">
        <f>_xll.BDP(B112 &amp;" Equity", "DVD_FREQ")</f>
        <v>#N/A Invalid Security</v>
      </c>
      <c r="W112" s="23">
        <f t="shared" si="21"/>
        <v>0</v>
      </c>
      <c r="X112" s="239" t="str">
        <f>_xll.BDP(B112 &amp;" Equity", "EQY_DVD_YLD_IND_NET")</f>
        <v>#N/A Invalid Security</v>
      </c>
    </row>
    <row r="113" spans="2:24" s="6" customFormat="1">
      <c r="B113" s="8"/>
      <c r="D113" s="14"/>
      <c r="E113" s="57"/>
      <c r="M113" s="57"/>
      <c r="P113" s="57"/>
      <c r="Q113" s="57"/>
      <c r="R113" s="53"/>
      <c r="V113" s="8" t="str">
        <f>_xll.BDP(B113 &amp;" Equity", "DVD_FREQ")</f>
        <v>#N/A Invalid Security</v>
      </c>
      <c r="W113" s="23">
        <f t="shared" si="21"/>
        <v>0</v>
      </c>
      <c r="X113" s="239" t="str">
        <f>_xll.BDP(B113 &amp;" Equity", "EQY_DVD_YLD_IND_NET")</f>
        <v>#N/A Invalid Security</v>
      </c>
    </row>
    <row r="114" spans="2:24" s="6" customFormat="1">
      <c r="B114" s="8"/>
      <c r="D114" s="14"/>
      <c r="E114" s="57"/>
      <c r="M114" s="57"/>
      <c r="P114" s="57"/>
      <c r="Q114" s="57"/>
      <c r="R114" s="53"/>
      <c r="V114" s="8" t="str">
        <f>_xll.BDP(B114 &amp;" Equity", "DVD_FREQ")</f>
        <v>#N/A Invalid Security</v>
      </c>
      <c r="W114" s="23">
        <f t="shared" si="21"/>
        <v>0</v>
      </c>
      <c r="X114" s="239" t="str">
        <f>_xll.BDP(B114 &amp;" Equity", "EQY_DVD_YLD_IND_NET")</f>
        <v>#N/A Invalid Security</v>
      </c>
    </row>
    <row r="115" spans="2:24" s="6" customFormat="1">
      <c r="B115" s="8"/>
      <c r="E115" s="57"/>
      <c r="M115" s="57"/>
      <c r="P115" s="57"/>
      <c r="Q115" s="57"/>
      <c r="R115" s="57"/>
      <c r="V115" s="8" t="str">
        <f>_xll.BDP(B115 &amp;" Equity", "DVD_FREQ")</f>
        <v>#N/A Invalid Security</v>
      </c>
      <c r="W115" s="23">
        <f t="shared" si="21"/>
        <v>0</v>
      </c>
      <c r="X115" s="239" t="str">
        <f>_xll.BDP(B115 &amp;" Equity", "EQY_DVD_YLD_IND_NET")</f>
        <v>#N/A Invalid Security</v>
      </c>
    </row>
    <row r="116" spans="2:24" s="6" customFormat="1" ht="26">
      <c r="B116" s="1230" t="s">
        <v>122</v>
      </c>
      <c r="C116" s="1230"/>
      <c r="D116" s="1230"/>
      <c r="E116" s="1230"/>
      <c r="F116" s="1230"/>
      <c r="G116" s="1230"/>
      <c r="H116" s="1230"/>
      <c r="I116" s="1230"/>
      <c r="J116" s="1230"/>
      <c r="K116" s="1230"/>
      <c r="L116" s="1230"/>
      <c r="M116" s="1230"/>
      <c r="N116" s="1230"/>
      <c r="O116" s="1230"/>
      <c r="P116" s="1230"/>
      <c r="Q116" s="1230"/>
      <c r="R116" s="1230"/>
      <c r="S116" s="1230"/>
      <c r="T116" s="41" t="s">
        <v>232</v>
      </c>
      <c r="U116" s="41"/>
      <c r="V116" s="8" t="e">
        <f ca="1">_xll.BDP(B116 &amp;" Equity", "DVD_FREQ")</f>
        <v>#NAME?</v>
      </c>
      <c r="W116" s="23">
        <f t="shared" si="21"/>
        <v>0</v>
      </c>
      <c r="X116" s="239" t="e">
        <f ca="1">_xll.BDP(B116 &amp;" Equity", "EQY_DVD_YLD_IND_NET")</f>
        <v>#NAME?</v>
      </c>
    </row>
    <row r="117" spans="2:24" s="6" customFormat="1">
      <c r="B117" s="19"/>
      <c r="C117" s="53"/>
      <c r="D117" s="14"/>
      <c r="E117" s="11"/>
      <c r="F117" s="8"/>
      <c r="G117" s="8"/>
      <c r="H117" s="8"/>
      <c r="I117" s="8"/>
      <c r="J117" s="8"/>
      <c r="K117" s="8"/>
      <c r="L117" s="8"/>
      <c r="M117" s="23"/>
      <c r="N117" s="239"/>
      <c r="O117" s="53"/>
      <c r="P117" s="53"/>
      <c r="Q117" s="53"/>
      <c r="R117" s="53"/>
      <c r="S117" s="16"/>
      <c r="T117" s="16"/>
      <c r="U117" s="16"/>
      <c r="V117" s="8" t="str">
        <f>_xll.BDP(B117 &amp;" Equity", "DVD_FREQ")</f>
        <v>#N/A Invalid Security</v>
      </c>
      <c r="W117" s="23">
        <f t="shared" si="21"/>
        <v>0</v>
      </c>
      <c r="X117" s="239" t="str">
        <f>_xll.BDP(B117 &amp;" Equity", "EQY_DVD_YLD_IND_NET")</f>
        <v>#N/A Invalid Security</v>
      </c>
    </row>
    <row r="118" spans="2:24" s="6" customFormat="1">
      <c r="B118" s="19"/>
      <c r="C118" s="53"/>
      <c r="D118" s="14"/>
      <c r="E118" s="11"/>
      <c r="F118" s="8"/>
      <c r="G118" s="8"/>
      <c r="H118" s="8"/>
      <c r="I118" s="8"/>
      <c r="J118" s="8"/>
      <c r="K118" s="8"/>
      <c r="L118" s="8"/>
      <c r="M118" s="23"/>
      <c r="N118" s="53"/>
      <c r="O118" s="53"/>
      <c r="P118" s="53"/>
      <c r="Q118" s="53"/>
      <c r="R118" s="53"/>
      <c r="S118" s="16"/>
      <c r="T118" s="16"/>
      <c r="U118" s="16"/>
      <c r="V118" s="8" t="str">
        <f>_xll.BDP(B118 &amp;" Equity", "DVD_FREQ")</f>
        <v>#N/A Invalid Security</v>
      </c>
      <c r="W118" s="23">
        <f t="shared" si="21"/>
        <v>0</v>
      </c>
      <c r="X118" s="239" t="str">
        <f>_xll.BDP(B118 &amp;" Equity", "EQY_DVD_YLD_IND_NET")</f>
        <v>#N/A Invalid Security</v>
      </c>
    </row>
    <row r="119" spans="2:24" s="6" customFormat="1">
      <c r="B119" s="19"/>
      <c r="C119" s="53"/>
      <c r="D119" s="60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16"/>
      <c r="T119" s="16"/>
      <c r="U119" s="16"/>
      <c r="V119" s="8" t="str">
        <f>_xll.BDP(B119 &amp;" Equity", "DVD_FREQ")</f>
        <v>#N/A Invalid Security</v>
      </c>
      <c r="W119" s="23">
        <f t="shared" si="21"/>
        <v>0</v>
      </c>
      <c r="X119" s="239" t="str">
        <f>_xll.BDP(B119 &amp;" Equity", "EQY_DVD_YLD_IND_NET")</f>
        <v>#N/A Invalid Security</v>
      </c>
    </row>
    <row r="120" spans="2:24" s="6" customFormat="1">
      <c r="B120" s="19"/>
      <c r="C120" s="53"/>
      <c r="D120" s="60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16"/>
      <c r="T120" s="16"/>
      <c r="U120" s="16"/>
      <c r="V120" s="8" t="str">
        <f>_xll.BDP(B120 &amp;" Equity", "DVD_FREQ")</f>
        <v>#N/A Invalid Security</v>
      </c>
      <c r="W120" s="23">
        <f t="shared" si="21"/>
        <v>0</v>
      </c>
      <c r="X120" s="239" t="str">
        <f>_xll.BDP(B120 &amp;" Equity", "EQY_DVD_YLD_IND_NET")</f>
        <v>#N/A Invalid Security</v>
      </c>
    </row>
    <row r="121" spans="2:24" s="6" customFormat="1">
      <c r="B121" s="19"/>
      <c r="C121" s="53"/>
      <c r="D121" s="60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16"/>
      <c r="T121" s="16"/>
      <c r="U121" s="16"/>
      <c r="V121" s="8" t="str">
        <f>_xll.BDP(B121 &amp;" Equity", "DVD_FREQ")</f>
        <v>#N/A Invalid Security</v>
      </c>
      <c r="W121" s="23">
        <f t="shared" si="21"/>
        <v>0</v>
      </c>
      <c r="X121" s="239" t="str">
        <f>_xll.BDP(B121 &amp;" Equity", "EQY_DVD_YLD_IND_NET")</f>
        <v>#N/A Invalid Security</v>
      </c>
    </row>
    <row r="122" spans="2:24" s="6" customFormat="1">
      <c r="B122" s="19"/>
      <c r="C122" s="53"/>
      <c r="D122" s="60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16"/>
      <c r="T122" s="16"/>
      <c r="U122" s="16"/>
      <c r="V122" s="8" t="str">
        <f>_xll.BDP(B122 &amp;" Equity", "DVD_FREQ")</f>
        <v>#N/A Invalid Security</v>
      </c>
      <c r="W122" s="23">
        <f t="shared" si="21"/>
        <v>0</v>
      </c>
      <c r="X122" s="239" t="str">
        <f>_xll.BDP(B122 &amp;" Equity", "EQY_DVD_YLD_IND_NET")</f>
        <v>#N/A Invalid Security</v>
      </c>
    </row>
    <row r="123" spans="2:24" s="6" customFormat="1">
      <c r="B123" s="19"/>
      <c r="C123" s="53"/>
      <c r="D123" s="60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16"/>
      <c r="T123" s="16"/>
      <c r="U123" s="16"/>
      <c r="V123" s="8" t="str">
        <f>_xll.BDP(B123 &amp;" Equity", "DVD_FREQ")</f>
        <v>#N/A Invalid Security</v>
      </c>
      <c r="W123" s="23">
        <f t="shared" si="21"/>
        <v>0</v>
      </c>
      <c r="X123" s="239" t="str">
        <f>_xll.BDP(B123 &amp;" Equity", "EQY_DVD_YLD_IND_NET")</f>
        <v>#N/A Invalid Security</v>
      </c>
    </row>
    <row r="124" spans="2:24" s="6" customFormat="1">
      <c r="B124" s="19"/>
      <c r="C124" s="53"/>
      <c r="D124" s="60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16"/>
      <c r="T124" s="16"/>
      <c r="U124" s="16"/>
      <c r="V124" s="8" t="str">
        <f>_xll.BDP(B124 &amp;" Equity", "DVD_FREQ")</f>
        <v>#N/A Invalid Security</v>
      </c>
      <c r="W124" s="23">
        <f t="shared" si="21"/>
        <v>0</v>
      </c>
      <c r="X124" s="239" t="str">
        <f>_xll.BDP(B124 &amp;" Equity", "EQY_DVD_YLD_IND_NET")</f>
        <v>#N/A Invalid Security</v>
      </c>
    </row>
    <row r="125" spans="2:24" s="6" customFormat="1">
      <c r="B125" s="19"/>
      <c r="C125" s="53"/>
      <c r="D125" s="60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16"/>
      <c r="T125" s="16"/>
      <c r="U125" s="16"/>
      <c r="V125" s="8" t="str">
        <f>_xll.BDP(B125 &amp;" Equity", "DVD_FREQ")</f>
        <v>#N/A Invalid Security</v>
      </c>
      <c r="W125" s="23">
        <f t="shared" si="21"/>
        <v>0</v>
      </c>
      <c r="X125" s="239" t="str">
        <f>_xll.BDP(B125 &amp;" Equity", "EQY_DVD_YLD_IND_NET")</f>
        <v>#N/A Invalid Security</v>
      </c>
    </row>
    <row r="126" spans="2:24" s="6" customFormat="1">
      <c r="B126" s="19"/>
      <c r="C126" s="53"/>
      <c r="D126" s="60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16"/>
      <c r="T126" s="16"/>
      <c r="U126" s="16"/>
      <c r="V126" s="8" t="str">
        <f>_xll.BDP(B126 &amp;" Equity", "DVD_FREQ")</f>
        <v>#N/A Invalid Security</v>
      </c>
      <c r="W126" s="23">
        <f t="shared" si="21"/>
        <v>0</v>
      </c>
      <c r="X126" s="239" t="str">
        <f>_xll.BDP(B126 &amp;" Equity", "EQY_DVD_YLD_IND_NET")</f>
        <v>#N/A Invalid Security</v>
      </c>
    </row>
    <row r="127" spans="2:24" s="6" customFormat="1">
      <c r="B127" s="19"/>
      <c r="C127" s="53"/>
      <c r="D127" s="60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16"/>
      <c r="T127" s="16"/>
      <c r="U127" s="16"/>
      <c r="V127" s="8" t="str">
        <f>_xll.BDP(B127 &amp;" Equity", "DVD_FREQ")</f>
        <v>#N/A Invalid Security</v>
      </c>
      <c r="W127" s="23">
        <f t="shared" si="21"/>
        <v>0</v>
      </c>
      <c r="X127" s="239" t="str">
        <f>_xll.BDP(B127 &amp;" Equity", "EQY_DVD_YLD_IND_NET")</f>
        <v>#N/A Invalid Security</v>
      </c>
    </row>
    <row r="128" spans="2:24" s="6" customFormat="1">
      <c r="B128" s="19"/>
      <c r="C128" s="53"/>
      <c r="D128" s="60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16"/>
      <c r="T128" s="16"/>
      <c r="U128" s="16"/>
      <c r="V128" s="8" t="str">
        <f>_xll.BDP(B128 &amp;" Equity", "DVD_FREQ")</f>
        <v>#N/A Invalid Security</v>
      </c>
      <c r="W128" s="23">
        <f t="shared" si="21"/>
        <v>0</v>
      </c>
      <c r="X128" s="239" t="str">
        <f>_xll.BDP(B128 &amp;" Equity", "EQY_DVD_YLD_IND_NET")</f>
        <v>#N/A Invalid Security</v>
      </c>
    </row>
    <row r="129" spans="2:24" s="6" customFormat="1">
      <c r="B129" s="19"/>
      <c r="C129" s="53"/>
      <c r="D129" s="60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16"/>
      <c r="T129" s="16"/>
      <c r="U129" s="16"/>
      <c r="V129" s="8" t="str">
        <f>_xll.BDP(B129 &amp;" Equity", "DVD_FREQ")</f>
        <v>#N/A Invalid Security</v>
      </c>
      <c r="W129" s="23">
        <f t="shared" si="21"/>
        <v>0</v>
      </c>
      <c r="X129" s="239" t="str">
        <f>_xll.BDP(B129 &amp;" Equity", "EQY_DVD_YLD_IND_NET")</f>
        <v>#N/A Invalid Security</v>
      </c>
    </row>
    <row r="130" spans="2:24" s="6" customFormat="1">
      <c r="B130" s="19"/>
      <c r="C130" s="53"/>
      <c r="D130" s="60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16"/>
      <c r="T130" s="16"/>
      <c r="U130" s="16"/>
      <c r="V130" s="8" t="str">
        <f>_xll.BDP(B130 &amp;" Equity", "DVD_FREQ")</f>
        <v>#N/A Invalid Security</v>
      </c>
      <c r="W130" s="23">
        <f t="shared" si="21"/>
        <v>0</v>
      </c>
      <c r="X130" s="239" t="str">
        <f>_xll.BDP(B130 &amp;" Equity", "EQY_DVD_YLD_IND_NET")</f>
        <v>#N/A Invalid Security</v>
      </c>
    </row>
    <row r="131" spans="2:24" s="6" customFormat="1" ht="13.5" thickBot="1">
      <c r="B131" s="19"/>
      <c r="C131" s="53"/>
      <c r="D131" s="60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16"/>
      <c r="T131" s="16"/>
      <c r="U131" s="16"/>
      <c r="V131" s="8" t="str">
        <f>_xll.BDP(B131 &amp;" Equity", "DVD_FREQ")</f>
        <v>#N/A Invalid Security</v>
      </c>
      <c r="W131" s="23">
        <f t="shared" si="21"/>
        <v>0</v>
      </c>
      <c r="X131" s="239" t="str">
        <f>_xll.BDP(B131 &amp;" Equity", "EQY_DVD_YLD_IND_NET")</f>
        <v>#N/A Invalid Security</v>
      </c>
    </row>
    <row r="132" spans="2:24" s="6" customFormat="1" ht="13.5" thickBot="1">
      <c r="B132" s="8"/>
      <c r="E132" s="57"/>
      <c r="M132" s="57"/>
      <c r="P132" s="57"/>
      <c r="Q132" s="57"/>
      <c r="R132" s="57"/>
      <c r="T132" s="40">
        <f>SUM(T117:T131)</f>
        <v>0</v>
      </c>
      <c r="U132" s="363"/>
      <c r="V132" s="8" t="str">
        <f>_xll.BDP(B132 &amp;" Equity", "DVD_FREQ")</f>
        <v>#N/A Invalid Security</v>
      </c>
      <c r="W132" s="23">
        <f t="shared" si="21"/>
        <v>0</v>
      </c>
      <c r="X132" s="239" t="str">
        <f>_xll.BDP(B132 &amp;" Equity", "EQY_DVD_YLD_IND_NET")</f>
        <v>#N/A Invalid Security</v>
      </c>
    </row>
    <row r="133" spans="2:24" s="6" customFormat="1">
      <c r="B133" s="8"/>
      <c r="E133" s="57"/>
      <c r="M133" s="57"/>
      <c r="P133" s="57"/>
      <c r="Q133" s="57"/>
      <c r="R133" s="57"/>
      <c r="V133" s="8" t="str">
        <f>_xll.BDP(B133 &amp;" Equity", "DVD_FREQ")</f>
        <v>#N/A Invalid Security</v>
      </c>
      <c r="W133" s="23">
        <f t="shared" si="21"/>
        <v>0</v>
      </c>
      <c r="X133" s="239" t="str">
        <f>_xll.BDP(B133 &amp;" Equity", "EQY_DVD_YLD_IND_NET")</f>
        <v>#N/A Invalid Security</v>
      </c>
    </row>
    <row r="134" spans="2:24" s="6" customFormat="1">
      <c r="B134" s="8"/>
      <c r="E134" s="57"/>
      <c r="M134" s="57"/>
      <c r="V134" s="8" t="str">
        <f>_xll.BDP(B134 &amp;" Equity", "DVD_FREQ")</f>
        <v>#N/A Invalid Security</v>
      </c>
      <c r="W134" s="23">
        <f t="shared" si="21"/>
        <v>0</v>
      </c>
      <c r="X134" s="239" t="str">
        <f>_xll.BDP(B134 &amp;" Equity", "EQY_DVD_YLD_IND_NET")</f>
        <v>#N/A Invalid Security</v>
      </c>
    </row>
    <row r="135" spans="2:24" s="6" customFormat="1">
      <c r="B135" s="8"/>
      <c r="E135" s="57"/>
      <c r="M135" s="57"/>
      <c r="V135" s="8" t="str">
        <f>_xll.BDP(B135 &amp;" Equity", "DVD_FREQ")</f>
        <v>#N/A Invalid Security</v>
      </c>
      <c r="W135" s="23">
        <f t="shared" si="21"/>
        <v>0</v>
      </c>
      <c r="X135" s="239" t="str">
        <f>_xll.BDP(B135 &amp;" Equity", "EQY_DVD_YLD_IND_NET")</f>
        <v>#N/A Invalid Security</v>
      </c>
    </row>
    <row r="136" spans="2:24" s="6" customFormat="1">
      <c r="B136" s="8"/>
      <c r="E136" s="57"/>
      <c r="M136" s="57"/>
      <c r="V136" s="8" t="str">
        <f>_xll.BDP(B136 &amp;" Equity", "DVD_FREQ")</f>
        <v>#N/A Invalid Security</v>
      </c>
      <c r="W136" s="23">
        <f t="shared" si="21"/>
        <v>0</v>
      </c>
      <c r="X136" s="239" t="str">
        <f>_xll.BDP(B136 &amp;" Equity", "EQY_DVD_YLD_IND_NET")</f>
        <v>#N/A Invalid Security</v>
      </c>
    </row>
    <row r="137" spans="2:24" s="6" customFormat="1">
      <c r="B137" s="8"/>
      <c r="E137" s="57"/>
      <c r="M137" s="57"/>
      <c r="V137" s="8" t="str">
        <f>_xll.BDP(B137 &amp;" Equity", "DVD_FREQ")</f>
        <v>#N/A Invalid Security</v>
      </c>
      <c r="W137" s="23">
        <f t="shared" si="21"/>
        <v>0</v>
      </c>
      <c r="X137" s="239" t="str">
        <f>_xll.BDP(B137 &amp;" Equity", "EQY_DVD_YLD_IND_NET")</f>
        <v>#N/A Invalid Security</v>
      </c>
    </row>
    <row r="138" spans="2:24" s="6" customFormat="1">
      <c r="B138" s="8"/>
      <c r="E138" s="57"/>
      <c r="M138" s="57"/>
      <c r="V138" s="8" t="str">
        <f>_xll.BDP(B138 &amp;" Equity", "DVD_FREQ")</f>
        <v>#N/A Invalid Security</v>
      </c>
      <c r="W138" s="23">
        <f t="shared" si="21"/>
        <v>0</v>
      </c>
      <c r="X138" s="239" t="str">
        <f>_xll.BDP(B138 &amp;" Equity", "EQY_DVD_YLD_IND_NET")</f>
        <v>#N/A Invalid Security</v>
      </c>
    </row>
    <row r="139" spans="2:24" s="6" customFormat="1">
      <c r="B139" s="8"/>
      <c r="E139" s="57"/>
      <c r="M139" s="57"/>
      <c r="V139" s="8" t="str">
        <f>_xll.BDP(B139 &amp;" Equity", "DVD_FREQ")</f>
        <v>#N/A Invalid Security</v>
      </c>
      <c r="W139" s="23">
        <f t="shared" si="21"/>
        <v>0</v>
      </c>
      <c r="X139" s="239" t="str">
        <f>_xll.BDP(B139 &amp;" Equity", "EQY_DVD_YLD_IND_NET")</f>
        <v>#N/A Invalid Security</v>
      </c>
    </row>
    <row r="140" spans="2:24" s="6" customFormat="1">
      <c r="B140" s="8"/>
      <c r="E140" s="57"/>
      <c r="M140" s="57"/>
      <c r="V140" s="8" t="str">
        <f>_xll.BDP(B140 &amp;" Equity", "DVD_FREQ")</f>
        <v>#N/A Invalid Security</v>
      </c>
      <c r="W140" s="23">
        <f t="shared" si="21"/>
        <v>0</v>
      </c>
      <c r="X140" s="239" t="str">
        <f>_xll.BDP(B140 &amp;" Equity", "EQY_DVD_YLD_IND_NET")</f>
        <v>#N/A Invalid Security</v>
      </c>
    </row>
    <row r="141" spans="2:24" s="6" customFormat="1">
      <c r="B141" s="8"/>
      <c r="E141" s="57"/>
      <c r="M141" s="57"/>
      <c r="V141" s="8" t="str">
        <f>_xll.BDP(B141 &amp;" Equity", "DVD_FREQ")</f>
        <v>#N/A Invalid Security</v>
      </c>
      <c r="W141" s="23">
        <f t="shared" si="21"/>
        <v>0</v>
      </c>
      <c r="X141" s="239" t="str">
        <f>_xll.BDP(B141 &amp;" Equity", "EQY_DVD_YLD_IND_NET")</f>
        <v>#N/A Invalid Security</v>
      </c>
    </row>
    <row r="142" spans="2:24" s="6" customFormat="1">
      <c r="B142" s="8"/>
      <c r="E142" s="57"/>
      <c r="M142" s="57"/>
      <c r="V142" s="8" t="str">
        <f>_xll.BDP(B142 &amp;" Equity", "DVD_FREQ")</f>
        <v>#N/A Invalid Security</v>
      </c>
      <c r="W142" s="23">
        <f t="shared" ref="W142:W205" si="25">I142</f>
        <v>0</v>
      </c>
      <c r="X142" s="239" t="str">
        <f>_xll.BDP(B142 &amp;" Equity", "EQY_DVD_YLD_IND_NET")</f>
        <v>#N/A Invalid Security</v>
      </c>
    </row>
    <row r="143" spans="2:24" s="6" customFormat="1">
      <c r="B143" s="8"/>
      <c r="E143" s="57"/>
      <c r="M143" s="57"/>
      <c r="V143" s="8" t="str">
        <f>_xll.BDP(B143 &amp;" Equity", "DVD_FREQ")</f>
        <v>#N/A Invalid Security</v>
      </c>
      <c r="W143" s="23">
        <f t="shared" si="25"/>
        <v>0</v>
      </c>
      <c r="X143" s="239" t="str">
        <f>_xll.BDP(B143 &amp;" Equity", "EQY_DVD_YLD_IND_NET")</f>
        <v>#N/A Invalid Security</v>
      </c>
    </row>
    <row r="144" spans="2:24" s="6" customFormat="1">
      <c r="B144" s="8"/>
      <c r="E144" s="57"/>
      <c r="M144" s="57"/>
      <c r="V144" s="8" t="str">
        <f>_xll.BDP(B144 &amp;" Equity", "DVD_FREQ")</f>
        <v>#N/A Invalid Security</v>
      </c>
      <c r="W144" s="23">
        <f t="shared" si="25"/>
        <v>0</v>
      </c>
      <c r="X144" s="239" t="str">
        <f>_xll.BDP(B144 &amp;" Equity", "EQY_DVD_YLD_IND_NET")</f>
        <v>#N/A Invalid Security</v>
      </c>
    </row>
    <row r="145" spans="2:24" s="6" customFormat="1">
      <c r="B145" s="8"/>
      <c r="E145" s="57"/>
      <c r="M145" s="57"/>
      <c r="V145" s="8" t="str">
        <f>_xll.BDP(B145 &amp;" Equity", "DVD_FREQ")</f>
        <v>#N/A Invalid Security</v>
      </c>
      <c r="W145" s="23">
        <f t="shared" si="25"/>
        <v>0</v>
      </c>
      <c r="X145" s="239" t="str">
        <f>_xll.BDP(B145 &amp;" Equity", "EQY_DVD_YLD_IND_NET")</f>
        <v>#N/A Invalid Security</v>
      </c>
    </row>
    <row r="146" spans="2:24" s="6" customFormat="1">
      <c r="B146" s="8"/>
      <c r="E146" s="57"/>
      <c r="M146" s="57"/>
      <c r="V146" s="8" t="str">
        <f>_xll.BDP(B146 &amp;" Equity", "DVD_FREQ")</f>
        <v>#N/A Invalid Security</v>
      </c>
      <c r="W146" s="23">
        <f t="shared" si="25"/>
        <v>0</v>
      </c>
      <c r="X146" s="239" t="str">
        <f>_xll.BDP(B146 &amp;" Equity", "EQY_DVD_YLD_IND_NET")</f>
        <v>#N/A Invalid Security</v>
      </c>
    </row>
    <row r="147" spans="2:24" s="6" customFormat="1">
      <c r="B147" s="8"/>
      <c r="E147" s="57"/>
      <c r="M147" s="57"/>
      <c r="V147" s="8" t="str">
        <f>_xll.BDP(B147 &amp;" Equity", "DVD_FREQ")</f>
        <v>#N/A Invalid Security</v>
      </c>
      <c r="W147" s="23">
        <f t="shared" si="25"/>
        <v>0</v>
      </c>
      <c r="X147" s="239" t="str">
        <f>_xll.BDP(B147 &amp;" Equity", "EQY_DVD_YLD_IND_NET")</f>
        <v>#N/A Invalid Security</v>
      </c>
    </row>
    <row r="148" spans="2:24" s="6" customFormat="1">
      <c r="B148" s="8"/>
      <c r="E148" s="57"/>
      <c r="M148" s="57"/>
      <c r="V148" s="8" t="str">
        <f>_xll.BDP(B148 &amp;" Equity", "DVD_FREQ")</f>
        <v>#N/A Invalid Security</v>
      </c>
      <c r="W148" s="23">
        <f t="shared" si="25"/>
        <v>0</v>
      </c>
      <c r="X148" s="239" t="str">
        <f>_xll.BDP(B148 &amp;" Equity", "EQY_DVD_YLD_IND_NET")</f>
        <v>#N/A Invalid Security</v>
      </c>
    </row>
    <row r="149" spans="2:24" s="6" customFormat="1">
      <c r="B149" s="8"/>
      <c r="E149" s="57"/>
      <c r="M149" s="57"/>
      <c r="V149" s="8" t="str">
        <f>_xll.BDP(B149 &amp;" Equity", "DVD_FREQ")</f>
        <v>#N/A Invalid Security</v>
      </c>
      <c r="W149" s="23">
        <f t="shared" si="25"/>
        <v>0</v>
      </c>
      <c r="X149" s="239" t="str">
        <f>_xll.BDP(B149 &amp;" Equity", "EQY_DVD_YLD_IND_NET")</f>
        <v>#N/A Invalid Security</v>
      </c>
    </row>
    <row r="150" spans="2:24" s="6" customFormat="1">
      <c r="B150" s="8"/>
      <c r="E150" s="57"/>
      <c r="M150" s="57"/>
      <c r="V150" s="8" t="str">
        <f>_xll.BDP(B150 &amp;" Equity", "DVD_FREQ")</f>
        <v>#N/A Invalid Security</v>
      </c>
      <c r="W150" s="23">
        <f t="shared" si="25"/>
        <v>0</v>
      </c>
      <c r="X150" s="239" t="str">
        <f>_xll.BDP(B150 &amp;" Equity", "EQY_DVD_YLD_IND_NET")</f>
        <v>#N/A Invalid Security</v>
      </c>
    </row>
    <row r="151" spans="2:24" s="6" customFormat="1">
      <c r="B151" s="8"/>
      <c r="E151" s="57"/>
      <c r="M151" s="57"/>
      <c r="V151" s="8" t="str">
        <f>_xll.BDP(B151 &amp;" Equity", "DVD_FREQ")</f>
        <v>#N/A Invalid Security</v>
      </c>
      <c r="W151" s="23">
        <f t="shared" si="25"/>
        <v>0</v>
      </c>
      <c r="X151" s="239" t="str">
        <f>_xll.BDP(B151 &amp;" Equity", "EQY_DVD_YLD_IND_NET")</f>
        <v>#N/A Invalid Security</v>
      </c>
    </row>
    <row r="152" spans="2:24" s="6" customFormat="1">
      <c r="B152" s="8"/>
      <c r="E152" s="57"/>
      <c r="M152" s="57"/>
      <c r="V152" s="8" t="str">
        <f>_xll.BDP(B152 &amp;" Equity", "DVD_FREQ")</f>
        <v>#N/A Invalid Security</v>
      </c>
      <c r="W152" s="23">
        <f t="shared" si="25"/>
        <v>0</v>
      </c>
      <c r="X152" s="239" t="str">
        <f>_xll.BDP(B152 &amp;" Equity", "EQY_DVD_YLD_IND_NET")</f>
        <v>#N/A Invalid Security</v>
      </c>
    </row>
    <row r="153" spans="2:24" s="6" customFormat="1">
      <c r="B153" s="8"/>
      <c r="E153" s="57"/>
      <c r="M153" s="57"/>
      <c r="V153" s="8" t="str">
        <f>_xll.BDP(B153 &amp;" Equity", "DVD_FREQ")</f>
        <v>#N/A Invalid Security</v>
      </c>
      <c r="W153" s="23">
        <f t="shared" si="25"/>
        <v>0</v>
      </c>
      <c r="X153" s="239" t="str">
        <f>_xll.BDP(B153 &amp;" Equity", "EQY_DVD_YLD_IND_NET")</f>
        <v>#N/A Invalid Security</v>
      </c>
    </row>
    <row r="154" spans="2:24" s="6" customFormat="1">
      <c r="B154" s="8"/>
      <c r="E154" s="57"/>
      <c r="M154" s="57"/>
      <c r="V154" s="8" t="str">
        <f>_xll.BDP(B154 &amp;" Equity", "DVD_FREQ")</f>
        <v>#N/A Invalid Security</v>
      </c>
      <c r="W154" s="23">
        <f t="shared" si="25"/>
        <v>0</v>
      </c>
      <c r="X154" s="239" t="str">
        <f>_xll.BDP(B154 &amp;" Equity", "EQY_DVD_YLD_IND_NET")</f>
        <v>#N/A Invalid Security</v>
      </c>
    </row>
    <row r="155" spans="2:24" s="6" customFormat="1">
      <c r="B155" s="8"/>
      <c r="E155" s="57"/>
      <c r="M155" s="57"/>
      <c r="V155" s="8" t="str">
        <f>_xll.BDP(B155 &amp;" Equity", "DVD_FREQ")</f>
        <v>#N/A Invalid Security</v>
      </c>
      <c r="W155" s="23">
        <f t="shared" si="25"/>
        <v>0</v>
      </c>
      <c r="X155" s="239" t="str">
        <f>_xll.BDP(B155 &amp;" Equity", "EQY_DVD_YLD_IND_NET")</f>
        <v>#N/A Invalid Security</v>
      </c>
    </row>
    <row r="156" spans="2:24" s="6" customFormat="1">
      <c r="B156" s="8"/>
      <c r="E156" s="57"/>
      <c r="M156" s="57"/>
      <c r="V156" s="8" t="str">
        <f>_xll.BDP(B156 &amp;" Equity", "DVD_FREQ")</f>
        <v>#N/A Invalid Security</v>
      </c>
      <c r="W156" s="23">
        <f t="shared" si="25"/>
        <v>0</v>
      </c>
      <c r="X156" s="239" t="str">
        <f>_xll.BDP(B156 &amp;" Equity", "EQY_DVD_YLD_IND_NET")</f>
        <v>#N/A Invalid Security</v>
      </c>
    </row>
    <row r="157" spans="2:24" s="6" customFormat="1">
      <c r="B157" s="8"/>
      <c r="E157" s="57"/>
      <c r="M157" s="57"/>
      <c r="V157" s="8" t="str">
        <f>_xll.BDP(B157 &amp;" Equity", "DVD_FREQ")</f>
        <v>#N/A Invalid Security</v>
      </c>
      <c r="W157" s="23">
        <f t="shared" si="25"/>
        <v>0</v>
      </c>
      <c r="X157" s="239" t="str">
        <f>_xll.BDP(B157 &amp;" Equity", "EQY_DVD_YLD_IND_NET")</f>
        <v>#N/A Invalid Security</v>
      </c>
    </row>
    <row r="158" spans="2:24" s="6" customFormat="1">
      <c r="B158" s="8"/>
      <c r="E158" s="57"/>
      <c r="M158" s="57"/>
      <c r="V158" s="8" t="str">
        <f>_xll.BDP(B158 &amp;" Equity", "DVD_FREQ")</f>
        <v>#N/A Invalid Security</v>
      </c>
      <c r="W158" s="23">
        <f t="shared" si="25"/>
        <v>0</v>
      </c>
      <c r="X158" s="239" t="str">
        <f>_xll.BDP(B158 &amp;" Equity", "EQY_DVD_YLD_IND_NET")</f>
        <v>#N/A Invalid Security</v>
      </c>
    </row>
    <row r="159" spans="2:24" s="6" customFormat="1">
      <c r="B159" s="8"/>
      <c r="E159" s="57"/>
      <c r="M159" s="57"/>
      <c r="V159" s="8" t="str">
        <f>_xll.BDP(B159 &amp;" Equity", "DVD_FREQ")</f>
        <v>#N/A Invalid Security</v>
      </c>
      <c r="W159" s="23">
        <f t="shared" si="25"/>
        <v>0</v>
      </c>
      <c r="X159" s="239" t="str">
        <f>_xll.BDP(B159 &amp;" Equity", "EQY_DVD_YLD_IND_NET")</f>
        <v>#N/A Invalid Security</v>
      </c>
    </row>
    <row r="160" spans="2:24" s="6" customFormat="1">
      <c r="B160" s="8"/>
      <c r="E160" s="57"/>
      <c r="M160" s="57"/>
      <c r="V160" s="8" t="str">
        <f>_xll.BDP(B160 &amp;" Equity", "DVD_FREQ")</f>
        <v>#N/A Invalid Security</v>
      </c>
      <c r="W160" s="23">
        <f t="shared" si="25"/>
        <v>0</v>
      </c>
      <c r="X160" s="239" t="str">
        <f>_xll.BDP(B160 &amp;" Equity", "EQY_DVD_YLD_IND_NET")</f>
        <v>#N/A Invalid Security</v>
      </c>
    </row>
    <row r="161" spans="2:24" s="6" customFormat="1">
      <c r="B161" s="8"/>
      <c r="E161" s="57"/>
      <c r="M161" s="57"/>
      <c r="V161" s="8" t="str">
        <f>_xll.BDP(B161 &amp;" Equity", "DVD_FREQ")</f>
        <v>#N/A Invalid Security</v>
      </c>
      <c r="W161" s="23">
        <f t="shared" si="25"/>
        <v>0</v>
      </c>
      <c r="X161" s="239" t="str">
        <f>_xll.BDP(B161 &amp;" Equity", "EQY_DVD_YLD_IND_NET")</f>
        <v>#N/A Invalid Security</v>
      </c>
    </row>
    <row r="162" spans="2:24" s="6" customFormat="1">
      <c r="B162" s="8"/>
      <c r="E162" s="57"/>
      <c r="M162" s="57"/>
      <c r="V162" s="8" t="str">
        <f>_xll.BDP(B162 &amp;" Equity", "DVD_FREQ")</f>
        <v>#N/A Invalid Security</v>
      </c>
      <c r="W162" s="23">
        <f t="shared" si="25"/>
        <v>0</v>
      </c>
      <c r="X162" s="239" t="str">
        <f>_xll.BDP(B162 &amp;" Equity", "EQY_DVD_YLD_IND_NET")</f>
        <v>#N/A Invalid Security</v>
      </c>
    </row>
    <row r="163" spans="2:24" s="6" customFormat="1">
      <c r="B163" s="8"/>
      <c r="E163" s="57"/>
      <c r="M163" s="57"/>
      <c r="V163" s="8" t="str">
        <f>_xll.BDP(B163 &amp;" Equity", "DVD_FREQ")</f>
        <v>#N/A Invalid Security</v>
      </c>
      <c r="W163" s="23">
        <f t="shared" si="25"/>
        <v>0</v>
      </c>
      <c r="X163" s="239" t="str">
        <f>_xll.BDP(B163 &amp;" Equity", "EQY_DVD_YLD_IND_NET")</f>
        <v>#N/A Invalid Security</v>
      </c>
    </row>
    <row r="164" spans="2:24" s="6" customFormat="1">
      <c r="B164" s="8"/>
      <c r="E164" s="57"/>
      <c r="M164" s="57"/>
      <c r="V164" s="8" t="str">
        <f>_xll.BDP(B164 &amp;" Equity", "DVD_FREQ")</f>
        <v>#N/A Invalid Security</v>
      </c>
      <c r="W164" s="23">
        <f t="shared" si="25"/>
        <v>0</v>
      </c>
      <c r="X164" s="239" t="str">
        <f>_xll.BDP(B164 &amp;" Equity", "EQY_DVD_YLD_IND_NET")</f>
        <v>#N/A Invalid Security</v>
      </c>
    </row>
    <row r="165" spans="2:24" s="6" customFormat="1">
      <c r="B165" s="8"/>
      <c r="E165" s="57"/>
      <c r="M165" s="57"/>
      <c r="V165" s="8" t="str">
        <f>_xll.BDP(B165 &amp;" Equity", "DVD_FREQ")</f>
        <v>#N/A Invalid Security</v>
      </c>
      <c r="W165" s="23">
        <f t="shared" si="25"/>
        <v>0</v>
      </c>
      <c r="X165" s="239" t="str">
        <f>_xll.BDP(B165 &amp;" Equity", "EQY_DVD_YLD_IND_NET")</f>
        <v>#N/A Invalid Security</v>
      </c>
    </row>
    <row r="166" spans="2:24" s="6" customFormat="1">
      <c r="B166" s="8"/>
      <c r="E166" s="57"/>
      <c r="M166" s="57"/>
      <c r="V166" s="8" t="str">
        <f>_xll.BDP(B166 &amp;" Equity", "DVD_FREQ")</f>
        <v>#N/A Invalid Security</v>
      </c>
      <c r="W166" s="23">
        <f t="shared" si="25"/>
        <v>0</v>
      </c>
      <c r="X166" s="239" t="str">
        <f>_xll.BDP(B166 &amp;" Equity", "EQY_DVD_YLD_IND_NET")</f>
        <v>#N/A Invalid Security</v>
      </c>
    </row>
    <row r="167" spans="2:24" s="6" customFormat="1">
      <c r="B167" s="8"/>
      <c r="E167" s="57"/>
      <c r="M167" s="57"/>
      <c r="V167" s="8" t="str">
        <f>_xll.BDP(B167 &amp;" Equity", "DVD_FREQ")</f>
        <v>#N/A Invalid Security</v>
      </c>
      <c r="W167" s="23">
        <f t="shared" si="25"/>
        <v>0</v>
      </c>
      <c r="X167" s="239" t="str">
        <f>_xll.BDP(B167 &amp;" Equity", "EQY_DVD_YLD_IND_NET")</f>
        <v>#N/A Invalid Security</v>
      </c>
    </row>
    <row r="168" spans="2:24" s="6" customFormat="1">
      <c r="B168" s="8"/>
      <c r="E168" s="57"/>
      <c r="M168" s="57"/>
      <c r="V168" s="8" t="str">
        <f>_xll.BDP(B168 &amp;" Equity", "DVD_FREQ")</f>
        <v>#N/A Invalid Security</v>
      </c>
      <c r="W168" s="23">
        <f t="shared" si="25"/>
        <v>0</v>
      </c>
      <c r="X168" s="239" t="str">
        <f>_xll.BDP(B168 &amp;" Equity", "EQY_DVD_YLD_IND_NET")</f>
        <v>#N/A Invalid Security</v>
      </c>
    </row>
    <row r="169" spans="2:24" s="6" customFormat="1">
      <c r="B169" s="8"/>
      <c r="E169" s="57"/>
      <c r="M169" s="57"/>
      <c r="V169" s="8" t="str">
        <f>_xll.BDP(B169 &amp;" Equity", "DVD_FREQ")</f>
        <v>#N/A Invalid Security</v>
      </c>
      <c r="W169" s="23">
        <f t="shared" si="25"/>
        <v>0</v>
      </c>
      <c r="X169" s="239" t="str">
        <f>_xll.BDP(B169 &amp;" Equity", "EQY_DVD_YLD_IND_NET")</f>
        <v>#N/A Invalid Security</v>
      </c>
    </row>
    <row r="170" spans="2:24" s="6" customFormat="1">
      <c r="B170" s="8"/>
      <c r="E170" s="57"/>
      <c r="M170" s="57"/>
      <c r="V170" s="8" t="str">
        <f>_xll.BDP(B170 &amp;" Equity", "DVD_FREQ")</f>
        <v>#N/A Invalid Security</v>
      </c>
      <c r="W170" s="23">
        <f t="shared" si="25"/>
        <v>0</v>
      </c>
      <c r="X170" s="239" t="str">
        <f>_xll.BDP(B170 &amp;" Equity", "EQY_DVD_YLD_IND_NET")</f>
        <v>#N/A Invalid Security</v>
      </c>
    </row>
    <row r="171" spans="2:24" s="6" customFormat="1">
      <c r="B171" s="8"/>
      <c r="E171" s="57"/>
      <c r="M171" s="57"/>
      <c r="V171" s="8" t="str">
        <f>_xll.BDP(B171 &amp;" Equity", "DVD_FREQ")</f>
        <v>#N/A Invalid Security</v>
      </c>
      <c r="W171" s="23">
        <f t="shared" si="25"/>
        <v>0</v>
      </c>
      <c r="X171" s="239" t="str">
        <f>_xll.BDP(B171 &amp;" Equity", "EQY_DVD_YLD_IND_NET")</f>
        <v>#N/A Invalid Security</v>
      </c>
    </row>
    <row r="172" spans="2:24" s="6" customFormat="1">
      <c r="B172" s="8"/>
      <c r="E172" s="57"/>
      <c r="M172" s="57"/>
      <c r="V172" s="8" t="str">
        <f>_xll.BDP(B172 &amp;" Equity", "DVD_FREQ")</f>
        <v>#N/A Invalid Security</v>
      </c>
      <c r="W172" s="23">
        <f t="shared" si="25"/>
        <v>0</v>
      </c>
      <c r="X172" s="239" t="str">
        <f>_xll.BDP(B172 &amp;" Equity", "EQY_DVD_YLD_IND_NET")</f>
        <v>#N/A Invalid Security</v>
      </c>
    </row>
    <row r="173" spans="2:24" s="6" customFormat="1">
      <c r="B173" s="8"/>
      <c r="E173" s="57"/>
      <c r="M173" s="57"/>
      <c r="V173" s="8" t="str">
        <f>_xll.BDP(B173 &amp;" Equity", "DVD_FREQ")</f>
        <v>#N/A Invalid Security</v>
      </c>
      <c r="W173" s="23">
        <f t="shared" si="25"/>
        <v>0</v>
      </c>
      <c r="X173" s="239" t="str">
        <f>_xll.BDP(B173 &amp;" Equity", "EQY_DVD_YLD_IND_NET")</f>
        <v>#N/A Invalid Security</v>
      </c>
    </row>
    <row r="174" spans="2:24" s="6" customFormat="1">
      <c r="B174" s="8"/>
      <c r="E174" s="57"/>
      <c r="M174" s="57"/>
      <c r="V174" s="8" t="str">
        <f>_xll.BDP(B174 &amp;" Equity", "DVD_FREQ")</f>
        <v>#N/A Invalid Security</v>
      </c>
      <c r="W174" s="23">
        <f t="shared" si="25"/>
        <v>0</v>
      </c>
      <c r="X174" s="239" t="str">
        <f>_xll.BDP(B174 &amp;" Equity", "EQY_DVD_YLD_IND_NET")</f>
        <v>#N/A Invalid Security</v>
      </c>
    </row>
    <row r="175" spans="2:24" s="6" customFormat="1">
      <c r="B175" s="8"/>
      <c r="E175" s="57"/>
      <c r="M175" s="57"/>
      <c r="V175" s="8" t="str">
        <f>_xll.BDP(B175 &amp;" Equity", "DVD_FREQ")</f>
        <v>#N/A Invalid Security</v>
      </c>
      <c r="W175" s="23">
        <f t="shared" si="25"/>
        <v>0</v>
      </c>
      <c r="X175" s="239" t="str">
        <f>_xll.BDP(B175 &amp;" Equity", "EQY_DVD_YLD_IND_NET")</f>
        <v>#N/A Invalid Security</v>
      </c>
    </row>
    <row r="176" spans="2:24" s="6" customFormat="1">
      <c r="B176" s="8"/>
      <c r="E176" s="57"/>
      <c r="M176" s="57"/>
      <c r="V176" s="8" t="str">
        <f>_xll.BDP(B176 &amp;" Equity", "DVD_FREQ")</f>
        <v>#N/A Invalid Security</v>
      </c>
      <c r="W176" s="23">
        <f t="shared" si="25"/>
        <v>0</v>
      </c>
      <c r="X176" s="239" t="str">
        <f>_xll.BDP(B176 &amp;" Equity", "EQY_DVD_YLD_IND_NET")</f>
        <v>#N/A Invalid Security</v>
      </c>
    </row>
    <row r="177" spans="2:24" s="6" customFormat="1">
      <c r="B177" s="8"/>
      <c r="E177" s="57"/>
      <c r="M177" s="57"/>
      <c r="V177" s="8" t="str">
        <f>_xll.BDP(B177 &amp;" Equity", "DVD_FREQ")</f>
        <v>#N/A Invalid Security</v>
      </c>
      <c r="W177" s="23">
        <f t="shared" si="25"/>
        <v>0</v>
      </c>
      <c r="X177" s="239" t="str">
        <f>_xll.BDP(B177 &amp;" Equity", "EQY_DVD_YLD_IND_NET")</f>
        <v>#N/A Invalid Security</v>
      </c>
    </row>
    <row r="178" spans="2:24" s="6" customFormat="1">
      <c r="B178" s="8"/>
      <c r="E178" s="57"/>
      <c r="M178" s="57"/>
      <c r="V178" s="8" t="str">
        <f>_xll.BDP(B178 &amp;" Equity", "DVD_FREQ")</f>
        <v>#N/A Invalid Security</v>
      </c>
      <c r="W178" s="23">
        <f t="shared" si="25"/>
        <v>0</v>
      </c>
      <c r="X178" s="239" t="str">
        <f>_xll.BDP(B178 &amp;" Equity", "EQY_DVD_YLD_IND_NET")</f>
        <v>#N/A Invalid Security</v>
      </c>
    </row>
    <row r="179" spans="2:24" s="6" customFormat="1">
      <c r="B179" s="8"/>
      <c r="E179" s="57"/>
      <c r="M179" s="57"/>
      <c r="V179" s="8" t="str">
        <f>_xll.BDP(B179 &amp;" Equity", "DVD_FREQ")</f>
        <v>#N/A Invalid Security</v>
      </c>
      <c r="W179" s="23">
        <f t="shared" si="25"/>
        <v>0</v>
      </c>
      <c r="X179" s="239" t="str">
        <f>_xll.BDP(B179 &amp;" Equity", "EQY_DVD_YLD_IND_NET")</f>
        <v>#N/A Invalid Security</v>
      </c>
    </row>
    <row r="180" spans="2:24" s="6" customFormat="1">
      <c r="B180" s="8"/>
      <c r="E180" s="57"/>
      <c r="M180" s="57"/>
      <c r="V180" s="8" t="str">
        <f>_xll.BDP(B180 &amp;" Equity", "DVD_FREQ")</f>
        <v>#N/A Invalid Security</v>
      </c>
      <c r="W180" s="23">
        <f t="shared" si="25"/>
        <v>0</v>
      </c>
      <c r="X180" s="239" t="str">
        <f>_xll.BDP(B180 &amp;" Equity", "EQY_DVD_YLD_IND_NET")</f>
        <v>#N/A Invalid Security</v>
      </c>
    </row>
    <row r="181" spans="2:24" s="6" customFormat="1">
      <c r="B181" s="8"/>
      <c r="E181" s="57"/>
      <c r="M181" s="57"/>
      <c r="V181" s="8" t="str">
        <f>_xll.BDP(B181 &amp;" Equity", "DVD_FREQ")</f>
        <v>#N/A Invalid Security</v>
      </c>
      <c r="W181" s="23">
        <f t="shared" si="25"/>
        <v>0</v>
      </c>
      <c r="X181" s="239" t="str">
        <f>_xll.BDP(B181 &amp;" Equity", "EQY_DVD_YLD_IND_NET")</f>
        <v>#N/A Invalid Security</v>
      </c>
    </row>
    <row r="182" spans="2:24" s="6" customFormat="1">
      <c r="B182" s="8"/>
      <c r="E182" s="57"/>
      <c r="M182" s="57"/>
      <c r="V182" s="8" t="str">
        <f>_xll.BDP(B182 &amp;" Equity", "DVD_FREQ")</f>
        <v>#N/A Invalid Security</v>
      </c>
      <c r="W182" s="23">
        <f t="shared" si="25"/>
        <v>0</v>
      </c>
      <c r="X182" s="239" t="str">
        <f>_xll.BDP(B182 &amp;" Equity", "EQY_DVD_YLD_IND_NET")</f>
        <v>#N/A Invalid Security</v>
      </c>
    </row>
    <row r="183" spans="2:24" s="6" customFormat="1">
      <c r="B183" s="8"/>
      <c r="E183" s="57"/>
      <c r="M183" s="57"/>
      <c r="V183" s="8" t="str">
        <f>_xll.BDP(B183 &amp;" Equity", "DVD_FREQ")</f>
        <v>#N/A Invalid Security</v>
      </c>
      <c r="W183" s="23">
        <f t="shared" si="25"/>
        <v>0</v>
      </c>
      <c r="X183" s="239" t="str">
        <f>_xll.BDP(B183 &amp;" Equity", "EQY_DVD_YLD_IND_NET")</f>
        <v>#N/A Invalid Security</v>
      </c>
    </row>
    <row r="184" spans="2:24" s="6" customFormat="1">
      <c r="B184" s="8"/>
      <c r="E184" s="57"/>
      <c r="M184" s="57"/>
      <c r="V184" s="8" t="str">
        <f>_xll.BDP(B184 &amp;" Equity", "DVD_FREQ")</f>
        <v>#N/A Invalid Security</v>
      </c>
      <c r="W184" s="23">
        <f t="shared" si="25"/>
        <v>0</v>
      </c>
      <c r="X184" s="239" t="str">
        <f>_xll.BDP(B184 &amp;" Equity", "EQY_DVD_YLD_IND_NET")</f>
        <v>#N/A Invalid Security</v>
      </c>
    </row>
    <row r="185" spans="2:24" s="6" customFormat="1">
      <c r="B185" s="8"/>
      <c r="E185" s="57"/>
      <c r="M185" s="57"/>
      <c r="V185" s="8" t="str">
        <f>_xll.BDP(B185 &amp;" Equity", "DVD_FREQ")</f>
        <v>#N/A Invalid Security</v>
      </c>
      <c r="W185" s="23">
        <f t="shared" si="25"/>
        <v>0</v>
      </c>
      <c r="X185" s="239" t="str">
        <f>_xll.BDP(B185 &amp;" Equity", "EQY_DVD_YLD_IND_NET")</f>
        <v>#N/A Invalid Security</v>
      </c>
    </row>
    <row r="186" spans="2:24" s="6" customFormat="1">
      <c r="B186" s="8"/>
      <c r="E186" s="57"/>
      <c r="M186" s="57"/>
      <c r="V186" s="8" t="str">
        <f>_xll.BDP(B186 &amp;" Equity", "DVD_FREQ")</f>
        <v>#N/A Invalid Security</v>
      </c>
      <c r="W186" s="23">
        <f t="shared" si="25"/>
        <v>0</v>
      </c>
      <c r="X186" s="239" t="str">
        <f>_xll.BDP(B186 &amp;" Equity", "EQY_DVD_YLD_IND_NET")</f>
        <v>#N/A Invalid Security</v>
      </c>
    </row>
    <row r="187" spans="2:24" s="6" customFormat="1">
      <c r="B187" s="8"/>
      <c r="E187" s="57"/>
      <c r="M187" s="57"/>
      <c r="V187" s="8" t="str">
        <f>_xll.BDP(B187 &amp;" Equity", "DVD_FREQ")</f>
        <v>#N/A Invalid Security</v>
      </c>
      <c r="W187" s="23">
        <f t="shared" si="25"/>
        <v>0</v>
      </c>
      <c r="X187" s="239" t="str">
        <f>_xll.BDP(B187 &amp;" Equity", "EQY_DVD_YLD_IND_NET")</f>
        <v>#N/A Invalid Security</v>
      </c>
    </row>
    <row r="188" spans="2:24" s="6" customFormat="1">
      <c r="B188" s="8"/>
      <c r="E188" s="57"/>
      <c r="M188" s="57"/>
      <c r="V188" s="8" t="str">
        <f>_xll.BDP(B188 &amp;" Equity", "DVD_FREQ")</f>
        <v>#N/A Invalid Security</v>
      </c>
      <c r="W188" s="23">
        <f t="shared" si="25"/>
        <v>0</v>
      </c>
      <c r="X188" s="239" t="str">
        <f>_xll.BDP(B188 &amp;" Equity", "EQY_DVD_YLD_IND_NET")</f>
        <v>#N/A Invalid Security</v>
      </c>
    </row>
    <row r="189" spans="2:24" s="6" customFormat="1">
      <c r="B189" s="8"/>
      <c r="E189" s="57"/>
      <c r="M189" s="57"/>
      <c r="V189" s="8" t="str">
        <f>_xll.BDP(B189 &amp;" Equity", "DVD_FREQ")</f>
        <v>#N/A Invalid Security</v>
      </c>
      <c r="W189" s="23">
        <f t="shared" si="25"/>
        <v>0</v>
      </c>
      <c r="X189" s="239" t="str">
        <f>_xll.BDP(B189 &amp;" Equity", "EQY_DVD_YLD_IND_NET")</f>
        <v>#N/A Invalid Security</v>
      </c>
    </row>
    <row r="190" spans="2:24" s="6" customFormat="1">
      <c r="B190" s="8"/>
      <c r="E190" s="57"/>
      <c r="M190" s="57"/>
      <c r="V190" s="8" t="str">
        <f>_xll.BDP(B190 &amp;" Equity", "DVD_FREQ")</f>
        <v>#N/A Invalid Security</v>
      </c>
      <c r="W190" s="23">
        <f t="shared" si="25"/>
        <v>0</v>
      </c>
      <c r="X190" s="239" t="str">
        <f>_xll.BDP(B190 &amp;" Equity", "EQY_DVD_YLD_IND_NET")</f>
        <v>#N/A Invalid Security</v>
      </c>
    </row>
    <row r="191" spans="2:24" s="6" customFormat="1">
      <c r="B191" s="8"/>
      <c r="E191" s="57"/>
      <c r="M191" s="57"/>
      <c r="V191" s="8" t="str">
        <f>_xll.BDP(B191 &amp;" Equity", "DVD_FREQ")</f>
        <v>#N/A Invalid Security</v>
      </c>
      <c r="W191" s="23">
        <f t="shared" si="25"/>
        <v>0</v>
      </c>
      <c r="X191" s="239" t="str">
        <f>_xll.BDP(B191 &amp;" Equity", "EQY_DVD_YLD_IND_NET")</f>
        <v>#N/A Invalid Security</v>
      </c>
    </row>
    <row r="192" spans="2:24" s="6" customFormat="1">
      <c r="B192" s="8"/>
      <c r="E192" s="57"/>
      <c r="M192" s="57"/>
      <c r="V192" s="8" t="str">
        <f>_xll.BDP(B192 &amp;" Equity", "DVD_FREQ")</f>
        <v>#N/A Invalid Security</v>
      </c>
      <c r="W192" s="23">
        <f t="shared" si="25"/>
        <v>0</v>
      </c>
      <c r="X192" s="239" t="str">
        <f>_xll.BDP(B192 &amp;" Equity", "EQY_DVD_YLD_IND_NET")</f>
        <v>#N/A Invalid Security</v>
      </c>
    </row>
    <row r="193" spans="2:24" s="6" customFormat="1">
      <c r="B193" s="8"/>
      <c r="E193" s="57"/>
      <c r="M193" s="57"/>
      <c r="V193" s="8" t="str">
        <f>_xll.BDP(B193 &amp;" Equity", "DVD_FREQ")</f>
        <v>#N/A Invalid Security</v>
      </c>
      <c r="W193" s="23">
        <f t="shared" si="25"/>
        <v>0</v>
      </c>
      <c r="X193" s="239" t="str">
        <f>_xll.BDP(B193 &amp;" Equity", "EQY_DVD_YLD_IND_NET")</f>
        <v>#N/A Invalid Security</v>
      </c>
    </row>
    <row r="194" spans="2:24" s="6" customFormat="1">
      <c r="B194" s="8"/>
      <c r="E194" s="57"/>
      <c r="M194" s="57"/>
      <c r="V194" s="8" t="str">
        <f>_xll.BDP(B194 &amp;" Equity", "DVD_FREQ")</f>
        <v>#N/A Invalid Security</v>
      </c>
      <c r="W194" s="23">
        <f t="shared" si="25"/>
        <v>0</v>
      </c>
      <c r="X194" s="239" t="str">
        <f>_xll.BDP(B194 &amp;" Equity", "EQY_DVD_YLD_IND_NET")</f>
        <v>#N/A Invalid Security</v>
      </c>
    </row>
    <row r="195" spans="2:24" s="6" customFormat="1">
      <c r="B195" s="8"/>
      <c r="E195" s="57"/>
      <c r="M195" s="57"/>
      <c r="V195" s="8" t="str">
        <f>_xll.BDP(B195 &amp;" Equity", "DVD_FREQ")</f>
        <v>#N/A Invalid Security</v>
      </c>
      <c r="W195" s="23">
        <f t="shared" si="25"/>
        <v>0</v>
      </c>
      <c r="X195" s="239" t="str">
        <f>_xll.BDP(B195 &amp;" Equity", "EQY_DVD_YLD_IND_NET")</f>
        <v>#N/A Invalid Security</v>
      </c>
    </row>
    <row r="196" spans="2:24" s="6" customFormat="1">
      <c r="B196" s="8"/>
      <c r="E196" s="57"/>
      <c r="M196" s="57"/>
      <c r="V196" s="8" t="str">
        <f>_xll.BDP(B196 &amp;" Equity", "DVD_FREQ")</f>
        <v>#N/A Invalid Security</v>
      </c>
      <c r="W196" s="23">
        <f t="shared" si="25"/>
        <v>0</v>
      </c>
      <c r="X196" s="239" t="str">
        <f>_xll.BDP(B196 &amp;" Equity", "EQY_DVD_YLD_IND_NET")</f>
        <v>#N/A Invalid Security</v>
      </c>
    </row>
    <row r="197" spans="2:24" s="6" customFormat="1">
      <c r="B197" s="8"/>
      <c r="E197" s="57"/>
      <c r="M197" s="57"/>
      <c r="V197" s="8" t="str">
        <f>_xll.BDP(B197 &amp;" Equity", "DVD_FREQ")</f>
        <v>#N/A Invalid Security</v>
      </c>
      <c r="W197" s="23">
        <f t="shared" si="25"/>
        <v>0</v>
      </c>
      <c r="X197" s="239" t="str">
        <f>_xll.BDP(B197 &amp;" Equity", "EQY_DVD_YLD_IND_NET")</f>
        <v>#N/A Invalid Security</v>
      </c>
    </row>
    <row r="198" spans="2:24" s="6" customFormat="1">
      <c r="B198" s="8"/>
      <c r="E198" s="57"/>
      <c r="M198" s="57"/>
      <c r="V198" s="8" t="str">
        <f>_xll.BDP(B198 &amp;" Equity", "DVD_FREQ")</f>
        <v>#N/A Invalid Security</v>
      </c>
      <c r="W198" s="23">
        <f t="shared" si="25"/>
        <v>0</v>
      </c>
      <c r="X198" s="239" t="str">
        <f>_xll.BDP(B198 &amp;" Equity", "EQY_DVD_YLD_IND_NET")</f>
        <v>#N/A Invalid Security</v>
      </c>
    </row>
    <row r="199" spans="2:24" s="6" customFormat="1">
      <c r="B199" s="8"/>
      <c r="E199" s="57"/>
      <c r="M199" s="57"/>
      <c r="V199" s="8" t="str">
        <f>_xll.BDP(B199 &amp;" Equity", "DVD_FREQ")</f>
        <v>#N/A Invalid Security</v>
      </c>
      <c r="W199" s="23">
        <f t="shared" si="25"/>
        <v>0</v>
      </c>
      <c r="X199" s="239" t="str">
        <f>_xll.BDP(B199 &amp;" Equity", "EQY_DVD_YLD_IND_NET")</f>
        <v>#N/A Invalid Security</v>
      </c>
    </row>
    <row r="200" spans="2:24" s="6" customFormat="1">
      <c r="B200" s="8"/>
      <c r="E200" s="57"/>
      <c r="M200" s="57"/>
      <c r="V200" s="8" t="str">
        <f>_xll.BDP(B200 &amp;" Equity", "DVD_FREQ")</f>
        <v>#N/A Invalid Security</v>
      </c>
      <c r="W200" s="23">
        <f t="shared" si="25"/>
        <v>0</v>
      </c>
      <c r="X200" s="239" t="str">
        <f>_xll.BDP(B200 &amp;" Equity", "EQY_DVD_YLD_IND_NET")</f>
        <v>#N/A Invalid Security</v>
      </c>
    </row>
    <row r="201" spans="2:24" s="6" customFormat="1">
      <c r="B201" s="8"/>
      <c r="E201" s="57"/>
      <c r="M201" s="57"/>
      <c r="V201" s="8" t="str">
        <f>_xll.BDP(B201 &amp;" Equity", "DVD_FREQ")</f>
        <v>#N/A Invalid Security</v>
      </c>
      <c r="W201" s="23">
        <f t="shared" si="25"/>
        <v>0</v>
      </c>
      <c r="X201" s="239" t="str">
        <f>_xll.BDP(B201 &amp;" Equity", "EQY_DVD_YLD_IND_NET")</f>
        <v>#N/A Invalid Security</v>
      </c>
    </row>
    <row r="202" spans="2:24" s="6" customFormat="1">
      <c r="B202" s="8"/>
      <c r="E202" s="57"/>
      <c r="M202" s="57"/>
      <c r="V202" s="8" t="str">
        <f>_xll.BDP(B202 &amp;" Equity", "DVD_FREQ")</f>
        <v>#N/A Invalid Security</v>
      </c>
      <c r="W202" s="23">
        <f t="shared" si="25"/>
        <v>0</v>
      </c>
      <c r="X202" s="239" t="str">
        <f>_xll.BDP(B202 &amp;" Equity", "EQY_DVD_YLD_IND_NET")</f>
        <v>#N/A Invalid Security</v>
      </c>
    </row>
    <row r="203" spans="2:24" s="6" customFormat="1">
      <c r="B203" s="8"/>
      <c r="E203" s="57"/>
      <c r="M203" s="57"/>
      <c r="V203" s="8" t="str">
        <f>_xll.BDP(B203 &amp;" Equity", "DVD_FREQ")</f>
        <v>#N/A Invalid Security</v>
      </c>
      <c r="W203" s="23">
        <f t="shared" si="25"/>
        <v>0</v>
      </c>
      <c r="X203" s="239" t="str">
        <f>_xll.BDP(B203 &amp;" Equity", "EQY_DVD_YLD_IND_NET")</f>
        <v>#N/A Invalid Security</v>
      </c>
    </row>
    <row r="204" spans="2:24" s="6" customFormat="1">
      <c r="B204" s="8"/>
      <c r="E204" s="57"/>
      <c r="M204" s="57"/>
      <c r="V204" s="8" t="str">
        <f>_xll.BDP(B204 &amp;" Equity", "DVD_FREQ")</f>
        <v>#N/A Invalid Security</v>
      </c>
      <c r="W204" s="23">
        <f t="shared" si="25"/>
        <v>0</v>
      </c>
      <c r="X204" s="239" t="str">
        <f>_xll.BDP(B204 &amp;" Equity", "EQY_DVD_YLD_IND_NET")</f>
        <v>#N/A Invalid Security</v>
      </c>
    </row>
    <row r="205" spans="2:24" s="6" customFormat="1">
      <c r="B205" s="8"/>
      <c r="E205" s="57"/>
      <c r="M205" s="57"/>
      <c r="V205" s="8" t="str">
        <f>_xll.BDP(B205 &amp;" Equity", "DVD_FREQ")</f>
        <v>#N/A Invalid Security</v>
      </c>
      <c r="W205" s="23">
        <f t="shared" si="25"/>
        <v>0</v>
      </c>
      <c r="X205" s="239" t="str">
        <f>_xll.BDP(B205 &amp;" Equity", "EQY_DVD_YLD_IND_NET")</f>
        <v>#N/A Invalid Security</v>
      </c>
    </row>
    <row r="206" spans="2:24" s="6" customFormat="1">
      <c r="B206" s="8"/>
      <c r="E206" s="57"/>
      <c r="M206" s="57"/>
      <c r="V206" s="8" t="str">
        <f>_xll.BDP(B206 &amp;" Equity", "DVD_FREQ")</f>
        <v>#N/A Invalid Security</v>
      </c>
      <c r="W206" s="23">
        <f t="shared" ref="W206:W221" si="26">I206</f>
        <v>0</v>
      </c>
      <c r="X206" s="239" t="str">
        <f>_xll.BDP(B206 &amp;" Equity", "EQY_DVD_YLD_IND_NET")</f>
        <v>#N/A Invalid Security</v>
      </c>
    </row>
    <row r="207" spans="2:24" s="6" customFormat="1">
      <c r="B207" s="8"/>
      <c r="E207" s="57"/>
      <c r="M207" s="57"/>
      <c r="V207" s="8" t="str">
        <f>_xll.BDP(B207 &amp;" Equity", "DVD_FREQ")</f>
        <v>#N/A Invalid Security</v>
      </c>
      <c r="W207" s="23">
        <f t="shared" si="26"/>
        <v>0</v>
      </c>
      <c r="X207" s="239" t="str">
        <f>_xll.BDP(B207 &amp;" Equity", "EQY_DVD_YLD_IND_NET")</f>
        <v>#N/A Invalid Security</v>
      </c>
    </row>
    <row r="208" spans="2:24" s="6" customFormat="1">
      <c r="B208" s="8"/>
      <c r="E208" s="57"/>
      <c r="M208" s="57"/>
      <c r="V208" s="8" t="str">
        <f>_xll.BDP(B208 &amp;" Equity", "DVD_FREQ")</f>
        <v>#N/A Invalid Security</v>
      </c>
      <c r="W208" s="23">
        <f t="shared" si="26"/>
        <v>0</v>
      </c>
      <c r="X208" s="239" t="str">
        <f>_xll.BDP(B208 &amp;" Equity", "EQY_DVD_YLD_IND_NET")</f>
        <v>#N/A Invalid Security</v>
      </c>
    </row>
    <row r="209" spans="2:24" s="6" customFormat="1">
      <c r="B209" s="8"/>
      <c r="E209" s="57"/>
      <c r="M209" s="57"/>
      <c r="V209" s="8" t="str">
        <f>_xll.BDP(B209 &amp;" Equity", "DVD_FREQ")</f>
        <v>#N/A Invalid Security</v>
      </c>
      <c r="W209" s="23">
        <f t="shared" si="26"/>
        <v>0</v>
      </c>
      <c r="X209" s="239" t="str">
        <f>_xll.BDP(B209 &amp;" Equity", "EQY_DVD_YLD_IND_NET")</f>
        <v>#N/A Invalid Security</v>
      </c>
    </row>
    <row r="210" spans="2:24" s="6" customFormat="1">
      <c r="B210" s="8"/>
      <c r="E210" s="57"/>
      <c r="M210" s="57"/>
      <c r="V210" s="8" t="str">
        <f>_xll.BDP(B210 &amp;" Equity", "DVD_FREQ")</f>
        <v>#N/A Invalid Security</v>
      </c>
      <c r="W210" s="23">
        <f t="shared" si="26"/>
        <v>0</v>
      </c>
      <c r="X210" s="239" t="str">
        <f>_xll.BDP(B210 &amp;" Equity", "EQY_DVD_YLD_IND_NET")</f>
        <v>#N/A Invalid Security</v>
      </c>
    </row>
    <row r="211" spans="2:24" s="6" customFormat="1">
      <c r="B211" s="8"/>
      <c r="E211" s="57"/>
      <c r="M211" s="57"/>
      <c r="V211" s="8" t="str">
        <f>_xll.BDP(B211 &amp;" Equity", "DVD_FREQ")</f>
        <v>#N/A Invalid Security</v>
      </c>
      <c r="W211" s="23">
        <f t="shared" si="26"/>
        <v>0</v>
      </c>
      <c r="X211" s="239" t="str">
        <f>_xll.BDP(B211 &amp;" Equity", "EQY_DVD_YLD_IND_NET")</f>
        <v>#N/A Invalid Security</v>
      </c>
    </row>
    <row r="212" spans="2:24" s="6" customFormat="1">
      <c r="B212" s="8"/>
      <c r="E212" s="57"/>
      <c r="M212" s="57"/>
      <c r="V212" s="8" t="str">
        <f>_xll.BDP(B212 &amp;" Equity", "DVD_FREQ")</f>
        <v>#N/A Invalid Security</v>
      </c>
      <c r="W212" s="23">
        <f t="shared" si="26"/>
        <v>0</v>
      </c>
      <c r="X212" s="239" t="str">
        <f>_xll.BDP(B212 &amp;" Equity", "EQY_DVD_YLD_IND_NET")</f>
        <v>#N/A Invalid Security</v>
      </c>
    </row>
    <row r="213" spans="2:24" s="6" customFormat="1">
      <c r="B213" s="8"/>
      <c r="E213" s="57"/>
      <c r="M213" s="57"/>
      <c r="V213" s="8" t="str">
        <f>_xll.BDP(B213 &amp;" Equity", "DVD_FREQ")</f>
        <v>#N/A Invalid Security</v>
      </c>
      <c r="W213" s="23">
        <f t="shared" si="26"/>
        <v>0</v>
      </c>
      <c r="X213" s="239" t="str">
        <f>_xll.BDP(B213 &amp;" Equity", "EQY_DVD_YLD_IND_NET")</f>
        <v>#N/A Invalid Security</v>
      </c>
    </row>
    <row r="214" spans="2:24" s="6" customFormat="1">
      <c r="B214" s="8"/>
      <c r="E214" s="57"/>
      <c r="M214" s="57"/>
      <c r="V214" s="8" t="str">
        <f>_xll.BDP(B214 &amp;" Equity", "DVD_FREQ")</f>
        <v>#N/A Invalid Security</v>
      </c>
      <c r="W214" s="23">
        <f t="shared" si="26"/>
        <v>0</v>
      </c>
      <c r="X214" s="239" t="str">
        <f>_xll.BDP(B214 &amp;" Equity", "EQY_DVD_YLD_IND_NET")</f>
        <v>#N/A Invalid Security</v>
      </c>
    </row>
    <row r="215" spans="2:24" s="6" customFormat="1">
      <c r="B215" s="8"/>
      <c r="E215" s="57"/>
      <c r="M215" s="57"/>
      <c r="V215" s="8" t="str">
        <f>_xll.BDP(B215 &amp;" Equity", "DVD_FREQ")</f>
        <v>#N/A Invalid Security</v>
      </c>
      <c r="W215" s="23">
        <f t="shared" si="26"/>
        <v>0</v>
      </c>
      <c r="X215" s="239" t="str">
        <f>_xll.BDP(B215 &amp;" Equity", "EQY_DVD_YLD_IND_NET")</f>
        <v>#N/A Invalid Security</v>
      </c>
    </row>
    <row r="216" spans="2:24" s="6" customFormat="1">
      <c r="B216" s="8"/>
      <c r="E216" s="57"/>
      <c r="M216" s="57"/>
      <c r="V216" s="8" t="str">
        <f>_xll.BDP(B216 &amp;" Equity", "DVD_FREQ")</f>
        <v>#N/A Invalid Security</v>
      </c>
      <c r="W216" s="23">
        <f t="shared" si="26"/>
        <v>0</v>
      </c>
      <c r="X216" s="239" t="str">
        <f>_xll.BDP(B216 &amp;" Equity", "EQY_DVD_YLD_IND_NET")</f>
        <v>#N/A Invalid Security</v>
      </c>
    </row>
    <row r="217" spans="2:24" s="6" customFormat="1">
      <c r="B217" s="8"/>
      <c r="E217" s="57"/>
      <c r="M217" s="57"/>
      <c r="V217" s="8" t="str">
        <f>_xll.BDP(B217 &amp;" Equity", "DVD_FREQ")</f>
        <v>#N/A Invalid Security</v>
      </c>
      <c r="W217" s="23">
        <f t="shared" si="26"/>
        <v>0</v>
      </c>
      <c r="X217" s="239" t="str">
        <f>_xll.BDP(B217 &amp;" Equity", "EQY_DVD_YLD_IND_NET")</f>
        <v>#N/A Invalid Security</v>
      </c>
    </row>
    <row r="218" spans="2:24" s="6" customFormat="1">
      <c r="B218" s="8"/>
      <c r="E218" s="57"/>
      <c r="M218" s="57"/>
      <c r="V218" s="8" t="str">
        <f>_xll.BDP(B218 &amp;" Equity", "DVD_FREQ")</f>
        <v>#N/A Invalid Security</v>
      </c>
      <c r="W218" s="23">
        <f t="shared" si="26"/>
        <v>0</v>
      </c>
      <c r="X218" s="239" t="str">
        <f>_xll.BDP(B218 &amp;" Equity", "EQY_DVD_YLD_IND_NET")</f>
        <v>#N/A Invalid Security</v>
      </c>
    </row>
    <row r="219" spans="2:24" s="6" customFormat="1">
      <c r="B219" s="8"/>
      <c r="E219" s="57"/>
      <c r="M219" s="57"/>
      <c r="V219" s="8" t="str">
        <f>_xll.BDP(B219 &amp;" Equity", "DVD_FREQ")</f>
        <v>#N/A Invalid Security</v>
      </c>
      <c r="W219" s="23">
        <f t="shared" si="26"/>
        <v>0</v>
      </c>
      <c r="X219" s="239" t="str">
        <f>_xll.BDP(B219 &amp;" Equity", "EQY_DVD_YLD_IND_NET")</f>
        <v>#N/A Invalid Security</v>
      </c>
    </row>
    <row r="220" spans="2:24" s="6" customFormat="1">
      <c r="B220" s="8"/>
      <c r="E220" s="57"/>
      <c r="M220" s="57"/>
      <c r="V220" s="8" t="str">
        <f>_xll.BDP(B220 &amp;" Equity", "DVD_FREQ")</f>
        <v>#N/A Invalid Security</v>
      </c>
      <c r="W220" s="23">
        <f t="shared" si="26"/>
        <v>0</v>
      </c>
      <c r="X220" s="239" t="str">
        <f>_xll.BDP(B220 &amp;" Equity", "EQY_DVD_YLD_IND_NET")</f>
        <v>#N/A Invalid Security</v>
      </c>
    </row>
    <row r="221" spans="2:24" s="6" customFormat="1">
      <c r="B221" s="8"/>
      <c r="E221" s="57"/>
      <c r="M221" s="57"/>
      <c r="V221" s="8" t="str">
        <f>_xll.BDP(B221 &amp;" Equity", "DVD_FREQ")</f>
        <v>#N/A Invalid Security</v>
      </c>
      <c r="W221" s="23">
        <f t="shared" si="26"/>
        <v>0</v>
      </c>
      <c r="X221" s="239" t="str">
        <f>_xll.BDP(B221 &amp;" Equity", "EQY_DVD_YLD_IND_NET")</f>
        <v>#N/A Invalid Security</v>
      </c>
    </row>
    <row r="222" spans="2:24" s="6" customFormat="1">
      <c r="B222" s="8"/>
      <c r="E222" s="57"/>
      <c r="M222" s="57"/>
      <c r="V222" s="8"/>
      <c r="W222" s="23"/>
      <c r="X222" s="239"/>
    </row>
    <row r="223" spans="2:24" s="6" customFormat="1">
      <c r="B223" s="8"/>
      <c r="E223" s="57"/>
      <c r="M223" s="57"/>
      <c r="V223" s="8"/>
      <c r="W223" s="23"/>
      <c r="X223" s="239"/>
    </row>
    <row r="224" spans="2:24" s="6" customFormat="1">
      <c r="B224" s="8"/>
      <c r="E224" s="57"/>
      <c r="M224" s="57"/>
      <c r="V224" s="8"/>
      <c r="W224" s="23"/>
      <c r="X224" s="239"/>
    </row>
    <row r="225" spans="2:24" s="6" customFormat="1">
      <c r="B225" s="8"/>
      <c r="E225" s="57"/>
      <c r="M225" s="57"/>
      <c r="V225" s="8"/>
      <c r="W225" s="23"/>
      <c r="X225" s="239"/>
    </row>
    <row r="226" spans="2:24" s="6" customFormat="1">
      <c r="B226" s="8"/>
      <c r="E226" s="57"/>
      <c r="M226" s="57"/>
      <c r="V226" s="8"/>
      <c r="W226" s="23"/>
      <c r="X226" s="239"/>
    </row>
    <row r="227" spans="2:24" s="6" customFormat="1">
      <c r="B227" s="8"/>
      <c r="E227" s="57"/>
      <c r="M227" s="57"/>
      <c r="V227" s="8"/>
      <c r="W227" s="23"/>
      <c r="X227" s="239"/>
    </row>
    <row r="228" spans="2:24" s="6" customFormat="1">
      <c r="B228" s="8"/>
      <c r="E228" s="57"/>
      <c r="M228" s="57"/>
      <c r="V228" s="8"/>
      <c r="W228" s="23"/>
      <c r="X228" s="239"/>
    </row>
    <row r="229" spans="2:24" s="6" customFormat="1">
      <c r="B229" s="8"/>
      <c r="E229" s="57"/>
      <c r="M229" s="57"/>
      <c r="V229" s="8"/>
      <c r="W229" s="23"/>
      <c r="X229" s="239"/>
    </row>
    <row r="230" spans="2:24" s="6" customFormat="1">
      <c r="B230" s="8"/>
      <c r="E230" s="57"/>
      <c r="M230" s="57"/>
      <c r="V230" s="8"/>
      <c r="W230" s="23"/>
      <c r="X230" s="239"/>
    </row>
    <row r="231" spans="2:24" s="6" customFormat="1">
      <c r="B231" s="8"/>
      <c r="E231" s="57"/>
      <c r="M231" s="57"/>
      <c r="V231" s="8"/>
      <c r="W231" s="23"/>
      <c r="X231" s="239"/>
    </row>
    <row r="232" spans="2:24" s="6" customFormat="1">
      <c r="B232" s="8"/>
      <c r="E232" s="57"/>
      <c r="M232" s="57"/>
      <c r="V232" s="8"/>
      <c r="W232" s="23"/>
      <c r="X232" s="239"/>
    </row>
    <row r="233" spans="2:24" s="6" customFormat="1">
      <c r="B233" s="8"/>
      <c r="E233" s="57"/>
      <c r="M233" s="57"/>
      <c r="V233" s="8"/>
      <c r="W233" s="23"/>
      <c r="X233" s="239"/>
    </row>
    <row r="234" spans="2:24" s="6" customFormat="1">
      <c r="B234" s="8"/>
      <c r="E234" s="57"/>
      <c r="M234" s="57"/>
      <c r="V234" s="8"/>
      <c r="W234" s="23"/>
      <c r="X234" s="239"/>
    </row>
    <row r="235" spans="2:24" s="6" customFormat="1">
      <c r="B235" s="8"/>
      <c r="E235" s="57"/>
      <c r="M235" s="57"/>
      <c r="V235" s="8"/>
      <c r="W235" s="23"/>
      <c r="X235" s="239"/>
    </row>
    <row r="236" spans="2:24" s="6" customFormat="1">
      <c r="B236" s="8"/>
      <c r="E236" s="57"/>
      <c r="M236" s="57"/>
      <c r="V236" s="8"/>
      <c r="W236" s="23"/>
      <c r="X236" s="239"/>
    </row>
    <row r="237" spans="2:24" s="6" customFormat="1">
      <c r="B237" s="8"/>
      <c r="E237" s="57"/>
      <c r="M237" s="57"/>
      <c r="V237" s="8"/>
      <c r="W237" s="23"/>
      <c r="X237" s="239"/>
    </row>
    <row r="238" spans="2:24" s="6" customFormat="1">
      <c r="B238" s="8"/>
      <c r="E238" s="57"/>
      <c r="M238" s="57"/>
      <c r="V238" s="8"/>
      <c r="W238" s="23"/>
      <c r="X238" s="239"/>
    </row>
    <row r="239" spans="2:24" s="6" customFormat="1">
      <c r="B239" s="8"/>
      <c r="E239" s="57"/>
      <c r="M239" s="57"/>
      <c r="V239" s="8"/>
      <c r="W239" s="23"/>
      <c r="X239" s="239"/>
    </row>
    <row r="240" spans="2:24" s="6" customFormat="1">
      <c r="B240" s="8"/>
      <c r="E240" s="57"/>
      <c r="M240" s="57"/>
      <c r="V240" s="8"/>
      <c r="W240" s="23"/>
      <c r="X240" s="239"/>
    </row>
    <row r="241" spans="2:24" s="6" customFormat="1">
      <c r="B241" s="8"/>
      <c r="E241" s="57"/>
      <c r="M241" s="57"/>
      <c r="V241" s="8"/>
      <c r="W241" s="23"/>
      <c r="X241" s="239"/>
    </row>
    <row r="242" spans="2:24" s="6" customFormat="1">
      <c r="B242" s="8"/>
      <c r="E242" s="57"/>
      <c r="M242" s="57"/>
      <c r="V242" s="8"/>
      <c r="W242" s="23"/>
      <c r="X242" s="239"/>
    </row>
    <row r="243" spans="2:24" s="6" customFormat="1">
      <c r="B243" s="8"/>
      <c r="E243" s="57"/>
      <c r="M243" s="57"/>
      <c r="V243" s="8"/>
      <c r="W243" s="23"/>
      <c r="X243" s="239"/>
    </row>
    <row r="244" spans="2:24" s="6" customFormat="1">
      <c r="B244" s="8"/>
      <c r="E244" s="57"/>
      <c r="M244" s="57"/>
      <c r="V244" s="8"/>
      <c r="W244" s="23"/>
      <c r="X244" s="239"/>
    </row>
    <row r="245" spans="2:24" s="6" customFormat="1">
      <c r="B245" s="8"/>
      <c r="E245" s="57"/>
      <c r="M245" s="57"/>
      <c r="V245" s="8"/>
      <c r="W245" s="23"/>
      <c r="X245" s="239"/>
    </row>
    <row r="246" spans="2:24" s="6" customFormat="1">
      <c r="B246" s="8"/>
      <c r="E246" s="57"/>
      <c r="M246" s="57"/>
      <c r="V246" s="8"/>
      <c r="W246" s="23"/>
      <c r="X246" s="239"/>
    </row>
    <row r="247" spans="2:24" s="6" customFormat="1">
      <c r="B247" s="8"/>
      <c r="E247" s="57"/>
      <c r="M247" s="57"/>
      <c r="V247" s="8"/>
      <c r="W247" s="23"/>
      <c r="X247" s="239"/>
    </row>
    <row r="248" spans="2:24" s="6" customFormat="1">
      <c r="B248" s="8"/>
      <c r="E248" s="57"/>
      <c r="M248" s="57"/>
      <c r="V248" s="8"/>
      <c r="W248" s="23"/>
      <c r="X248" s="239"/>
    </row>
    <row r="249" spans="2:24" s="6" customFormat="1">
      <c r="B249" s="8"/>
      <c r="E249" s="57"/>
      <c r="M249" s="57"/>
      <c r="V249" s="8"/>
      <c r="W249" s="23"/>
      <c r="X249" s="239"/>
    </row>
    <row r="250" spans="2:24" s="6" customFormat="1">
      <c r="B250" s="8"/>
      <c r="E250" s="57"/>
      <c r="M250" s="57"/>
      <c r="V250" s="8"/>
      <c r="W250" s="23"/>
      <c r="X250" s="239"/>
    </row>
    <row r="251" spans="2:24" s="6" customFormat="1">
      <c r="B251" s="8"/>
      <c r="E251" s="57"/>
      <c r="M251" s="57"/>
      <c r="V251" s="8"/>
      <c r="W251" s="23"/>
      <c r="X251" s="239"/>
    </row>
    <row r="252" spans="2:24" s="6" customFormat="1">
      <c r="B252" s="8"/>
      <c r="E252" s="57"/>
      <c r="M252" s="57"/>
      <c r="V252" s="8"/>
      <c r="W252" s="23"/>
      <c r="X252" s="239"/>
    </row>
    <row r="253" spans="2:24" s="6" customFormat="1">
      <c r="B253" s="8"/>
      <c r="E253" s="57"/>
      <c r="M253" s="57"/>
      <c r="V253" s="8"/>
      <c r="W253" s="23"/>
      <c r="X253" s="239"/>
    </row>
    <row r="254" spans="2:24" s="6" customFormat="1">
      <c r="B254" s="8"/>
      <c r="E254" s="57"/>
      <c r="M254" s="57"/>
      <c r="V254" s="8"/>
      <c r="W254" s="23"/>
      <c r="X254" s="239"/>
    </row>
    <row r="255" spans="2:24" s="6" customFormat="1">
      <c r="B255" s="8"/>
      <c r="E255" s="57"/>
      <c r="M255" s="57"/>
      <c r="V255" s="8"/>
      <c r="W255" s="23"/>
      <c r="X255" s="239"/>
    </row>
    <row r="256" spans="2:24" s="6" customFormat="1">
      <c r="B256" s="8"/>
      <c r="E256" s="57"/>
      <c r="M256" s="57"/>
      <c r="V256" s="8"/>
      <c r="W256" s="23"/>
      <c r="X256" s="239"/>
    </row>
    <row r="257" spans="2:24" s="6" customFormat="1">
      <c r="B257" s="8"/>
      <c r="E257" s="57"/>
      <c r="M257" s="57"/>
      <c r="V257" s="8"/>
      <c r="W257" s="23"/>
      <c r="X257" s="239"/>
    </row>
    <row r="258" spans="2:24" s="6" customFormat="1">
      <c r="B258" s="8"/>
      <c r="E258" s="57"/>
      <c r="M258" s="57"/>
      <c r="V258" s="8"/>
      <c r="W258" s="23"/>
      <c r="X258" s="239"/>
    </row>
    <row r="259" spans="2:24" s="6" customFormat="1">
      <c r="B259" s="8"/>
      <c r="E259" s="57"/>
      <c r="M259" s="57"/>
      <c r="V259" s="8"/>
      <c r="W259" s="23"/>
      <c r="X259" s="239"/>
    </row>
    <row r="260" spans="2:24" s="6" customFormat="1">
      <c r="B260" s="8"/>
      <c r="E260" s="57"/>
      <c r="M260" s="57"/>
      <c r="V260" s="8"/>
      <c r="W260" s="23"/>
      <c r="X260" s="239"/>
    </row>
    <row r="261" spans="2:24" s="6" customFormat="1">
      <c r="B261" s="8"/>
      <c r="E261" s="57"/>
      <c r="M261" s="57"/>
      <c r="V261" s="8"/>
      <c r="W261" s="23"/>
      <c r="X261" s="239"/>
    </row>
    <row r="262" spans="2:24" s="6" customFormat="1">
      <c r="B262" s="8"/>
      <c r="E262" s="57"/>
      <c r="M262" s="57"/>
      <c r="V262" s="8"/>
      <c r="W262" s="23"/>
      <c r="X262" s="239"/>
    </row>
    <row r="263" spans="2:24" s="6" customFormat="1">
      <c r="B263" s="8"/>
      <c r="E263" s="57"/>
      <c r="M263" s="57"/>
      <c r="V263" s="8"/>
      <c r="W263" s="23"/>
      <c r="X263" s="239"/>
    </row>
    <row r="264" spans="2:24" s="6" customFormat="1">
      <c r="B264" s="8"/>
      <c r="E264" s="57"/>
      <c r="M264" s="57"/>
      <c r="V264" s="8"/>
      <c r="W264" s="23"/>
      <c r="X264" s="239"/>
    </row>
    <row r="265" spans="2:24" s="6" customFormat="1">
      <c r="B265" s="8"/>
      <c r="E265" s="57"/>
      <c r="M265" s="57"/>
      <c r="V265" s="8"/>
      <c r="W265" s="23"/>
      <c r="X265" s="239"/>
    </row>
    <row r="266" spans="2:24" s="6" customFormat="1">
      <c r="B266" s="8"/>
      <c r="E266" s="57"/>
      <c r="M266" s="57"/>
      <c r="V266" s="8"/>
      <c r="W266" s="23"/>
      <c r="X266" s="239"/>
    </row>
    <row r="267" spans="2:24" s="6" customFormat="1">
      <c r="B267" s="8"/>
      <c r="E267" s="57"/>
      <c r="M267" s="57"/>
      <c r="V267" s="8"/>
      <c r="W267" s="23"/>
      <c r="X267" s="239"/>
    </row>
    <row r="268" spans="2:24" s="6" customFormat="1">
      <c r="B268" s="8"/>
      <c r="E268" s="57"/>
      <c r="M268" s="57"/>
      <c r="V268" s="8"/>
      <c r="W268" s="23"/>
      <c r="X268" s="239"/>
    </row>
    <row r="269" spans="2:24" s="6" customFormat="1">
      <c r="B269" s="8"/>
      <c r="E269" s="57"/>
      <c r="M269" s="57"/>
      <c r="V269" s="8"/>
      <c r="W269" s="23"/>
      <c r="X269" s="239"/>
    </row>
    <row r="270" spans="2:24" s="6" customFormat="1">
      <c r="B270" s="8"/>
      <c r="E270" s="57"/>
      <c r="M270" s="57"/>
      <c r="V270" s="8"/>
      <c r="W270" s="23"/>
      <c r="X270" s="239"/>
    </row>
    <row r="271" spans="2:24" s="6" customFormat="1">
      <c r="B271" s="8"/>
      <c r="E271" s="57"/>
      <c r="M271" s="57"/>
      <c r="V271" s="8"/>
      <c r="W271" s="23"/>
      <c r="X271" s="239"/>
    </row>
    <row r="272" spans="2:24" s="6" customFormat="1">
      <c r="B272" s="8"/>
      <c r="E272" s="57"/>
      <c r="M272" s="57"/>
      <c r="V272" s="8"/>
      <c r="W272" s="23"/>
      <c r="X272" s="239"/>
    </row>
    <row r="273" spans="2:24" s="6" customFormat="1">
      <c r="B273" s="8"/>
      <c r="E273" s="57"/>
      <c r="M273" s="57"/>
      <c r="V273" s="8"/>
      <c r="W273" s="23"/>
      <c r="X273" s="239"/>
    </row>
    <row r="274" spans="2:24" s="6" customFormat="1">
      <c r="B274" s="8"/>
      <c r="E274" s="57"/>
      <c r="M274" s="57"/>
      <c r="V274" s="8"/>
      <c r="W274" s="23"/>
      <c r="X274" s="239"/>
    </row>
    <row r="275" spans="2:24" s="6" customFormat="1">
      <c r="B275" s="8"/>
      <c r="E275" s="57"/>
      <c r="M275" s="57"/>
      <c r="V275" s="8"/>
      <c r="W275" s="23"/>
      <c r="X275" s="239"/>
    </row>
    <row r="276" spans="2:24" s="6" customFormat="1">
      <c r="B276" s="8"/>
      <c r="E276" s="57"/>
      <c r="M276" s="57"/>
      <c r="V276" s="8"/>
      <c r="W276" s="23"/>
      <c r="X276" s="239"/>
    </row>
    <row r="277" spans="2:24" s="6" customFormat="1">
      <c r="B277" s="8"/>
      <c r="E277" s="57"/>
      <c r="M277" s="57"/>
      <c r="V277" s="8"/>
      <c r="W277" s="23"/>
      <c r="X277" s="239"/>
    </row>
    <row r="278" spans="2:24" s="6" customFormat="1">
      <c r="B278" s="8"/>
      <c r="E278" s="57"/>
      <c r="M278" s="57"/>
      <c r="V278" s="8"/>
      <c r="W278" s="23"/>
      <c r="X278" s="239"/>
    </row>
    <row r="279" spans="2:24" s="6" customFormat="1">
      <c r="B279" s="8"/>
      <c r="E279" s="57"/>
      <c r="M279" s="57"/>
      <c r="V279" s="8"/>
      <c r="W279" s="23"/>
      <c r="X279" s="239"/>
    </row>
    <row r="280" spans="2:24" s="6" customFormat="1">
      <c r="B280" s="8"/>
      <c r="E280" s="57"/>
      <c r="M280" s="57"/>
      <c r="V280" s="8"/>
      <c r="W280" s="23"/>
      <c r="X280" s="239"/>
    </row>
    <row r="281" spans="2:24" s="6" customFormat="1">
      <c r="B281" s="8"/>
      <c r="E281" s="57"/>
      <c r="M281" s="57"/>
      <c r="V281" s="8"/>
      <c r="W281" s="23"/>
      <c r="X281" s="239"/>
    </row>
    <row r="282" spans="2:24" s="6" customFormat="1">
      <c r="B282" s="8"/>
      <c r="E282" s="57"/>
      <c r="M282" s="57"/>
      <c r="V282" s="8"/>
      <c r="W282" s="23"/>
      <c r="X282" s="239"/>
    </row>
    <row r="283" spans="2:24" s="6" customFormat="1">
      <c r="B283" s="8"/>
      <c r="E283" s="57"/>
      <c r="M283" s="57"/>
      <c r="V283" s="8"/>
      <c r="W283" s="23"/>
      <c r="X283" s="239"/>
    </row>
    <row r="284" spans="2:24" s="6" customFormat="1">
      <c r="B284" s="8"/>
      <c r="E284" s="57"/>
      <c r="M284" s="57"/>
      <c r="V284" s="8"/>
      <c r="W284" s="23"/>
      <c r="X284" s="239"/>
    </row>
    <row r="285" spans="2:24" s="6" customFormat="1">
      <c r="B285" s="8"/>
      <c r="E285" s="57"/>
      <c r="M285" s="57"/>
      <c r="V285" s="8"/>
      <c r="W285" s="23"/>
      <c r="X285" s="239"/>
    </row>
    <row r="286" spans="2:24" s="6" customFormat="1">
      <c r="B286" s="8"/>
      <c r="E286" s="57"/>
      <c r="M286" s="57"/>
      <c r="V286" s="8"/>
      <c r="W286" s="23"/>
      <c r="X286" s="239"/>
    </row>
    <row r="287" spans="2:24" s="6" customFormat="1">
      <c r="B287" s="8"/>
      <c r="E287" s="57"/>
      <c r="M287" s="57"/>
      <c r="V287" s="8"/>
      <c r="W287" s="23"/>
      <c r="X287" s="239"/>
    </row>
    <row r="288" spans="2:24" s="6" customFormat="1">
      <c r="B288" s="8"/>
      <c r="E288" s="57"/>
      <c r="M288" s="57"/>
      <c r="V288" s="8"/>
      <c r="W288" s="23"/>
      <c r="X288" s="239"/>
    </row>
    <row r="289" spans="2:24" s="6" customFormat="1">
      <c r="B289" s="8"/>
      <c r="E289" s="57"/>
      <c r="M289" s="57"/>
      <c r="V289" s="8"/>
      <c r="W289" s="23"/>
      <c r="X289" s="239"/>
    </row>
    <row r="290" spans="2:24" s="6" customFormat="1">
      <c r="B290" s="8"/>
      <c r="E290" s="57"/>
      <c r="M290" s="57"/>
      <c r="V290" s="8"/>
      <c r="W290" s="23"/>
      <c r="X290" s="239"/>
    </row>
    <row r="291" spans="2:24" s="6" customFormat="1">
      <c r="B291" s="8"/>
      <c r="E291" s="57"/>
      <c r="M291" s="57"/>
      <c r="V291" s="8"/>
      <c r="W291" s="23"/>
      <c r="X291" s="239"/>
    </row>
    <row r="292" spans="2:24" s="6" customFormat="1">
      <c r="B292" s="8"/>
      <c r="E292" s="57"/>
      <c r="M292" s="57"/>
      <c r="V292" s="8"/>
      <c r="W292" s="23"/>
      <c r="X292" s="239"/>
    </row>
    <row r="293" spans="2:24" s="6" customFormat="1">
      <c r="B293" s="8"/>
      <c r="E293" s="57"/>
      <c r="M293" s="57"/>
      <c r="V293" s="8"/>
      <c r="W293" s="23"/>
      <c r="X293" s="239"/>
    </row>
    <row r="294" spans="2:24" s="6" customFormat="1">
      <c r="B294" s="8"/>
      <c r="E294" s="57"/>
      <c r="M294" s="57"/>
      <c r="V294" s="8"/>
      <c r="W294" s="23"/>
      <c r="X294" s="239"/>
    </row>
    <row r="295" spans="2:24" s="6" customFormat="1">
      <c r="B295" s="8"/>
      <c r="E295" s="57"/>
      <c r="M295" s="57"/>
      <c r="V295" s="8"/>
      <c r="W295" s="23"/>
      <c r="X295" s="239"/>
    </row>
    <row r="296" spans="2:24" s="6" customFormat="1">
      <c r="B296" s="8"/>
      <c r="E296" s="57"/>
      <c r="M296" s="57"/>
      <c r="V296" s="8"/>
      <c r="W296" s="23"/>
      <c r="X296" s="239"/>
    </row>
    <row r="297" spans="2:24" s="6" customFormat="1">
      <c r="B297" s="8"/>
      <c r="E297" s="57"/>
      <c r="M297" s="57"/>
      <c r="V297" s="8"/>
      <c r="W297" s="23"/>
      <c r="X297" s="239"/>
    </row>
    <row r="298" spans="2:24" s="6" customFormat="1">
      <c r="B298" s="8"/>
      <c r="E298" s="57"/>
      <c r="M298" s="57"/>
      <c r="V298" s="8"/>
      <c r="W298" s="23"/>
      <c r="X298" s="239"/>
    </row>
    <row r="299" spans="2:24" s="6" customFormat="1">
      <c r="B299" s="8"/>
      <c r="E299" s="57"/>
      <c r="M299" s="57"/>
      <c r="V299" s="8"/>
      <c r="W299" s="23"/>
      <c r="X299" s="239"/>
    </row>
    <row r="300" spans="2:24" s="6" customFormat="1">
      <c r="B300" s="8"/>
      <c r="E300" s="57"/>
      <c r="M300" s="57"/>
      <c r="V300" s="8"/>
      <c r="W300" s="23"/>
      <c r="X300" s="239"/>
    </row>
    <row r="301" spans="2:24" s="6" customFormat="1">
      <c r="B301" s="8"/>
      <c r="E301" s="57"/>
      <c r="M301" s="57"/>
      <c r="V301" s="8"/>
      <c r="W301" s="23"/>
      <c r="X301" s="239"/>
    </row>
    <row r="302" spans="2:24" s="6" customFormat="1">
      <c r="B302" s="8"/>
      <c r="E302" s="57"/>
      <c r="M302" s="57"/>
      <c r="V302" s="8"/>
      <c r="W302" s="23"/>
      <c r="X302" s="239"/>
    </row>
    <row r="303" spans="2:24" s="6" customFormat="1">
      <c r="B303" s="8"/>
      <c r="E303" s="57"/>
      <c r="M303" s="57"/>
      <c r="V303" s="8"/>
      <c r="W303" s="23"/>
      <c r="X303" s="239"/>
    </row>
    <row r="304" spans="2:24" s="6" customFormat="1">
      <c r="B304" s="8"/>
      <c r="E304" s="57"/>
      <c r="M304" s="57"/>
      <c r="V304" s="8"/>
      <c r="W304" s="23"/>
      <c r="X304" s="239"/>
    </row>
    <row r="305" spans="2:24" s="6" customFormat="1">
      <c r="B305" s="8"/>
      <c r="E305" s="57"/>
      <c r="M305" s="57"/>
      <c r="V305" s="8"/>
      <c r="W305" s="23"/>
      <c r="X305" s="239"/>
    </row>
    <row r="306" spans="2:24" s="6" customFormat="1">
      <c r="B306" s="8"/>
      <c r="E306" s="57"/>
      <c r="M306" s="57"/>
      <c r="V306" s="8"/>
      <c r="W306" s="23"/>
      <c r="X306" s="239"/>
    </row>
    <row r="307" spans="2:24" s="6" customFormat="1">
      <c r="B307" s="8"/>
      <c r="E307" s="57"/>
      <c r="M307" s="57"/>
      <c r="V307" s="8"/>
      <c r="W307" s="23"/>
      <c r="X307" s="239"/>
    </row>
    <row r="308" spans="2:24" s="6" customFormat="1">
      <c r="B308" s="8"/>
      <c r="E308" s="57"/>
      <c r="M308" s="57"/>
      <c r="V308" s="8"/>
      <c r="W308" s="23"/>
      <c r="X308" s="239"/>
    </row>
    <row r="309" spans="2:24" s="6" customFormat="1">
      <c r="B309" s="8"/>
      <c r="E309" s="57"/>
      <c r="M309" s="57"/>
      <c r="V309" s="8"/>
      <c r="W309" s="23"/>
      <c r="X309" s="239"/>
    </row>
    <row r="310" spans="2:24" s="6" customFormat="1">
      <c r="B310" s="8"/>
      <c r="E310" s="57"/>
      <c r="M310" s="57"/>
      <c r="V310" s="8"/>
      <c r="W310" s="23"/>
      <c r="X310" s="239"/>
    </row>
    <row r="311" spans="2:24" s="6" customFormat="1">
      <c r="B311" s="8"/>
      <c r="E311" s="57"/>
      <c r="M311" s="57"/>
      <c r="V311" s="8"/>
      <c r="W311" s="23"/>
      <c r="X311" s="239"/>
    </row>
    <row r="312" spans="2:24" s="6" customFormat="1">
      <c r="B312" s="8"/>
      <c r="E312" s="57"/>
      <c r="M312" s="57"/>
      <c r="V312" s="8"/>
      <c r="W312" s="23"/>
      <c r="X312" s="239"/>
    </row>
    <row r="313" spans="2:24" s="6" customFormat="1">
      <c r="B313" s="8"/>
      <c r="E313" s="57"/>
      <c r="M313" s="57"/>
      <c r="V313" s="8"/>
      <c r="W313" s="23"/>
      <c r="X313" s="239"/>
    </row>
    <row r="314" spans="2:24" s="6" customFormat="1">
      <c r="B314" s="8"/>
      <c r="E314" s="57"/>
      <c r="M314" s="57"/>
      <c r="V314" s="8"/>
      <c r="W314" s="23"/>
      <c r="X314" s="239"/>
    </row>
    <row r="315" spans="2:24" s="6" customFormat="1">
      <c r="B315" s="8"/>
      <c r="E315" s="57"/>
      <c r="M315" s="57"/>
      <c r="V315" s="8"/>
      <c r="W315" s="23"/>
      <c r="X315" s="239"/>
    </row>
    <row r="316" spans="2:24" s="6" customFormat="1">
      <c r="B316" s="8"/>
      <c r="E316" s="57"/>
      <c r="M316" s="57"/>
      <c r="V316" s="8"/>
      <c r="W316" s="23"/>
      <c r="X316" s="239"/>
    </row>
    <row r="317" spans="2:24" s="6" customFormat="1">
      <c r="B317" s="8"/>
      <c r="E317" s="57"/>
      <c r="M317" s="57"/>
      <c r="V317" s="8"/>
      <c r="W317" s="23"/>
      <c r="X317" s="239"/>
    </row>
    <row r="318" spans="2:24" s="6" customFormat="1">
      <c r="B318" s="8"/>
      <c r="E318" s="57"/>
      <c r="M318" s="57"/>
      <c r="V318" s="8"/>
      <c r="W318" s="23"/>
      <c r="X318" s="239"/>
    </row>
    <row r="319" spans="2:24" s="6" customFormat="1">
      <c r="B319" s="8"/>
      <c r="E319" s="57"/>
      <c r="M319" s="57"/>
      <c r="V319" s="8"/>
      <c r="W319" s="23"/>
      <c r="X319" s="239"/>
    </row>
    <row r="320" spans="2:24" s="6" customFormat="1">
      <c r="B320" s="8"/>
      <c r="E320" s="57"/>
      <c r="M320" s="57"/>
      <c r="V320" s="8"/>
      <c r="W320" s="23"/>
      <c r="X320" s="239"/>
    </row>
    <row r="321" spans="2:24" s="6" customFormat="1">
      <c r="B321" s="8"/>
      <c r="E321" s="57"/>
      <c r="M321" s="57"/>
      <c r="V321" s="8"/>
      <c r="W321" s="23"/>
      <c r="X321" s="239"/>
    </row>
    <row r="322" spans="2:24" s="6" customFormat="1">
      <c r="B322" s="8"/>
      <c r="E322" s="57"/>
      <c r="M322" s="57"/>
      <c r="V322" s="8"/>
      <c r="W322" s="23"/>
      <c r="X322" s="239"/>
    </row>
    <row r="323" spans="2:24" s="6" customFormat="1">
      <c r="B323" s="8"/>
      <c r="E323" s="57"/>
      <c r="M323" s="57"/>
      <c r="V323" s="8" t="str">
        <f>_xll.BDP(A323 &amp;" Equity", "DVD_FREQ")</f>
        <v>#N/A Invalid Security</v>
      </c>
      <c r="W323" s="23">
        <f t="shared" ref="W323:W349" si="27">G323</f>
        <v>0</v>
      </c>
      <c r="X323" s="239" t="str">
        <f>_xll.BDP(A323 &amp;" Equity", "EQY_DVD_YLD_IND_NET")</f>
        <v>#N/A Invalid Security</v>
      </c>
    </row>
    <row r="324" spans="2:24" s="6" customFormat="1">
      <c r="B324" s="8"/>
      <c r="E324" s="57"/>
      <c r="M324" s="57"/>
      <c r="V324" s="8" t="str">
        <f>_xll.BDP(A324 &amp;" Equity", "DVD_FREQ")</f>
        <v>#N/A Invalid Security</v>
      </c>
      <c r="W324" s="23">
        <f t="shared" si="27"/>
        <v>0</v>
      </c>
      <c r="X324" s="239" t="str">
        <f>_xll.BDP(A324 &amp;" Equity", "EQY_DVD_YLD_IND_NET")</f>
        <v>#N/A Invalid Security</v>
      </c>
    </row>
    <row r="325" spans="2:24" s="6" customFormat="1">
      <c r="B325" s="8"/>
      <c r="E325" s="57"/>
      <c r="M325" s="57"/>
      <c r="V325" s="8" t="str">
        <f>_xll.BDP(A325 &amp;" Equity", "DVD_FREQ")</f>
        <v>#N/A Invalid Security</v>
      </c>
      <c r="W325" s="23">
        <f t="shared" si="27"/>
        <v>0</v>
      </c>
      <c r="X325" s="239" t="str">
        <f>_xll.BDP(A325 &amp;" Equity", "EQY_DVD_YLD_IND_NET")</f>
        <v>#N/A Invalid Security</v>
      </c>
    </row>
    <row r="326" spans="2:24" s="6" customFormat="1">
      <c r="B326" s="8"/>
      <c r="E326" s="57"/>
      <c r="M326" s="57"/>
      <c r="V326" s="8" t="str">
        <f>_xll.BDP(A326 &amp;" Equity", "DVD_FREQ")</f>
        <v>#N/A Invalid Security</v>
      </c>
      <c r="W326" s="23">
        <f t="shared" si="27"/>
        <v>0</v>
      </c>
      <c r="X326" s="239" t="str">
        <f>_xll.BDP(A326 &amp;" Equity", "EQY_DVD_YLD_IND_NET")</f>
        <v>#N/A Invalid Security</v>
      </c>
    </row>
    <row r="327" spans="2:24" s="6" customFormat="1">
      <c r="B327" s="8"/>
      <c r="E327" s="57"/>
      <c r="M327" s="57"/>
      <c r="V327" s="8" t="str">
        <f>_xll.BDP(A327 &amp;" Equity", "DVD_FREQ")</f>
        <v>#N/A Invalid Security</v>
      </c>
      <c r="W327" s="23">
        <f t="shared" si="27"/>
        <v>0</v>
      </c>
      <c r="X327" s="239" t="str">
        <f>_xll.BDP(A327 &amp;" Equity", "EQY_DVD_YLD_IND_NET")</f>
        <v>#N/A Invalid Security</v>
      </c>
    </row>
    <row r="328" spans="2:24" s="6" customFormat="1">
      <c r="B328" s="8"/>
      <c r="E328" s="57"/>
      <c r="M328" s="57"/>
      <c r="V328" s="8" t="str">
        <f>_xll.BDP(A328 &amp;" Equity", "DVD_FREQ")</f>
        <v>#N/A Invalid Security</v>
      </c>
      <c r="W328" s="23">
        <f t="shared" si="27"/>
        <v>0</v>
      </c>
      <c r="X328" s="239" t="str">
        <f>_xll.BDP(A328 &amp;" Equity", "EQY_DVD_YLD_IND_NET")</f>
        <v>#N/A Invalid Security</v>
      </c>
    </row>
    <row r="329" spans="2:24" s="6" customFormat="1">
      <c r="B329" s="8"/>
      <c r="E329" s="57"/>
      <c r="M329" s="57"/>
      <c r="V329" s="8" t="str">
        <f>_xll.BDP(A329 &amp;" Equity", "DVD_FREQ")</f>
        <v>#N/A Invalid Security</v>
      </c>
      <c r="W329" s="23">
        <f t="shared" si="27"/>
        <v>0</v>
      </c>
      <c r="X329" s="239" t="str">
        <f>_xll.BDP(A329 &amp;" Equity", "EQY_DVD_YLD_IND_NET")</f>
        <v>#N/A Invalid Security</v>
      </c>
    </row>
    <row r="330" spans="2:24" s="6" customFormat="1">
      <c r="B330" s="8"/>
      <c r="E330" s="57"/>
      <c r="M330" s="57"/>
      <c r="V330" s="8" t="str">
        <f>_xll.BDP(A330 &amp;" Equity", "DVD_FREQ")</f>
        <v>#N/A Invalid Security</v>
      </c>
      <c r="W330" s="23">
        <f t="shared" si="27"/>
        <v>0</v>
      </c>
      <c r="X330" s="239" t="str">
        <f>_xll.BDP(A330 &amp;" Equity", "EQY_DVD_YLD_IND_NET")</f>
        <v>#N/A Invalid Security</v>
      </c>
    </row>
    <row r="331" spans="2:24" s="6" customFormat="1">
      <c r="B331" s="8"/>
      <c r="E331" s="57"/>
      <c r="M331" s="57"/>
      <c r="V331" s="8" t="str">
        <f>_xll.BDP(A331 &amp;" Equity", "DVD_FREQ")</f>
        <v>#N/A Invalid Security</v>
      </c>
      <c r="W331" s="23">
        <f t="shared" si="27"/>
        <v>0</v>
      </c>
      <c r="X331" s="239" t="str">
        <f>_xll.BDP(A331 &amp;" Equity", "EQY_DVD_YLD_IND_NET")</f>
        <v>#N/A Invalid Security</v>
      </c>
    </row>
    <row r="332" spans="2:24" s="6" customFormat="1">
      <c r="B332" s="8"/>
      <c r="E332" s="57"/>
      <c r="M332" s="57"/>
      <c r="V332" s="8" t="str">
        <f>_xll.BDP(A332 &amp;" Equity", "DVD_FREQ")</f>
        <v>#N/A Invalid Security</v>
      </c>
      <c r="W332" s="23">
        <f t="shared" si="27"/>
        <v>0</v>
      </c>
      <c r="X332" s="239" t="str">
        <f>_xll.BDP(A332 &amp;" Equity", "EQY_DVD_YLD_IND_NET")</f>
        <v>#N/A Invalid Security</v>
      </c>
    </row>
    <row r="333" spans="2:24" s="6" customFormat="1">
      <c r="B333" s="8"/>
      <c r="E333" s="57"/>
      <c r="M333" s="57"/>
      <c r="V333" s="8" t="str">
        <f>_xll.BDP(A333 &amp;" Equity", "DVD_FREQ")</f>
        <v>#N/A Invalid Security</v>
      </c>
      <c r="W333" s="23">
        <f t="shared" si="27"/>
        <v>0</v>
      </c>
      <c r="X333" s="239" t="str">
        <f>_xll.BDP(A333 &amp;" Equity", "EQY_DVD_YLD_IND_NET")</f>
        <v>#N/A Invalid Security</v>
      </c>
    </row>
    <row r="334" spans="2:24" s="6" customFormat="1">
      <c r="B334" s="8"/>
      <c r="E334" s="57"/>
      <c r="M334" s="57"/>
      <c r="V334" s="8" t="str">
        <f>_xll.BDP(A334 &amp;" Equity", "DVD_FREQ")</f>
        <v>#N/A Invalid Security</v>
      </c>
      <c r="W334" s="23">
        <f t="shared" si="27"/>
        <v>0</v>
      </c>
      <c r="X334" s="239" t="str">
        <f>_xll.BDP(A334 &amp;" Equity", "EQY_DVD_YLD_IND_NET")</f>
        <v>#N/A Invalid Security</v>
      </c>
    </row>
    <row r="335" spans="2:24" s="6" customFormat="1">
      <c r="B335" s="8"/>
      <c r="E335" s="57"/>
      <c r="M335" s="57"/>
      <c r="V335" s="8" t="str">
        <f>_xll.BDP(A335 &amp;" Equity", "DVD_FREQ")</f>
        <v>#N/A Invalid Security</v>
      </c>
      <c r="W335" s="23">
        <f t="shared" si="27"/>
        <v>0</v>
      </c>
      <c r="X335" s="239" t="str">
        <f>_xll.BDP(A335 &amp;" Equity", "EQY_DVD_YLD_IND_NET")</f>
        <v>#N/A Invalid Security</v>
      </c>
    </row>
    <row r="336" spans="2:24" s="6" customFormat="1">
      <c r="B336" s="8"/>
      <c r="E336" s="57"/>
      <c r="M336" s="57"/>
      <c r="V336" s="8" t="str">
        <f>_xll.BDP(A336 &amp;" Equity", "DVD_FREQ")</f>
        <v>#N/A Invalid Security</v>
      </c>
      <c r="W336" s="23">
        <f t="shared" si="27"/>
        <v>0</v>
      </c>
      <c r="X336" s="239" t="str">
        <f>_xll.BDP(A336 &amp;" Equity", "EQY_DVD_YLD_IND_NET")</f>
        <v>#N/A Invalid Security</v>
      </c>
    </row>
    <row r="337" spans="2:24" s="6" customFormat="1">
      <c r="B337" s="8"/>
      <c r="E337" s="57"/>
      <c r="M337" s="57"/>
      <c r="V337" s="8" t="str">
        <f>_xll.BDP(A337 &amp;" Equity", "DVD_FREQ")</f>
        <v>#N/A Invalid Security</v>
      </c>
      <c r="W337" s="23">
        <f t="shared" si="27"/>
        <v>0</v>
      </c>
      <c r="X337" s="239" t="str">
        <f>_xll.BDP(A337 &amp;" Equity", "EQY_DVD_YLD_IND_NET")</f>
        <v>#N/A Invalid Security</v>
      </c>
    </row>
    <row r="338" spans="2:24" s="6" customFormat="1">
      <c r="B338" s="8"/>
      <c r="E338" s="57"/>
      <c r="M338" s="57"/>
      <c r="V338" s="8" t="str">
        <f>_xll.BDP(A338 &amp;" Equity", "DVD_FREQ")</f>
        <v>#N/A Invalid Security</v>
      </c>
      <c r="W338" s="23">
        <f t="shared" si="27"/>
        <v>0</v>
      </c>
      <c r="X338" s="239" t="str">
        <f>_xll.BDP(A338 &amp;" Equity", "EQY_DVD_YLD_IND_NET")</f>
        <v>#N/A Invalid Security</v>
      </c>
    </row>
    <row r="339" spans="2:24" s="6" customFormat="1">
      <c r="B339" s="8"/>
      <c r="E339" s="57"/>
      <c r="M339" s="57"/>
      <c r="V339" s="8" t="str">
        <f>_xll.BDP(A339 &amp;" Equity", "DVD_FREQ")</f>
        <v>#N/A Invalid Security</v>
      </c>
      <c r="W339" s="23">
        <f t="shared" si="27"/>
        <v>0</v>
      </c>
      <c r="X339" s="239" t="str">
        <f>_xll.BDP(A339 &amp;" Equity", "EQY_DVD_YLD_IND_NET")</f>
        <v>#N/A Invalid Security</v>
      </c>
    </row>
    <row r="340" spans="2:24" s="6" customFormat="1">
      <c r="B340" s="8"/>
      <c r="E340" s="57"/>
      <c r="M340" s="57"/>
      <c r="V340" s="8" t="str">
        <f>_xll.BDP(A340 &amp;" Equity", "DVD_FREQ")</f>
        <v>#N/A Invalid Security</v>
      </c>
      <c r="W340" s="23">
        <f t="shared" si="27"/>
        <v>0</v>
      </c>
      <c r="X340" s="239" t="str">
        <f>_xll.BDP(A340 &amp;" Equity", "EQY_DVD_YLD_IND_NET")</f>
        <v>#N/A Invalid Security</v>
      </c>
    </row>
    <row r="341" spans="2:24" s="6" customFormat="1">
      <c r="B341" s="8"/>
      <c r="E341" s="57"/>
      <c r="M341" s="57"/>
      <c r="V341" s="8" t="str">
        <f>_xll.BDP(A341 &amp;" Equity", "DVD_FREQ")</f>
        <v>#N/A Invalid Security</v>
      </c>
      <c r="W341" s="23">
        <f t="shared" si="27"/>
        <v>0</v>
      </c>
      <c r="X341" s="239" t="str">
        <f>_xll.BDP(A341 &amp;" Equity", "EQY_DVD_YLD_IND_NET")</f>
        <v>#N/A Invalid Security</v>
      </c>
    </row>
    <row r="342" spans="2:24" s="6" customFormat="1">
      <c r="B342" s="8"/>
      <c r="E342" s="57"/>
      <c r="M342" s="57"/>
      <c r="V342" s="8" t="str">
        <f>_xll.BDP(A342 &amp;" Equity", "DVD_FREQ")</f>
        <v>#N/A Invalid Security</v>
      </c>
      <c r="W342" s="23">
        <f t="shared" si="27"/>
        <v>0</v>
      </c>
      <c r="X342" s="239" t="str">
        <f>_xll.BDP(A342 &amp;" Equity", "EQY_DVD_YLD_IND_NET")</f>
        <v>#N/A Invalid Security</v>
      </c>
    </row>
    <row r="343" spans="2:24" s="6" customFormat="1">
      <c r="B343" s="8"/>
      <c r="E343" s="57"/>
      <c r="M343" s="57"/>
      <c r="V343" s="8" t="str">
        <f>_xll.BDP(A343 &amp;" Equity", "DVD_FREQ")</f>
        <v>#N/A Invalid Security</v>
      </c>
      <c r="W343" s="23">
        <f t="shared" si="27"/>
        <v>0</v>
      </c>
      <c r="X343" s="239" t="str">
        <f>_xll.BDP(A343 &amp;" Equity", "EQY_DVD_YLD_IND_NET")</f>
        <v>#N/A Invalid Security</v>
      </c>
    </row>
    <row r="344" spans="2:24" s="6" customFormat="1">
      <c r="B344" s="8"/>
      <c r="E344" s="57"/>
      <c r="M344" s="57"/>
      <c r="V344" s="8" t="str">
        <f>_xll.BDP(A344 &amp;" Equity", "DVD_FREQ")</f>
        <v>#N/A Invalid Security</v>
      </c>
      <c r="W344" s="23">
        <f t="shared" si="27"/>
        <v>0</v>
      </c>
      <c r="X344" s="239" t="str">
        <f>_xll.BDP(A344 &amp;" Equity", "EQY_DVD_YLD_IND_NET")</f>
        <v>#N/A Invalid Security</v>
      </c>
    </row>
    <row r="345" spans="2:24" s="6" customFormat="1">
      <c r="B345" s="8"/>
      <c r="E345" s="57"/>
      <c r="M345" s="57"/>
      <c r="V345" s="8" t="str">
        <f>_xll.BDP(A345 &amp;" Equity", "DVD_FREQ")</f>
        <v>#N/A Invalid Security</v>
      </c>
      <c r="W345" s="23">
        <f t="shared" si="27"/>
        <v>0</v>
      </c>
      <c r="X345" s="239" t="str">
        <f>_xll.BDP(A345 &amp;" Equity", "EQY_DVD_YLD_IND_NET")</f>
        <v>#N/A Invalid Security</v>
      </c>
    </row>
    <row r="346" spans="2:24" s="6" customFormat="1">
      <c r="B346" s="8"/>
      <c r="E346" s="57"/>
      <c r="M346" s="57"/>
      <c r="V346" s="8" t="str">
        <f>_xll.BDP(A346 &amp;" Equity", "DVD_FREQ")</f>
        <v>#N/A Invalid Security</v>
      </c>
      <c r="W346" s="23">
        <f t="shared" si="27"/>
        <v>0</v>
      </c>
      <c r="X346" s="239" t="str">
        <f>_xll.BDP(A346 &amp;" Equity", "EQY_DVD_YLD_IND_NET")</f>
        <v>#N/A Invalid Security</v>
      </c>
    </row>
    <row r="347" spans="2:24" s="6" customFormat="1">
      <c r="B347" s="8"/>
      <c r="E347" s="57"/>
      <c r="M347" s="57"/>
      <c r="V347" s="8" t="str">
        <f>_xll.BDP(A347 &amp;" Equity", "DVD_FREQ")</f>
        <v>#N/A Invalid Security</v>
      </c>
      <c r="W347" s="23">
        <f t="shared" si="27"/>
        <v>0</v>
      </c>
      <c r="X347" s="239" t="str">
        <f>_xll.BDP(A347 &amp;" Equity", "EQY_DVD_YLD_IND_NET")</f>
        <v>#N/A Invalid Security</v>
      </c>
    </row>
    <row r="348" spans="2:24" s="6" customFormat="1">
      <c r="B348" s="8"/>
      <c r="E348" s="57"/>
      <c r="M348" s="57"/>
      <c r="V348" s="8" t="str">
        <f>_xll.BDP(A348 &amp;" Equity", "DVD_FREQ")</f>
        <v>#N/A Invalid Security</v>
      </c>
      <c r="W348" s="23">
        <f t="shared" si="27"/>
        <v>0</v>
      </c>
      <c r="X348" s="239" t="str">
        <f>_xll.BDP(A348 &amp;" Equity", "EQY_DVD_YLD_IND_NET")</f>
        <v>#N/A Invalid Security</v>
      </c>
    </row>
    <row r="349" spans="2:24" s="6" customFormat="1">
      <c r="B349" s="8"/>
      <c r="E349" s="57"/>
      <c r="M349" s="57"/>
      <c r="V349" s="8" t="str">
        <f>_xll.BDP(A349 &amp;" Equity", "DVD_FREQ")</f>
        <v>#N/A Invalid Security</v>
      </c>
      <c r="W349" s="23">
        <f t="shared" si="27"/>
        <v>0</v>
      </c>
      <c r="X349" s="239" t="str">
        <f>_xll.BDP(A349 &amp;" Equity", "EQY_DVD_YLD_IND_NET")</f>
        <v>#N/A Invalid Security</v>
      </c>
    </row>
    <row r="350" spans="2:24" s="6" customFormat="1">
      <c r="B350" s="8"/>
      <c r="E350" s="57"/>
      <c r="M350" s="57"/>
      <c r="V350" s="8"/>
      <c r="W350" s="23"/>
      <c r="X350" s="239"/>
    </row>
    <row r="351" spans="2:24" s="6" customFormat="1">
      <c r="B351" s="8"/>
      <c r="E351" s="57"/>
      <c r="M351" s="57"/>
      <c r="V351" s="8"/>
      <c r="W351" s="23"/>
      <c r="X351" s="239"/>
    </row>
    <row r="352" spans="2:24" s="6" customFormat="1">
      <c r="B352" s="8"/>
      <c r="E352" s="57"/>
      <c r="M352" s="57"/>
      <c r="V352" s="8"/>
      <c r="W352" s="23"/>
      <c r="X352" s="239"/>
    </row>
    <row r="353" spans="2:24" s="6" customFormat="1">
      <c r="B353" s="8"/>
      <c r="E353" s="57"/>
      <c r="M353" s="57"/>
      <c r="V353" s="8"/>
      <c r="W353" s="23"/>
      <c r="X353" s="239"/>
    </row>
    <row r="354" spans="2:24" s="6" customFormat="1">
      <c r="B354" s="8"/>
      <c r="E354" s="57"/>
      <c r="M354" s="57"/>
      <c r="V354" s="8"/>
      <c r="W354" s="23"/>
      <c r="X354" s="239"/>
    </row>
    <row r="355" spans="2:24" s="6" customFormat="1">
      <c r="B355" s="8"/>
      <c r="E355" s="57"/>
      <c r="M355" s="57"/>
      <c r="V355" s="8"/>
      <c r="W355" s="23"/>
      <c r="X355" s="239"/>
    </row>
    <row r="356" spans="2:24" s="6" customFormat="1">
      <c r="B356" s="8"/>
      <c r="E356" s="57"/>
      <c r="M356" s="57"/>
      <c r="V356" s="8"/>
      <c r="W356" s="23"/>
      <c r="X356" s="239"/>
    </row>
    <row r="357" spans="2:24" s="6" customFormat="1">
      <c r="B357" s="8"/>
      <c r="E357" s="57"/>
      <c r="M357" s="57"/>
      <c r="V357" s="8"/>
      <c r="W357" s="23"/>
      <c r="X357" s="239"/>
    </row>
    <row r="358" spans="2:24" s="6" customFormat="1">
      <c r="B358" s="8"/>
      <c r="E358" s="57"/>
      <c r="M358" s="57"/>
      <c r="V358" s="8"/>
      <c r="W358" s="23"/>
      <c r="X358" s="239"/>
    </row>
    <row r="359" spans="2:24" s="6" customFormat="1">
      <c r="B359" s="8"/>
      <c r="E359" s="57"/>
      <c r="M359" s="57"/>
      <c r="V359" s="8"/>
      <c r="W359" s="23"/>
      <c r="X359" s="239"/>
    </row>
    <row r="360" spans="2:24" s="6" customFormat="1">
      <c r="B360" s="8"/>
      <c r="E360" s="57"/>
      <c r="M360" s="57"/>
      <c r="V360" s="8"/>
      <c r="W360" s="23"/>
      <c r="X360" s="239"/>
    </row>
    <row r="361" spans="2:24" s="6" customFormat="1">
      <c r="B361" s="8"/>
      <c r="E361" s="57"/>
      <c r="M361" s="57"/>
      <c r="V361" s="8"/>
      <c r="W361" s="23"/>
      <c r="X361" s="239"/>
    </row>
    <row r="362" spans="2:24" s="6" customFormat="1">
      <c r="B362" s="8"/>
      <c r="E362" s="57"/>
      <c r="M362" s="57"/>
      <c r="V362" s="8"/>
      <c r="W362" s="23"/>
      <c r="X362" s="239"/>
    </row>
    <row r="363" spans="2:24" s="6" customFormat="1">
      <c r="B363" s="8"/>
      <c r="E363" s="57"/>
      <c r="M363" s="57"/>
      <c r="V363" s="8"/>
      <c r="W363" s="23"/>
      <c r="X363" s="239"/>
    </row>
    <row r="364" spans="2:24" s="6" customFormat="1">
      <c r="B364" s="8"/>
      <c r="E364" s="57"/>
      <c r="M364" s="57"/>
      <c r="V364" s="8"/>
      <c r="W364" s="23"/>
      <c r="X364" s="239"/>
    </row>
    <row r="365" spans="2:24" s="6" customFormat="1">
      <c r="B365" s="8"/>
      <c r="E365" s="57"/>
      <c r="M365" s="57"/>
      <c r="V365" s="8"/>
      <c r="W365" s="23"/>
      <c r="X365" s="239"/>
    </row>
    <row r="366" spans="2:24" s="6" customFormat="1">
      <c r="B366" s="8"/>
      <c r="E366" s="57"/>
      <c r="M366" s="57"/>
      <c r="V366" s="8"/>
      <c r="W366" s="23"/>
      <c r="X366" s="239"/>
    </row>
    <row r="367" spans="2:24" s="6" customFormat="1">
      <c r="B367" s="8"/>
      <c r="E367" s="57"/>
      <c r="M367" s="57"/>
      <c r="V367" s="8"/>
      <c r="W367" s="23"/>
      <c r="X367" s="239"/>
    </row>
    <row r="368" spans="2:24" s="6" customFormat="1">
      <c r="B368" s="8"/>
      <c r="E368" s="57"/>
      <c r="M368" s="57"/>
      <c r="V368" s="8"/>
      <c r="W368" s="23"/>
      <c r="X368" s="239"/>
    </row>
    <row r="369" spans="1:24" s="6" customFormat="1">
      <c r="B369" s="8"/>
      <c r="E369" s="57"/>
      <c r="M369" s="57"/>
      <c r="V369" s="8"/>
      <c r="W369" s="23"/>
      <c r="X369" s="239"/>
    </row>
    <row r="370" spans="1:24" s="6" customFormat="1">
      <c r="B370" s="8"/>
      <c r="E370" s="57"/>
      <c r="M370" s="57"/>
      <c r="V370" s="8"/>
      <c r="W370" s="23"/>
      <c r="X370" s="239"/>
    </row>
    <row r="371" spans="1:24" s="6" customFormat="1">
      <c r="B371" s="8"/>
      <c r="E371" s="57"/>
      <c r="M371" s="57"/>
      <c r="V371" s="8"/>
      <c r="W371" s="23"/>
      <c r="X371" s="239"/>
    </row>
    <row r="372" spans="1:24" s="6" customFormat="1">
      <c r="B372" s="8"/>
      <c r="E372" s="57"/>
      <c r="M372" s="57"/>
      <c r="V372" s="8"/>
      <c r="W372" s="23"/>
      <c r="X372" s="239"/>
    </row>
    <row r="373" spans="1:24" s="6" customFormat="1">
      <c r="B373" s="8"/>
      <c r="E373" s="57"/>
      <c r="M373" s="57"/>
      <c r="V373" s="8"/>
      <c r="W373" s="23"/>
      <c r="X373" s="239"/>
    </row>
    <row r="374" spans="1:24" s="6" customFormat="1">
      <c r="A374" s="2"/>
      <c r="B374" s="1"/>
      <c r="C374" s="2"/>
      <c r="D374" s="2"/>
      <c r="E374" s="57"/>
      <c r="M374" s="57"/>
      <c r="V374" s="8"/>
      <c r="W374" s="23"/>
      <c r="X374" s="239"/>
    </row>
    <row r="375" spans="1:24" s="6" customFormat="1">
      <c r="A375" s="2"/>
      <c r="B375" s="1"/>
      <c r="C375" s="2"/>
      <c r="D375" s="2"/>
      <c r="E375" s="57"/>
      <c r="M375" s="57"/>
      <c r="V375" s="8"/>
      <c r="W375" s="23"/>
      <c r="X375" s="239"/>
    </row>
    <row r="376" spans="1:24" s="6" customFormat="1">
      <c r="A376" s="2"/>
      <c r="B376" s="1"/>
      <c r="C376" s="2"/>
      <c r="D376" s="2"/>
      <c r="E376" s="57"/>
      <c r="M376" s="57"/>
      <c r="V376" s="8"/>
      <c r="W376" s="23"/>
      <c r="X376" s="239"/>
    </row>
    <row r="377" spans="1:24" s="6" customFormat="1">
      <c r="A377" s="2"/>
      <c r="B377" s="1"/>
      <c r="C377" s="2"/>
      <c r="D377" s="2"/>
      <c r="E377" s="57"/>
      <c r="M377" s="57"/>
      <c r="V377" s="8"/>
      <c r="W377" s="23"/>
      <c r="X377" s="239"/>
    </row>
    <row r="378" spans="1:24" s="6" customFormat="1">
      <c r="A378" s="2"/>
      <c r="B378" s="1"/>
      <c r="C378" s="2"/>
      <c r="D378" s="2"/>
      <c r="E378" s="57"/>
      <c r="M378" s="57"/>
      <c r="V378" s="8"/>
      <c r="W378" s="23"/>
      <c r="X378" s="239"/>
    </row>
    <row r="379" spans="1:24" s="6" customFormat="1">
      <c r="A379" s="2"/>
      <c r="B379" s="1"/>
      <c r="C379" s="2"/>
      <c r="D379" s="2"/>
      <c r="E379" s="57"/>
      <c r="M379" s="57"/>
      <c r="V379" s="8"/>
      <c r="W379" s="23"/>
      <c r="X379" s="239"/>
    </row>
    <row r="380" spans="1:24" s="6" customFormat="1">
      <c r="A380" s="2"/>
      <c r="B380" s="1"/>
      <c r="C380" s="2"/>
      <c r="D380" s="2"/>
      <c r="E380" s="57"/>
      <c r="M380" s="57"/>
      <c r="V380" s="8"/>
      <c r="W380" s="23"/>
      <c r="X380" s="239"/>
    </row>
    <row r="381" spans="1:24" s="6" customFormat="1">
      <c r="A381" s="2"/>
      <c r="B381" s="1"/>
      <c r="C381" s="2"/>
      <c r="D381" s="2"/>
      <c r="E381" s="57"/>
      <c r="M381" s="57"/>
      <c r="V381" s="8"/>
      <c r="W381" s="23"/>
      <c r="X381" s="239"/>
    </row>
    <row r="382" spans="1:24" s="6" customFormat="1">
      <c r="A382" s="2"/>
      <c r="B382" s="1"/>
      <c r="C382" s="2"/>
      <c r="D382" s="2"/>
      <c r="E382" s="57"/>
      <c r="M382" s="57"/>
      <c r="V382" s="8"/>
      <c r="W382" s="23"/>
      <c r="X382" s="239"/>
    </row>
    <row r="383" spans="1:24" s="6" customFormat="1">
      <c r="A383" s="2"/>
      <c r="B383" s="1"/>
      <c r="C383" s="2"/>
      <c r="D383" s="2"/>
      <c r="E383" s="57"/>
      <c r="M383" s="57"/>
      <c r="V383" s="8"/>
      <c r="W383" s="23"/>
      <c r="X383" s="239"/>
    </row>
    <row r="384" spans="1:24" s="6" customFormat="1">
      <c r="A384" s="2"/>
      <c r="B384" s="1"/>
      <c r="C384" s="2"/>
      <c r="D384" s="2"/>
      <c r="E384" s="57"/>
      <c r="M384" s="57"/>
      <c r="V384" s="8"/>
      <c r="W384" s="23"/>
      <c r="X384" s="239"/>
    </row>
    <row r="385" spans="1:24" s="6" customFormat="1">
      <c r="A385" s="2"/>
      <c r="B385" s="1"/>
      <c r="C385" s="2"/>
      <c r="D385" s="2"/>
      <c r="E385" s="57"/>
      <c r="M385" s="57"/>
      <c r="V385" s="8"/>
      <c r="W385" s="23"/>
      <c r="X385" s="239"/>
    </row>
    <row r="386" spans="1:24" s="6" customFormat="1">
      <c r="A386" s="2"/>
      <c r="B386" s="1"/>
      <c r="C386" s="2"/>
      <c r="D386" s="2"/>
      <c r="E386" s="57"/>
      <c r="M386" s="57"/>
      <c r="V386" s="8"/>
      <c r="W386" s="23"/>
      <c r="X386" s="239"/>
    </row>
    <row r="387" spans="1:24" s="6" customFormat="1">
      <c r="A387" s="2"/>
      <c r="B387" s="1"/>
      <c r="C387" s="2"/>
      <c r="D387" s="2"/>
      <c r="E387" s="57"/>
      <c r="M387" s="57"/>
      <c r="V387" s="8"/>
      <c r="W387" s="23"/>
      <c r="X387" s="239"/>
    </row>
    <row r="388" spans="1:24" s="6" customFormat="1">
      <c r="A388" s="2"/>
      <c r="B388" s="1"/>
      <c r="C388" s="2"/>
      <c r="D388" s="2"/>
      <c r="E388" s="57"/>
      <c r="M388" s="57"/>
      <c r="V388" s="8"/>
      <c r="W388" s="23"/>
      <c r="X388" s="239"/>
    </row>
    <row r="389" spans="1:24" s="6" customFormat="1">
      <c r="A389" s="2"/>
      <c r="B389" s="1"/>
      <c r="C389" s="2"/>
      <c r="D389" s="2"/>
      <c r="E389" s="57"/>
      <c r="M389" s="57"/>
      <c r="V389" s="8"/>
      <c r="W389" s="23"/>
      <c r="X389" s="239"/>
    </row>
    <row r="390" spans="1:24" s="6" customFormat="1">
      <c r="A390" s="2"/>
      <c r="B390" s="1"/>
      <c r="C390" s="2"/>
      <c r="D390" s="2"/>
      <c r="E390" s="57"/>
      <c r="M390" s="57"/>
      <c r="V390" s="8"/>
      <c r="W390" s="23"/>
      <c r="X390" s="239"/>
    </row>
    <row r="391" spans="1:24" s="6" customFormat="1">
      <c r="A391" s="2"/>
      <c r="B391" s="1"/>
      <c r="C391" s="2"/>
      <c r="D391" s="2"/>
      <c r="E391" s="57"/>
      <c r="M391" s="57"/>
      <c r="V391" s="8"/>
      <c r="W391" s="23"/>
      <c r="X391" s="239"/>
    </row>
    <row r="392" spans="1:24" s="6" customFormat="1">
      <c r="A392" s="2"/>
      <c r="B392" s="1"/>
      <c r="C392" s="2"/>
      <c r="D392" s="2"/>
      <c r="E392" s="57"/>
      <c r="M392" s="57"/>
      <c r="V392" s="8"/>
      <c r="W392" s="23"/>
      <c r="X392" s="239"/>
    </row>
    <row r="393" spans="1:24" s="6" customFormat="1">
      <c r="A393" s="2"/>
      <c r="B393" s="1"/>
      <c r="C393" s="2"/>
      <c r="D393" s="2"/>
      <c r="E393" s="57"/>
      <c r="M393" s="57"/>
      <c r="V393" s="8"/>
      <c r="W393" s="23"/>
      <c r="X393" s="239"/>
    </row>
    <row r="394" spans="1:24" s="6" customFormat="1">
      <c r="A394" s="2"/>
      <c r="B394" s="1"/>
      <c r="C394" s="2"/>
      <c r="D394" s="2"/>
      <c r="E394" s="57"/>
      <c r="M394" s="57"/>
      <c r="V394" s="8"/>
      <c r="W394" s="23"/>
      <c r="X394" s="239"/>
    </row>
    <row r="395" spans="1:24" s="6" customFormat="1">
      <c r="A395" s="2"/>
      <c r="B395" s="1"/>
      <c r="C395" s="2"/>
      <c r="D395" s="2"/>
      <c r="E395" s="57"/>
      <c r="M395" s="57"/>
      <c r="V395" s="8"/>
      <c r="W395" s="23"/>
      <c r="X395" s="239"/>
    </row>
    <row r="396" spans="1:24" s="6" customFormat="1">
      <c r="A396" s="2"/>
      <c r="B396" s="1"/>
      <c r="C396" s="2"/>
      <c r="D396" s="2"/>
      <c r="E396" s="57"/>
      <c r="M396" s="57"/>
      <c r="V396" s="8"/>
      <c r="W396" s="23"/>
      <c r="X396" s="239"/>
    </row>
    <row r="397" spans="1:24" s="6" customFormat="1">
      <c r="A397" s="2"/>
      <c r="B397" s="1"/>
      <c r="C397" s="2"/>
      <c r="D397" s="2"/>
      <c r="E397" s="57"/>
      <c r="M397" s="57"/>
      <c r="V397" s="8"/>
      <c r="W397" s="23"/>
      <c r="X397" s="239"/>
    </row>
    <row r="398" spans="1:24" s="6" customFormat="1">
      <c r="A398" s="2"/>
      <c r="B398" s="1"/>
      <c r="C398" s="2"/>
      <c r="D398" s="2"/>
      <c r="E398" s="57"/>
      <c r="M398" s="57"/>
      <c r="V398" s="8"/>
      <c r="W398" s="23"/>
      <c r="X398" s="239"/>
    </row>
    <row r="399" spans="1:24" s="6" customFormat="1">
      <c r="A399" s="2"/>
      <c r="B399" s="1"/>
      <c r="C399" s="2"/>
      <c r="D399" s="2"/>
      <c r="E399" s="57"/>
      <c r="M399" s="57"/>
      <c r="V399" s="8"/>
      <c r="W399" s="23"/>
      <c r="X399" s="239"/>
    </row>
    <row r="400" spans="1:24" s="6" customFormat="1">
      <c r="A400" s="2"/>
      <c r="B400" s="1"/>
      <c r="C400" s="2"/>
      <c r="D400" s="2"/>
      <c r="E400" s="57"/>
      <c r="M400" s="57"/>
      <c r="V400" s="8"/>
      <c r="W400" s="23"/>
      <c r="X400" s="239"/>
    </row>
    <row r="401" spans="1:24" s="6" customFormat="1">
      <c r="A401" s="2"/>
      <c r="B401" s="1"/>
      <c r="C401" s="2"/>
      <c r="D401" s="2"/>
      <c r="E401" s="57"/>
      <c r="M401" s="57"/>
      <c r="V401" s="8"/>
      <c r="W401" s="23"/>
      <c r="X401" s="239"/>
    </row>
    <row r="402" spans="1:24" s="6" customFormat="1">
      <c r="A402" s="2"/>
      <c r="B402" s="1"/>
      <c r="C402" s="2"/>
      <c r="D402" s="2"/>
      <c r="E402" s="57"/>
      <c r="M402" s="57"/>
      <c r="V402" s="8"/>
      <c r="W402" s="23"/>
      <c r="X402" s="239"/>
    </row>
    <row r="403" spans="1:24" s="6" customFormat="1">
      <c r="A403" s="2"/>
      <c r="B403" s="1"/>
      <c r="C403" s="2"/>
      <c r="D403" s="2"/>
      <c r="E403" s="57"/>
      <c r="M403" s="57"/>
      <c r="V403" s="8"/>
      <c r="W403" s="23"/>
      <c r="X403" s="239"/>
    </row>
    <row r="404" spans="1:24" s="6" customFormat="1">
      <c r="A404" s="2"/>
      <c r="B404" s="1"/>
      <c r="C404" s="2"/>
      <c r="D404" s="2"/>
      <c r="E404" s="57"/>
      <c r="M404" s="57"/>
      <c r="V404" s="8"/>
      <c r="W404" s="23"/>
      <c r="X404" s="239"/>
    </row>
    <row r="405" spans="1:24" s="6" customFormat="1">
      <c r="A405" s="2"/>
      <c r="B405" s="1"/>
      <c r="C405" s="2"/>
      <c r="D405" s="2"/>
      <c r="E405" s="57"/>
      <c r="M405" s="57"/>
      <c r="V405" s="8"/>
      <c r="W405" s="23"/>
      <c r="X405" s="239"/>
    </row>
    <row r="406" spans="1:24" s="6" customFormat="1">
      <c r="A406" s="2"/>
      <c r="B406" s="1"/>
      <c r="C406" s="2"/>
      <c r="D406" s="2"/>
      <c r="E406" s="57"/>
      <c r="M406" s="57"/>
      <c r="V406" s="8"/>
      <c r="W406" s="23"/>
      <c r="X406" s="239"/>
    </row>
    <row r="407" spans="1:24" s="6" customFormat="1">
      <c r="A407" s="2"/>
      <c r="B407" s="1"/>
      <c r="C407" s="2"/>
      <c r="D407" s="2"/>
      <c r="E407" s="57"/>
      <c r="M407" s="57"/>
      <c r="V407" s="8"/>
      <c r="W407" s="23"/>
      <c r="X407" s="239"/>
    </row>
    <row r="408" spans="1:24" s="6" customFormat="1">
      <c r="A408" s="2"/>
      <c r="B408" s="1"/>
      <c r="C408" s="2"/>
      <c r="D408" s="2"/>
      <c r="E408" s="57"/>
      <c r="M408" s="57"/>
      <c r="V408" s="8"/>
      <c r="W408" s="23"/>
      <c r="X408" s="239"/>
    </row>
    <row r="409" spans="1:24" s="6" customFormat="1">
      <c r="A409" s="2"/>
      <c r="B409" s="1"/>
      <c r="C409" s="2"/>
      <c r="D409" s="2"/>
      <c r="E409" s="57"/>
      <c r="M409" s="57"/>
      <c r="V409" s="8"/>
      <c r="W409" s="23"/>
      <c r="X409" s="239"/>
    </row>
    <row r="410" spans="1:24" s="6" customFormat="1">
      <c r="A410" s="2"/>
      <c r="B410" s="1"/>
      <c r="C410" s="2"/>
      <c r="D410" s="2"/>
      <c r="E410" s="57"/>
      <c r="M410" s="57"/>
      <c r="V410" s="8"/>
      <c r="W410" s="23"/>
      <c r="X410" s="239"/>
    </row>
    <row r="411" spans="1:24" s="6" customFormat="1">
      <c r="A411" s="2"/>
      <c r="B411" s="1"/>
      <c r="C411" s="2"/>
      <c r="D411" s="2"/>
      <c r="E411" s="57"/>
      <c r="M411" s="57"/>
      <c r="V411" s="8"/>
      <c r="W411" s="23"/>
      <c r="X411" s="239"/>
    </row>
    <row r="412" spans="1:24" s="6" customFormat="1">
      <c r="A412" s="2"/>
      <c r="B412" s="1"/>
      <c r="C412" s="2"/>
      <c r="D412" s="2"/>
      <c r="E412" s="57"/>
      <c r="M412" s="57"/>
      <c r="V412" s="8"/>
      <c r="W412" s="23"/>
      <c r="X412" s="239"/>
    </row>
    <row r="413" spans="1:24" s="6" customFormat="1">
      <c r="A413" s="2"/>
      <c r="B413" s="1"/>
      <c r="C413" s="2"/>
      <c r="D413" s="2"/>
      <c r="E413" s="57"/>
      <c r="M413" s="57"/>
      <c r="V413" s="8"/>
      <c r="W413" s="23"/>
      <c r="X413" s="239"/>
    </row>
    <row r="414" spans="1:24" s="6" customFormat="1">
      <c r="A414" s="2"/>
      <c r="B414" s="1"/>
      <c r="C414" s="2"/>
      <c r="D414" s="2"/>
      <c r="E414" s="57"/>
      <c r="M414" s="57"/>
      <c r="V414" s="8"/>
      <c r="W414" s="23"/>
      <c r="X414" s="239"/>
    </row>
    <row r="415" spans="1:24" s="6" customFormat="1">
      <c r="A415" s="2"/>
      <c r="B415" s="1"/>
      <c r="C415" s="2"/>
      <c r="D415" s="2"/>
      <c r="E415" s="57"/>
      <c r="M415" s="57"/>
      <c r="V415" s="8"/>
      <c r="W415" s="23"/>
      <c r="X415" s="239"/>
    </row>
    <row r="416" spans="1:24" s="6" customFormat="1">
      <c r="A416" s="2"/>
      <c r="B416" s="1"/>
      <c r="C416" s="2"/>
      <c r="D416" s="2"/>
      <c r="E416" s="57"/>
      <c r="M416" s="57"/>
      <c r="V416" s="8"/>
      <c r="W416" s="23"/>
      <c r="X416" s="239"/>
    </row>
    <row r="417" spans="1:24" s="6" customFormat="1">
      <c r="A417" s="2"/>
      <c r="B417" s="1"/>
      <c r="C417" s="2"/>
      <c r="D417" s="2"/>
      <c r="E417" s="57"/>
      <c r="M417" s="57"/>
      <c r="V417" s="8"/>
      <c r="W417" s="23"/>
      <c r="X417" s="239"/>
    </row>
    <row r="418" spans="1:24" s="6" customFormat="1">
      <c r="A418" s="2"/>
      <c r="B418" s="1"/>
      <c r="C418" s="2"/>
      <c r="D418" s="2"/>
      <c r="E418" s="57"/>
      <c r="M418" s="57"/>
      <c r="V418" s="8"/>
      <c r="W418" s="23"/>
      <c r="X418" s="239"/>
    </row>
    <row r="419" spans="1:24" s="6" customFormat="1">
      <c r="A419" s="2"/>
      <c r="B419" s="1"/>
      <c r="C419" s="2"/>
      <c r="D419" s="2"/>
      <c r="E419" s="57"/>
      <c r="M419" s="57"/>
      <c r="V419" s="8"/>
      <c r="W419" s="23"/>
      <c r="X419" s="239"/>
    </row>
    <row r="420" spans="1:24" s="6" customFormat="1">
      <c r="A420" s="2"/>
      <c r="B420" s="1"/>
      <c r="C420" s="2"/>
      <c r="D420" s="2"/>
      <c r="E420" s="57"/>
      <c r="M420" s="57"/>
      <c r="V420" s="8"/>
      <c r="W420" s="23"/>
      <c r="X420" s="239"/>
    </row>
    <row r="421" spans="1:24" s="6" customFormat="1">
      <c r="A421" s="2"/>
      <c r="B421" s="1"/>
      <c r="C421" s="2"/>
      <c r="D421" s="2"/>
      <c r="E421" s="57"/>
      <c r="M421" s="57"/>
      <c r="V421" s="8"/>
      <c r="W421" s="23"/>
      <c r="X421" s="239"/>
    </row>
    <row r="422" spans="1:24" s="6" customFormat="1">
      <c r="A422" s="2"/>
      <c r="B422" s="1"/>
      <c r="C422" s="2"/>
      <c r="D422" s="2"/>
      <c r="E422" s="57"/>
      <c r="M422" s="57"/>
      <c r="V422" s="8"/>
      <c r="W422" s="23"/>
      <c r="X422" s="239"/>
    </row>
    <row r="423" spans="1:24" s="6" customFormat="1">
      <c r="A423" s="2"/>
      <c r="B423" s="1"/>
      <c r="C423" s="2"/>
      <c r="D423" s="2"/>
      <c r="E423" s="57"/>
      <c r="M423" s="57"/>
      <c r="V423" s="8"/>
      <c r="W423" s="23"/>
      <c r="X423" s="239"/>
    </row>
    <row r="424" spans="1:24" s="6" customFormat="1">
      <c r="A424" s="2"/>
      <c r="B424" s="1"/>
      <c r="C424" s="2"/>
      <c r="D424" s="2"/>
      <c r="E424" s="57"/>
      <c r="M424" s="57"/>
      <c r="V424" s="8"/>
      <c r="W424" s="23"/>
      <c r="X424" s="239"/>
    </row>
    <row r="425" spans="1:24" s="6" customFormat="1">
      <c r="A425" s="2"/>
      <c r="B425" s="1"/>
      <c r="C425" s="2"/>
      <c r="D425" s="2"/>
      <c r="E425" s="57"/>
      <c r="M425" s="57"/>
      <c r="V425" s="8"/>
      <c r="W425" s="23"/>
      <c r="X425" s="239"/>
    </row>
    <row r="426" spans="1:24" s="6" customFormat="1">
      <c r="A426" s="2"/>
      <c r="B426" s="1"/>
      <c r="C426" s="2"/>
      <c r="D426" s="2"/>
      <c r="E426" s="57"/>
      <c r="M426" s="57"/>
      <c r="V426" s="8"/>
      <c r="W426" s="23"/>
      <c r="X426" s="239"/>
    </row>
    <row r="427" spans="1:24" s="6" customFormat="1">
      <c r="A427" s="2"/>
      <c r="B427" s="1"/>
      <c r="C427" s="2"/>
      <c r="D427" s="2"/>
      <c r="E427" s="57"/>
      <c r="M427" s="57"/>
      <c r="V427" s="8"/>
      <c r="W427" s="23"/>
      <c r="X427" s="239"/>
    </row>
    <row r="428" spans="1:24" s="6" customFormat="1">
      <c r="A428" s="2"/>
      <c r="B428" s="1"/>
      <c r="C428" s="2"/>
      <c r="D428" s="2"/>
      <c r="E428" s="57"/>
      <c r="M428" s="57"/>
      <c r="V428" s="8"/>
      <c r="W428" s="23"/>
      <c r="X428" s="239"/>
    </row>
    <row r="429" spans="1:24" s="6" customFormat="1">
      <c r="A429" s="2"/>
      <c r="B429" s="1"/>
      <c r="C429" s="2"/>
      <c r="D429" s="2"/>
      <c r="E429" s="57"/>
      <c r="M429" s="57"/>
      <c r="V429" s="8"/>
      <c r="W429" s="23"/>
      <c r="X429" s="239"/>
    </row>
    <row r="430" spans="1:24" s="6" customFormat="1">
      <c r="A430" s="2"/>
      <c r="B430" s="1"/>
      <c r="C430" s="2"/>
      <c r="D430" s="2"/>
      <c r="E430" s="57"/>
      <c r="M430" s="57"/>
      <c r="V430" s="8"/>
      <c r="W430" s="23"/>
      <c r="X430" s="239"/>
    </row>
    <row r="431" spans="1:24" s="6" customFormat="1">
      <c r="A431" s="2"/>
      <c r="B431" s="1"/>
      <c r="C431" s="2"/>
      <c r="D431" s="2"/>
      <c r="E431" s="57"/>
      <c r="M431" s="57"/>
      <c r="V431" s="8"/>
      <c r="W431" s="23"/>
      <c r="X431" s="239"/>
    </row>
    <row r="432" spans="1:24" s="6" customFormat="1">
      <c r="A432" s="2"/>
      <c r="B432" s="1"/>
      <c r="C432" s="2"/>
      <c r="D432" s="2"/>
      <c r="E432" s="57"/>
      <c r="M432" s="57"/>
      <c r="V432" s="8"/>
      <c r="W432" s="23"/>
      <c r="X432" s="239"/>
    </row>
    <row r="433" spans="1:24" s="6" customFormat="1">
      <c r="A433" s="2"/>
      <c r="B433" s="1"/>
      <c r="C433" s="2"/>
      <c r="D433" s="2"/>
      <c r="E433" s="57"/>
      <c r="M433" s="57"/>
      <c r="V433" s="8"/>
      <c r="W433" s="23"/>
      <c r="X433" s="239"/>
    </row>
    <row r="434" spans="1:24" s="6" customFormat="1">
      <c r="A434" s="2"/>
      <c r="B434" s="1"/>
      <c r="C434" s="2"/>
      <c r="D434" s="2"/>
      <c r="E434" s="57"/>
      <c r="M434" s="57"/>
      <c r="V434" s="8"/>
      <c r="W434" s="23"/>
      <c r="X434" s="239"/>
    </row>
    <row r="435" spans="1:24" s="6" customFormat="1">
      <c r="A435" s="2"/>
      <c r="B435" s="1"/>
      <c r="C435" s="2"/>
      <c r="D435" s="2"/>
      <c r="E435" s="57"/>
      <c r="M435" s="57"/>
      <c r="V435" s="8"/>
      <c r="W435" s="23"/>
      <c r="X435" s="239"/>
    </row>
    <row r="436" spans="1:24" s="6" customFormat="1">
      <c r="A436" s="2"/>
      <c r="B436" s="1"/>
      <c r="C436" s="2"/>
      <c r="D436" s="2"/>
      <c r="E436" s="57"/>
      <c r="M436" s="57"/>
      <c r="V436" s="8"/>
      <c r="W436" s="23"/>
      <c r="X436" s="239"/>
    </row>
    <row r="437" spans="1:24" s="6" customFormat="1">
      <c r="A437" s="2"/>
      <c r="B437" s="1"/>
      <c r="C437" s="2"/>
      <c r="D437" s="2"/>
      <c r="E437" s="57"/>
      <c r="M437" s="57"/>
      <c r="V437" s="8"/>
      <c r="W437" s="23"/>
      <c r="X437" s="239"/>
    </row>
    <row r="438" spans="1:24" s="6" customFormat="1">
      <c r="A438" s="2"/>
      <c r="B438" s="1"/>
      <c r="C438" s="2"/>
      <c r="D438" s="2"/>
      <c r="E438" s="57"/>
      <c r="M438" s="57"/>
      <c r="V438" s="8"/>
      <c r="W438" s="23"/>
      <c r="X438" s="239"/>
    </row>
    <row r="439" spans="1:24" s="6" customFormat="1">
      <c r="A439" s="2"/>
      <c r="B439" s="1"/>
      <c r="C439" s="2"/>
      <c r="D439" s="2"/>
      <c r="E439" s="57"/>
      <c r="M439" s="57"/>
      <c r="V439" s="8"/>
      <c r="W439" s="23"/>
      <c r="X439" s="239"/>
    </row>
    <row r="440" spans="1:24" s="6" customFormat="1">
      <c r="A440" s="2"/>
      <c r="B440" s="1"/>
      <c r="C440" s="2"/>
      <c r="D440" s="2"/>
      <c r="E440" s="57"/>
      <c r="M440" s="57"/>
      <c r="V440" s="8"/>
      <c r="W440" s="23"/>
      <c r="X440" s="239"/>
    </row>
    <row r="441" spans="1:24" s="6" customFormat="1">
      <c r="A441" s="2"/>
      <c r="B441" s="1"/>
      <c r="C441" s="2"/>
      <c r="D441" s="2"/>
      <c r="E441" s="57"/>
      <c r="M441" s="57"/>
      <c r="V441" s="8"/>
      <c r="W441" s="23"/>
      <c r="X441" s="239"/>
    </row>
    <row r="442" spans="1:24" s="6" customFormat="1">
      <c r="A442" s="2"/>
      <c r="B442" s="1"/>
      <c r="C442" s="2"/>
      <c r="D442" s="2"/>
      <c r="E442" s="57"/>
      <c r="M442" s="57"/>
      <c r="V442" s="8"/>
      <c r="W442" s="23"/>
      <c r="X442" s="239"/>
    </row>
    <row r="443" spans="1:24" s="6" customFormat="1">
      <c r="A443" s="2"/>
      <c r="B443" s="1"/>
      <c r="C443" s="2"/>
      <c r="D443" s="2"/>
      <c r="E443" s="57"/>
      <c r="M443" s="57"/>
      <c r="V443" s="8"/>
      <c r="W443" s="23"/>
      <c r="X443" s="239"/>
    </row>
    <row r="444" spans="1:24" s="6" customFormat="1">
      <c r="A444" s="2"/>
      <c r="B444" s="1"/>
      <c r="C444" s="2"/>
      <c r="D444" s="2"/>
      <c r="E444" s="57"/>
      <c r="M444" s="57"/>
      <c r="V444" s="8"/>
      <c r="W444" s="23"/>
      <c r="X444" s="239"/>
    </row>
    <row r="445" spans="1:24" s="6" customFormat="1">
      <c r="A445" s="2"/>
      <c r="B445" s="1"/>
      <c r="C445" s="2"/>
      <c r="D445" s="2"/>
      <c r="E445" s="57"/>
      <c r="M445" s="57"/>
      <c r="V445" s="8"/>
      <c r="W445" s="23"/>
      <c r="X445" s="239"/>
    </row>
    <row r="446" spans="1:24" s="6" customFormat="1">
      <c r="A446" s="2"/>
      <c r="B446" s="1"/>
      <c r="C446" s="2"/>
      <c r="D446" s="2"/>
      <c r="E446" s="57"/>
      <c r="M446" s="57"/>
      <c r="V446" s="8"/>
      <c r="W446" s="23"/>
      <c r="X446" s="239"/>
    </row>
    <row r="447" spans="1:24" s="6" customFormat="1">
      <c r="A447" s="2"/>
      <c r="B447" s="1"/>
      <c r="C447" s="2"/>
      <c r="D447" s="2"/>
      <c r="E447" s="57"/>
      <c r="M447" s="57"/>
      <c r="V447" s="8"/>
      <c r="W447" s="23"/>
      <c r="X447" s="239"/>
    </row>
    <row r="448" spans="1:24" s="6" customFormat="1">
      <c r="A448" s="2"/>
      <c r="B448" s="1"/>
      <c r="C448" s="2"/>
      <c r="D448" s="2"/>
      <c r="E448" s="57"/>
      <c r="M448" s="57"/>
      <c r="V448" s="8"/>
      <c r="W448" s="23"/>
      <c r="X448" s="239"/>
    </row>
    <row r="449" spans="1:24" s="6" customFormat="1">
      <c r="A449" s="2"/>
      <c r="B449" s="1"/>
      <c r="C449" s="2"/>
      <c r="D449" s="2"/>
      <c r="E449" s="57"/>
      <c r="M449" s="57"/>
      <c r="V449" s="8"/>
      <c r="W449" s="23"/>
      <c r="X449" s="239"/>
    </row>
    <row r="450" spans="1:24" s="6" customFormat="1">
      <c r="A450" s="2"/>
      <c r="B450" s="1"/>
      <c r="C450" s="2"/>
      <c r="D450" s="2"/>
      <c r="E450" s="57"/>
      <c r="M450" s="57"/>
      <c r="V450" s="8"/>
      <c r="W450" s="23"/>
      <c r="X450" s="239"/>
    </row>
    <row r="451" spans="1:24" s="6" customFormat="1">
      <c r="A451" s="2"/>
      <c r="B451" s="1"/>
      <c r="C451" s="2"/>
      <c r="D451" s="2"/>
      <c r="E451" s="57"/>
      <c r="M451" s="57"/>
      <c r="V451" s="8"/>
      <c r="W451" s="23"/>
      <c r="X451" s="239"/>
    </row>
    <row r="452" spans="1:24" s="6" customFormat="1">
      <c r="A452" s="2"/>
      <c r="B452" s="1"/>
      <c r="C452" s="2"/>
      <c r="D452" s="2"/>
      <c r="E452" s="57"/>
      <c r="M452" s="57"/>
      <c r="V452" s="8"/>
      <c r="W452" s="23"/>
      <c r="X452" s="239"/>
    </row>
    <row r="453" spans="1:24" s="6" customFormat="1">
      <c r="A453" s="2"/>
      <c r="B453" s="1"/>
      <c r="C453" s="2"/>
      <c r="D453" s="2"/>
      <c r="E453" s="57"/>
      <c r="M453" s="57"/>
      <c r="V453" s="8"/>
      <c r="W453" s="23"/>
      <c r="X453" s="239"/>
    </row>
    <row r="454" spans="1:24" s="6" customFormat="1">
      <c r="A454" s="2"/>
      <c r="B454" s="1"/>
      <c r="C454" s="2"/>
      <c r="D454" s="2"/>
      <c r="E454" s="57"/>
      <c r="M454" s="57"/>
      <c r="V454" s="8"/>
      <c r="W454" s="23"/>
      <c r="X454" s="239"/>
    </row>
    <row r="455" spans="1:24" s="6" customFormat="1">
      <c r="A455" s="2"/>
      <c r="B455" s="1"/>
      <c r="C455" s="2"/>
      <c r="D455" s="2"/>
      <c r="E455" s="57"/>
      <c r="M455" s="57"/>
      <c r="V455" s="8"/>
      <c r="W455" s="23"/>
      <c r="X455" s="239"/>
    </row>
    <row r="456" spans="1:24" s="6" customFormat="1">
      <c r="A456" s="2"/>
      <c r="B456" s="1"/>
      <c r="C456" s="2"/>
      <c r="D456" s="2"/>
      <c r="E456" s="57"/>
      <c r="M456" s="57"/>
      <c r="V456" s="8"/>
      <c r="W456" s="23"/>
      <c r="X456" s="239"/>
    </row>
    <row r="457" spans="1:24" s="6" customFormat="1">
      <c r="A457" s="2"/>
      <c r="B457" s="1"/>
      <c r="C457" s="2"/>
      <c r="D457" s="2"/>
      <c r="E457" s="57"/>
      <c r="M457" s="57"/>
      <c r="V457" s="8"/>
      <c r="W457" s="23"/>
      <c r="X457" s="239"/>
    </row>
    <row r="458" spans="1:24" s="6" customFormat="1">
      <c r="A458" s="2"/>
      <c r="B458" s="1"/>
      <c r="C458" s="2"/>
      <c r="D458" s="2"/>
      <c r="E458" s="57"/>
      <c r="M458" s="57"/>
      <c r="V458" s="8"/>
      <c r="W458" s="23"/>
      <c r="X458" s="239"/>
    </row>
    <row r="459" spans="1:24" s="6" customFormat="1">
      <c r="A459" s="2"/>
      <c r="B459" s="1"/>
      <c r="C459" s="2"/>
      <c r="D459" s="2"/>
      <c r="E459" s="57"/>
      <c r="M459" s="57"/>
      <c r="V459" s="8"/>
      <c r="W459" s="23"/>
      <c r="X459" s="239"/>
    </row>
    <row r="460" spans="1:24" s="6" customFormat="1">
      <c r="A460" s="2"/>
      <c r="B460" s="1"/>
      <c r="C460" s="2"/>
      <c r="D460" s="2"/>
      <c r="E460" s="57"/>
      <c r="M460" s="57"/>
      <c r="V460" s="8"/>
      <c r="W460" s="23"/>
      <c r="X460" s="239"/>
    </row>
    <row r="461" spans="1:24" s="6" customFormat="1">
      <c r="A461" s="2"/>
      <c r="B461" s="1"/>
      <c r="C461" s="2"/>
      <c r="D461" s="2"/>
      <c r="E461" s="57"/>
      <c r="M461" s="57"/>
      <c r="V461" s="8"/>
      <c r="W461" s="23"/>
      <c r="X461" s="239"/>
    </row>
    <row r="462" spans="1:24" s="6" customFormat="1">
      <c r="A462" s="2"/>
      <c r="B462" s="1"/>
      <c r="C462" s="2"/>
      <c r="D462" s="2"/>
      <c r="E462" s="57"/>
      <c r="M462" s="57"/>
      <c r="V462" s="8"/>
      <c r="W462" s="23"/>
      <c r="X462" s="239"/>
    </row>
    <row r="463" spans="1:24" s="6" customFormat="1">
      <c r="A463" s="2"/>
      <c r="B463" s="1"/>
      <c r="C463" s="2"/>
      <c r="D463" s="2"/>
      <c r="E463" s="57"/>
      <c r="M463" s="57"/>
      <c r="V463" s="8"/>
      <c r="W463" s="23"/>
      <c r="X463" s="239"/>
    </row>
    <row r="464" spans="1:24" s="6" customFormat="1">
      <c r="A464" s="2"/>
      <c r="B464" s="1"/>
      <c r="C464" s="2"/>
      <c r="D464" s="2"/>
      <c r="E464" s="57"/>
      <c r="M464" s="57"/>
      <c r="V464" s="8"/>
      <c r="W464" s="23"/>
      <c r="X464" s="239"/>
    </row>
    <row r="465" spans="1:24" s="6" customFormat="1">
      <c r="A465" s="2"/>
      <c r="B465" s="1"/>
      <c r="C465" s="2"/>
      <c r="D465" s="2"/>
      <c r="E465" s="57"/>
      <c r="M465" s="57"/>
      <c r="V465" s="8"/>
      <c r="W465" s="23"/>
      <c r="X465" s="239"/>
    </row>
    <row r="466" spans="1:24" s="6" customFormat="1">
      <c r="A466" s="2"/>
      <c r="B466" s="1"/>
      <c r="C466" s="2"/>
      <c r="D466" s="2"/>
      <c r="E466" s="57"/>
      <c r="M466" s="57"/>
      <c r="V466" s="8"/>
      <c r="W466" s="23"/>
      <c r="X466" s="239"/>
    </row>
    <row r="467" spans="1:24" s="6" customFormat="1">
      <c r="A467" s="2"/>
      <c r="B467" s="1"/>
      <c r="C467" s="2"/>
      <c r="D467" s="2"/>
      <c r="E467" s="57"/>
      <c r="M467" s="57"/>
      <c r="V467" s="8"/>
      <c r="W467" s="23"/>
      <c r="X467" s="239"/>
    </row>
    <row r="468" spans="1:24" s="6" customFormat="1">
      <c r="A468" s="2"/>
      <c r="B468" s="1"/>
      <c r="C468" s="2"/>
      <c r="D468" s="2"/>
      <c r="E468" s="57"/>
      <c r="M468" s="57"/>
      <c r="V468" s="8"/>
      <c r="W468" s="23"/>
      <c r="X468" s="239"/>
    </row>
    <row r="469" spans="1:24" s="6" customFormat="1">
      <c r="A469" s="2"/>
      <c r="B469" s="1"/>
      <c r="C469" s="2"/>
      <c r="D469" s="2"/>
      <c r="E469" s="57"/>
      <c r="M469" s="57"/>
      <c r="V469" s="8"/>
      <c r="W469" s="23"/>
      <c r="X469" s="239"/>
    </row>
    <row r="470" spans="1:24" s="6" customFormat="1">
      <c r="A470" s="2"/>
      <c r="B470" s="1"/>
      <c r="C470" s="2"/>
      <c r="D470" s="2"/>
      <c r="E470" s="57"/>
      <c r="M470" s="57"/>
      <c r="V470" s="8"/>
      <c r="W470" s="23"/>
      <c r="X470" s="239"/>
    </row>
    <row r="471" spans="1:24" s="6" customFormat="1">
      <c r="A471" s="2"/>
      <c r="B471" s="1"/>
      <c r="C471" s="2"/>
      <c r="D471" s="2"/>
      <c r="E471" s="57"/>
      <c r="M471" s="57"/>
      <c r="V471" s="2"/>
      <c r="W471" s="61"/>
      <c r="X471" s="2"/>
    </row>
    <row r="472" spans="1:24" s="6" customFormat="1">
      <c r="A472" s="2"/>
      <c r="B472" s="1"/>
      <c r="C472" s="2"/>
      <c r="D472" s="2"/>
      <c r="E472" s="57"/>
      <c r="M472" s="57"/>
      <c r="V472" s="2"/>
      <c r="W472" s="61"/>
      <c r="X472" s="2"/>
    </row>
    <row r="473" spans="1:24" s="6" customFormat="1">
      <c r="A473" s="2"/>
      <c r="B473" s="1"/>
      <c r="C473" s="2"/>
      <c r="D473" s="2"/>
      <c r="E473" s="57"/>
      <c r="M473" s="57"/>
      <c r="V473" s="2"/>
      <c r="W473" s="61"/>
      <c r="X473" s="2"/>
    </row>
    <row r="474" spans="1:24" s="6" customFormat="1">
      <c r="A474" s="2"/>
      <c r="B474" s="1"/>
      <c r="C474" s="2"/>
      <c r="D474" s="2"/>
      <c r="E474" s="57"/>
      <c r="M474" s="57"/>
      <c r="V474" s="2"/>
      <c r="W474" s="61"/>
      <c r="X474" s="2"/>
    </row>
    <row r="475" spans="1:24" s="6" customFormat="1">
      <c r="A475" s="2"/>
      <c r="B475" s="1"/>
      <c r="C475" s="2"/>
      <c r="D475" s="2"/>
      <c r="E475" s="57"/>
      <c r="M475" s="57"/>
      <c r="V475" s="2"/>
      <c r="W475" s="61"/>
      <c r="X475" s="2"/>
    </row>
    <row r="476" spans="1:24" s="6" customFormat="1">
      <c r="A476" s="2"/>
      <c r="B476" s="1"/>
      <c r="C476" s="2"/>
      <c r="D476" s="2"/>
      <c r="E476" s="57"/>
      <c r="M476" s="57"/>
      <c r="V476" s="2"/>
      <c r="W476" s="61"/>
      <c r="X476" s="2"/>
    </row>
    <row r="477" spans="1:24" s="6" customFormat="1">
      <c r="A477" s="2"/>
      <c r="B477" s="1"/>
      <c r="C477" s="2"/>
      <c r="D477" s="2"/>
      <c r="E477" s="57"/>
      <c r="M477" s="57"/>
      <c r="V477" s="2"/>
      <c r="W477" s="61"/>
      <c r="X477" s="2"/>
    </row>
  </sheetData>
  <mergeCells count="2">
    <mergeCell ref="B10:S10"/>
    <mergeCell ref="B116:S116"/>
  </mergeCells>
  <pageMargins left="0.7" right="0.7" top="0.75" bottom="0.75" header="0.3" footer="0.3"/>
  <pageSetup paperSize="9" orientation="portrait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AE196"/>
  <sheetViews>
    <sheetView zoomScale="83" zoomScaleNormal="83" workbookViewId="0">
      <pane xSplit="1" ySplit="7" topLeftCell="B173" activePane="bottomRight" state="frozen"/>
      <selection pane="topRight" activeCell="B1" sqref="B1"/>
      <selection pane="bottomLeft" activeCell="A8" sqref="A8"/>
      <selection pane="bottomRight" activeCell="H192" sqref="H192"/>
    </sheetView>
  </sheetViews>
  <sheetFormatPr defaultColWidth="9" defaultRowHeight="14.5"/>
  <cols>
    <col min="1" max="1" width="12" style="247" customWidth="1"/>
    <col min="2" max="2" width="25.7265625" style="247" customWidth="1"/>
    <col min="3" max="3" width="14.26953125" style="247" bestFit="1" customWidth="1"/>
    <col min="4" max="4" width="9.26953125" style="247" customWidth="1"/>
    <col min="5" max="5" width="13.26953125" style="247" customWidth="1"/>
    <col min="6" max="6" width="13" style="247" customWidth="1"/>
    <col min="7" max="7" width="14" style="247" customWidth="1"/>
    <col min="8" max="8" width="12.7265625" style="247" customWidth="1"/>
    <col min="9" max="9" width="12" style="247" customWidth="1"/>
    <col min="10" max="10" width="18.26953125" style="247" bestFit="1" customWidth="1"/>
    <col min="11" max="11" width="20.54296875" style="247" bestFit="1" customWidth="1"/>
    <col min="12" max="12" width="14.26953125" style="247" customWidth="1"/>
    <col min="13" max="13" width="15.81640625" style="247" customWidth="1"/>
    <col min="14" max="14" width="9" style="247"/>
    <col min="15" max="15" width="11.7265625" style="247" customWidth="1"/>
    <col min="16" max="16" width="9" style="247"/>
    <col min="17" max="17" width="16.26953125" style="247" customWidth="1"/>
    <col min="18" max="18" width="10.7265625" style="247" customWidth="1"/>
    <col min="19" max="19" width="9" style="247" customWidth="1"/>
    <col min="20" max="22" width="10.26953125" style="247" customWidth="1"/>
    <col min="23" max="23" width="9" style="247"/>
    <col min="24" max="24" width="15.81640625" style="247" customWidth="1"/>
    <col min="25" max="25" width="9" style="247"/>
    <col min="26" max="26" width="11.7265625" style="247" customWidth="1"/>
    <col min="27" max="27" width="9" style="247"/>
    <col min="28" max="28" width="13.26953125" style="247" customWidth="1"/>
    <col min="29" max="29" width="10.7265625" style="247" customWidth="1"/>
    <col min="30" max="30" width="9" style="247" customWidth="1"/>
    <col min="31" max="16384" width="9" style="247"/>
  </cols>
  <sheetData>
    <row r="7" spans="2:9">
      <c r="B7" s="246">
        <f>TODAY()</f>
        <v>44526</v>
      </c>
    </row>
    <row r="8" spans="2:9">
      <c r="B8" s="246"/>
    </row>
    <row r="10" spans="2:9">
      <c r="C10" s="247" t="s">
        <v>1275</v>
      </c>
    </row>
    <row r="11" spans="2:9">
      <c r="B11" s="310"/>
      <c r="C11" s="310">
        <f>+B7-2</f>
        <v>44524</v>
      </c>
      <c r="D11" s="310"/>
    </row>
    <row r="12" spans="2:9">
      <c r="B12" s="247" t="s">
        <v>125</v>
      </c>
      <c r="C12" s="311">
        <f ca="1">SUMIF(PosAggregate!$N$13:$N$179,B12,PosAggregate!$U$13:$U$179)</f>
        <v>0</v>
      </c>
      <c r="D12" s="16"/>
      <c r="E12" s="16"/>
      <c r="F12" s="378"/>
      <c r="G12" s="378"/>
      <c r="I12" s="168"/>
    </row>
    <row r="13" spans="2:9">
      <c r="B13" s="360" t="s">
        <v>1316</v>
      </c>
      <c r="C13" s="361">
        <f>+'Cash Mgmt'!C23</f>
        <v>0</v>
      </c>
      <c r="D13" s="362"/>
      <c r="E13" s="16"/>
      <c r="G13" s="378"/>
    </row>
    <row r="14" spans="2:9">
      <c r="B14" s="248"/>
      <c r="C14" s="359">
        <f ca="1">+C12+C13</f>
        <v>0</v>
      </c>
      <c r="D14" s="16"/>
      <c r="E14" s="16"/>
    </row>
    <row r="15" spans="2:9">
      <c r="B15" s="248"/>
      <c r="C15" s="16"/>
      <c r="D15" s="16"/>
      <c r="E15" s="16"/>
    </row>
    <row r="16" spans="2:9" hidden="1">
      <c r="B16" s="248"/>
      <c r="C16" s="16"/>
      <c r="D16" s="16"/>
      <c r="E16" s="203"/>
    </row>
    <row r="17" spans="2:11" hidden="1">
      <c r="B17" s="248"/>
      <c r="C17" s="16"/>
      <c r="D17" s="16"/>
      <c r="E17" s="203"/>
    </row>
    <row r="18" spans="2:11" hidden="1">
      <c r="B18" s="248"/>
      <c r="C18" s="249"/>
      <c r="D18" s="16"/>
      <c r="E18" s="203"/>
    </row>
    <row r="19" spans="2:11" hidden="1">
      <c r="B19" s="248"/>
      <c r="C19" s="249"/>
      <c r="D19" s="16"/>
      <c r="E19" s="203"/>
    </row>
    <row r="20" spans="2:11" hidden="1">
      <c r="B20" s="248"/>
      <c r="C20" s="249"/>
      <c r="D20" s="16"/>
      <c r="E20" s="203"/>
    </row>
    <row r="21" spans="2:11">
      <c r="C21" s="168"/>
      <c r="E21" s="380"/>
      <c r="F21" s="317"/>
      <c r="I21" s="373"/>
    </row>
    <row r="22" spans="2:11">
      <c r="B22" s="250" t="s">
        <v>206</v>
      </c>
      <c r="C22" s="373"/>
      <c r="E22" s="251"/>
    </row>
    <row r="23" spans="2:11">
      <c r="B23" s="250"/>
      <c r="C23" s="373"/>
      <c r="E23" s="251"/>
    </row>
    <row r="24" spans="2:11" ht="39">
      <c r="B24" s="3" t="s">
        <v>198</v>
      </c>
      <c r="C24" s="187" t="s">
        <v>195</v>
      </c>
      <c r="D24" s="188" t="s">
        <v>196</v>
      </c>
      <c r="E24" s="188" t="s">
        <v>200</v>
      </c>
      <c r="F24" s="4" t="s">
        <v>205</v>
      </c>
      <c r="G24" s="3" t="s">
        <v>12991</v>
      </c>
      <c r="H24" s="3" t="s">
        <v>12990</v>
      </c>
      <c r="I24" s="3" t="s">
        <v>197</v>
      </c>
      <c r="J24" s="3" t="s">
        <v>1694</v>
      </c>
      <c r="K24" s="3" t="s">
        <v>199</v>
      </c>
    </row>
    <row r="25" spans="2:11">
      <c r="B25" s="252" t="s">
        <v>125</v>
      </c>
      <c r="C25" s="314">
        <v>44547</v>
      </c>
      <c r="D25" s="254"/>
      <c r="E25" s="254"/>
      <c r="F25" s="312">
        <v>113.70850005</v>
      </c>
      <c r="G25" s="313">
        <v>-100000000</v>
      </c>
      <c r="H25" s="313">
        <f>-G25/F25</f>
        <v>879441.73000283982</v>
      </c>
      <c r="I25" s="599" t="e">
        <f ca="1">-G25/C14</f>
        <v>#DIV/0!</v>
      </c>
      <c r="J25" s="314">
        <v>44273</v>
      </c>
      <c r="K25" s="315"/>
    </row>
    <row r="26" spans="2:11">
      <c r="B26" s="250"/>
      <c r="C26" s="373"/>
      <c r="E26" s="251"/>
    </row>
    <row r="27" spans="2:11">
      <c r="C27" s="246"/>
    </row>
    <row r="28" spans="2:11" ht="39">
      <c r="B28" s="3" t="s">
        <v>198</v>
      </c>
      <c r="C28" s="187" t="s">
        <v>195</v>
      </c>
      <c r="D28" s="188" t="s">
        <v>196</v>
      </c>
      <c r="E28" s="188" t="s">
        <v>200</v>
      </c>
      <c r="F28" s="4" t="s">
        <v>205</v>
      </c>
      <c r="G28" s="3" t="s">
        <v>202</v>
      </c>
      <c r="H28" s="3" t="s">
        <v>203</v>
      </c>
      <c r="I28" s="3" t="s">
        <v>197</v>
      </c>
      <c r="J28" s="3" t="s">
        <v>1694</v>
      </c>
      <c r="K28" s="3" t="s">
        <v>199</v>
      </c>
    </row>
    <row r="29" spans="2:11">
      <c r="B29" s="252" t="s">
        <v>125</v>
      </c>
      <c r="C29" s="314">
        <v>44547</v>
      </c>
      <c r="D29" s="254"/>
      <c r="E29" s="254"/>
      <c r="F29" s="312">
        <v>128.36400004999999</v>
      </c>
      <c r="G29" s="313">
        <v>-501000000</v>
      </c>
      <c r="H29" s="313">
        <f>-G29/F29</f>
        <v>3902963.4461753443</v>
      </c>
      <c r="I29" s="193" t="e">
        <f ca="1">-G29/C14</f>
        <v>#DIV/0!</v>
      </c>
      <c r="J29" s="314">
        <v>44273</v>
      </c>
      <c r="K29" s="315"/>
    </row>
    <row r="30" spans="2:11">
      <c r="B30" s="252"/>
      <c r="C30" s="253"/>
      <c r="D30" s="254"/>
      <c r="E30" s="254"/>
      <c r="F30" s="312"/>
      <c r="G30" s="313"/>
      <c r="H30" s="313"/>
      <c r="I30" s="193"/>
      <c r="J30" s="314"/>
      <c r="K30" s="315"/>
    </row>
    <row r="31" spans="2:11">
      <c r="B31" s="252"/>
      <c r="C31" s="253"/>
      <c r="D31" s="254"/>
      <c r="E31" s="254"/>
      <c r="F31" s="312"/>
      <c r="G31" s="313"/>
      <c r="H31" s="313"/>
      <c r="I31" s="193"/>
      <c r="J31" s="314"/>
      <c r="K31" s="315"/>
    </row>
    <row r="32" spans="2:11" ht="14.75" customHeight="1">
      <c r="B32" s="248"/>
      <c r="C32" s="249"/>
      <c r="D32" s="16"/>
      <c r="E32" s="203"/>
      <c r="G32" s="561">
        <f>SUM(G29:G31)</f>
        <v>-501000000</v>
      </c>
      <c r="H32" s="561">
        <f>SUM(H29:H31)</f>
        <v>3902963.4461753443</v>
      </c>
      <c r="I32" s="316" t="e">
        <f ca="1">SUM(I29:I31)+I25</f>
        <v>#DIV/0!</v>
      </c>
    </row>
    <row r="33" spans="1:31" ht="14.75" customHeight="1">
      <c r="B33" s="248"/>
      <c r="C33" s="249"/>
      <c r="D33" s="16"/>
      <c r="E33" s="203"/>
      <c r="G33" s="561"/>
      <c r="H33" s="561"/>
      <c r="I33" s="316"/>
    </row>
    <row r="34" spans="1:31">
      <c r="B34" s="248"/>
      <c r="C34" s="249"/>
      <c r="D34" s="16"/>
      <c r="E34" s="203"/>
    </row>
    <row r="35" spans="1:31">
      <c r="A35" s="255"/>
      <c r="B35" s="256"/>
      <c r="C35" s="256"/>
      <c r="D35" s="201"/>
      <c r="E35" s="257"/>
      <c r="F35" s="255"/>
      <c r="G35" s="255"/>
      <c r="H35" s="255"/>
      <c r="I35" s="255"/>
      <c r="J35" s="255"/>
      <c r="K35" s="255"/>
    </row>
    <row r="36" spans="1:31" ht="21" hidden="1" customHeight="1">
      <c r="B36" s="258"/>
      <c r="C36" s="258"/>
      <c r="D36" s="185"/>
      <c r="E36" s="259"/>
      <c r="L36" s="260" t="s">
        <v>1087</v>
      </c>
      <c r="M36" s="261" t="s">
        <v>2</v>
      </c>
      <c r="N36" s="262"/>
      <c r="O36" s="263" t="s">
        <v>1088</v>
      </c>
      <c r="P36" s="263" t="s">
        <v>241</v>
      </c>
      <c r="Q36" s="263" t="s">
        <v>242</v>
      </c>
      <c r="R36" s="262"/>
      <c r="S36" s="262"/>
      <c r="T36" s="262"/>
      <c r="U36" s="262"/>
      <c r="V36" s="262"/>
      <c r="W36" s="260" t="s">
        <v>1087</v>
      </c>
      <c r="X36" s="261" t="s">
        <v>2</v>
      </c>
      <c r="Y36" s="262"/>
      <c r="Z36" s="263" t="s">
        <v>1088</v>
      </c>
      <c r="AA36" s="263" t="s">
        <v>241</v>
      </c>
      <c r="AB36" s="263" t="s">
        <v>242</v>
      </c>
      <c r="AC36" s="262"/>
      <c r="AD36" s="262"/>
      <c r="AE36" s="262"/>
    </row>
    <row r="37" spans="1:31" hidden="1">
      <c r="B37" s="258"/>
      <c r="C37" s="258"/>
      <c r="D37" s="185"/>
      <c r="E37" s="259"/>
      <c r="L37" s="260" t="s">
        <v>1089</v>
      </c>
      <c r="M37" s="261" t="str">
        <f>B41</f>
        <v>JPY</v>
      </c>
      <c r="N37" s="262"/>
      <c r="O37" s="260" t="str">
        <f>M36&amp;"="</f>
        <v>EUR=</v>
      </c>
      <c r="P37" s="260" t="e">
        <f>_xll.TR(O37:O38,P36:Q36,"UPDFRQ=30S")</f>
        <v>#NAME?</v>
      </c>
      <c r="Q37" s="260">
        <v>1.1441000000000001</v>
      </c>
      <c r="R37" s="262"/>
      <c r="S37" s="262"/>
      <c r="T37" s="262"/>
      <c r="U37" s="262"/>
      <c r="V37" s="262"/>
      <c r="W37" s="260" t="s">
        <v>1089</v>
      </c>
      <c r="X37" s="261" t="str">
        <f>B97</f>
        <v>JPY</v>
      </c>
      <c r="Y37" s="262"/>
      <c r="Z37" s="260" t="str">
        <f>X36&amp;"="</f>
        <v>EUR=</v>
      </c>
      <c r="AA37" s="260" t="e">
        <f>_xll.TR(Z37:Z38,AA36:AB36,"UPDFRQ=30S")</f>
        <v>#NAME?</v>
      </c>
      <c r="AB37" s="260">
        <v>1.1441000000000001</v>
      </c>
      <c r="AC37" s="262"/>
      <c r="AD37" s="262"/>
      <c r="AE37" s="262"/>
    </row>
    <row r="38" spans="1:31" hidden="1">
      <c r="B38" s="258"/>
      <c r="C38" s="258"/>
      <c r="D38" s="185"/>
      <c r="E38" s="259"/>
      <c r="H38" s="264"/>
      <c r="I38" s="264"/>
      <c r="J38" s="264"/>
      <c r="K38" s="264"/>
      <c r="L38" s="260" t="s">
        <v>89</v>
      </c>
      <c r="M38" s="261" t="str">
        <f>M36&amp;M37</f>
        <v>EURJPY</v>
      </c>
      <c r="N38" s="262"/>
      <c r="O38" s="260" t="str">
        <f>M37&amp;"="</f>
        <v>JPY=</v>
      </c>
      <c r="P38" s="260">
        <v>113.9</v>
      </c>
      <c r="Q38" s="260">
        <v>113.91</v>
      </c>
      <c r="R38" s="262"/>
      <c r="S38" s="262"/>
      <c r="T38" s="262"/>
      <c r="U38" s="262"/>
      <c r="V38" s="262"/>
      <c r="W38" s="260" t="s">
        <v>89</v>
      </c>
      <c r="X38" s="261" t="str">
        <f>X36&amp;X37</f>
        <v>EURJPY</v>
      </c>
      <c r="Y38" s="262"/>
      <c r="Z38" s="260" t="str">
        <f>X37&amp;"="</f>
        <v>JPY=</v>
      </c>
      <c r="AA38" s="260">
        <v>113.9</v>
      </c>
      <c r="AB38" s="260">
        <v>113.91</v>
      </c>
      <c r="AC38" s="262"/>
      <c r="AD38" s="262"/>
      <c r="AE38" s="262"/>
    </row>
    <row r="39" spans="1:31" ht="16.25" hidden="1" customHeight="1"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</row>
    <row r="40" spans="1:31" ht="15" hidden="1" thickBot="1">
      <c r="L40" s="262"/>
      <c r="M40" s="262">
        <f>B7</f>
        <v>44526</v>
      </c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>
        <f>M40</f>
        <v>44526</v>
      </c>
      <c r="Y40" s="262"/>
      <c r="Z40" s="262"/>
      <c r="AA40" s="262"/>
      <c r="AB40" s="262"/>
      <c r="AC40" s="262"/>
      <c r="AD40" s="262"/>
      <c r="AE40" s="262"/>
    </row>
    <row r="41" spans="1:31" ht="17.75" hidden="1" customHeight="1" thickBot="1">
      <c r="A41" s="258"/>
      <c r="B41" s="265" t="s">
        <v>125</v>
      </c>
      <c r="J41" s="266"/>
      <c r="L41" s="267"/>
      <c r="M41" s="268" t="str">
        <f>CONCATENATE(M36," ","Forewards")</f>
        <v>EUR Forewards</v>
      </c>
      <c r="N41" s="269"/>
      <c r="O41" s="269"/>
      <c r="P41" s="269"/>
      <c r="Q41" s="268" t="str">
        <f>CONCATENATE(M37," ","Forewards")</f>
        <v>JPY Forewards</v>
      </c>
      <c r="R41" s="269"/>
      <c r="S41" s="269"/>
      <c r="T41" s="262"/>
      <c r="U41" s="262"/>
      <c r="V41" s="262"/>
      <c r="W41" s="267"/>
      <c r="X41" s="268" t="str">
        <f>CONCATENATE(X36," ","Forewards")</f>
        <v>EUR Forewards</v>
      </c>
      <c r="Y41" s="269"/>
      <c r="Z41" s="269"/>
      <c r="AA41" s="269"/>
      <c r="AB41" s="268" t="str">
        <f>CONCATENATE(X37," ","Forewards")</f>
        <v>JPY Forewards</v>
      </c>
      <c r="AC41" s="269"/>
      <c r="AD41" s="269"/>
      <c r="AE41" s="262"/>
    </row>
    <row r="42" spans="1:31" hidden="1">
      <c r="C42" s="247" t="s">
        <v>177</v>
      </c>
      <c r="D42" s="247" t="s">
        <v>178</v>
      </c>
      <c r="E42" s="247" t="s">
        <v>179</v>
      </c>
      <c r="F42" s="247" t="s">
        <v>180</v>
      </c>
      <c r="G42" s="247" t="s">
        <v>181</v>
      </c>
      <c r="L42" s="267"/>
      <c r="M42" s="270"/>
      <c r="N42" s="271" t="s">
        <v>1090</v>
      </c>
      <c r="O42" s="272" t="s">
        <v>1091</v>
      </c>
      <c r="P42" s="273"/>
      <c r="Q42" s="270"/>
      <c r="R42" s="271" t="s">
        <v>1090</v>
      </c>
      <c r="S42" s="272" t="s">
        <v>1091</v>
      </c>
      <c r="T42" s="262"/>
      <c r="U42" s="262"/>
      <c r="V42" s="262"/>
      <c r="W42" s="267"/>
      <c r="X42" s="270"/>
      <c r="Y42" s="271" t="s">
        <v>1090</v>
      </c>
      <c r="Z42" s="272" t="s">
        <v>1091</v>
      </c>
      <c r="AA42" s="273"/>
      <c r="AB42" s="270"/>
      <c r="AC42" s="271" t="s">
        <v>1090</v>
      </c>
      <c r="AD42" s="272" t="s">
        <v>1091</v>
      </c>
      <c r="AE42" s="262"/>
    </row>
    <row r="43" spans="1:31" ht="14.75" hidden="1" customHeight="1">
      <c r="B43" s="274" t="s">
        <v>1092</v>
      </c>
      <c r="C43" s="275">
        <f>B7</f>
        <v>44526</v>
      </c>
      <c r="D43" s="276" t="e">
        <f>_xll.FxCross($M$38,$P$37:$P$38,$P$37:$P$38,"RET:2")</f>
        <v>#NAME?</v>
      </c>
      <c r="E43" s="276">
        <f>_xll.FxCross($M$38,$Q$37:$Q$38,$Q$37:$Q$38,"RET:2")</f>
        <v>1.154482405</v>
      </c>
      <c r="F43" s="277" t="e">
        <f>_xll.FxCross($M$38,$P$37:$Q$37,$P$38:$Q$38,"RET:1")</f>
        <v>#NAME?</v>
      </c>
      <c r="G43" s="277" t="e">
        <f>_xll.FxCross($M$38,$P$37:$Q$37,$P$38:$Q$38,"RET:2")</f>
        <v>#NAME?</v>
      </c>
      <c r="L43" s="267" t="e">
        <f>_xll.TR(CONCATENATE(M36,"FWD","="),,"Skip=1")</f>
        <v>#NAME?</v>
      </c>
      <c r="M43" s="267" t="e">
        <f>IF(L43="","",MID(L43,4,FIND("=",L43,1)-4))</f>
        <v>#NAME?</v>
      </c>
      <c r="N43" s="267" t="e">
        <f>_xll.TR(L43:L82,N42:O42,"UPDFRQ=30S")</f>
        <v>#NAME?</v>
      </c>
      <c r="O43" s="267">
        <v>0.64</v>
      </c>
      <c r="P43" s="267" t="e">
        <f>_xll.TR(CONCATENATE(M37,"FWD","="),,"Skip=1")</f>
        <v>#NAME?</v>
      </c>
      <c r="Q43" s="267" t="e">
        <f>IF(P43="","",MID(P43,4,FIND("=",P43,1)-4))</f>
        <v>#NAME?</v>
      </c>
      <c r="R43" s="267" t="e">
        <f>_xll.TR(P43:P82,R42:S42,"UPDFRQ=30S")</f>
        <v>#NAME?</v>
      </c>
      <c r="S43" s="267">
        <v>-0.08</v>
      </c>
      <c r="T43" s="278"/>
      <c r="U43" s="278"/>
      <c r="V43" s="279"/>
      <c r="W43" s="267" t="e">
        <f>_xll.TR(CONCATENATE(X36,"FWD","="),,"Skip=1")</f>
        <v>#NAME?</v>
      </c>
      <c r="X43" s="267" t="e">
        <f>IF(W43="","",MID(W43,4,FIND("=",W43,1)-4))</f>
        <v>#NAME?</v>
      </c>
      <c r="Y43" s="267" t="e">
        <f>_xll.TR(W43:W82,Y42:Z42,"UPDFRQ=30S")</f>
        <v>#NAME?</v>
      </c>
      <c r="Z43" s="267">
        <v>0.64</v>
      </c>
      <c r="AA43" s="267" t="e">
        <f>_xll.TR(CONCATENATE(X37,"FWD","="),,"Skip=1")</f>
        <v>#NAME?</v>
      </c>
      <c r="AB43" s="267" t="e">
        <f>IF(AA43="","",MID(AA43,4,FIND("=",AA43,1)-4))</f>
        <v>#NAME?</v>
      </c>
      <c r="AC43" s="267" t="e">
        <f>_xll.TR(AA43:AA82,AC42:AD42,"UPDFRQ=30S")</f>
        <v>#NAME?</v>
      </c>
      <c r="AD43" s="267">
        <v>-0.08</v>
      </c>
      <c r="AE43" s="262"/>
    </row>
    <row r="44" spans="1:31" hidden="1">
      <c r="B44" s="247" t="s">
        <v>182</v>
      </c>
      <c r="C44" s="275" t="e">
        <f>_xll.AdFxSwpToSwp($M$40,$B44,$M$38,$P$37:$Q$37,$P$38:$Q$38,$M$43:$O$82,$Q$43:$S$82,,"RET:4")</f>
        <v>#NAME?</v>
      </c>
      <c r="D44" s="276" t="e">
        <f>_xll.AdFxSwpToSwp($M$40,$B44,$M$38,$P$37:$Q$37,$P$38:$Q$38,$M$43:$O$82,$Q$43:$S$82,,"RET:1")</f>
        <v>#NAME?</v>
      </c>
      <c r="E44" s="276" t="e">
        <f>_xll.AdFxSwpToSwp($M$40,$B44,$M$38,$P$37:$Q$37,$P$38:$Q$38,$M$43:$O$82,$Q$43:$S$82,,"RET:2")</f>
        <v>#NAME?</v>
      </c>
      <c r="F44" s="277" t="e">
        <f>_xll.AdFxSwpToSwp($M$40,$B44,$M$38,$P$37:$Q$37,$P$38:$Q$38,$M$43:$O$82,$Q$43:$S$82,,"RET:5")</f>
        <v>#NAME?</v>
      </c>
      <c r="G44" s="277" t="e">
        <f>_xll.AdFxSwpToSwp($M$40,$B44,$M$38,$P$37:$Q$37,$P$38:$Q$38,$M$43:$O$82,$Q$43:$S$82,,"RET:6")</f>
        <v>#NAME?</v>
      </c>
      <c r="K44" s="280"/>
      <c r="L44" s="281" t="s">
        <v>12756</v>
      </c>
      <c r="M44" s="267" t="str">
        <f t="shared" ref="M44:M72" si="0">IF(L44="","",MID(L44,4,FIND("=",L44,1)-4))</f>
        <v>TN</v>
      </c>
      <c r="N44" s="267">
        <v>0.2</v>
      </c>
      <c r="O44" s="267">
        <v>0.22</v>
      </c>
      <c r="P44" s="281" t="s">
        <v>12727</v>
      </c>
      <c r="Q44" s="267" t="str">
        <f t="shared" ref="Q44:Q72" si="1">IF(P44="","",MID(P44,4,FIND("=",P44,1)-4))</f>
        <v>TN</v>
      </c>
      <c r="R44" s="267">
        <v>-7.0000000000000007E-2</v>
      </c>
      <c r="S44" s="267">
        <v>-0.01</v>
      </c>
      <c r="T44" s="282"/>
      <c r="U44" s="282"/>
      <c r="V44" s="282"/>
      <c r="W44" s="281" t="s">
        <v>12756</v>
      </c>
      <c r="X44" s="267" t="str">
        <f t="shared" ref="X44:X82" si="2">IF(W44="","",MID(W44,4,FIND("=",W44,1)-4))</f>
        <v>TN</v>
      </c>
      <c r="Y44" s="267">
        <v>0.2</v>
      </c>
      <c r="Z44" s="267">
        <v>0.22</v>
      </c>
      <c r="AA44" s="281" t="s">
        <v>12727</v>
      </c>
      <c r="AB44" s="267" t="str">
        <f t="shared" ref="AB44:AB72" si="3">IF(AA44="","",MID(AA44,4,FIND("=",AA44,1)-4))</f>
        <v>TN</v>
      </c>
      <c r="AC44" s="267">
        <v>-7.0000000000000007E-2</v>
      </c>
      <c r="AD44" s="267">
        <v>-0.01</v>
      </c>
      <c r="AE44" s="262"/>
    </row>
    <row r="45" spans="1:31" hidden="1">
      <c r="B45" s="247" t="s">
        <v>183</v>
      </c>
      <c r="C45" s="275" t="e">
        <f>_xll.AdFxSwpToSwp($M$40,$B45,$M$38,$P$37:$Q$37,$P$38:$Q$38,$M$43:$O$82,$Q$43:$S$82,,"RET:4")</f>
        <v>#NAME?</v>
      </c>
      <c r="D45" s="276" t="e">
        <f>_xll.AdFxSwpToSwp($M$40,$B45,$M$38,$P$37:$Q$37,$P$38:$Q$38,$M$43:$O$82,$Q$43:$S$82,,"RET:1")</f>
        <v>#NAME?</v>
      </c>
      <c r="E45" s="276" t="e">
        <f>_xll.AdFxSwpToSwp($M$40,$B45,$M$38,$P$37:$Q$37,$P$38:$Q$38,$M$43:$O$82,$Q$43:$S$82,,"RET:2")</f>
        <v>#NAME?</v>
      </c>
      <c r="F45" s="277" t="e">
        <f>_xll.AdFxSwpToSwp($M$40,$B45,$M$38,$P$37:$Q$37,$P$38:$Q$38,$M$43:$O$82,$Q$43:$S$82,,"RET:5")</f>
        <v>#NAME?</v>
      </c>
      <c r="G45" s="277" t="e">
        <f>_xll.AdFxSwpToSwp($M$40,$B45,$M$38,$P$37:$Q$37,$P$38:$Q$38,$M$43:$O$82,$Q$43:$S$82,,"RET:6")</f>
        <v>#NAME?</v>
      </c>
      <c r="K45" s="280"/>
      <c r="L45" s="281" t="s">
        <v>12757</v>
      </c>
      <c r="M45" s="267" t="str">
        <f t="shared" si="0"/>
        <v>SN</v>
      </c>
      <c r="N45" s="267">
        <v>0.20600000000000002</v>
      </c>
      <c r="O45" s="267">
        <v>0.21000000000000002</v>
      </c>
      <c r="P45" s="281" t="s">
        <v>12728</v>
      </c>
      <c r="Q45" s="267" t="str">
        <f t="shared" si="1"/>
        <v>SN</v>
      </c>
      <c r="R45" s="267">
        <v>-9.0000000000000011E-2</v>
      </c>
      <c r="S45" s="267">
        <v>-0.02</v>
      </c>
      <c r="T45" s="282"/>
      <c r="U45" s="282"/>
      <c r="V45" s="282"/>
      <c r="W45" s="281" t="s">
        <v>12757</v>
      </c>
      <c r="X45" s="267" t="str">
        <f t="shared" si="2"/>
        <v>SN</v>
      </c>
      <c r="Y45" s="267">
        <v>0.20600000000000002</v>
      </c>
      <c r="Z45" s="267">
        <v>0.21000000000000002</v>
      </c>
      <c r="AA45" s="281" t="s">
        <v>12728</v>
      </c>
      <c r="AB45" s="267" t="str">
        <f t="shared" si="3"/>
        <v>SN</v>
      </c>
      <c r="AC45" s="267">
        <v>-9.0000000000000011E-2</v>
      </c>
      <c r="AD45" s="267">
        <v>-0.02</v>
      </c>
      <c r="AE45" s="262"/>
    </row>
    <row r="46" spans="1:31" hidden="1">
      <c r="B46" s="247" t="s">
        <v>184</v>
      </c>
      <c r="C46" s="275" t="e">
        <f>_xll.AdFxSwpToSwp($M$40,$B46,$M$38,$P$37:$Q$37,$P$38:$Q$38,$M$43:$O$82,$Q$43:$S$82,,"RET:4")</f>
        <v>#NAME?</v>
      </c>
      <c r="D46" s="276" t="e">
        <f>_xll.AdFxSwpToSwp($M$40,$B46,$M$38,$P$37:$Q$37,$P$38:$Q$38,$M$43:$O$82,$Q$43:$S$82,,"RET:1")</f>
        <v>#NAME?</v>
      </c>
      <c r="E46" s="276" t="e">
        <f>_xll.AdFxSwpToSwp($M$40,$B46,$M$38,$P$37:$Q$37,$P$38:$Q$38,$M$43:$O$82,$Q$43:$S$82,,"RET:2")</f>
        <v>#NAME?</v>
      </c>
      <c r="F46" s="277" t="e">
        <f>_xll.AdFxSwpToSwp($M$40,$B46,$M$38,$P$37:$Q$37,$P$38:$Q$38,$M$43:$O$82,$Q$43:$S$82,,"RET:5")</f>
        <v>#NAME?</v>
      </c>
      <c r="G46" s="277" t="e">
        <f>_xll.AdFxSwpToSwp($M$40,$B46,$M$38,$P$37:$Q$37,$P$38:$Q$38,$M$43:$O$82,$Q$43:$S$82,,"RET:6")</f>
        <v>#NAME?</v>
      </c>
      <c r="K46" s="280"/>
      <c r="L46" s="281" t="s">
        <v>12758</v>
      </c>
      <c r="M46" s="267" t="str">
        <f t="shared" si="0"/>
        <v>SW</v>
      </c>
      <c r="N46" s="267">
        <v>1.42</v>
      </c>
      <c r="O46" s="267">
        <v>1.5</v>
      </c>
      <c r="P46" s="281" t="s">
        <v>12729</v>
      </c>
      <c r="Q46" s="267" t="str">
        <f t="shared" si="1"/>
        <v>SW</v>
      </c>
      <c r="R46" s="267">
        <v>-0.57999999999999996</v>
      </c>
      <c r="S46" s="267">
        <v>-0.31</v>
      </c>
      <c r="T46" s="282"/>
      <c r="U46" s="282"/>
      <c r="V46" s="282"/>
      <c r="W46" s="281" t="s">
        <v>12758</v>
      </c>
      <c r="X46" s="267" t="str">
        <f t="shared" si="2"/>
        <v>SW</v>
      </c>
      <c r="Y46" s="267">
        <v>1.42</v>
      </c>
      <c r="Z46" s="267">
        <v>1.5</v>
      </c>
      <c r="AA46" s="281" t="s">
        <v>12729</v>
      </c>
      <c r="AB46" s="267" t="str">
        <f t="shared" si="3"/>
        <v>SW</v>
      </c>
      <c r="AC46" s="267">
        <v>-0.57999999999999996</v>
      </c>
      <c r="AD46" s="267">
        <v>-0.31</v>
      </c>
      <c r="AE46" s="262"/>
    </row>
    <row r="47" spans="1:31" hidden="1">
      <c r="B47" s="247" t="s">
        <v>236</v>
      </c>
      <c r="C47" s="275" t="e">
        <f>_xll.AdFxSwpToSwp($M$40,$B47,$M$38,$P$37:$Q$37,$P$38:$Q$38,$M$43:$O$82,$Q$43:$S$82,,"RET:4")</f>
        <v>#NAME?</v>
      </c>
      <c r="D47" s="276" t="e">
        <f>_xll.AdFxSwpToSwp($M$40,$B47,$M$38,$P$37:$Q$37,$P$38:$Q$38,$M$43:$O$82,$Q$43:$S$82,,"RET:1")</f>
        <v>#NAME?</v>
      </c>
      <c r="E47" s="276" t="e">
        <f>_xll.AdFxSwpToSwp($M$40,$B47,$M$38,$P$37:$Q$37,$P$38:$Q$38,$M$43:$O$82,$Q$43:$S$82,,"RET:2")</f>
        <v>#NAME?</v>
      </c>
      <c r="F47" s="277" t="e">
        <f>_xll.AdFxSwpToSwp($M$40,$B47,$M$38,$P$37:$Q$37,$P$38:$Q$38,$M$43:$O$82,$Q$43:$S$82,,"RET:5")</f>
        <v>#NAME?</v>
      </c>
      <c r="G47" s="277" t="e">
        <f>_xll.AdFxSwpToSwp($M$40,$B47,$M$38,$P$37:$Q$37,$P$38:$Q$38,$M$43:$O$82,$Q$43:$S$82,,"RET:6")</f>
        <v>#NAME?</v>
      </c>
      <c r="K47" s="280"/>
      <c r="L47" s="281" t="s">
        <v>12759</v>
      </c>
      <c r="M47" s="267" t="str">
        <f t="shared" si="0"/>
        <v>2W</v>
      </c>
      <c r="N47" s="267">
        <v>2.88</v>
      </c>
      <c r="O47" s="267">
        <v>2.96</v>
      </c>
      <c r="P47" s="281" t="s">
        <v>12730</v>
      </c>
      <c r="Q47" s="267" t="str">
        <f t="shared" si="1"/>
        <v>2W</v>
      </c>
      <c r="R47" s="267">
        <v>-1.02</v>
      </c>
      <c r="S47" s="267">
        <v>-0.6</v>
      </c>
      <c r="T47" s="282"/>
      <c r="U47" s="282"/>
      <c r="V47" s="282"/>
      <c r="W47" s="281" t="s">
        <v>12759</v>
      </c>
      <c r="X47" s="267" t="str">
        <f t="shared" si="2"/>
        <v>2W</v>
      </c>
      <c r="Y47" s="267">
        <v>2.88</v>
      </c>
      <c r="Z47" s="267">
        <v>2.96</v>
      </c>
      <c r="AA47" s="281" t="s">
        <v>12730</v>
      </c>
      <c r="AB47" s="267" t="str">
        <f t="shared" si="3"/>
        <v>2W</v>
      </c>
      <c r="AC47" s="267">
        <v>-1.02</v>
      </c>
      <c r="AD47" s="267">
        <v>-0.6</v>
      </c>
      <c r="AE47" s="262"/>
    </row>
    <row r="48" spans="1:31" hidden="1">
      <c r="B48" s="247" t="s">
        <v>185</v>
      </c>
      <c r="C48" s="275" t="e">
        <f>_xll.AdFxSwpToSwp($M$40,$B48,$M$38,$P$37:$Q$37,$P$38:$Q$38,$M$43:$O$82,$Q$43:$S$82,,"RET:4")</f>
        <v>#NAME?</v>
      </c>
      <c r="D48" s="276" t="e">
        <f>_xll.AdFxSwpToSwp($M$40,$B48,$M$38,$P$37:$Q$37,$P$38:$Q$38,$M$43:$O$82,$Q$43:$S$82,,"RET:1")</f>
        <v>#NAME?</v>
      </c>
      <c r="E48" s="276" t="e">
        <f>_xll.AdFxSwpToSwp($M$40,$B48,$M$38,$P$37:$Q$37,$P$38:$Q$38,$M$43:$O$82,$Q$43:$S$82,,"RET:2")</f>
        <v>#NAME?</v>
      </c>
      <c r="F48" s="277" t="e">
        <f>_xll.AdFxSwpToSwp($M$40,$B48,$M$38,$P$37:$Q$37,$P$38:$Q$38,$M$43:$O$82,$Q$43:$S$82,,"RET:5")</f>
        <v>#NAME?</v>
      </c>
      <c r="G48" s="277" t="e">
        <f>_xll.AdFxSwpToSwp($M$40,$B48,$M$38,$P$37:$Q$37,$P$38:$Q$38,$M$43:$O$82,$Q$43:$S$82,,"RET:6")</f>
        <v>#NAME?</v>
      </c>
      <c r="K48" s="280"/>
      <c r="L48" s="281" t="s">
        <v>12760</v>
      </c>
      <c r="M48" s="267" t="str">
        <f t="shared" si="0"/>
        <v>3W</v>
      </c>
      <c r="N48" s="267">
        <v>4.3600000000000003</v>
      </c>
      <c r="O48" s="267">
        <v>4.46</v>
      </c>
      <c r="P48" s="281" t="s">
        <v>12731</v>
      </c>
      <c r="Q48" s="267" t="str">
        <f t="shared" si="1"/>
        <v>3W</v>
      </c>
      <c r="R48" s="267">
        <v>-1.29</v>
      </c>
      <c r="S48" s="267">
        <v>-1.22</v>
      </c>
      <c r="T48" s="282"/>
      <c r="U48" s="282"/>
      <c r="V48" s="282"/>
      <c r="W48" s="281" t="s">
        <v>12760</v>
      </c>
      <c r="X48" s="267" t="str">
        <f t="shared" si="2"/>
        <v>3W</v>
      </c>
      <c r="Y48" s="267">
        <v>4.3600000000000003</v>
      </c>
      <c r="Z48" s="267">
        <v>4.46</v>
      </c>
      <c r="AA48" s="281" t="s">
        <v>12731</v>
      </c>
      <c r="AB48" s="267" t="str">
        <f t="shared" si="3"/>
        <v>3W</v>
      </c>
      <c r="AC48" s="267">
        <v>-1.29</v>
      </c>
      <c r="AD48" s="267">
        <v>-1.22</v>
      </c>
      <c r="AE48" s="262"/>
    </row>
    <row r="49" spans="2:31" hidden="1">
      <c r="B49" s="247" t="s">
        <v>186</v>
      </c>
      <c r="C49" s="275" t="e">
        <f>_xll.AdFxSwpToSwp($M$40,$B49,$M$38,$P$37:$Q$37,$P$38:$Q$38,$M$43:$O$82,$Q$43:$S$82,,"RET:4")</f>
        <v>#NAME?</v>
      </c>
      <c r="D49" s="276" t="e">
        <f>_xll.AdFxSwpToSwp($M$40,$B49,$M$38,$P$37:$Q$37,$P$38:$Q$38,$M$43:$O$82,$Q$43:$S$82,,"RET:1")</f>
        <v>#NAME?</v>
      </c>
      <c r="E49" s="276" t="e">
        <f>_xll.AdFxSwpToSwp($M$40,$B49,$M$38,$P$37:$Q$37,$P$38:$Q$38,$M$43:$O$82,$Q$43:$S$82,,"RET:2")</f>
        <v>#NAME?</v>
      </c>
      <c r="F49" s="277" t="e">
        <f>_xll.AdFxSwpToSwp($M$40,$B49,$M$38,$P$37:$Q$37,$P$38:$Q$38,$M$43:$O$82,$Q$43:$S$82,,"RET:5")</f>
        <v>#NAME?</v>
      </c>
      <c r="G49" s="277" t="e">
        <f>_xll.AdFxSwpToSwp($M$40,$B49,$M$38,$P$37:$Q$37,$P$38:$Q$38,$M$43:$O$82,$Q$43:$S$82,,"RET:6")</f>
        <v>#NAME?</v>
      </c>
      <c r="K49" s="280"/>
      <c r="L49" s="281" t="s">
        <v>12761</v>
      </c>
      <c r="M49" s="267" t="str">
        <f t="shared" si="0"/>
        <v>1M</v>
      </c>
      <c r="N49" s="267">
        <v>6.2700000000000005</v>
      </c>
      <c r="O49" s="267">
        <v>6.43</v>
      </c>
      <c r="P49" s="281" t="s">
        <v>12732</v>
      </c>
      <c r="Q49" s="267" t="str">
        <f t="shared" si="1"/>
        <v>1M</v>
      </c>
      <c r="R49" s="267">
        <v>-1.8800000000000001</v>
      </c>
      <c r="S49" s="267">
        <v>-1.78</v>
      </c>
      <c r="T49" s="282"/>
      <c r="U49" s="282"/>
      <c r="V49" s="282"/>
      <c r="W49" s="281" t="s">
        <v>12761</v>
      </c>
      <c r="X49" s="267" t="str">
        <f t="shared" si="2"/>
        <v>1M</v>
      </c>
      <c r="Y49" s="267">
        <v>6.2700000000000005</v>
      </c>
      <c r="Z49" s="267">
        <v>6.43</v>
      </c>
      <c r="AA49" s="281" t="s">
        <v>12732</v>
      </c>
      <c r="AB49" s="267" t="str">
        <f t="shared" si="3"/>
        <v>1M</v>
      </c>
      <c r="AC49" s="267">
        <v>-1.8800000000000001</v>
      </c>
      <c r="AD49" s="267">
        <v>-1.78</v>
      </c>
      <c r="AE49" s="262"/>
    </row>
    <row r="50" spans="2:31" hidden="1">
      <c r="B50" s="247" t="s">
        <v>187</v>
      </c>
      <c r="C50" s="275" t="e">
        <f>_xll.AdFxSwpToSwp($M$40,$B50,$M$38,$P$37:$Q$37,$P$38:$Q$38,$M$43:$O$82,$Q$43:$S$82,,"RET:4")</f>
        <v>#NAME?</v>
      </c>
      <c r="D50" s="276" t="e">
        <f>_xll.AdFxSwpToSwp($M$40,$B50,$M$38,$P$37:$Q$37,$P$38:$Q$38,$M$43:$O$82,$Q$43:$S$82,,"RET:1")</f>
        <v>#NAME?</v>
      </c>
      <c r="E50" s="276" t="e">
        <f>_xll.AdFxSwpToSwp($M$40,$B50,$M$38,$P$37:$Q$37,$P$38:$Q$38,$M$43:$O$82,$Q$43:$S$82,,"RET:2")</f>
        <v>#NAME?</v>
      </c>
      <c r="F50" s="277" t="e">
        <f>_xll.AdFxSwpToSwp($M$40,$B50,$M$38,$P$37:$Q$37,$P$38:$Q$38,$M$43:$O$82,$Q$43:$S$82,,"RET:5")</f>
        <v>#NAME?</v>
      </c>
      <c r="G50" s="277" t="e">
        <f>_xll.AdFxSwpToSwp($M$40,$B50,$M$38,$P$37:$Q$37,$P$38:$Q$38,$M$43:$O$82,$Q$43:$S$82,,"RET:6")</f>
        <v>#NAME?</v>
      </c>
      <c r="K50" s="280"/>
      <c r="L50" s="281" t="s">
        <v>12762</v>
      </c>
      <c r="M50" s="267" t="str">
        <f t="shared" si="0"/>
        <v>2M</v>
      </c>
      <c r="N50" s="267">
        <v>19.670000000000002</v>
      </c>
      <c r="O50" s="267">
        <v>21.43</v>
      </c>
      <c r="P50" s="281" t="s">
        <v>12733</v>
      </c>
      <c r="Q50" s="267" t="str">
        <f t="shared" si="1"/>
        <v>2M</v>
      </c>
      <c r="R50" s="267">
        <v>-10.9</v>
      </c>
      <c r="S50" s="267">
        <v>-10.6</v>
      </c>
      <c r="T50" s="282"/>
      <c r="U50" s="282"/>
      <c r="V50" s="282"/>
      <c r="W50" s="281" t="s">
        <v>12762</v>
      </c>
      <c r="X50" s="267" t="str">
        <f t="shared" si="2"/>
        <v>2M</v>
      </c>
      <c r="Y50" s="267">
        <v>19.670000000000002</v>
      </c>
      <c r="Z50" s="267">
        <v>21.43</v>
      </c>
      <c r="AA50" s="281" t="s">
        <v>12733</v>
      </c>
      <c r="AB50" s="267" t="str">
        <f t="shared" si="3"/>
        <v>2M</v>
      </c>
      <c r="AC50" s="267">
        <v>-10.9</v>
      </c>
      <c r="AD50" s="267">
        <v>-10.6</v>
      </c>
      <c r="AE50" s="262"/>
    </row>
    <row r="51" spans="2:31" hidden="1">
      <c r="B51" s="247" t="s">
        <v>188</v>
      </c>
      <c r="C51" s="275" t="e">
        <f>_xll.AdFxSwpToSwp($M$40,$B51,$M$38,$P$37:$Q$37,$P$38:$Q$38,$M$43:$O$82,$Q$43:$S$82,,"RET:4")</f>
        <v>#NAME?</v>
      </c>
      <c r="D51" s="276" t="e">
        <f>_xll.AdFxSwpToSwp($M$40,$B51,$M$38,$P$37:$Q$37,$P$38:$Q$38,$M$43:$O$82,$Q$43:$S$82,,"RET:1")</f>
        <v>#NAME?</v>
      </c>
      <c r="E51" s="276" t="e">
        <f>_xll.AdFxSwpToSwp($M$40,$B51,$M$38,$P$37:$Q$37,$P$38:$Q$38,$M$43:$O$82,$Q$43:$S$82,,"RET:2")</f>
        <v>#NAME?</v>
      </c>
      <c r="F51" s="277" t="e">
        <f>_xll.AdFxSwpToSwp($M$40,$B51,$M$38,$P$37:$Q$37,$P$38:$Q$38,$M$43:$O$82,$Q$43:$S$82,,"RET:5")</f>
        <v>#NAME?</v>
      </c>
      <c r="G51" s="277" t="e">
        <f>_xll.AdFxSwpToSwp($M$40,$B51,$M$38,$P$37:$Q$37,$P$38:$Q$38,$M$43:$O$82,$Q$43:$S$82,,"RET:6")</f>
        <v>#NAME?</v>
      </c>
      <c r="K51" s="280"/>
      <c r="L51" s="281" t="s">
        <v>12763</v>
      </c>
      <c r="M51" s="267" t="str">
        <f t="shared" si="0"/>
        <v>3M</v>
      </c>
      <c r="N51" s="267">
        <v>27.35</v>
      </c>
      <c r="O51" s="267">
        <v>27.67</v>
      </c>
      <c r="P51" s="281" t="s">
        <v>12734</v>
      </c>
      <c r="Q51" s="267" t="str">
        <f t="shared" si="1"/>
        <v>3M</v>
      </c>
      <c r="R51" s="267">
        <v>-14.040000000000001</v>
      </c>
      <c r="S51" s="267">
        <v>-13.540000000000001</v>
      </c>
      <c r="T51" s="282"/>
      <c r="U51" s="282"/>
      <c r="V51" s="282"/>
      <c r="W51" s="281" t="s">
        <v>12763</v>
      </c>
      <c r="X51" s="267" t="str">
        <f t="shared" si="2"/>
        <v>3M</v>
      </c>
      <c r="Y51" s="267">
        <v>27.35</v>
      </c>
      <c r="Z51" s="267">
        <v>27.67</v>
      </c>
      <c r="AA51" s="281" t="s">
        <v>12734</v>
      </c>
      <c r="AB51" s="267" t="str">
        <f t="shared" si="3"/>
        <v>3M</v>
      </c>
      <c r="AC51" s="267">
        <v>-14.040000000000001</v>
      </c>
      <c r="AD51" s="267">
        <v>-13.540000000000001</v>
      </c>
      <c r="AE51" s="262"/>
    </row>
    <row r="52" spans="2:31" hidden="1">
      <c r="B52" s="247" t="s">
        <v>189</v>
      </c>
      <c r="C52" s="275" t="e">
        <f>_xll.AdFxSwpToSwp($M$40,$B52,$M$38,$P$37:$Q$37,$P$38:$Q$38,$M$43:$O$82,$Q$43:$S$82,,"RET:4")</f>
        <v>#NAME?</v>
      </c>
      <c r="D52" s="276" t="e">
        <f>_xll.AdFxSwpToSwp($M$40,$B52,$M$38,$P$37:$Q$37,$P$38:$Q$38,$M$43:$O$82,$Q$43:$S$82,,"RET:1")</f>
        <v>#NAME?</v>
      </c>
      <c r="E52" s="276" t="e">
        <f>_xll.AdFxSwpToSwp($M$40,$B52,$M$38,$P$37:$Q$37,$P$38:$Q$38,$M$43:$O$82,$Q$43:$S$82,,"RET:2")</f>
        <v>#NAME?</v>
      </c>
      <c r="F52" s="277" t="e">
        <f>_xll.AdFxSwpToSwp($M$40,$B52,$M$38,$P$37:$Q$37,$P$38:$Q$38,$M$43:$O$82,$Q$43:$S$82,,"RET:5")</f>
        <v>#NAME?</v>
      </c>
      <c r="G52" s="277" t="e">
        <f>_xll.AdFxSwpToSwp($M$40,$B52,$M$38,$P$37:$Q$37,$P$38:$Q$38,$M$43:$O$82,$Q$43:$S$82,,"RET:6")</f>
        <v>#NAME?</v>
      </c>
      <c r="K52" s="280"/>
      <c r="L52" s="281" t="s">
        <v>12764</v>
      </c>
      <c r="M52" s="267" t="str">
        <f t="shared" si="0"/>
        <v>4M</v>
      </c>
      <c r="N52" s="267">
        <v>33.69</v>
      </c>
      <c r="O52" s="267">
        <v>34.83</v>
      </c>
      <c r="P52" s="281" t="s">
        <v>12735</v>
      </c>
      <c r="Q52" s="267" t="str">
        <f t="shared" si="1"/>
        <v>4M</v>
      </c>
      <c r="R52" s="267">
        <v>-17.330000000000002</v>
      </c>
      <c r="S52" s="267">
        <v>-16.66</v>
      </c>
      <c r="T52" s="282"/>
      <c r="U52" s="282"/>
      <c r="V52" s="282"/>
      <c r="W52" s="281" t="s">
        <v>12764</v>
      </c>
      <c r="X52" s="267" t="str">
        <f t="shared" si="2"/>
        <v>4M</v>
      </c>
      <c r="Y52" s="267">
        <v>33.69</v>
      </c>
      <c r="Z52" s="267">
        <v>34.83</v>
      </c>
      <c r="AA52" s="281" t="s">
        <v>12735</v>
      </c>
      <c r="AB52" s="267" t="str">
        <f t="shared" si="3"/>
        <v>4M</v>
      </c>
      <c r="AC52" s="267">
        <v>-17.330000000000002</v>
      </c>
      <c r="AD52" s="267">
        <v>-16.66</v>
      </c>
      <c r="AE52" s="262"/>
    </row>
    <row r="53" spans="2:31" hidden="1">
      <c r="B53" s="247" t="s">
        <v>190</v>
      </c>
      <c r="C53" s="275" t="e">
        <f>_xll.AdFxSwpToSwp($M$40,$B53,$M$38,$P$37:$Q$37,$P$38:$Q$38,$M$43:$O$82,$Q$43:$S$82,,"RET:4")</f>
        <v>#NAME?</v>
      </c>
      <c r="D53" s="276" t="e">
        <f>_xll.AdFxSwpToSwp($M$40,$B53,$M$38,$P$37:$Q$37,$P$38:$Q$38,$M$43:$O$82,$Q$43:$S$82,,"RET:1")</f>
        <v>#NAME?</v>
      </c>
      <c r="E53" s="276" t="e">
        <f>_xll.AdFxSwpToSwp($M$40,$B53,$M$38,$P$37:$Q$37,$P$38:$Q$38,$M$43:$O$82,$Q$43:$S$82,,"RET:2")</f>
        <v>#NAME?</v>
      </c>
      <c r="F53" s="277" t="e">
        <f>_xll.AdFxSwpToSwp($M$40,$B53,$M$38,$P$37:$Q$37,$P$38:$Q$38,$M$43:$O$82,$Q$43:$S$82,,"RET:5")</f>
        <v>#NAME?</v>
      </c>
      <c r="G53" s="277" t="e">
        <f>_xll.AdFxSwpToSwp($M$40,$B53,$M$38,$P$37:$Q$37,$P$38:$Q$38,$M$43:$O$82,$Q$43:$S$82,,"RET:6")</f>
        <v>#NAME?</v>
      </c>
      <c r="K53" s="280"/>
      <c r="L53" s="281" t="s">
        <v>12765</v>
      </c>
      <c r="M53" s="267" t="str">
        <f t="shared" si="0"/>
        <v>5M</v>
      </c>
      <c r="N53" s="267">
        <v>42.52</v>
      </c>
      <c r="O53" s="267">
        <v>43.72</v>
      </c>
      <c r="P53" s="281" t="s">
        <v>12736</v>
      </c>
      <c r="Q53" s="267" t="str">
        <f t="shared" si="1"/>
        <v>5M</v>
      </c>
      <c r="R53" s="267">
        <v>-22.27</v>
      </c>
      <c r="S53" s="267">
        <v>-21.46</v>
      </c>
      <c r="T53" s="282"/>
      <c r="U53" s="282"/>
      <c r="V53" s="282"/>
      <c r="W53" s="281" t="s">
        <v>12765</v>
      </c>
      <c r="X53" s="267" t="str">
        <f t="shared" si="2"/>
        <v>5M</v>
      </c>
      <c r="Y53" s="267">
        <v>42.52</v>
      </c>
      <c r="Z53" s="267">
        <v>43.72</v>
      </c>
      <c r="AA53" s="281" t="s">
        <v>12736</v>
      </c>
      <c r="AB53" s="267" t="str">
        <f t="shared" si="3"/>
        <v>5M</v>
      </c>
      <c r="AC53" s="267">
        <v>-22.27</v>
      </c>
      <c r="AD53" s="267">
        <v>-21.46</v>
      </c>
      <c r="AE53" s="262"/>
    </row>
    <row r="54" spans="2:31" hidden="1">
      <c r="B54" s="247" t="s">
        <v>191</v>
      </c>
      <c r="C54" s="275" t="e">
        <f>_xll.AdFxSwpToSwp($M$40,$B54,$M$38,$P$37:$Q$37,$P$38:$Q$38,$M$43:$O$82,$Q$43:$S$82,,"RET:4")</f>
        <v>#NAME?</v>
      </c>
      <c r="D54" s="276" t="e">
        <f>_xll.AdFxSwpToSwp($M$40,$B54,$M$38,$P$37:$Q$37,$P$38:$Q$38,$M$43:$O$82,$Q$43:$S$82,,"RET:1")</f>
        <v>#NAME?</v>
      </c>
      <c r="E54" s="276" t="e">
        <f>_xll.AdFxSwpToSwp($M$40,$B54,$M$38,$P$37:$Q$37,$P$38:$Q$38,$M$43:$O$82,$Q$43:$S$82,,"RET:2")</f>
        <v>#NAME?</v>
      </c>
      <c r="F54" s="277" t="e">
        <f>_xll.AdFxSwpToSwp($M$40,$B54,$M$38,$P$37:$Q$37,$P$38:$Q$38,$M$43:$O$82,$Q$43:$S$82,,"RET:5")</f>
        <v>#NAME?</v>
      </c>
      <c r="G54" s="277" t="e">
        <f>_xll.AdFxSwpToSwp($M$40,$B54,$M$38,$P$37:$Q$37,$P$38:$Q$38,$M$43:$O$82,$Q$43:$S$82,,"RET:6")</f>
        <v>#NAME?</v>
      </c>
      <c r="K54" s="280"/>
      <c r="L54" s="281" t="s">
        <v>12766</v>
      </c>
      <c r="M54" s="267" t="str">
        <f t="shared" si="0"/>
        <v>6M</v>
      </c>
      <c r="N54" s="267">
        <v>49.14</v>
      </c>
      <c r="O54" s="267">
        <v>51.14</v>
      </c>
      <c r="P54" s="281" t="s">
        <v>12737</v>
      </c>
      <c r="Q54" s="267" t="str">
        <f t="shared" si="1"/>
        <v>6M</v>
      </c>
      <c r="R54" s="267">
        <v>-26.48</v>
      </c>
      <c r="S54" s="267">
        <v>-25.580000000000002</v>
      </c>
      <c r="T54" s="282"/>
      <c r="U54" s="282"/>
      <c r="V54" s="282"/>
      <c r="W54" s="281" t="s">
        <v>12766</v>
      </c>
      <c r="X54" s="267" t="str">
        <f t="shared" si="2"/>
        <v>6M</v>
      </c>
      <c r="Y54" s="267">
        <v>49.14</v>
      </c>
      <c r="Z54" s="267">
        <v>51.14</v>
      </c>
      <c r="AA54" s="281" t="s">
        <v>12737</v>
      </c>
      <c r="AB54" s="267" t="str">
        <f t="shared" si="3"/>
        <v>6M</v>
      </c>
      <c r="AC54" s="267">
        <v>-26.48</v>
      </c>
      <c r="AD54" s="267">
        <v>-25.580000000000002</v>
      </c>
      <c r="AE54" s="262"/>
    </row>
    <row r="55" spans="2:31" hidden="1">
      <c r="B55" s="247" t="s">
        <v>192</v>
      </c>
      <c r="C55" s="275" t="e">
        <f>_xll.AdFxSwpToSwp($M$40,$B55,$M$38,$P$37:$Q$37,$P$38:$Q$38,$M$43:$O$82,$Q$43:$S$82,,"RET:4")</f>
        <v>#NAME?</v>
      </c>
      <c r="D55" s="276" t="e">
        <f>_xll.AdFxSwpToSwp($M$40,$B55,$M$38,$P$37:$Q$37,$P$38:$Q$38,$M$43:$O$82,$Q$43:$S$82,,"RET:1")</f>
        <v>#NAME?</v>
      </c>
      <c r="E55" s="276" t="e">
        <f>_xll.AdFxSwpToSwp($M$40,$B55,$M$38,$P$37:$Q$37,$P$38:$Q$38,$M$43:$O$82,$Q$43:$S$82,,"RET:2")</f>
        <v>#NAME?</v>
      </c>
      <c r="F55" s="277" t="e">
        <f>_xll.AdFxSwpToSwp($M$40,$B55,$M$38,$P$37:$Q$37,$P$38:$Q$38,$M$43:$O$82,$Q$43:$S$82,,"RET:5")</f>
        <v>#NAME?</v>
      </c>
      <c r="G55" s="277" t="e">
        <f>_xll.AdFxSwpToSwp($M$40,$B55,$M$38,$P$37:$Q$37,$P$38:$Q$38,$M$43:$O$82,$Q$43:$S$82,,"RET:6")</f>
        <v>#NAME?</v>
      </c>
      <c r="K55" s="280"/>
      <c r="L55" s="281" t="s">
        <v>12767</v>
      </c>
      <c r="M55" s="267" t="str">
        <f t="shared" si="0"/>
        <v>7M</v>
      </c>
      <c r="N55" s="267">
        <v>58.49</v>
      </c>
      <c r="O55" s="267">
        <v>59.51</v>
      </c>
      <c r="P55" s="281" t="s">
        <v>12738</v>
      </c>
      <c r="Q55" s="267" t="str">
        <f t="shared" si="1"/>
        <v>7M</v>
      </c>
      <c r="R55" s="267">
        <v>-31.53</v>
      </c>
      <c r="S55" s="267">
        <v>-30.53</v>
      </c>
      <c r="T55" s="282"/>
      <c r="U55" s="282"/>
      <c r="V55" s="282"/>
      <c r="W55" s="281" t="s">
        <v>12767</v>
      </c>
      <c r="X55" s="267" t="str">
        <f t="shared" si="2"/>
        <v>7M</v>
      </c>
      <c r="Y55" s="267">
        <v>58.49</v>
      </c>
      <c r="Z55" s="267">
        <v>59.51</v>
      </c>
      <c r="AA55" s="281" t="s">
        <v>12738</v>
      </c>
      <c r="AB55" s="267" t="str">
        <f t="shared" si="3"/>
        <v>7M</v>
      </c>
      <c r="AC55" s="267">
        <v>-31.53</v>
      </c>
      <c r="AD55" s="267">
        <v>-30.53</v>
      </c>
      <c r="AE55" s="262"/>
    </row>
    <row r="56" spans="2:31" hidden="1">
      <c r="B56" s="247" t="s">
        <v>237</v>
      </c>
      <c r="C56" s="275" t="e">
        <f>_xll.AdFxSwpToSwp($M$40,$B56,$M$38,$P$37:$Q$37,$P$38:$Q$38,$M$43:$O$82,$Q$43:$S$82,,"RET:4")</f>
        <v>#NAME?</v>
      </c>
      <c r="D56" s="276" t="e">
        <f>_xll.AdFxSwpToSwp($M$40,$B56,$M$38,$P$37:$Q$37,$P$38:$Q$38,$M$43:$O$82,$Q$43:$S$82,,"RET:1")</f>
        <v>#NAME?</v>
      </c>
      <c r="E56" s="276" t="e">
        <f>_xll.AdFxSwpToSwp($M$40,$B56,$M$38,$P$37:$Q$37,$P$38:$Q$38,$M$43:$O$82,$Q$43:$S$82,,"RET:2")</f>
        <v>#NAME?</v>
      </c>
      <c r="F56" s="277" t="e">
        <f>_xll.AdFxSwpToSwp($M$40,$B56,$M$38,$P$37:$Q$37,$P$38:$Q$38,$M$43:$O$82,$Q$43:$S$82,,"RET:5")</f>
        <v>#NAME?</v>
      </c>
      <c r="G56" s="277" t="e">
        <f>_xll.AdFxSwpToSwp($M$40,$B56,$M$38,$P$37:$Q$37,$P$38:$Q$38,$M$43:$O$82,$Q$43:$S$82,,"RET:6")</f>
        <v>#NAME?</v>
      </c>
      <c r="K56" s="280"/>
      <c r="L56" s="281" t="s">
        <v>12768</v>
      </c>
      <c r="M56" s="267" t="str">
        <f t="shared" si="0"/>
        <v>8M</v>
      </c>
      <c r="N56" s="267">
        <v>68.59</v>
      </c>
      <c r="O56" s="267">
        <v>69.760000000000005</v>
      </c>
      <c r="P56" s="281" t="s">
        <v>12739</v>
      </c>
      <c r="Q56" s="267" t="str">
        <f t="shared" si="1"/>
        <v>8M</v>
      </c>
      <c r="R56" s="267">
        <v>-38.450000000000003</v>
      </c>
      <c r="S56" s="267">
        <v>-37.85</v>
      </c>
      <c r="T56" s="282"/>
      <c r="U56" s="282"/>
      <c r="V56" s="282"/>
      <c r="W56" s="281" t="s">
        <v>12768</v>
      </c>
      <c r="X56" s="267" t="str">
        <f t="shared" si="2"/>
        <v>8M</v>
      </c>
      <c r="Y56" s="267">
        <v>68.59</v>
      </c>
      <c r="Z56" s="267">
        <v>69.760000000000005</v>
      </c>
      <c r="AA56" s="281" t="s">
        <v>12739</v>
      </c>
      <c r="AB56" s="267" t="str">
        <f t="shared" si="3"/>
        <v>8M</v>
      </c>
      <c r="AC56" s="267">
        <v>-38.450000000000003</v>
      </c>
      <c r="AD56" s="267">
        <v>-37.85</v>
      </c>
      <c r="AE56" s="262"/>
    </row>
    <row r="57" spans="2:31" hidden="1">
      <c r="B57" s="247" t="s">
        <v>238</v>
      </c>
      <c r="C57" s="275" t="e">
        <f>_xll.AdFxSwpToSwp($M$40,$B57,$M$38,$P$37:$Q$37,$P$38:$Q$38,$M$43:$O$82,$Q$43:$S$82,,"RET:4")</f>
        <v>#NAME?</v>
      </c>
      <c r="D57" s="276" t="e">
        <f>_xll.AdFxSwpToSwp($M$40,$B57,$M$38,$P$37:$Q$37,$P$38:$Q$38,$M$43:$O$82,$Q$43:$S$82,,"RET:1")</f>
        <v>#NAME?</v>
      </c>
      <c r="E57" s="276" t="e">
        <f>_xll.AdFxSwpToSwp($M$40,$B57,$M$38,$P$37:$Q$37,$P$38:$Q$38,$M$43:$O$82,$Q$43:$S$82,,"RET:2")</f>
        <v>#NAME?</v>
      </c>
      <c r="F57" s="277" t="e">
        <f>_xll.AdFxSwpToSwp($M$40,$B57,$M$38,$P$37:$Q$37,$P$38:$Q$38,$M$43:$O$82,$Q$43:$S$82,,"RET:5")</f>
        <v>#NAME?</v>
      </c>
      <c r="G57" s="277" t="e">
        <f>_xll.AdFxSwpToSwp($M$40,$B57,$M$38,$P$37:$Q$37,$P$38:$Q$38,$M$43:$O$82,$Q$43:$S$82,,"RET:6")</f>
        <v>#NAME?</v>
      </c>
      <c r="K57" s="280"/>
      <c r="L57" s="281" t="s">
        <v>12769</v>
      </c>
      <c r="M57" s="267" t="str">
        <f t="shared" si="0"/>
        <v>9M</v>
      </c>
      <c r="N57" s="267">
        <v>77.350000000000009</v>
      </c>
      <c r="O57" s="267">
        <v>78.66</v>
      </c>
      <c r="P57" s="281" t="s">
        <v>12740</v>
      </c>
      <c r="Q57" s="267" t="str">
        <f t="shared" si="1"/>
        <v>9M</v>
      </c>
      <c r="R57" s="267">
        <v>-44.68</v>
      </c>
      <c r="S57" s="267">
        <v>-43.68</v>
      </c>
      <c r="T57" s="282"/>
      <c r="U57" s="282"/>
      <c r="V57" s="282"/>
      <c r="W57" s="281" t="s">
        <v>12769</v>
      </c>
      <c r="X57" s="267" t="str">
        <f t="shared" si="2"/>
        <v>9M</v>
      </c>
      <c r="Y57" s="267">
        <v>77.350000000000009</v>
      </c>
      <c r="Z57" s="267">
        <v>78.66</v>
      </c>
      <c r="AA57" s="281" t="s">
        <v>12740</v>
      </c>
      <c r="AB57" s="267" t="str">
        <f t="shared" si="3"/>
        <v>9M</v>
      </c>
      <c r="AC57" s="267">
        <v>-44.68</v>
      </c>
      <c r="AD57" s="267">
        <v>-43.68</v>
      </c>
      <c r="AE57" s="262"/>
    </row>
    <row r="58" spans="2:31" hidden="1">
      <c r="B58" s="247" t="s">
        <v>193</v>
      </c>
      <c r="C58" s="275" t="e">
        <f>_xll.AdFxSwpToSwp($M$40,$B58,$M$38,$P$37:$Q$37,$P$38:$Q$38,$M$43:$O$82,$Q$43:$S$82,,"RET:4")</f>
        <v>#NAME?</v>
      </c>
      <c r="D58" s="276" t="e">
        <f>_xll.AdFxSwpToSwp($M$40,$B58,$M$38,$P$37:$Q$37,$P$38:$Q$38,$M$43:$O$82,$Q$43:$S$82,,"RET:1")</f>
        <v>#NAME?</v>
      </c>
      <c r="E58" s="276" t="e">
        <f>_xll.AdFxSwpToSwp($M$40,$B58,$M$38,$P$37:$Q$37,$P$38:$Q$38,$M$43:$O$82,$Q$43:$S$82,,"RET:2")</f>
        <v>#NAME?</v>
      </c>
      <c r="F58" s="277" t="e">
        <f>_xll.AdFxSwpToSwp($M$40,$B58,$M$38,$P$37:$Q$37,$P$38:$Q$38,$M$43:$O$82,$Q$43:$S$82,,"RET:5")</f>
        <v>#NAME?</v>
      </c>
      <c r="G58" s="277" t="e">
        <f>_xll.AdFxSwpToSwp($M$40,$B58,$M$38,$P$37:$Q$37,$P$38:$Q$38,$M$43:$O$82,$Q$43:$S$82,,"RET:6")</f>
        <v>#NAME?</v>
      </c>
      <c r="K58" s="280"/>
      <c r="L58" s="281" t="s">
        <v>12770</v>
      </c>
      <c r="M58" s="267" t="str">
        <f t="shared" si="0"/>
        <v>10M</v>
      </c>
      <c r="N58" s="267">
        <v>86.24</v>
      </c>
      <c r="O58" s="267">
        <v>87.61</v>
      </c>
      <c r="P58" s="281" t="s">
        <v>12741</v>
      </c>
      <c r="Q58" s="267" t="str">
        <f t="shared" si="1"/>
        <v>10M</v>
      </c>
      <c r="R58" s="267">
        <v>-51.78</v>
      </c>
      <c r="S58" s="267">
        <v>-50.83</v>
      </c>
      <c r="T58" s="282"/>
      <c r="U58" s="282"/>
      <c r="V58" s="282"/>
      <c r="W58" s="281" t="s">
        <v>12770</v>
      </c>
      <c r="X58" s="267" t="str">
        <f t="shared" si="2"/>
        <v>10M</v>
      </c>
      <c r="Y58" s="267">
        <v>86.24</v>
      </c>
      <c r="Z58" s="267">
        <v>87.61</v>
      </c>
      <c r="AA58" s="281" t="s">
        <v>12741</v>
      </c>
      <c r="AB58" s="267" t="str">
        <f t="shared" si="3"/>
        <v>10M</v>
      </c>
      <c r="AC58" s="267">
        <v>-51.78</v>
      </c>
      <c r="AD58" s="267">
        <v>-50.83</v>
      </c>
      <c r="AE58" s="262"/>
    </row>
    <row r="59" spans="2:31" hidden="1">
      <c r="B59" s="247" t="s">
        <v>239</v>
      </c>
      <c r="C59" s="275" t="e">
        <f>_xll.AdFxSwpToSwp($M$40,$B59,$M$38,$P$37:$Q$37,$P$38:$Q$38,$M$43:$O$82,$Q$43:$S$82,,"RET:4")</f>
        <v>#NAME?</v>
      </c>
      <c r="D59" s="276" t="e">
        <f>_xll.AdFxSwpToSwp($M$40,$B59,$M$38,$P$37:$Q$37,$P$38:$Q$38,$M$43:$O$82,$Q$43:$S$82,,"RET:1")</f>
        <v>#NAME?</v>
      </c>
      <c r="E59" s="276" t="e">
        <f>_xll.AdFxSwpToSwp($M$40,$B59,$M$38,$P$37:$Q$37,$P$38:$Q$38,$M$43:$O$82,$Q$43:$S$82,,"RET:2")</f>
        <v>#NAME?</v>
      </c>
      <c r="F59" s="277" t="e">
        <f>_xll.AdFxSwpToSwp($M$40,$B59,$M$38,$P$37:$Q$37,$P$38:$Q$38,$M$43:$O$82,$Q$43:$S$82,,"RET:5")</f>
        <v>#NAME?</v>
      </c>
      <c r="G59" s="277" t="e">
        <f>_xll.AdFxSwpToSwp($M$40,$B59,$M$38,$P$37:$Q$37,$P$38:$Q$38,$M$43:$O$82,$Q$43:$S$82,,"RET:6")</f>
        <v>#NAME?</v>
      </c>
      <c r="K59" s="280"/>
      <c r="L59" s="281" t="s">
        <v>12771</v>
      </c>
      <c r="M59" s="267" t="str">
        <f t="shared" si="0"/>
        <v>11M</v>
      </c>
      <c r="N59" s="267">
        <v>97.27</v>
      </c>
      <c r="O59" s="267">
        <v>98.79</v>
      </c>
      <c r="P59" s="281" t="s">
        <v>12742</v>
      </c>
      <c r="Q59" s="267" t="str">
        <f t="shared" si="1"/>
        <v>11M</v>
      </c>
      <c r="R59" s="267">
        <v>-61.11</v>
      </c>
      <c r="S59" s="267">
        <v>-59.15</v>
      </c>
      <c r="T59" s="282"/>
      <c r="U59" s="282"/>
      <c r="V59" s="282"/>
      <c r="W59" s="281" t="s">
        <v>12771</v>
      </c>
      <c r="X59" s="267" t="str">
        <f t="shared" si="2"/>
        <v>11M</v>
      </c>
      <c r="Y59" s="267">
        <v>97.27</v>
      </c>
      <c r="Z59" s="267">
        <v>98.79</v>
      </c>
      <c r="AA59" s="281" t="s">
        <v>12742</v>
      </c>
      <c r="AB59" s="267" t="str">
        <f t="shared" si="3"/>
        <v>11M</v>
      </c>
      <c r="AC59" s="267">
        <v>-61.11</v>
      </c>
      <c r="AD59" s="267">
        <v>-59.15</v>
      </c>
      <c r="AE59" s="262"/>
    </row>
    <row r="60" spans="2:31" hidden="1">
      <c r="B60" s="247" t="s">
        <v>240</v>
      </c>
      <c r="C60" s="275" t="e">
        <f>_xll.AdFxSwpToSwp($M$40,$B60,$M$38,$P$37:$Q$37,$P$38:$Q$38,$M$43:$O$82,$Q$43:$S$82,,"RET:4")</f>
        <v>#NAME?</v>
      </c>
      <c r="D60" s="276" t="e">
        <f>_xll.AdFxSwpToSwp($M$40,$B60,$M$38,$P$37:$Q$37,$P$38:$Q$38,$M$43:$O$82,$Q$43:$S$82,,"RET:1")</f>
        <v>#NAME?</v>
      </c>
      <c r="E60" s="276" t="e">
        <f>_xll.AdFxSwpToSwp($M$40,$B60,$M$38,$P$37:$Q$37,$P$38:$Q$38,$M$43:$O$82,$Q$43:$S$82,,"RET:2")</f>
        <v>#NAME?</v>
      </c>
      <c r="F60" s="277" t="e">
        <f>_xll.AdFxSwpToSwp($M$40,$B60,$M$38,$P$37:$Q$37,$P$38:$Q$38,$M$43:$O$82,$Q$43:$S$82,,"RET:5")</f>
        <v>#NAME?</v>
      </c>
      <c r="G60" s="277" t="e">
        <f>_xll.AdFxSwpToSwp($M$40,$B60,$M$38,$P$37:$Q$37,$P$38:$Q$38,$M$43:$O$82,$Q$43:$S$82,,"RET:6")</f>
        <v>#NAME?</v>
      </c>
      <c r="K60" s="280"/>
      <c r="L60" s="281" t="s">
        <v>12772</v>
      </c>
      <c r="M60" s="267" t="str">
        <f t="shared" si="0"/>
        <v>1Y</v>
      </c>
      <c r="N60" s="267">
        <v>108.16</v>
      </c>
      <c r="O60" s="267">
        <v>109.58</v>
      </c>
      <c r="P60" s="281" t="s">
        <v>12743</v>
      </c>
      <c r="Q60" s="267" t="str">
        <f t="shared" si="1"/>
        <v>1Y</v>
      </c>
      <c r="R60" s="267">
        <v>-69.47</v>
      </c>
      <c r="S60" s="267">
        <v>-67.070000000000007</v>
      </c>
      <c r="T60" s="282"/>
      <c r="U60" s="282"/>
      <c r="V60" s="282"/>
      <c r="W60" s="281" t="s">
        <v>12772</v>
      </c>
      <c r="X60" s="267" t="str">
        <f t="shared" si="2"/>
        <v>1Y</v>
      </c>
      <c r="Y60" s="267">
        <v>108.16</v>
      </c>
      <c r="Z60" s="267">
        <v>109.58</v>
      </c>
      <c r="AA60" s="281" t="s">
        <v>12743</v>
      </c>
      <c r="AB60" s="267" t="str">
        <f t="shared" si="3"/>
        <v>1Y</v>
      </c>
      <c r="AC60" s="267">
        <v>-69.47</v>
      </c>
      <c r="AD60" s="267">
        <v>-67.070000000000007</v>
      </c>
      <c r="AE60" s="262"/>
    </row>
    <row r="61" spans="2:31" hidden="1">
      <c r="B61" s="247" t="s">
        <v>194</v>
      </c>
      <c r="C61" s="275" t="e">
        <f>_xll.AdFxSwpToSwp($M$40,$B61,$M$38,$P$37:$Q$37,$P$38:$Q$38,$M$43:$O$82,$Q$43:$S$82,,"RET:4")</f>
        <v>#NAME?</v>
      </c>
      <c r="D61" s="276" t="e">
        <f>_xll.AdFxSwpToSwp($M$40,$B61,$M$38,$P$37:$Q$37,$P$38:$Q$38,$M$43:$O$82,$Q$43:$S$82,,"RET:1")</f>
        <v>#NAME?</v>
      </c>
      <c r="E61" s="276" t="e">
        <f>_xll.AdFxSwpToSwp($M$40,$B61,$M$38,$P$37:$Q$37,$P$38:$Q$38,$M$43:$O$82,$Q$43:$S$82,,"RET:2")</f>
        <v>#NAME?</v>
      </c>
      <c r="F61" s="277" t="e">
        <f>_xll.AdFxSwpToSwp($M$40,$B61,$M$38,$P$37:$Q$37,$P$38:$Q$38,$M$43:$O$82,$Q$43:$S$82,,"RET:5")</f>
        <v>#NAME?</v>
      </c>
      <c r="G61" s="277" t="e">
        <f>_xll.AdFxSwpToSwp($M$40,$B61,$M$38,$P$37:$Q$37,$P$38:$Q$38,$M$43:$O$82,$Q$43:$S$82,,"RET:6")</f>
        <v>#NAME?</v>
      </c>
      <c r="K61" s="280"/>
      <c r="L61" s="281" t="s">
        <v>12773</v>
      </c>
      <c r="M61" s="267" t="str">
        <f t="shared" si="0"/>
        <v>15M</v>
      </c>
      <c r="N61" s="267">
        <v>147.49</v>
      </c>
      <c r="O61" s="267">
        <v>149.86000000000001</v>
      </c>
      <c r="P61" s="281" t="s">
        <v>12744</v>
      </c>
      <c r="Q61" s="267" t="str">
        <f t="shared" si="1"/>
        <v>15M</v>
      </c>
      <c r="R61" s="267">
        <v>-104.53</v>
      </c>
      <c r="S61" s="267">
        <v>-100.93</v>
      </c>
      <c r="T61" s="282"/>
      <c r="U61" s="282"/>
      <c r="V61" s="282"/>
      <c r="W61" s="281" t="s">
        <v>12773</v>
      </c>
      <c r="X61" s="267" t="str">
        <f t="shared" si="2"/>
        <v>15M</v>
      </c>
      <c r="Y61" s="267">
        <v>147.49</v>
      </c>
      <c r="Z61" s="267">
        <v>149.86000000000001</v>
      </c>
      <c r="AA61" s="281" t="s">
        <v>12744</v>
      </c>
      <c r="AB61" s="267" t="str">
        <f t="shared" si="3"/>
        <v>15M</v>
      </c>
      <c r="AC61" s="267">
        <v>-104.53</v>
      </c>
      <c r="AD61" s="267">
        <v>-100.93</v>
      </c>
      <c r="AE61" s="262"/>
    </row>
    <row r="62" spans="2:31" hidden="1">
      <c r="C62" s="275"/>
      <c r="D62" s="276"/>
      <c r="E62" s="276"/>
      <c r="F62" s="277"/>
      <c r="G62" s="277"/>
      <c r="K62" s="280"/>
      <c r="L62" s="281" t="s">
        <v>12774</v>
      </c>
      <c r="M62" s="267" t="str">
        <f t="shared" si="0"/>
        <v>18M</v>
      </c>
      <c r="N62" s="267">
        <v>186.81</v>
      </c>
      <c r="O62" s="267">
        <v>190.36</v>
      </c>
      <c r="P62" s="281" t="s">
        <v>12745</v>
      </c>
      <c r="Q62" s="267" t="str">
        <f t="shared" si="1"/>
        <v>18M</v>
      </c>
      <c r="R62" s="267">
        <v>-141.78</v>
      </c>
      <c r="S62" s="267">
        <v>-136.97999999999999</v>
      </c>
      <c r="T62" s="282"/>
      <c r="U62" s="282"/>
      <c r="V62" s="282"/>
      <c r="W62" s="281" t="s">
        <v>12774</v>
      </c>
      <c r="X62" s="267" t="str">
        <f t="shared" si="2"/>
        <v>18M</v>
      </c>
      <c r="Y62" s="267">
        <v>186.81</v>
      </c>
      <c r="Z62" s="267">
        <v>190.36</v>
      </c>
      <c r="AA62" s="281" t="s">
        <v>12745</v>
      </c>
      <c r="AB62" s="267" t="str">
        <f t="shared" si="3"/>
        <v>18M</v>
      </c>
      <c r="AC62" s="267">
        <v>-141.78</v>
      </c>
      <c r="AD62" s="267">
        <v>-136.97999999999999</v>
      </c>
      <c r="AE62" s="262"/>
    </row>
    <row r="63" spans="2:31" hidden="1">
      <c r="C63" s="275"/>
      <c r="D63" s="276"/>
      <c r="E63" s="276"/>
      <c r="F63" s="277"/>
      <c r="G63" s="277"/>
      <c r="K63" s="280"/>
      <c r="L63" s="281" t="s">
        <v>12775</v>
      </c>
      <c r="M63" s="267" t="str">
        <f t="shared" si="0"/>
        <v>21M</v>
      </c>
      <c r="N63" s="267">
        <v>231.18</v>
      </c>
      <c r="O63" s="267">
        <v>235.34</v>
      </c>
      <c r="P63" s="281" t="s">
        <v>12746</v>
      </c>
      <c r="Q63" s="267" t="str">
        <f t="shared" si="1"/>
        <v>21M</v>
      </c>
      <c r="R63" s="267">
        <v>-186.59</v>
      </c>
      <c r="S63" s="267">
        <v>-180.59</v>
      </c>
      <c r="T63" s="282"/>
      <c r="U63" s="282"/>
      <c r="V63" s="282"/>
      <c r="W63" s="281" t="s">
        <v>12775</v>
      </c>
      <c r="X63" s="267" t="str">
        <f t="shared" si="2"/>
        <v>21M</v>
      </c>
      <c r="Y63" s="267">
        <v>231.18</v>
      </c>
      <c r="Z63" s="267">
        <v>235.34</v>
      </c>
      <c r="AA63" s="281" t="s">
        <v>12746</v>
      </c>
      <c r="AB63" s="267" t="str">
        <f t="shared" si="3"/>
        <v>21M</v>
      </c>
      <c r="AC63" s="267">
        <v>-186.59</v>
      </c>
      <c r="AD63" s="267">
        <v>-180.59</v>
      </c>
      <c r="AE63" s="262"/>
    </row>
    <row r="64" spans="2:31" hidden="1">
      <c r="C64" s="275"/>
      <c r="D64" s="276"/>
      <c r="E64" s="276"/>
      <c r="F64" s="277"/>
      <c r="G64" s="277"/>
      <c r="K64" s="280"/>
      <c r="L64" s="281" t="s">
        <v>12776</v>
      </c>
      <c r="M64" s="267" t="str">
        <f t="shared" si="0"/>
        <v>2Y</v>
      </c>
      <c r="N64" s="267">
        <v>277.91000000000003</v>
      </c>
      <c r="O64" s="267">
        <v>282.69</v>
      </c>
      <c r="P64" s="281" t="s">
        <v>12747</v>
      </c>
      <c r="Q64" s="267" t="str">
        <f t="shared" si="1"/>
        <v>2Y</v>
      </c>
      <c r="R64" s="267">
        <v>-235.48000000000002</v>
      </c>
      <c r="S64" s="267">
        <v>-227.98000000000002</v>
      </c>
      <c r="T64" s="282"/>
      <c r="U64" s="282"/>
      <c r="V64" s="282"/>
      <c r="W64" s="281" t="s">
        <v>12776</v>
      </c>
      <c r="X64" s="267" t="str">
        <f t="shared" si="2"/>
        <v>2Y</v>
      </c>
      <c r="Y64" s="267">
        <v>277.91000000000003</v>
      </c>
      <c r="Z64" s="267">
        <v>282.69</v>
      </c>
      <c r="AA64" s="281" t="s">
        <v>12747</v>
      </c>
      <c r="AB64" s="267" t="str">
        <f t="shared" si="3"/>
        <v>2Y</v>
      </c>
      <c r="AC64" s="267">
        <v>-235.48000000000002</v>
      </c>
      <c r="AD64" s="267">
        <v>-227.98000000000002</v>
      </c>
      <c r="AE64" s="262"/>
    </row>
    <row r="65" spans="2:31" hidden="1">
      <c r="C65" s="275"/>
      <c r="D65" s="276"/>
      <c r="E65" s="276"/>
      <c r="F65" s="277"/>
      <c r="G65" s="277"/>
      <c r="K65" s="280"/>
      <c r="L65" s="281" t="s">
        <v>12777</v>
      </c>
      <c r="M65" s="267" t="str">
        <f t="shared" si="0"/>
        <v>30M</v>
      </c>
      <c r="N65" s="267">
        <v>377.37</v>
      </c>
      <c r="O65" s="267">
        <v>382.37</v>
      </c>
      <c r="P65" s="281" t="s">
        <v>12748</v>
      </c>
      <c r="Q65" s="267" t="str">
        <f t="shared" si="1"/>
        <v>3Y</v>
      </c>
      <c r="R65" s="267">
        <v>-456</v>
      </c>
      <c r="S65" s="267">
        <v>-444</v>
      </c>
      <c r="T65" s="282"/>
      <c r="U65" s="282"/>
      <c r="V65" s="282"/>
      <c r="W65" s="281" t="s">
        <v>12777</v>
      </c>
      <c r="X65" s="267" t="str">
        <f t="shared" si="2"/>
        <v>30M</v>
      </c>
      <c r="Y65" s="267">
        <v>377.37</v>
      </c>
      <c r="Z65" s="267">
        <v>382.37</v>
      </c>
      <c r="AA65" s="281" t="s">
        <v>12748</v>
      </c>
      <c r="AB65" s="267" t="str">
        <f t="shared" si="3"/>
        <v>3Y</v>
      </c>
      <c r="AC65" s="267">
        <v>-456</v>
      </c>
      <c r="AD65" s="267">
        <v>-444</v>
      </c>
      <c r="AE65" s="262"/>
    </row>
    <row r="66" spans="2:31" hidden="1">
      <c r="C66" s="275"/>
      <c r="D66" s="276"/>
      <c r="E66" s="276"/>
      <c r="F66" s="277"/>
      <c r="G66" s="277"/>
      <c r="K66" s="280"/>
      <c r="L66" s="281" t="s">
        <v>12778</v>
      </c>
      <c r="M66" s="267" t="str">
        <f t="shared" si="0"/>
        <v>3Y</v>
      </c>
      <c r="N66" s="267">
        <v>481.36</v>
      </c>
      <c r="O66" s="267">
        <v>496.01</v>
      </c>
      <c r="P66" s="281" t="s">
        <v>12749</v>
      </c>
      <c r="Q66" s="267" t="str">
        <f t="shared" si="1"/>
        <v>4Y</v>
      </c>
      <c r="R66" s="267">
        <v>-686.80000000000007</v>
      </c>
      <c r="S66" s="267">
        <v>-671.80000000000007</v>
      </c>
      <c r="T66" s="282"/>
      <c r="U66" s="282"/>
      <c r="V66" s="282"/>
      <c r="W66" s="281" t="s">
        <v>12778</v>
      </c>
      <c r="X66" s="267" t="str">
        <f t="shared" si="2"/>
        <v>3Y</v>
      </c>
      <c r="Y66" s="267">
        <v>481.36</v>
      </c>
      <c r="Z66" s="267">
        <v>496.01</v>
      </c>
      <c r="AA66" s="281" t="s">
        <v>12749</v>
      </c>
      <c r="AB66" s="267" t="str">
        <f t="shared" si="3"/>
        <v>4Y</v>
      </c>
      <c r="AC66" s="267">
        <v>-686.80000000000007</v>
      </c>
      <c r="AD66" s="267">
        <v>-671.80000000000007</v>
      </c>
      <c r="AE66" s="262"/>
    </row>
    <row r="67" spans="2:31" hidden="1">
      <c r="C67" s="275"/>
      <c r="D67" s="276"/>
      <c r="E67" s="276"/>
      <c r="F67" s="277"/>
      <c r="G67" s="277"/>
      <c r="K67" s="280"/>
      <c r="L67" s="281" t="s">
        <v>12779</v>
      </c>
      <c r="M67" s="267" t="str">
        <f t="shared" si="0"/>
        <v>4Y</v>
      </c>
      <c r="N67" s="267">
        <v>689.5</v>
      </c>
      <c r="O67" s="267">
        <v>699.5</v>
      </c>
      <c r="P67" s="281" t="s">
        <v>12750</v>
      </c>
      <c r="Q67" s="267" t="str">
        <f t="shared" si="1"/>
        <v>5Y</v>
      </c>
      <c r="R67" s="267">
        <v>-907</v>
      </c>
      <c r="S67" s="267">
        <v>-889</v>
      </c>
      <c r="T67" s="282"/>
      <c r="U67" s="282"/>
      <c r="V67" s="282"/>
      <c r="W67" s="281" t="s">
        <v>12779</v>
      </c>
      <c r="X67" s="267" t="str">
        <f t="shared" si="2"/>
        <v>4Y</v>
      </c>
      <c r="Y67" s="267">
        <v>689.5</v>
      </c>
      <c r="Z67" s="267">
        <v>699.5</v>
      </c>
      <c r="AA67" s="281" t="s">
        <v>12750</v>
      </c>
      <c r="AB67" s="267" t="str">
        <f t="shared" si="3"/>
        <v>5Y</v>
      </c>
      <c r="AC67" s="267">
        <v>-907</v>
      </c>
      <c r="AD67" s="267">
        <v>-889</v>
      </c>
      <c r="AE67" s="262"/>
    </row>
    <row r="68" spans="2:31" hidden="1">
      <c r="C68" s="275"/>
      <c r="D68" s="276"/>
      <c r="E68" s="276"/>
      <c r="F68" s="277"/>
      <c r="G68" s="277"/>
      <c r="K68" s="280"/>
      <c r="L68" s="281" t="s">
        <v>12780</v>
      </c>
      <c r="M68" s="267" t="str">
        <f t="shared" si="0"/>
        <v>5Y</v>
      </c>
      <c r="N68" s="267">
        <v>905.99</v>
      </c>
      <c r="O68" s="267">
        <v>931.22</v>
      </c>
      <c r="P68" s="281" t="s">
        <v>12751</v>
      </c>
      <c r="Q68" s="267" t="str">
        <f t="shared" si="1"/>
        <v>6Y</v>
      </c>
      <c r="R68" s="267">
        <v>-1145</v>
      </c>
      <c r="S68" s="267">
        <v>-1120</v>
      </c>
      <c r="T68" s="282"/>
      <c r="U68" s="282"/>
      <c r="V68" s="282"/>
      <c r="W68" s="281" t="s">
        <v>12780</v>
      </c>
      <c r="X68" s="267" t="str">
        <f t="shared" si="2"/>
        <v>5Y</v>
      </c>
      <c r="Y68" s="267">
        <v>905.99</v>
      </c>
      <c r="Z68" s="267">
        <v>931.22</v>
      </c>
      <c r="AA68" s="281" t="s">
        <v>12751</v>
      </c>
      <c r="AB68" s="267" t="str">
        <f t="shared" si="3"/>
        <v>6Y</v>
      </c>
      <c r="AC68" s="267">
        <v>-1145</v>
      </c>
      <c r="AD68" s="267">
        <v>-1120</v>
      </c>
      <c r="AE68" s="262"/>
    </row>
    <row r="69" spans="2:31" hidden="1">
      <c r="C69" s="275"/>
      <c r="D69" s="276"/>
      <c r="E69" s="276"/>
      <c r="F69" s="277"/>
      <c r="G69" s="277"/>
      <c r="K69" s="280"/>
      <c r="L69" s="281" t="s">
        <v>12781</v>
      </c>
      <c r="M69" s="267" t="str">
        <f t="shared" si="0"/>
        <v>6Y</v>
      </c>
      <c r="N69" s="267">
        <v>1131</v>
      </c>
      <c r="O69" s="267">
        <v>1146</v>
      </c>
      <c r="P69" s="281" t="s">
        <v>12752</v>
      </c>
      <c r="Q69" s="267" t="str">
        <f t="shared" si="1"/>
        <v>7Y</v>
      </c>
      <c r="R69" s="267">
        <v>-1404.38</v>
      </c>
      <c r="S69" s="267">
        <v>-1304.3800000000001</v>
      </c>
      <c r="T69" s="282"/>
      <c r="U69" s="282"/>
      <c r="V69" s="282"/>
      <c r="W69" s="281" t="s">
        <v>12781</v>
      </c>
      <c r="X69" s="267" t="str">
        <f t="shared" si="2"/>
        <v>6Y</v>
      </c>
      <c r="Y69" s="267">
        <v>1131</v>
      </c>
      <c r="Z69" s="267">
        <v>1146</v>
      </c>
      <c r="AA69" s="281" t="s">
        <v>12752</v>
      </c>
      <c r="AB69" s="267" t="str">
        <f t="shared" si="3"/>
        <v>7Y</v>
      </c>
      <c r="AC69" s="267">
        <v>-1404.38</v>
      </c>
      <c r="AD69" s="267">
        <v>-1304.3800000000001</v>
      </c>
      <c r="AE69" s="262"/>
    </row>
    <row r="70" spans="2:31" hidden="1">
      <c r="C70" s="275">
        <f>100/180</f>
        <v>0.55555555555555558</v>
      </c>
      <c r="D70" s="276"/>
      <c r="E70" s="276"/>
      <c r="F70" s="277"/>
      <c r="G70" s="277"/>
      <c r="K70" s="280"/>
      <c r="L70" s="281" t="s">
        <v>12782</v>
      </c>
      <c r="M70" s="267" t="str">
        <f t="shared" si="0"/>
        <v>7Y</v>
      </c>
      <c r="N70" s="267">
        <v>1357</v>
      </c>
      <c r="O70" s="267">
        <v>1372</v>
      </c>
      <c r="P70" s="281" t="s">
        <v>12753</v>
      </c>
      <c r="Q70" s="267" t="str">
        <f t="shared" si="1"/>
        <v>8Y</v>
      </c>
      <c r="R70" s="267">
        <v>-1585</v>
      </c>
      <c r="S70" s="267">
        <v>-1560</v>
      </c>
      <c r="T70" s="282"/>
      <c r="U70" s="282"/>
      <c r="V70" s="282"/>
      <c r="W70" s="281" t="s">
        <v>12782</v>
      </c>
      <c r="X70" s="267" t="str">
        <f t="shared" si="2"/>
        <v>7Y</v>
      </c>
      <c r="Y70" s="267">
        <v>1357</v>
      </c>
      <c r="Z70" s="267">
        <v>1372</v>
      </c>
      <c r="AA70" s="281" t="s">
        <v>12753</v>
      </c>
      <c r="AB70" s="267" t="str">
        <f t="shared" si="3"/>
        <v>8Y</v>
      </c>
      <c r="AC70" s="267">
        <v>-1585</v>
      </c>
      <c r="AD70" s="267">
        <v>-1560</v>
      </c>
      <c r="AE70" s="262"/>
    </row>
    <row r="71" spans="2:31" hidden="1">
      <c r="C71" s="275"/>
      <c r="D71" s="276"/>
      <c r="E71" s="276"/>
      <c r="F71" s="277"/>
      <c r="G71" s="277"/>
      <c r="K71" s="280"/>
      <c r="L71" s="281" t="s">
        <v>12783</v>
      </c>
      <c r="M71" s="267" t="str">
        <f t="shared" si="0"/>
        <v>8Y</v>
      </c>
      <c r="N71" s="267">
        <v>1562</v>
      </c>
      <c r="O71" s="267">
        <v>1592</v>
      </c>
      <c r="P71" s="281" t="s">
        <v>12754</v>
      </c>
      <c r="Q71" s="267" t="str">
        <f t="shared" si="1"/>
        <v>9Y</v>
      </c>
      <c r="R71" s="267">
        <v>-1794</v>
      </c>
      <c r="S71" s="267">
        <v>-1769</v>
      </c>
      <c r="T71" s="282"/>
      <c r="U71" s="282"/>
      <c r="V71" s="282"/>
      <c r="W71" s="281" t="s">
        <v>12783</v>
      </c>
      <c r="X71" s="267" t="str">
        <f t="shared" si="2"/>
        <v>8Y</v>
      </c>
      <c r="Y71" s="267">
        <v>1562</v>
      </c>
      <c r="Z71" s="267">
        <v>1592</v>
      </c>
      <c r="AA71" s="281" t="s">
        <v>12754</v>
      </c>
      <c r="AB71" s="267" t="str">
        <f t="shared" si="3"/>
        <v>9Y</v>
      </c>
      <c r="AC71" s="267">
        <v>-1794</v>
      </c>
      <c r="AD71" s="267">
        <v>-1769</v>
      </c>
      <c r="AE71" s="262"/>
    </row>
    <row r="72" spans="2:31" hidden="1">
      <c r="C72" s="275"/>
      <c r="D72" s="276"/>
      <c r="E72" s="276"/>
      <c r="F72" s="277"/>
      <c r="G72" s="277"/>
      <c r="K72" s="280"/>
      <c r="L72" s="281" t="s">
        <v>12784</v>
      </c>
      <c r="M72" s="267" t="str">
        <f t="shared" si="0"/>
        <v>9Y</v>
      </c>
      <c r="N72" s="267">
        <v>1763</v>
      </c>
      <c r="O72" s="267">
        <v>1798</v>
      </c>
      <c r="P72" s="281" t="s">
        <v>12755</v>
      </c>
      <c r="Q72" s="267" t="str">
        <f t="shared" si="1"/>
        <v>10Y</v>
      </c>
      <c r="R72" s="267">
        <v>-1997</v>
      </c>
      <c r="S72" s="267">
        <v>-1972</v>
      </c>
      <c r="T72" s="282"/>
      <c r="U72" s="282"/>
      <c r="V72" s="282"/>
      <c r="W72" s="281" t="s">
        <v>12784</v>
      </c>
      <c r="X72" s="267" t="str">
        <f t="shared" si="2"/>
        <v>9Y</v>
      </c>
      <c r="Y72" s="267">
        <v>1763</v>
      </c>
      <c r="Z72" s="267">
        <v>1798</v>
      </c>
      <c r="AA72" s="281" t="s">
        <v>12755</v>
      </c>
      <c r="AB72" s="267" t="str">
        <f t="shared" si="3"/>
        <v>10Y</v>
      </c>
      <c r="AC72" s="267">
        <v>-1997</v>
      </c>
      <c r="AD72" s="267">
        <v>-1972</v>
      </c>
      <c r="AE72" s="262"/>
    </row>
    <row r="73" spans="2:31" hidden="1">
      <c r="C73" s="275"/>
      <c r="D73" s="276"/>
      <c r="E73" s="276"/>
      <c r="F73" s="277"/>
      <c r="G73" s="277"/>
      <c r="K73" s="280"/>
      <c r="L73" s="281" t="s">
        <v>12785</v>
      </c>
      <c r="M73" s="267" t="str">
        <f t="shared" ref="M73:M80" si="4">IF(L82="","",MID(L82,4,FIND("=",L82,1)-4))</f>
        <v/>
      </c>
      <c r="N73" s="267">
        <v>1962</v>
      </c>
      <c r="O73" s="267">
        <v>2002</v>
      </c>
      <c r="P73" s="281"/>
      <c r="Q73" s="267" t="str">
        <f>IF(P82="","",MID(P82,4,FIND("=",P82,1)-4))</f>
        <v/>
      </c>
      <c r="R73" s="267"/>
      <c r="S73" s="267"/>
      <c r="T73" s="282"/>
      <c r="U73" s="282"/>
      <c r="V73" s="282"/>
      <c r="W73" s="281" t="s">
        <v>12785</v>
      </c>
      <c r="X73" s="267" t="str">
        <f t="shared" si="2"/>
        <v>10Y</v>
      </c>
      <c r="Y73" s="267">
        <v>1962</v>
      </c>
      <c r="Z73" s="267">
        <v>2002</v>
      </c>
      <c r="AA73" s="281"/>
      <c r="AB73" s="267" t="str">
        <f>IF(AA82="","",MID(AA82,4,FIND("=",AA82,1)-4))</f>
        <v/>
      </c>
      <c r="AC73" s="267"/>
      <c r="AD73" s="267"/>
      <c r="AE73" s="262"/>
    </row>
    <row r="74" spans="2:31" hidden="1">
      <c r="L74" s="262"/>
      <c r="M74" s="267" t="str">
        <f t="shared" si="4"/>
        <v/>
      </c>
      <c r="N74" s="262"/>
      <c r="O74" s="262"/>
      <c r="P74" s="262"/>
      <c r="Q74" s="262"/>
      <c r="R74" s="262"/>
      <c r="S74" s="262"/>
      <c r="T74" s="262"/>
      <c r="U74" s="262"/>
      <c r="V74" s="262"/>
      <c r="W74" s="262"/>
      <c r="X74" s="267" t="str">
        <f t="shared" si="2"/>
        <v/>
      </c>
      <c r="Y74" s="262"/>
      <c r="Z74" s="262"/>
      <c r="AA74" s="262"/>
      <c r="AB74" s="262"/>
      <c r="AC74" s="262"/>
      <c r="AD74" s="262"/>
      <c r="AE74" s="262"/>
    </row>
    <row r="75" spans="2:31" hidden="1">
      <c r="L75" s="262"/>
      <c r="M75" s="267" t="str">
        <f t="shared" si="4"/>
        <v/>
      </c>
      <c r="N75" s="262"/>
      <c r="O75" s="262"/>
      <c r="P75" s="262"/>
      <c r="Q75" s="262"/>
      <c r="R75" s="262"/>
      <c r="S75" s="262"/>
      <c r="T75" s="262"/>
      <c r="U75" s="262"/>
      <c r="V75" s="262"/>
      <c r="W75" s="262"/>
      <c r="X75" s="267" t="str">
        <f t="shared" si="2"/>
        <v/>
      </c>
      <c r="Y75" s="262"/>
      <c r="Z75" s="262"/>
      <c r="AA75" s="262"/>
      <c r="AB75" s="262"/>
      <c r="AC75" s="262"/>
      <c r="AD75" s="262"/>
      <c r="AE75" s="262"/>
    </row>
    <row r="76" spans="2:31">
      <c r="L76" s="262"/>
      <c r="M76" s="267" t="str">
        <f t="shared" si="4"/>
        <v/>
      </c>
      <c r="N76" s="262"/>
      <c r="O76" s="262"/>
      <c r="P76" s="262"/>
      <c r="Q76" s="262"/>
      <c r="R76" s="262"/>
      <c r="S76" s="262"/>
      <c r="T76" s="262"/>
      <c r="U76" s="262"/>
      <c r="V76" s="262"/>
      <c r="W76" s="262"/>
      <c r="X76" s="267" t="str">
        <f t="shared" si="2"/>
        <v/>
      </c>
      <c r="Y76" s="262"/>
      <c r="Z76" s="262"/>
      <c r="AA76" s="262"/>
      <c r="AB76" s="262"/>
      <c r="AC76" s="262"/>
      <c r="AD76" s="262"/>
      <c r="AE76" s="262"/>
    </row>
    <row r="77" spans="2:31" ht="15" thickBot="1">
      <c r="L77" s="262"/>
      <c r="M77" s="267" t="str">
        <f t="shared" si="4"/>
        <v/>
      </c>
      <c r="N77" s="262"/>
      <c r="O77" s="262"/>
      <c r="P77" s="262"/>
      <c r="Q77" s="262"/>
      <c r="R77" s="262"/>
      <c r="S77" s="262"/>
      <c r="T77" s="262"/>
      <c r="U77" s="262"/>
      <c r="V77" s="262"/>
      <c r="W77" s="262"/>
      <c r="X77" s="267" t="str">
        <f t="shared" si="2"/>
        <v/>
      </c>
      <c r="Y77" s="262"/>
      <c r="Z77" s="262"/>
      <c r="AA77" s="262"/>
      <c r="AB77" s="262"/>
      <c r="AC77" s="262"/>
      <c r="AD77" s="262"/>
      <c r="AE77" s="262"/>
    </row>
    <row r="78" spans="2:31" ht="15" thickBot="1">
      <c r="B78" s="283" t="s">
        <v>213</v>
      </c>
      <c r="C78" s="233">
        <v>-28000000</v>
      </c>
      <c r="D78" s="317"/>
      <c r="L78" s="262"/>
      <c r="M78" s="267" t="str">
        <f t="shared" si="4"/>
        <v/>
      </c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7" t="str">
        <f t="shared" si="2"/>
        <v/>
      </c>
      <c r="Y78" s="262"/>
      <c r="Z78" s="262"/>
      <c r="AA78" s="262"/>
      <c r="AB78" s="262"/>
      <c r="AC78" s="262"/>
      <c r="AD78" s="262"/>
      <c r="AE78" s="262"/>
    </row>
    <row r="79" spans="2:31">
      <c r="B79" s="284" t="s">
        <v>214</v>
      </c>
      <c r="C79" s="197" t="e">
        <f ca="1">-C78/(VLOOKUP(B41,$B$12:$C$18,2,FALSE))</f>
        <v>#DIV/0!</v>
      </c>
      <c r="L79" s="262"/>
      <c r="M79" s="267" t="str">
        <f t="shared" si="4"/>
        <v/>
      </c>
      <c r="N79" s="262"/>
      <c r="O79" s="262"/>
      <c r="P79" s="262"/>
      <c r="Q79" s="262"/>
      <c r="R79" s="262"/>
      <c r="S79" s="262"/>
      <c r="T79" s="262"/>
      <c r="U79" s="262"/>
      <c r="V79" s="262"/>
      <c r="W79" s="262"/>
      <c r="X79" s="267" t="str">
        <f t="shared" si="2"/>
        <v/>
      </c>
      <c r="Y79" s="262"/>
      <c r="Z79" s="262"/>
      <c r="AA79" s="262"/>
      <c r="AB79" s="262"/>
      <c r="AC79" s="262"/>
      <c r="AD79" s="262"/>
      <c r="AE79" s="262"/>
    </row>
    <row r="80" spans="2:31">
      <c r="B80" s="284" t="s">
        <v>1276</v>
      </c>
      <c r="C80" s="197" t="e">
        <f ca="1">+C79+I32</f>
        <v>#DIV/0!</v>
      </c>
      <c r="L80" s="262"/>
      <c r="M80" s="267" t="str">
        <f t="shared" si="4"/>
        <v/>
      </c>
      <c r="N80" s="262"/>
      <c r="O80" s="262"/>
      <c r="P80" s="262"/>
      <c r="Q80" s="262"/>
      <c r="R80" s="262"/>
      <c r="S80" s="262"/>
      <c r="T80" s="262"/>
      <c r="U80" s="262"/>
      <c r="V80" s="262"/>
      <c r="W80" s="262"/>
      <c r="X80" s="267" t="str">
        <f t="shared" si="2"/>
        <v/>
      </c>
      <c r="Y80" s="262"/>
      <c r="Z80" s="262"/>
      <c r="AA80" s="262"/>
      <c r="AB80" s="262"/>
      <c r="AC80" s="262"/>
      <c r="AD80" s="262"/>
      <c r="AE80" s="262"/>
    </row>
    <row r="81" spans="1:31" ht="15" thickBot="1">
      <c r="B81" s="284"/>
      <c r="C81" s="197"/>
      <c r="L81" s="262"/>
      <c r="M81" s="267"/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7"/>
      <c r="Y81" s="262"/>
      <c r="Z81" s="262"/>
      <c r="AA81" s="262"/>
      <c r="AB81" s="262"/>
      <c r="AC81" s="262"/>
      <c r="AD81" s="262"/>
      <c r="AE81" s="262"/>
    </row>
    <row r="82" spans="1:31" ht="15" thickBot="1">
      <c r="B82" s="283" t="s">
        <v>195</v>
      </c>
      <c r="C82" s="234" t="e">
        <f>+C52</f>
        <v>#NAME?</v>
      </c>
      <c r="D82" s="285"/>
      <c r="L82" s="262"/>
      <c r="M82" s="267" t="str">
        <f>IF(L90="","",MID(L90,4,FIND("=",L90,1)-4))</f>
        <v/>
      </c>
      <c r="N82" s="262"/>
      <c r="O82" s="262"/>
      <c r="P82" s="262"/>
      <c r="Q82" s="262"/>
      <c r="R82" s="262"/>
      <c r="S82" s="262"/>
      <c r="T82" s="262"/>
      <c r="U82" s="262"/>
      <c r="V82" s="262"/>
      <c r="W82" s="262"/>
      <c r="X82" s="267" t="str">
        <f t="shared" si="2"/>
        <v/>
      </c>
      <c r="Y82" s="262"/>
      <c r="Z82" s="262"/>
      <c r="AA82" s="262"/>
      <c r="AB82" s="262"/>
      <c r="AC82" s="262"/>
      <c r="AD82" s="262"/>
      <c r="AE82" s="262"/>
    </row>
    <row r="83" spans="1:31">
      <c r="B83" s="286" t="s">
        <v>210</v>
      </c>
      <c r="C83" s="200" t="e">
        <f>VLOOKUP("SP",B43:G53,6,FALSE)</f>
        <v>#NAME?</v>
      </c>
      <c r="D83" s="186"/>
      <c r="L83" s="262"/>
      <c r="M83" s="262"/>
      <c r="N83" s="262"/>
      <c r="O83" s="262"/>
      <c r="P83" s="262"/>
      <c r="Q83" s="262"/>
      <c r="R83" s="262"/>
      <c r="S83" s="262"/>
      <c r="T83" s="262"/>
      <c r="U83" s="262"/>
      <c r="V83" s="262"/>
      <c r="W83" s="262"/>
      <c r="X83" s="262"/>
      <c r="Y83" s="262"/>
      <c r="Z83" s="262"/>
      <c r="AA83" s="262"/>
      <c r="AB83" s="262"/>
      <c r="AC83" s="262"/>
      <c r="AD83" s="262"/>
      <c r="AE83" s="262"/>
    </row>
    <row r="84" spans="1:31">
      <c r="B84" s="286" t="s">
        <v>211</v>
      </c>
      <c r="C84" s="191" t="e">
        <f>VLOOKUP(C82,C43:G53,3,FALSE)</f>
        <v>#NAME?</v>
      </c>
      <c r="L84" s="262"/>
      <c r="M84" s="262"/>
      <c r="N84" s="262"/>
      <c r="O84" s="262"/>
      <c r="P84" s="262"/>
      <c r="Q84" s="262"/>
      <c r="R84" s="262"/>
      <c r="S84" s="262"/>
      <c r="T84" s="262"/>
      <c r="U84" s="262"/>
      <c r="V84" s="262"/>
      <c r="W84" s="262"/>
      <c r="X84" s="262"/>
      <c r="Y84" s="262"/>
      <c r="Z84" s="262"/>
      <c r="AA84" s="262"/>
      <c r="AB84" s="262"/>
      <c r="AC84" s="262"/>
      <c r="AD84" s="262"/>
      <c r="AE84" s="262"/>
    </row>
    <row r="85" spans="1:31">
      <c r="B85" s="287" t="s">
        <v>201</v>
      </c>
      <c r="C85" s="196" t="e">
        <f>+C83+C84/10000</f>
        <v>#NAME?</v>
      </c>
      <c r="L85" s="262"/>
      <c r="M85" s="262"/>
      <c r="N85" s="262"/>
      <c r="O85" s="262"/>
      <c r="P85" s="262"/>
      <c r="Q85" s="262"/>
      <c r="R85" s="262"/>
      <c r="S85" s="262"/>
      <c r="T85" s="262"/>
      <c r="U85" s="262"/>
      <c r="V85" s="262"/>
      <c r="W85" s="262"/>
      <c r="X85" s="262"/>
      <c r="Y85" s="262"/>
      <c r="Z85" s="262"/>
      <c r="AA85" s="262"/>
      <c r="AB85" s="262"/>
      <c r="AC85" s="262"/>
      <c r="AD85" s="262"/>
      <c r="AE85" s="262"/>
    </row>
    <row r="86" spans="1:31">
      <c r="L86" s="262"/>
      <c r="M86" s="262"/>
      <c r="N86" s="262"/>
      <c r="O86" s="262"/>
      <c r="P86" s="262"/>
      <c r="Q86" s="262"/>
      <c r="R86" s="262"/>
      <c r="S86" s="262"/>
      <c r="T86" s="262"/>
      <c r="U86" s="262"/>
      <c r="V86" s="262"/>
      <c r="W86" s="262"/>
      <c r="X86" s="262"/>
      <c r="Y86" s="262"/>
      <c r="Z86" s="262"/>
      <c r="AA86" s="262"/>
      <c r="AB86" s="262"/>
      <c r="AC86" s="262"/>
      <c r="AD86" s="262"/>
      <c r="AE86" s="262"/>
    </row>
    <row r="87" spans="1:31">
      <c r="B87" s="287" t="s">
        <v>212</v>
      </c>
      <c r="C87" s="192" t="e">
        <f>-C78/C85</f>
        <v>#NAME?</v>
      </c>
      <c r="D87" s="185"/>
      <c r="L87" s="262"/>
      <c r="M87" s="262"/>
      <c r="N87" s="262"/>
      <c r="O87" s="262"/>
      <c r="P87" s="262"/>
      <c r="Q87" s="262"/>
      <c r="R87" s="262"/>
      <c r="S87" s="262"/>
      <c r="T87" s="262"/>
      <c r="U87" s="262"/>
      <c r="V87" s="262"/>
      <c r="W87" s="262"/>
      <c r="X87" s="262"/>
      <c r="Y87" s="262"/>
      <c r="Z87" s="262"/>
      <c r="AA87" s="262"/>
      <c r="AB87" s="262"/>
      <c r="AC87" s="262"/>
      <c r="AD87" s="262"/>
      <c r="AE87" s="262"/>
    </row>
    <row r="88" spans="1:31">
      <c r="B88" s="258"/>
      <c r="C88" s="258"/>
      <c r="D88" s="185"/>
      <c r="E88" s="259"/>
      <c r="L88" s="262"/>
      <c r="M88" s="262"/>
      <c r="N88" s="262"/>
      <c r="O88" s="262"/>
      <c r="P88" s="262"/>
      <c r="Q88" s="288"/>
      <c r="R88" s="262"/>
      <c r="S88" s="262"/>
      <c r="T88" s="262"/>
      <c r="U88" s="262"/>
      <c r="V88" s="262"/>
      <c r="W88" s="262"/>
      <c r="X88" s="262"/>
      <c r="Y88" s="262"/>
      <c r="Z88" s="262"/>
      <c r="AA88" s="262"/>
      <c r="AB88" s="262"/>
      <c r="AC88" s="262"/>
      <c r="AD88" s="262"/>
      <c r="AE88" s="262"/>
    </row>
    <row r="89" spans="1:31">
      <c r="B89" s="258"/>
      <c r="C89" s="258"/>
      <c r="D89" s="185"/>
      <c r="E89" s="259"/>
      <c r="Q89" s="55"/>
    </row>
    <row r="90" spans="1:31">
      <c r="B90" s="258"/>
      <c r="C90" s="258"/>
      <c r="D90" s="185"/>
      <c r="E90" s="259"/>
      <c r="Q90" s="55"/>
    </row>
    <row r="91" spans="1:31">
      <c r="A91" s="255"/>
      <c r="B91" s="256"/>
      <c r="C91" s="256"/>
      <c r="D91" s="201"/>
      <c r="E91" s="257"/>
      <c r="F91" s="255"/>
      <c r="G91" s="255"/>
      <c r="H91" s="255"/>
      <c r="I91" s="255"/>
      <c r="J91" s="255"/>
      <c r="K91" s="255"/>
      <c r="Q91" s="55"/>
    </row>
    <row r="92" spans="1:31" hidden="1">
      <c r="B92" s="258"/>
      <c r="C92" s="258"/>
      <c r="D92" s="185"/>
      <c r="E92" s="259"/>
    </row>
    <row r="93" spans="1:31" hidden="1">
      <c r="B93" s="258"/>
      <c r="C93" s="258"/>
      <c r="D93" s="185"/>
      <c r="E93" s="259"/>
    </row>
    <row r="94" spans="1:31" hidden="1">
      <c r="B94" s="258"/>
      <c r="C94" s="258"/>
      <c r="D94" s="185"/>
      <c r="E94" s="259"/>
    </row>
    <row r="95" spans="1:31" hidden="1">
      <c r="B95" s="258"/>
      <c r="C95" s="258"/>
      <c r="D95" s="185"/>
      <c r="E95" s="259"/>
    </row>
    <row r="96" spans="1:31" hidden="1"/>
    <row r="97" spans="2:12" ht="15" hidden="1" thickBot="1">
      <c r="B97" s="265" t="s">
        <v>125</v>
      </c>
    </row>
    <row r="98" spans="2:12" hidden="1"/>
    <row r="99" spans="2:12" hidden="1">
      <c r="C99" s="247" t="s">
        <v>177</v>
      </c>
      <c r="D99" s="246" t="s">
        <v>178</v>
      </c>
      <c r="E99" s="246" t="s">
        <v>179</v>
      </c>
      <c r="F99" s="246" t="s">
        <v>180</v>
      </c>
      <c r="G99" s="246" t="s">
        <v>181</v>
      </c>
    </row>
    <row r="100" spans="2:12" hidden="1">
      <c r="B100" s="274" t="s">
        <v>1092</v>
      </c>
      <c r="C100" s="275">
        <f>B7</f>
        <v>44526</v>
      </c>
      <c r="D100" s="276" t="e">
        <f>_xll.FxCross($X$38,$AA$37:$AA$38,$AA$37:$AA$38,"RET:2")</f>
        <v>#NAME?</v>
      </c>
      <c r="E100" s="276">
        <f>_xll.FxCross($X$38,$AB$37:$AB$38,$AB$37:$AB$38,"RET:2")</f>
        <v>1.154482405</v>
      </c>
      <c r="F100" s="277" t="e">
        <f>_xll.FxCross($X$38,$AA$37:$AB$37,$AA$38:$AB$38,"RET:1")</f>
        <v>#NAME?</v>
      </c>
      <c r="G100" s="277" t="e">
        <f>_xll.FxCross($X$38,$AA$37:$AB$37,$AA$38:$AB$38,"RET:2")</f>
        <v>#NAME?</v>
      </c>
      <c r="I100" s="274"/>
      <c r="J100" s="289"/>
      <c r="K100" s="289"/>
      <c r="L100" s="289"/>
    </row>
    <row r="101" spans="2:12" hidden="1">
      <c r="B101" s="247" t="s">
        <v>182</v>
      </c>
      <c r="C101" s="275" t="e">
        <f>_xll.AdFxSwpToSwp($X$40,$B101,$X$38,$AA$37:$AB$37,$AA$38:$AB$38,$X$43:$Z$82,$AB$43:$AD$82,,"RET:4")</f>
        <v>#NAME?</v>
      </c>
      <c r="D101" s="276" t="e">
        <f>_xll.AdFxSwpToSwp($X$40,$B101,$X$38,$AA$37:$AB$37,$AA$38:$AB$38,$X$43:$Z$82,$AB$43:$AD$82,,"RET:1")</f>
        <v>#NAME?</v>
      </c>
      <c r="E101" s="276" t="e">
        <f>_xll.AdFxSwpToSwp($X$40,$B101,$X$38,$AA$37:$AB$37,$AA$38:$AB$38,$X$43:$Z$82,$AB$43:$AD$82,,"RET:2")</f>
        <v>#NAME?</v>
      </c>
      <c r="F101" s="277" t="e">
        <f>_xll.AdFxSwpToSwp($X$40,$B101,$X$38,$AA$37:$AB$37,$AA$38:$AB$38,$X$43:$Z$82,$AB$43:$AD$82,,"RET:5")</f>
        <v>#NAME?</v>
      </c>
      <c r="G101" s="277" t="e">
        <f>_xll.AdFxSwpToSwp($X$40,$B101,$X$38,$AA$37:$AB$37,$AA$38:$AB$38,$X$43:$Z$82,$AB$43:$AD$82,,"RET:6")</f>
        <v>#NAME?</v>
      </c>
    </row>
    <row r="102" spans="2:12" hidden="1">
      <c r="B102" s="247" t="s">
        <v>183</v>
      </c>
      <c r="C102" s="275" t="e">
        <f>_xll.AdFxSwpToSwp($X$40,$B102,$X$38,$AA$37:$AB$37,$AA$38:$AB$38,$X$43:$Z$82,$AB$43:$AD$82,,"RET:4")</f>
        <v>#NAME?</v>
      </c>
      <c r="D102" s="276" t="e">
        <f>_xll.AdFxSwpToSwp($X$40,$B102,$X$38,$AA$37:$AB$37,$AA$38:$AB$38,$X$43:$Z$82,$AB$43:$AD$82,,"RET:1")</f>
        <v>#NAME?</v>
      </c>
      <c r="E102" s="276" t="e">
        <f>_xll.AdFxSwpToSwp($X$40,$B102,$X$38,$AA$37:$AB$37,$AA$38:$AB$38,$X$43:$Z$82,$AB$43:$AD$82,,"RET:2")</f>
        <v>#NAME?</v>
      </c>
      <c r="F102" s="277" t="e">
        <f>_xll.AdFxSwpToSwp($X$40,$B102,$X$38,$AA$37:$AB$37,$AA$38:$AB$38,$X$43:$Z$82,$AB$43:$AD$82,,"RET:5")</f>
        <v>#NAME?</v>
      </c>
      <c r="G102" s="277" t="e">
        <f>_xll.AdFxSwpToSwp($X$40,$B102,$X$38,$AA$37:$AB$37,$AA$38:$AB$38,$X$43:$Z$82,$AB$43:$AD$82,,"RET:6")</f>
        <v>#NAME?</v>
      </c>
    </row>
    <row r="103" spans="2:12" hidden="1">
      <c r="B103" s="247" t="s">
        <v>184</v>
      </c>
      <c r="C103" s="275" t="e">
        <f>_xll.AdFxSwpToSwp($X$40,$B103,$X$38,$AA$37:$AB$37,$AA$38:$AB$38,$X$43:$Z$82,$AB$43:$AD$82,,"RET:4")</f>
        <v>#NAME?</v>
      </c>
      <c r="D103" s="276" t="e">
        <f>_xll.AdFxSwpToSwp($X$40,$B103,$X$38,$AA$37:$AB$37,$AA$38:$AB$38,$X$43:$Z$82,$AB$43:$AD$82,,"RET:1")</f>
        <v>#NAME?</v>
      </c>
      <c r="E103" s="276" t="e">
        <f>_xll.AdFxSwpToSwp($X$40,$B103,$X$38,$AA$37:$AB$37,$AA$38:$AB$38,$X$43:$Z$82,$AB$43:$AD$82,,"RET:2")</f>
        <v>#NAME?</v>
      </c>
      <c r="F103" s="277" t="e">
        <f>_xll.AdFxSwpToSwp($X$40,$B103,$X$38,$AA$37:$AB$37,$AA$38:$AB$38,$X$43:$Z$82,$AB$43:$AD$82,,"RET:5")</f>
        <v>#NAME?</v>
      </c>
      <c r="G103" s="277" t="e">
        <f>_xll.AdFxSwpToSwp($X$40,$B103,$X$38,$AA$37:$AB$37,$AA$38:$AB$38,$X$43:$Z$82,$AB$43:$AD$82,,"RET:6")</f>
        <v>#NAME?</v>
      </c>
    </row>
    <row r="104" spans="2:12" hidden="1">
      <c r="B104" s="247" t="s">
        <v>236</v>
      </c>
      <c r="C104" s="275" t="e">
        <f>_xll.AdFxSwpToSwp($X$40,$B104,$X$38,$AA$37:$AB$37,$AA$38:$AB$38,$X$43:$Z$82,$AB$43:$AD$82,,"RET:4")</f>
        <v>#NAME?</v>
      </c>
      <c r="D104" s="276" t="e">
        <f>_xll.AdFxSwpToSwp($X$40,$B104,$X$38,$AA$37:$AB$37,$AA$38:$AB$38,$X$43:$Z$82,$AB$43:$AD$82,,"RET:1")</f>
        <v>#NAME?</v>
      </c>
      <c r="E104" s="276" t="e">
        <f>_xll.AdFxSwpToSwp($X$40,$B104,$X$38,$AA$37:$AB$37,$AA$38:$AB$38,$X$43:$Z$82,$AB$43:$AD$82,,"RET:2")</f>
        <v>#NAME?</v>
      </c>
      <c r="F104" s="277" t="e">
        <f>_xll.AdFxSwpToSwp($X$40,$B104,$X$38,$AA$37:$AB$37,$AA$38:$AB$38,$X$43:$Z$82,$AB$43:$AD$82,,"RET:5")</f>
        <v>#NAME?</v>
      </c>
      <c r="G104" s="277" t="e">
        <f>_xll.AdFxSwpToSwp($X$40,$B104,$X$38,$AA$37:$AB$37,$AA$38:$AB$38,$X$43:$Z$82,$AB$43:$AD$82,,"RET:6")</f>
        <v>#NAME?</v>
      </c>
    </row>
    <row r="105" spans="2:12" hidden="1">
      <c r="B105" s="247" t="s">
        <v>185</v>
      </c>
      <c r="C105" s="275" t="e">
        <f>_xll.AdFxSwpToSwp($X$40,$B105,$X$38,$AA$37:$AB$37,$AA$38:$AB$38,$X$43:$Z$82,$AB$43:$AD$82,,"RET:4")</f>
        <v>#NAME?</v>
      </c>
      <c r="D105" s="276" t="e">
        <f>_xll.AdFxSwpToSwp($X$40,$B105,$X$38,$AA$37:$AB$37,$AA$38:$AB$38,$X$43:$Z$82,$AB$43:$AD$82,,"RET:1")</f>
        <v>#NAME?</v>
      </c>
      <c r="E105" s="276" t="e">
        <f>_xll.AdFxSwpToSwp($X$40,$B105,$X$38,$AA$37:$AB$37,$AA$38:$AB$38,$X$43:$Z$82,$AB$43:$AD$82,,"RET:2")</f>
        <v>#NAME?</v>
      </c>
      <c r="F105" s="277" t="e">
        <f>_xll.AdFxSwpToSwp($X$40,$B105,$X$38,$AA$37:$AB$37,$AA$38:$AB$38,$X$43:$Z$82,$AB$43:$AD$82,,"RET:5")</f>
        <v>#NAME?</v>
      </c>
      <c r="G105" s="277" t="e">
        <f>_xll.AdFxSwpToSwp($X$40,$B105,$X$38,$AA$37:$AB$37,$AA$38:$AB$38,$X$43:$Z$82,$AB$43:$AD$82,,"RET:6")</f>
        <v>#NAME?</v>
      </c>
    </row>
    <row r="106" spans="2:12" hidden="1">
      <c r="B106" s="247" t="s">
        <v>186</v>
      </c>
      <c r="C106" s="275" t="e">
        <f>_xll.AdFxSwpToSwp($X$40,$B106,$X$38,$AA$37:$AB$37,$AA$38:$AB$38,$X$43:$Z$82,$AB$43:$AD$82,,"RET:4")</f>
        <v>#NAME?</v>
      </c>
      <c r="D106" s="276" t="e">
        <f>_xll.AdFxSwpToSwp($X$40,$B106,$X$38,$AA$37:$AB$37,$AA$38:$AB$38,$X$43:$Z$82,$AB$43:$AD$82,,"RET:1")</f>
        <v>#NAME?</v>
      </c>
      <c r="E106" s="276" t="e">
        <f>_xll.AdFxSwpToSwp($X$40,$B106,$X$38,$AA$37:$AB$37,$AA$38:$AB$38,$X$43:$Z$82,$AB$43:$AD$82,,"RET:2")</f>
        <v>#NAME?</v>
      </c>
      <c r="F106" s="277" t="e">
        <f>_xll.AdFxSwpToSwp($X$40,$B106,$X$38,$AA$37:$AB$37,$AA$38:$AB$38,$X$43:$Z$82,$AB$43:$AD$82,,"RET:5")</f>
        <v>#NAME?</v>
      </c>
      <c r="G106" s="277" t="e">
        <f>_xll.AdFxSwpToSwp($X$40,$B106,$X$38,$AA$37:$AB$37,$AA$38:$AB$38,$X$43:$Z$82,$AB$43:$AD$82,,"RET:6")</f>
        <v>#NAME?</v>
      </c>
    </row>
    <row r="107" spans="2:12" hidden="1">
      <c r="B107" s="247" t="s">
        <v>187</v>
      </c>
      <c r="C107" s="275" t="e">
        <f>_xll.AdFxSwpToSwp($X$40,$B107,$X$38,$AA$37:$AB$37,$AA$38:$AB$38,$X$43:$Z$82,$AB$43:$AD$82,,"RET:4")</f>
        <v>#NAME?</v>
      </c>
      <c r="D107" s="276" t="e">
        <f>_xll.AdFxSwpToSwp($X$40,$B107,$X$38,$AA$37:$AB$37,$AA$38:$AB$38,$X$43:$Z$82,$AB$43:$AD$82,,"RET:1")</f>
        <v>#NAME?</v>
      </c>
      <c r="E107" s="276" t="e">
        <f>_xll.AdFxSwpToSwp($X$40,$B107,$X$38,$AA$37:$AB$37,$AA$38:$AB$38,$X$43:$Z$82,$AB$43:$AD$82,,"RET:2")</f>
        <v>#NAME?</v>
      </c>
      <c r="F107" s="277" t="e">
        <f>_xll.AdFxSwpToSwp($X$40,$B107,$X$38,$AA$37:$AB$37,$AA$38:$AB$38,$X$43:$Z$82,$AB$43:$AD$82,,"RET:5")</f>
        <v>#NAME?</v>
      </c>
      <c r="G107" s="277" t="e">
        <f>_xll.AdFxSwpToSwp($X$40,$B107,$X$38,$AA$37:$AB$37,$AA$38:$AB$38,$X$43:$Z$82,$AB$43:$AD$82,,"RET:6")</f>
        <v>#NAME?</v>
      </c>
    </row>
    <row r="108" spans="2:12" hidden="1">
      <c r="B108" s="247" t="s">
        <v>188</v>
      </c>
      <c r="C108" s="275" t="e">
        <f>_xll.AdFxSwpToSwp($X$40,$B108,$X$38,$AA$37:$AB$37,$AA$38:$AB$38,$X$43:$Z$82,$AB$43:$AD$82,,"RET:4")</f>
        <v>#NAME?</v>
      </c>
      <c r="D108" s="276" t="e">
        <f>_xll.AdFxSwpToSwp($X$40,$B108,$X$38,$AA$37:$AB$37,$AA$38:$AB$38,$X$43:$Z$82,$AB$43:$AD$82,,"RET:1")</f>
        <v>#NAME?</v>
      </c>
      <c r="E108" s="276" t="e">
        <f>_xll.AdFxSwpToSwp($X$40,$B108,$X$38,$AA$37:$AB$37,$AA$38:$AB$38,$X$43:$Z$82,$AB$43:$AD$82,,"RET:2")</f>
        <v>#NAME?</v>
      </c>
      <c r="F108" s="277" t="e">
        <f>_xll.AdFxSwpToSwp($X$40,$B108,$X$38,$AA$37:$AB$37,$AA$38:$AB$38,$X$43:$Z$82,$AB$43:$AD$82,,"RET:5")</f>
        <v>#NAME?</v>
      </c>
      <c r="G108" s="277" t="e">
        <f>_xll.AdFxSwpToSwp($X$40,$B108,$X$38,$AA$37:$AB$37,$AA$38:$AB$38,$X$43:$Z$82,$AB$43:$AD$82,,"RET:6")</f>
        <v>#NAME?</v>
      </c>
    </row>
    <row r="109" spans="2:12" hidden="1">
      <c r="B109" s="247" t="s">
        <v>189</v>
      </c>
      <c r="C109" s="275" t="e">
        <f>_xll.AdFxSwpToSwp($X$40,$B109,$X$38,$AA$37:$AB$37,$AA$38:$AB$38,$X$43:$Z$82,$AB$43:$AD$82,,"RET:4")</f>
        <v>#NAME?</v>
      </c>
      <c r="D109" s="276" t="e">
        <f>_xll.AdFxSwpToSwp($X$40,$B109,$X$38,$AA$37:$AB$37,$AA$38:$AB$38,$X$43:$Z$82,$AB$43:$AD$82,,"RET:1")</f>
        <v>#NAME?</v>
      </c>
      <c r="E109" s="276" t="e">
        <f>_xll.AdFxSwpToSwp($X$40,$B109,$X$38,$AA$37:$AB$37,$AA$38:$AB$38,$X$43:$Z$82,$AB$43:$AD$82,,"RET:2")</f>
        <v>#NAME?</v>
      </c>
      <c r="F109" s="277" t="e">
        <f>_xll.AdFxSwpToSwp($X$40,$B109,$X$38,$AA$37:$AB$37,$AA$38:$AB$38,$X$43:$Z$82,$AB$43:$AD$82,,"RET:5")</f>
        <v>#NAME?</v>
      </c>
      <c r="G109" s="277" t="e">
        <f>_xll.AdFxSwpToSwp($X$40,$B109,$X$38,$AA$37:$AB$37,$AA$38:$AB$38,$X$43:$Z$82,$AB$43:$AD$82,,"RET:6")</f>
        <v>#NAME?</v>
      </c>
    </row>
    <row r="110" spans="2:12" hidden="1">
      <c r="B110" s="247" t="s">
        <v>190</v>
      </c>
      <c r="C110" s="275" t="e">
        <f>_xll.AdFxSwpToSwp($X$40,$B110,$X$38,$AA$37:$AB$37,$AA$38:$AB$38,$X$43:$Z$82,$AB$43:$AD$82,,"RET:4")</f>
        <v>#NAME?</v>
      </c>
      <c r="D110" s="276" t="e">
        <f>_xll.AdFxSwpToSwp($X$40,$B110,$X$38,$AA$37:$AB$37,$AA$38:$AB$38,$X$43:$Z$82,$AB$43:$AD$82,,"RET:1")</f>
        <v>#NAME?</v>
      </c>
      <c r="E110" s="276" t="e">
        <f>_xll.AdFxSwpToSwp($X$40,$B110,$X$38,$AA$37:$AB$37,$AA$38:$AB$38,$X$43:$Z$82,$AB$43:$AD$82,,"RET:2")</f>
        <v>#NAME?</v>
      </c>
      <c r="F110" s="277" t="e">
        <f>_xll.AdFxSwpToSwp($X$40,$B110,$X$38,$AA$37:$AB$37,$AA$38:$AB$38,$X$43:$Z$82,$AB$43:$AD$82,,"RET:5")</f>
        <v>#NAME?</v>
      </c>
      <c r="G110" s="277" t="e">
        <f>_xll.AdFxSwpToSwp($X$40,$B110,$X$38,$AA$37:$AB$37,$AA$38:$AB$38,$X$43:$Z$82,$AB$43:$AD$82,,"RET:6")</f>
        <v>#NAME?</v>
      </c>
    </row>
    <row r="111" spans="2:12" hidden="1">
      <c r="B111" s="247" t="s">
        <v>191</v>
      </c>
      <c r="C111" s="275" t="e">
        <f>_xll.AdFxSwpToSwp($X$40,$B111,$X$38,$AA$37:$AB$37,$AA$38:$AB$38,$X$43:$Z$82,$AB$43:$AD$82,,"RET:4")</f>
        <v>#NAME?</v>
      </c>
      <c r="D111" s="276" t="e">
        <f>_xll.AdFxSwpToSwp($X$40,$B111,$X$38,$AA$37:$AB$37,$AA$38:$AB$38,$X$43:$Z$82,$AB$43:$AD$82,,"RET:1")</f>
        <v>#NAME?</v>
      </c>
      <c r="E111" s="276" t="e">
        <f>_xll.AdFxSwpToSwp($X$40,$B111,$X$38,$AA$37:$AB$37,$AA$38:$AB$38,$X$43:$Z$82,$AB$43:$AD$82,,"RET:2")</f>
        <v>#NAME?</v>
      </c>
      <c r="F111" s="277" t="e">
        <f>_xll.AdFxSwpToSwp($X$40,$B111,$X$38,$AA$37:$AB$37,$AA$38:$AB$38,$X$43:$Z$82,$AB$43:$AD$82,,"RET:5")</f>
        <v>#NAME?</v>
      </c>
      <c r="G111" s="277" t="e">
        <f>_xll.AdFxSwpToSwp($X$40,$B111,$X$38,$AA$37:$AB$37,$AA$38:$AB$38,$X$43:$Z$82,$AB$43:$AD$82,,"RET:6")</f>
        <v>#NAME?</v>
      </c>
    </row>
    <row r="112" spans="2:12" hidden="1">
      <c r="B112" s="247" t="s">
        <v>192</v>
      </c>
      <c r="C112" s="275" t="e">
        <f>_xll.AdFxSwpToSwp($X$40,$B112,$X$38,$AA$37:$AB$37,$AA$38:$AB$38,$X$43:$Z$82,$AB$43:$AD$82,,"RET:4")</f>
        <v>#NAME?</v>
      </c>
      <c r="D112" s="276" t="e">
        <f>_xll.AdFxSwpToSwp($X$40,$B112,$X$38,$AA$37:$AB$37,$AA$38:$AB$38,$X$43:$Z$82,$AB$43:$AD$82,,"RET:1")</f>
        <v>#NAME?</v>
      </c>
      <c r="E112" s="276" t="e">
        <f>_xll.AdFxSwpToSwp($X$40,$B112,$X$38,$AA$37:$AB$37,$AA$38:$AB$38,$X$43:$Z$82,$AB$43:$AD$82,,"RET:2")</f>
        <v>#NAME?</v>
      </c>
      <c r="F112" s="277" t="e">
        <f>_xll.AdFxSwpToSwp($X$40,$B112,$X$38,$AA$37:$AB$37,$AA$38:$AB$38,$X$43:$Z$82,$AB$43:$AD$82,,"RET:5")</f>
        <v>#NAME?</v>
      </c>
      <c r="G112" s="277" t="e">
        <f>_xll.AdFxSwpToSwp($X$40,$B112,$X$38,$AA$37:$AB$37,$AA$38:$AB$38,$X$43:$Z$82,$AB$43:$AD$82,,"RET:6")</f>
        <v>#NAME?</v>
      </c>
    </row>
    <row r="113" spans="2:7" hidden="1">
      <c r="B113" s="247" t="s">
        <v>237</v>
      </c>
      <c r="C113" s="275" t="e">
        <f>_xll.AdFxSwpToSwp($X$40,$B113,$X$38,$AA$37:$AB$37,$AA$38:$AB$38,$X$43:$Z$82,$AB$43:$AD$82,,"RET:4")</f>
        <v>#NAME?</v>
      </c>
      <c r="D113" s="276" t="e">
        <f>_xll.AdFxSwpToSwp($X$40,$B113,$X$38,$AA$37:$AB$37,$AA$38:$AB$38,$X$43:$Z$82,$AB$43:$AD$82,,"RET:1")</f>
        <v>#NAME?</v>
      </c>
      <c r="E113" s="276" t="e">
        <f>_xll.AdFxSwpToSwp($X$40,$B113,$X$38,$AA$37:$AB$37,$AA$38:$AB$38,$X$43:$Z$82,$AB$43:$AD$82,,"RET:2")</f>
        <v>#NAME?</v>
      </c>
      <c r="F113" s="277" t="e">
        <f>_xll.AdFxSwpToSwp($X$40,$B113,$X$38,$AA$37:$AB$37,$AA$38:$AB$38,$X$43:$Z$82,$AB$43:$AD$82,,"RET:5")</f>
        <v>#NAME?</v>
      </c>
      <c r="G113" s="277" t="e">
        <f>_xll.AdFxSwpToSwp($X$40,$B113,$X$38,$AA$37:$AB$37,$AA$38:$AB$38,$X$43:$Z$82,$AB$43:$AD$82,,"RET:6")</f>
        <v>#NAME?</v>
      </c>
    </row>
    <row r="114" spans="2:7" hidden="1">
      <c r="B114" s="247" t="s">
        <v>238</v>
      </c>
      <c r="C114" s="275" t="e">
        <f>_xll.AdFxSwpToSwp($X$40,$B114,$X$38,$AA$37:$AB$37,$AA$38:$AB$38,$X$43:$Z$82,$AB$43:$AD$82,,"RET:4")</f>
        <v>#NAME?</v>
      </c>
      <c r="D114" s="276" t="e">
        <f>_xll.AdFxSwpToSwp($X$40,$B114,$X$38,$AA$37:$AB$37,$AA$38:$AB$38,$X$43:$Z$82,$AB$43:$AD$82,,"RET:1")</f>
        <v>#NAME?</v>
      </c>
      <c r="E114" s="276" t="e">
        <f>_xll.AdFxSwpToSwp($X$40,$B114,$X$38,$AA$37:$AB$37,$AA$38:$AB$38,$X$43:$Z$82,$AB$43:$AD$82,,"RET:2")</f>
        <v>#NAME?</v>
      </c>
      <c r="F114" s="277" t="e">
        <f>_xll.AdFxSwpToSwp($X$40,$B114,$X$38,$AA$37:$AB$37,$AA$38:$AB$38,$X$43:$Z$82,$AB$43:$AD$82,,"RET:5")</f>
        <v>#NAME?</v>
      </c>
      <c r="G114" s="277" t="e">
        <f>_xll.AdFxSwpToSwp($X$40,$B114,$X$38,$AA$37:$AB$37,$AA$38:$AB$38,$X$43:$Z$82,$AB$43:$AD$82,,"RET:6")</f>
        <v>#NAME?</v>
      </c>
    </row>
    <row r="115" spans="2:7" hidden="1">
      <c r="B115" s="247" t="s">
        <v>193</v>
      </c>
      <c r="C115" s="275" t="e">
        <f>_xll.AdFxSwpToSwp($X$40,$B115,$X$38,$AA$37:$AB$37,$AA$38:$AB$38,$X$43:$Z$82,$AB$43:$AD$82,,"RET:4")</f>
        <v>#NAME?</v>
      </c>
      <c r="D115" s="276" t="e">
        <f>_xll.AdFxSwpToSwp($X$40,$B115,$X$38,$AA$37:$AB$37,$AA$38:$AB$38,$X$43:$Z$82,$AB$43:$AD$82,,"RET:1")</f>
        <v>#NAME?</v>
      </c>
      <c r="E115" s="276" t="e">
        <f>_xll.AdFxSwpToSwp($X$40,$B115,$X$38,$AA$37:$AB$37,$AA$38:$AB$38,$X$43:$Z$82,$AB$43:$AD$82,,"RET:2")</f>
        <v>#NAME?</v>
      </c>
      <c r="F115" s="277" t="e">
        <f>_xll.AdFxSwpToSwp($X$40,$B115,$X$38,$AA$37:$AB$37,$AA$38:$AB$38,$X$43:$Z$82,$AB$43:$AD$82,,"RET:5")</f>
        <v>#NAME?</v>
      </c>
      <c r="G115" s="277" t="e">
        <f>_xll.AdFxSwpToSwp($X$40,$B115,$X$38,$AA$37:$AB$37,$AA$38:$AB$38,$X$43:$Z$82,$AB$43:$AD$82,,"RET:6")</f>
        <v>#NAME?</v>
      </c>
    </row>
    <row r="116" spans="2:7" hidden="1">
      <c r="B116" s="247" t="s">
        <v>239</v>
      </c>
      <c r="C116" s="275" t="e">
        <f>_xll.AdFxSwpToSwp($X$40,$B116,$X$38,$AA$37:$AB$37,$AA$38:$AB$38,$X$43:$Z$82,$AB$43:$AD$82,,"RET:4")</f>
        <v>#NAME?</v>
      </c>
      <c r="D116" s="276" t="e">
        <f>_xll.AdFxSwpToSwp($X$40,$B116,$X$38,$AA$37:$AB$37,$AA$38:$AB$38,$X$43:$Z$82,$AB$43:$AD$82,,"RET:1")</f>
        <v>#NAME?</v>
      </c>
      <c r="E116" s="276" t="e">
        <f>_xll.AdFxSwpToSwp($X$40,$B116,$X$38,$AA$37:$AB$37,$AA$38:$AB$38,$X$43:$Z$82,$AB$43:$AD$82,,"RET:2")</f>
        <v>#NAME?</v>
      </c>
      <c r="F116" s="277" t="e">
        <f>_xll.AdFxSwpToSwp($X$40,$B116,$X$38,$AA$37:$AB$37,$AA$38:$AB$38,$X$43:$Z$82,$AB$43:$AD$82,,"RET:5")</f>
        <v>#NAME?</v>
      </c>
      <c r="G116" s="277" t="e">
        <f>_xll.AdFxSwpToSwp($X$40,$B116,$X$38,$AA$37:$AB$37,$AA$38:$AB$38,$X$43:$Z$82,$AB$43:$AD$82,,"RET:6")</f>
        <v>#NAME?</v>
      </c>
    </row>
    <row r="117" spans="2:7" hidden="1">
      <c r="B117" s="247" t="s">
        <v>240</v>
      </c>
      <c r="C117" s="275" t="e">
        <f>_xll.AdFxSwpToSwp($X$40,$B117,$X$38,$AA$37:$AB$37,$AA$38:$AB$38,$X$43:$Z$82,$AB$43:$AD$82,,"RET:4")</f>
        <v>#NAME?</v>
      </c>
      <c r="D117" s="276" t="e">
        <f>_xll.AdFxSwpToSwp($X$40,$B117,$X$38,$AA$37:$AB$37,$AA$38:$AB$38,$X$43:$Z$82,$AB$43:$AD$82,,"RET:1")</f>
        <v>#NAME?</v>
      </c>
      <c r="E117" s="276" t="e">
        <f>_xll.AdFxSwpToSwp($X$40,$B117,$X$38,$AA$37:$AB$37,$AA$38:$AB$38,$X$43:$Z$82,$AB$43:$AD$82,,"RET:2")</f>
        <v>#NAME?</v>
      </c>
      <c r="F117" s="277" t="e">
        <f>_xll.AdFxSwpToSwp($X$40,$B117,$X$38,$AA$37:$AB$37,$AA$38:$AB$38,$X$43:$Z$82,$AB$43:$AD$82,,"RET:5")</f>
        <v>#NAME?</v>
      </c>
      <c r="G117" s="277" t="e">
        <f>_xll.AdFxSwpToSwp($X$40,$B117,$X$38,$AA$37:$AB$37,$AA$38:$AB$38,$X$43:$Z$82,$AB$43:$AD$82,,"RET:6")</f>
        <v>#NAME?</v>
      </c>
    </row>
    <row r="118" spans="2:7" hidden="1">
      <c r="B118" s="247" t="s">
        <v>194</v>
      </c>
      <c r="C118" s="275" t="e">
        <f>_xll.AdFxSwpToSwp($X$40,$B118,$X$38,$AA$37:$AB$37,$AA$38:$AB$38,$X$43:$Z$82,$AB$43:$AD$82,,"RET:4")</f>
        <v>#NAME?</v>
      </c>
      <c r="D118" s="276" t="e">
        <f>_xll.AdFxSwpToSwp($X$40,$B118,$X$38,$AA$37:$AB$37,$AA$38:$AB$38,$X$43:$Z$82,$AB$43:$AD$82,,"RET:1")</f>
        <v>#NAME?</v>
      </c>
      <c r="E118" s="276" t="e">
        <f>_xll.AdFxSwpToSwp($X$40,$B118,$X$38,$AA$37:$AB$37,$AA$38:$AB$38,$X$43:$Z$82,$AB$43:$AD$82,,"RET:2")</f>
        <v>#NAME?</v>
      </c>
      <c r="F118" s="277" t="e">
        <f>_xll.AdFxSwpToSwp($X$40,$B118,$X$38,$AA$37:$AB$37,$AA$38:$AB$38,$X$43:$Z$82,$AB$43:$AD$82,,"RET:5")</f>
        <v>#NAME?</v>
      </c>
      <c r="G118" s="277" t="e">
        <f>_xll.AdFxSwpToSwp($X$40,$B118,$X$38,$AA$37:$AB$37,$AA$38:$AB$38,$X$43:$Z$82,$AB$43:$AD$82,,"RET:6")</f>
        <v>#NAME?</v>
      </c>
    </row>
    <row r="119" spans="2:7" hidden="1">
      <c r="C119" s="275"/>
      <c r="D119" s="290"/>
      <c r="E119" s="290"/>
      <c r="F119" s="291"/>
      <c r="G119" s="291"/>
    </row>
    <row r="120" spans="2:7" hidden="1">
      <c r="C120" s="275"/>
      <c r="D120" s="290"/>
      <c r="E120" s="290"/>
      <c r="F120" s="291"/>
      <c r="G120" s="291"/>
    </row>
    <row r="121" spans="2:7" hidden="1">
      <c r="C121" s="275"/>
      <c r="D121" s="290"/>
      <c r="E121" s="290"/>
      <c r="F121" s="291"/>
      <c r="G121" s="291"/>
    </row>
    <row r="122" spans="2:7" hidden="1">
      <c r="C122" s="275"/>
      <c r="D122" s="290"/>
      <c r="E122" s="290"/>
      <c r="F122" s="291"/>
      <c r="G122" s="291"/>
    </row>
    <row r="123" spans="2:7" hidden="1">
      <c r="C123" s="275"/>
      <c r="D123" s="290"/>
      <c r="E123" s="290"/>
      <c r="F123" s="291"/>
      <c r="G123" s="291"/>
    </row>
    <row r="124" spans="2:7" hidden="1">
      <c r="C124" s="275"/>
      <c r="D124" s="290"/>
      <c r="E124" s="290"/>
      <c r="F124" s="291"/>
      <c r="G124" s="291"/>
    </row>
    <row r="125" spans="2:7" hidden="1">
      <c r="C125" s="275"/>
      <c r="D125" s="290"/>
      <c r="E125" s="290"/>
      <c r="F125" s="291"/>
      <c r="G125" s="291"/>
    </row>
    <row r="126" spans="2:7" hidden="1">
      <c r="C126" s="275"/>
      <c r="D126" s="290"/>
      <c r="E126" s="290"/>
      <c r="F126" s="291"/>
      <c r="G126" s="291"/>
    </row>
    <row r="127" spans="2:7" hidden="1">
      <c r="C127" s="275"/>
      <c r="D127" s="290"/>
      <c r="E127" s="290"/>
      <c r="F127" s="291"/>
      <c r="G127" s="291"/>
    </row>
    <row r="128" spans="2:7" hidden="1">
      <c r="C128" s="275"/>
      <c r="D128" s="290"/>
      <c r="E128" s="290"/>
      <c r="F128" s="291"/>
      <c r="G128" s="291"/>
    </row>
    <row r="129" spans="2:17" hidden="1">
      <c r="C129" s="275"/>
      <c r="D129" s="290"/>
      <c r="E129" s="290"/>
      <c r="F129" s="291"/>
      <c r="G129" s="291"/>
    </row>
    <row r="130" spans="2:17" hidden="1">
      <c r="Q130" s="55"/>
    </row>
    <row r="131" spans="2:17" hidden="1">
      <c r="Q131" s="55"/>
    </row>
    <row r="132" spans="2:17" hidden="1">
      <c r="Q132" s="55"/>
    </row>
    <row r="133" spans="2:17" hidden="1">
      <c r="Q133" s="55"/>
    </row>
    <row r="134" spans="2:17" ht="15" hidden="1" thickBot="1">
      <c r="B134" s="283" t="s">
        <v>213</v>
      </c>
      <c r="C134" s="233">
        <v>-78000000</v>
      </c>
      <c r="Q134" s="55"/>
    </row>
    <row r="135" spans="2:17" hidden="1">
      <c r="B135" s="284"/>
      <c r="C135" s="197" t="e">
        <f ca="1">-C134/(VLOOKUP(B97,$B$12:$E$18,2,FALSE))</f>
        <v>#DIV/0!</v>
      </c>
      <c r="Q135" s="55"/>
    </row>
    <row r="136" spans="2:17" hidden="1">
      <c r="Q136" s="55"/>
    </row>
    <row r="137" spans="2:17" ht="15" hidden="1" thickBot="1">
      <c r="B137" s="283" t="s">
        <v>204</v>
      </c>
      <c r="C137" s="234">
        <v>43593</v>
      </c>
      <c r="D137" s="285"/>
      <c r="Q137" s="55"/>
    </row>
    <row r="138" spans="2:17" hidden="1">
      <c r="B138" s="286" t="s">
        <v>210</v>
      </c>
      <c r="C138" s="200">
        <f>VLOOKUP("SP",B99:G109,4,FALSE)</f>
        <v>1.154482405</v>
      </c>
      <c r="D138" s="186"/>
      <c r="Q138" s="55"/>
    </row>
    <row r="139" spans="2:17" hidden="1">
      <c r="B139" s="286" t="s">
        <v>211</v>
      </c>
      <c r="C139" s="191" t="e">
        <f>VLOOKUP(C137,C99:G109,3,FALSE)</f>
        <v>#N/A</v>
      </c>
      <c r="Q139" s="55"/>
    </row>
    <row r="140" spans="2:17" hidden="1">
      <c r="B140" s="287" t="s">
        <v>201</v>
      </c>
      <c r="C140" s="196" t="e">
        <f>+C138+C139/100</f>
        <v>#N/A</v>
      </c>
      <c r="Q140" s="55"/>
    </row>
    <row r="141" spans="2:17" hidden="1">
      <c r="Q141" s="55"/>
    </row>
    <row r="142" spans="2:17" hidden="1">
      <c r="B142" s="287" t="s">
        <v>212</v>
      </c>
      <c r="C142" s="192" t="e">
        <f>-C134/C140</f>
        <v>#N/A</v>
      </c>
      <c r="D142" s="185"/>
      <c r="Q142" s="55"/>
    </row>
    <row r="143" spans="2:17" hidden="1">
      <c r="B143" s="258"/>
      <c r="C143" s="258"/>
      <c r="D143" s="185"/>
      <c r="E143" s="259"/>
      <c r="Q143" s="55"/>
    </row>
    <row r="144" spans="2:17" hidden="1">
      <c r="B144" s="258"/>
      <c r="C144" s="258"/>
      <c r="D144" s="185"/>
      <c r="E144" s="259"/>
      <c r="Q144" s="55"/>
    </row>
    <row r="145" spans="1:17" hidden="1">
      <c r="B145" s="258"/>
      <c r="C145" s="258"/>
      <c r="D145" s="185"/>
      <c r="E145" s="259"/>
      <c r="Q145" s="55"/>
    </row>
    <row r="146" spans="1:17" hidden="1">
      <c r="B146" s="258"/>
      <c r="C146" s="258"/>
      <c r="D146" s="185"/>
      <c r="E146" s="259"/>
      <c r="Q146" s="55"/>
    </row>
    <row r="147" spans="1:17" hidden="1">
      <c r="A147" s="255"/>
      <c r="B147" s="256"/>
      <c r="C147" s="256"/>
      <c r="D147" s="201"/>
      <c r="E147" s="257"/>
      <c r="F147" s="255"/>
      <c r="G147" s="255"/>
      <c r="H147" s="255"/>
      <c r="I147" s="255"/>
      <c r="J147" s="255"/>
      <c r="K147" s="255"/>
    </row>
    <row r="148" spans="1:17">
      <c r="C148" s="292"/>
      <c r="D148" s="249"/>
      <c r="E148" s="249"/>
      <c r="F148" s="249"/>
      <c r="G148" s="55"/>
      <c r="H148" s="55"/>
      <c r="I148" s="189"/>
    </row>
    <row r="149" spans="1:17">
      <c r="C149" s="292"/>
      <c r="D149" s="249"/>
      <c r="E149" s="249"/>
      <c r="F149" s="249"/>
      <c r="G149" s="55"/>
      <c r="H149" s="55"/>
      <c r="I149" s="189"/>
    </row>
    <row r="150" spans="1:17">
      <c r="B150" s="250" t="s">
        <v>215</v>
      </c>
      <c r="C150" s="292"/>
      <c r="D150" s="249"/>
      <c r="E150" s="249"/>
      <c r="F150" s="249"/>
      <c r="G150" s="55"/>
      <c r="H150" s="55"/>
      <c r="I150" s="189"/>
    </row>
    <row r="151" spans="1:17">
      <c r="C151" s="292"/>
      <c r="D151" s="249"/>
      <c r="E151" s="249"/>
      <c r="F151" s="249"/>
      <c r="G151" s="55"/>
      <c r="H151" s="55"/>
      <c r="I151" s="189"/>
    </row>
    <row r="152" spans="1:17" ht="39">
      <c r="B152" s="3" t="s">
        <v>198</v>
      </c>
      <c r="C152" s="187" t="s">
        <v>195</v>
      </c>
      <c r="D152" s="188" t="s">
        <v>196</v>
      </c>
      <c r="E152" s="188" t="s">
        <v>200</v>
      </c>
      <c r="F152" s="4" t="s">
        <v>205</v>
      </c>
      <c r="G152" s="3" t="s">
        <v>202</v>
      </c>
      <c r="H152" s="3" t="s">
        <v>203</v>
      </c>
      <c r="I152" s="3" t="s">
        <v>197</v>
      </c>
      <c r="J152" s="3" t="s">
        <v>204</v>
      </c>
      <c r="K152" s="3" t="s">
        <v>199</v>
      </c>
    </row>
    <row r="153" spans="1:17">
      <c r="B153" s="293"/>
      <c r="C153" s="294"/>
      <c r="D153" s="295"/>
      <c r="E153" s="295"/>
      <c r="F153" s="295"/>
      <c r="G153" s="194"/>
      <c r="H153" s="194"/>
      <c r="I153" s="195"/>
      <c r="J153" s="294"/>
      <c r="K153" s="293"/>
    </row>
    <row r="154" spans="1:17">
      <c r="B154" s="252" t="s">
        <v>125</v>
      </c>
      <c r="C154" s="253">
        <v>43643</v>
      </c>
      <c r="D154" s="254"/>
      <c r="E154" s="254"/>
      <c r="F154" s="312">
        <v>122.90684</v>
      </c>
      <c r="G154" s="313">
        <v>-163000000</v>
      </c>
      <c r="H154" s="313">
        <f>-G154/F154</f>
        <v>1326207.7196029122</v>
      </c>
      <c r="I154" s="193"/>
      <c r="J154" s="314">
        <v>43735</v>
      </c>
      <c r="K154" s="315"/>
    </row>
    <row r="155" spans="1:17">
      <c r="B155" s="293"/>
      <c r="C155" s="294"/>
      <c r="D155" s="295"/>
      <c r="E155" s="295"/>
      <c r="F155" s="295">
        <v>118.04095</v>
      </c>
      <c r="G155" s="194">
        <f>+G154</f>
        <v>-163000000</v>
      </c>
      <c r="H155" s="194">
        <f>-G155/F155</f>
        <v>1380876.7211717628</v>
      </c>
      <c r="I155" s="195"/>
      <c r="J155" s="294"/>
      <c r="K155" s="293"/>
    </row>
    <row r="156" spans="1:17">
      <c r="B156" s="293"/>
      <c r="C156" s="294"/>
      <c r="D156" s="296"/>
      <c r="E156" s="296"/>
      <c r="F156" s="296"/>
      <c r="G156" s="194"/>
      <c r="H156" s="377">
        <f>+H154-H155</f>
        <v>-54669.001568850596</v>
      </c>
      <c r="I156" s="195"/>
      <c r="J156" s="294"/>
      <c r="K156" s="293"/>
    </row>
    <row r="157" spans="1:17">
      <c r="B157" s="293"/>
      <c r="C157" s="294"/>
      <c r="D157" s="296"/>
      <c r="E157" s="296"/>
      <c r="F157" s="296"/>
      <c r="G157" s="194"/>
      <c r="H157" s="194"/>
      <c r="I157" s="293"/>
      <c r="J157" s="294"/>
      <c r="K157" s="293"/>
    </row>
    <row r="158" spans="1:17">
      <c r="B158" s="252" t="s">
        <v>125</v>
      </c>
      <c r="C158" s="253">
        <v>43643</v>
      </c>
      <c r="D158" s="254"/>
      <c r="E158" s="254"/>
      <c r="F158" s="312">
        <v>118.175</v>
      </c>
      <c r="G158" s="313">
        <v>-163000000</v>
      </c>
      <c r="H158" s="313">
        <f>-G158/F158</f>
        <v>1379310.3448275863</v>
      </c>
      <c r="I158" s="193"/>
      <c r="J158" s="314">
        <v>43819</v>
      </c>
      <c r="K158" s="315"/>
    </row>
    <row r="159" spans="1:17">
      <c r="B159" s="293"/>
      <c r="C159" s="294"/>
      <c r="D159" s="295"/>
      <c r="E159" s="295"/>
      <c r="F159" s="295">
        <v>121.13939999999999</v>
      </c>
      <c r="G159" s="194">
        <f>+G158</f>
        <v>-163000000</v>
      </c>
      <c r="H159" s="194">
        <f>-G159/F159</f>
        <v>1345557.2670823862</v>
      </c>
      <c r="I159" s="195"/>
      <c r="J159" s="294"/>
      <c r="K159" s="293"/>
    </row>
    <row r="160" spans="1:17">
      <c r="B160" s="293"/>
      <c r="C160" s="294"/>
      <c r="D160" s="296"/>
      <c r="E160" s="296"/>
      <c r="F160" s="296"/>
      <c r="G160" s="194"/>
      <c r="H160" s="377">
        <f>+H158-H159</f>
        <v>33753.077745200135</v>
      </c>
      <c r="I160" s="195"/>
      <c r="J160" s="294"/>
      <c r="K160" s="293"/>
    </row>
    <row r="161" spans="2:11">
      <c r="B161" s="293"/>
      <c r="C161" s="294"/>
      <c r="D161" s="296"/>
      <c r="E161" s="296"/>
      <c r="F161" s="296"/>
      <c r="G161" s="194"/>
      <c r="H161" s="194"/>
      <c r="I161" s="293"/>
      <c r="J161" s="294"/>
      <c r="K161" s="293"/>
    </row>
    <row r="162" spans="2:11">
      <c r="B162" s="252" t="s">
        <v>125</v>
      </c>
      <c r="C162" s="253">
        <v>43819</v>
      </c>
      <c r="D162" s="254"/>
      <c r="E162" s="254"/>
      <c r="F162" s="312">
        <v>121.27999979000001</v>
      </c>
      <c r="G162" s="313">
        <v>-163000000</v>
      </c>
      <c r="H162" s="313">
        <f>-G162/F162</f>
        <v>1343997.3638047448</v>
      </c>
      <c r="I162" s="193"/>
      <c r="J162" s="314">
        <v>43917</v>
      </c>
      <c r="K162" s="315"/>
    </row>
    <row r="163" spans="2:11">
      <c r="B163" s="476"/>
      <c r="C163" s="294"/>
      <c r="D163" s="295"/>
      <c r="E163" s="295"/>
      <c r="F163" s="477">
        <v>120.469735</v>
      </c>
      <c r="G163" s="478">
        <v>-163000000</v>
      </c>
      <c r="H163" s="478">
        <f>-G163/F163</f>
        <v>1353036.9266604595</v>
      </c>
      <c r="I163" s="195"/>
      <c r="J163" s="479"/>
      <c r="K163" s="480"/>
    </row>
    <row r="164" spans="2:11">
      <c r="B164" s="476"/>
      <c r="C164" s="294"/>
      <c r="D164" s="295"/>
      <c r="E164" s="295"/>
      <c r="F164" s="477"/>
      <c r="G164" s="478"/>
      <c r="H164" s="478">
        <f>+H162-H163</f>
        <v>-9039.5628557146993</v>
      </c>
      <c r="I164" s="195"/>
      <c r="J164" s="479"/>
      <c r="K164" s="480"/>
    </row>
    <row r="165" spans="2:11">
      <c r="B165" s="476"/>
      <c r="C165" s="294"/>
      <c r="D165" s="295"/>
      <c r="E165" s="295"/>
      <c r="F165" s="477"/>
      <c r="G165" s="478"/>
      <c r="H165" s="478"/>
      <c r="I165" s="195"/>
      <c r="J165" s="479"/>
      <c r="K165" s="480"/>
    </row>
    <row r="166" spans="2:11">
      <c r="B166" s="252" t="s">
        <v>125</v>
      </c>
      <c r="C166" s="253">
        <v>43917</v>
      </c>
      <c r="D166" s="254"/>
      <c r="E166" s="254"/>
      <c r="F166" s="312">
        <v>120.3385</v>
      </c>
      <c r="G166" s="313">
        <v>-163000000</v>
      </c>
      <c r="H166" s="313">
        <f>-G166/F166</f>
        <v>1354512.4793810793</v>
      </c>
      <c r="I166" s="193"/>
      <c r="J166" s="314">
        <v>44008</v>
      </c>
      <c r="K166" s="315"/>
    </row>
    <row r="167" spans="2:11">
      <c r="B167" s="476"/>
      <c r="C167" s="294"/>
      <c r="D167" s="295"/>
      <c r="E167" s="295"/>
      <c r="F167" s="477">
        <v>120.229855</v>
      </c>
      <c r="G167" s="478">
        <v>-163000000</v>
      </c>
      <c r="H167" s="478">
        <f>-G167/F167</f>
        <v>1355736.4766014232</v>
      </c>
      <c r="I167" s="195"/>
      <c r="J167" s="479"/>
      <c r="K167" s="293"/>
    </row>
    <row r="168" spans="2:11">
      <c r="B168" s="476"/>
      <c r="C168" s="294"/>
      <c r="D168" s="295"/>
      <c r="E168" s="295"/>
      <c r="F168" s="477"/>
      <c r="G168" s="478"/>
      <c r="H168" s="478">
        <f>+H166-H167</f>
        <v>-1223.9972203439102</v>
      </c>
      <c r="I168" s="195"/>
      <c r="J168" s="479"/>
      <c r="K168" s="293"/>
    </row>
    <row r="169" spans="2:11">
      <c r="G169" s="55"/>
      <c r="H169" s="55"/>
    </row>
    <row r="170" spans="2:11">
      <c r="B170" s="252" t="s">
        <v>125</v>
      </c>
      <c r="C170" s="253">
        <v>44008</v>
      </c>
      <c r="D170" s="254"/>
      <c r="E170" s="254"/>
      <c r="F170" s="312">
        <v>120.3875</v>
      </c>
      <c r="G170" s="313">
        <v>-163000000</v>
      </c>
      <c r="H170" s="313">
        <f>-G170/F170</f>
        <v>1353961.167064687</v>
      </c>
      <c r="I170" s="193"/>
      <c r="J170" s="314">
        <v>44099</v>
      </c>
      <c r="K170" s="315"/>
    </row>
    <row r="171" spans="2:11">
      <c r="B171" s="476"/>
      <c r="C171" s="294"/>
      <c r="D171" s="295"/>
      <c r="E171" s="295"/>
      <c r="F171" s="477">
        <v>122.91420785</v>
      </c>
      <c r="G171" s="478">
        <v>-163000000</v>
      </c>
      <c r="H171" s="478">
        <f>-G171/F171</f>
        <v>1326128.2226943141</v>
      </c>
      <c r="I171" s="195"/>
      <c r="J171" s="479"/>
      <c r="K171" s="293"/>
    </row>
    <row r="172" spans="2:11">
      <c r="B172" s="476"/>
      <c r="C172" s="294"/>
      <c r="D172" s="295"/>
      <c r="E172" s="295"/>
      <c r="F172" s="477"/>
      <c r="G172" s="478"/>
      <c r="H172" s="478">
        <f>+H170-H171</f>
        <v>27832.944370372919</v>
      </c>
      <c r="I172" s="195"/>
      <c r="J172" s="479"/>
      <c r="K172" s="293"/>
    </row>
    <row r="173" spans="2:11">
      <c r="G173" s="55"/>
    </row>
    <row r="174" spans="2:11">
      <c r="B174" s="252" t="s">
        <v>125</v>
      </c>
      <c r="C174" s="253">
        <v>44099</v>
      </c>
      <c r="D174" s="254"/>
      <c r="E174" s="254"/>
      <c r="F174" s="312">
        <v>123.07769570000001</v>
      </c>
      <c r="G174" s="313">
        <v>-163000000</v>
      </c>
      <c r="H174" s="313">
        <f>-G174/F174</f>
        <v>1324366.6862053543</v>
      </c>
      <c r="I174" s="193"/>
      <c r="J174" s="314">
        <v>44183</v>
      </c>
      <c r="K174" s="315"/>
    </row>
    <row r="175" spans="2:11">
      <c r="B175" s="476"/>
      <c r="C175" s="294"/>
      <c r="D175" s="295"/>
      <c r="E175" s="295"/>
      <c r="F175" s="477">
        <v>125.95699</v>
      </c>
      <c r="G175" s="478">
        <v>-163000000</v>
      </c>
      <c r="H175" s="478">
        <f>-G175/F175</f>
        <v>1294092.5311092301</v>
      </c>
      <c r="I175" s="195"/>
      <c r="J175" s="479"/>
      <c r="K175" s="293"/>
    </row>
    <row r="176" spans="2:11">
      <c r="B176" s="476"/>
      <c r="C176" s="294"/>
      <c r="D176" s="295"/>
      <c r="E176" s="295"/>
      <c r="F176" s="477"/>
      <c r="G176" s="478"/>
      <c r="H176" s="478">
        <f>+H174-H175</f>
        <v>30274.155096124159</v>
      </c>
      <c r="I176" s="195"/>
      <c r="J176" s="479"/>
      <c r="K176" s="293"/>
    </row>
    <row r="177" spans="2:11">
      <c r="G177" s="55"/>
    </row>
    <row r="178" spans="2:11">
      <c r="B178" s="252" t="s">
        <v>125</v>
      </c>
      <c r="C178" s="253">
        <v>44183</v>
      </c>
      <c r="D178" s="254"/>
      <c r="E178" s="254"/>
      <c r="F178" s="312">
        <v>126.145</v>
      </c>
      <c r="G178" s="313">
        <v>-163000000</v>
      </c>
      <c r="H178" s="313">
        <f>-G178/F178</f>
        <v>1292163.7797772405</v>
      </c>
      <c r="I178" s="193"/>
      <c r="J178" s="314">
        <v>44281</v>
      </c>
      <c r="K178" s="315"/>
    </row>
    <row r="179" spans="2:11">
      <c r="B179" s="476"/>
      <c r="C179" s="294"/>
      <c r="D179" s="295"/>
      <c r="E179" s="295"/>
      <c r="F179" s="477">
        <v>128.53569999999999</v>
      </c>
      <c r="G179" s="478">
        <v>-163000000</v>
      </c>
      <c r="H179" s="478">
        <f>-G179/F179</f>
        <v>1268130.1770636486</v>
      </c>
      <c r="I179" s="195"/>
      <c r="J179" s="479"/>
      <c r="K179" s="293"/>
    </row>
    <row r="180" spans="2:11">
      <c r="B180" s="476"/>
      <c r="C180" s="294"/>
      <c r="D180" s="295"/>
      <c r="E180" s="295"/>
      <c r="F180" s="477"/>
      <c r="G180" s="478"/>
      <c r="H180" s="478">
        <f>+H178-H179</f>
        <v>24033.602713591885</v>
      </c>
      <c r="I180" s="195"/>
      <c r="J180" s="479"/>
      <c r="K180" s="293"/>
    </row>
    <row r="182" spans="2:11">
      <c r="B182" s="252" t="s">
        <v>125</v>
      </c>
      <c r="C182" s="253">
        <v>44281</v>
      </c>
      <c r="D182" s="254"/>
      <c r="E182" s="254"/>
      <c r="F182" s="254">
        <v>128.75350091999999</v>
      </c>
      <c r="G182" s="313">
        <v>-163000000</v>
      </c>
      <c r="H182" s="313">
        <f>-G182/F183</f>
        <v>1251112.7266106324</v>
      </c>
      <c r="I182" s="193"/>
      <c r="J182" s="314">
        <v>44372</v>
      </c>
      <c r="K182" s="1221"/>
    </row>
    <row r="183" spans="2:11">
      <c r="B183" s="476"/>
      <c r="C183" s="253">
        <v>44270</v>
      </c>
      <c r="D183" s="295"/>
      <c r="E183" s="295"/>
      <c r="F183" s="312">
        <v>130.28402360000001</v>
      </c>
      <c r="G183" s="478">
        <v>-238000000</v>
      </c>
      <c r="H183" s="313">
        <f>-G183/F183</f>
        <v>1826778.0916155246</v>
      </c>
      <c r="I183" s="195"/>
      <c r="J183" s="314">
        <v>44372</v>
      </c>
      <c r="K183" s="1221"/>
    </row>
    <row r="184" spans="2:11">
      <c r="B184" s="476"/>
      <c r="C184" s="294"/>
      <c r="D184" s="295"/>
      <c r="E184" s="295"/>
      <c r="F184" s="477"/>
      <c r="G184" s="478"/>
      <c r="H184" s="478"/>
      <c r="I184" s="195"/>
      <c r="J184" s="479"/>
      <c r="K184" s="293"/>
    </row>
    <row r="185" spans="2:11">
      <c r="G185" s="55"/>
      <c r="H185" s="55"/>
    </row>
    <row r="186" spans="2:11">
      <c r="B186" s="252" t="s">
        <v>125</v>
      </c>
      <c r="C186" s="314">
        <v>44372</v>
      </c>
      <c r="D186" s="254"/>
      <c r="E186" s="254"/>
      <c r="F186" s="312">
        <v>132.66700005999999</v>
      </c>
      <c r="G186" s="313">
        <v>-401000000</v>
      </c>
      <c r="H186" s="313">
        <f>-G186/F186</f>
        <v>3022605.4694735217</v>
      </c>
      <c r="I186" s="193"/>
      <c r="J186" s="314">
        <v>44463</v>
      </c>
      <c r="K186" s="1221"/>
    </row>
    <row r="187" spans="2:11">
      <c r="B187" s="476"/>
      <c r="C187" s="294"/>
      <c r="D187" s="295"/>
      <c r="E187" s="295"/>
      <c r="F187" s="477"/>
      <c r="G187" s="478"/>
      <c r="H187" s="478"/>
      <c r="I187" s="195"/>
      <c r="J187" s="479"/>
      <c r="K187" s="293"/>
    </row>
    <row r="188" spans="2:11">
      <c r="B188" s="476"/>
      <c r="C188" s="294"/>
      <c r="D188" s="295"/>
      <c r="E188" s="295"/>
      <c r="F188" s="477"/>
      <c r="G188" s="478"/>
      <c r="H188" s="478"/>
      <c r="I188" s="195"/>
      <c r="J188" s="479"/>
      <c r="K188" s="293"/>
    </row>
    <row r="189" spans="2:11">
      <c r="G189" s="55"/>
    </row>
    <row r="190" spans="2:11">
      <c r="B190" s="252" t="s">
        <v>125</v>
      </c>
      <c r="C190" s="253">
        <v>44427</v>
      </c>
      <c r="D190" s="254"/>
      <c r="E190" s="254"/>
      <c r="F190" s="312">
        <v>128.10140000000001</v>
      </c>
      <c r="G190" s="313">
        <v>-100000000</v>
      </c>
      <c r="H190" s="313">
        <f>-G190/F190</f>
        <v>780631.59340959578</v>
      </c>
      <c r="I190" s="193"/>
      <c r="J190" s="314">
        <v>44463</v>
      </c>
      <c r="K190" s="1221"/>
    </row>
    <row r="191" spans="2:11">
      <c r="B191" s="252" t="s">
        <v>13091</v>
      </c>
      <c r="C191" s="253">
        <v>44431</v>
      </c>
      <c r="D191" s="295"/>
      <c r="E191" s="295"/>
      <c r="F191" s="312">
        <v>109.913</v>
      </c>
      <c r="G191" s="313">
        <v>-100000000</v>
      </c>
      <c r="H191" s="313">
        <f>-G191/F192</f>
        <v>771105.14789796737</v>
      </c>
      <c r="I191" s="193"/>
      <c r="J191" s="314">
        <v>44463</v>
      </c>
      <c r="K191" s="1221"/>
    </row>
    <row r="192" spans="2:11">
      <c r="B192" s="476"/>
      <c r="C192" s="294"/>
      <c r="D192" s="295"/>
      <c r="E192" s="295"/>
      <c r="F192" s="1222">
        <v>129.684</v>
      </c>
      <c r="G192" s="478"/>
      <c r="H192" s="478"/>
      <c r="I192" s="195"/>
      <c r="J192" s="479"/>
      <c r="K192" s="293"/>
    </row>
    <row r="193" spans="2:11">
      <c r="G193" s="55"/>
    </row>
    <row r="194" spans="2:11">
      <c r="B194" s="252" t="s">
        <v>125</v>
      </c>
      <c r="C194" s="314">
        <v>44461</v>
      </c>
      <c r="D194" s="254"/>
      <c r="E194" s="254"/>
      <c r="F194" s="312">
        <v>128.55000000000001</v>
      </c>
      <c r="G194" s="313">
        <v>-501000000</v>
      </c>
      <c r="H194" s="313">
        <f>-G194/F194</f>
        <v>3897316.2193698948</v>
      </c>
      <c r="I194" s="193"/>
      <c r="J194" s="314">
        <v>44547</v>
      </c>
      <c r="K194" s="1221"/>
    </row>
    <row r="195" spans="2:11">
      <c r="B195" s="252" t="s">
        <v>13091</v>
      </c>
      <c r="C195" s="314">
        <v>44461</v>
      </c>
      <c r="D195" s="295"/>
      <c r="E195" s="295"/>
      <c r="F195" s="312">
        <v>109.4</v>
      </c>
      <c r="G195" s="313">
        <v>-100000000</v>
      </c>
      <c r="H195" s="313">
        <f>-G195/F196</f>
        <v>773335.39556105481</v>
      </c>
      <c r="I195" s="193"/>
      <c r="J195" s="314">
        <v>44547</v>
      </c>
      <c r="K195" s="1221"/>
    </row>
    <row r="196" spans="2:11">
      <c r="B196" s="476"/>
      <c r="C196" s="294"/>
      <c r="D196" s="295"/>
      <c r="E196" s="295"/>
      <c r="F196" s="1222">
        <v>129.31</v>
      </c>
      <c r="G196" s="478"/>
      <c r="H196" s="478"/>
      <c r="I196" s="195"/>
      <c r="J196" s="479"/>
      <c r="K196" s="1221"/>
    </row>
  </sheetData>
  <conditionalFormatting sqref="C79">
    <cfRule type="iconSet" priority="3">
      <iconSet iconSet="3Symbols" reverse="1">
        <cfvo type="percent" val="0"/>
        <cfvo type="num" val="0.8"/>
        <cfvo type="num" val="0.85"/>
      </iconSet>
    </cfRule>
  </conditionalFormatting>
  <conditionalFormatting sqref="C135">
    <cfRule type="iconSet" priority="2">
      <iconSet iconSet="3Symbols" reverse="1">
        <cfvo type="percent" val="0"/>
        <cfvo type="num" val="0.8"/>
        <cfvo type="num" val="0.85"/>
      </iconSet>
    </cfRule>
  </conditionalFormatting>
  <conditionalFormatting sqref="C80:C81">
    <cfRule type="iconSet" priority="1">
      <iconSet iconSet="3Symbols" reverse="1">
        <cfvo type="percent" val="0"/>
        <cfvo type="num" val="0.8"/>
        <cfvo type="num" val="0.85"/>
      </iconSet>
    </cfRule>
  </conditionalFormatting>
  <dataValidations disablePrompts="1" count="5">
    <dataValidation allowBlank="1" showErrorMessage="1" prompt="input the local currency to be sold" sqref="B41" xr:uid="{45875B96-65AA-4D98-BC2F-87EA55ADF51F}"/>
    <dataValidation allowBlank="1" showInputMessage="1" showErrorMessage="1" prompt="t+2" sqref="C28 C152 C24" xr:uid="{F23F4248-D408-49AF-A3D4-D1C4BB3EB334}"/>
    <dataValidation allowBlank="1" showInputMessage="1" showErrorMessage="1" prompt="input the settlement date" sqref="C82 C137" xr:uid="{369D50E1-00EB-42A7-A2C0-5DA5631290E3}"/>
    <dataValidation allowBlank="1" showInputMessage="1" showErrorMessage="1" prompt="input the amount in local currency to be sold" sqref="C78 C134" xr:uid="{300D59FE-5A85-4B37-9EBF-D5272AEA6ECD}"/>
    <dataValidation allowBlank="1" showInputMessage="1" showErrorMessage="1" prompt="input the local currency to be sold" sqref="B97" xr:uid="{89D83FA1-B8B7-483A-AD5B-38057094F474}"/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/>
  <dimension ref="B9:D32"/>
  <sheetViews>
    <sheetView topLeftCell="A10" workbookViewId="0">
      <selection activeCell="J36" sqref="J36"/>
    </sheetView>
  </sheetViews>
  <sheetFormatPr defaultColWidth="9" defaultRowHeight="14.5"/>
  <cols>
    <col min="1" max="1" width="9" style="22"/>
    <col min="2" max="2" width="20" style="22" bestFit="1" customWidth="1"/>
    <col min="3" max="3" width="9" style="22"/>
    <col min="4" max="4" width="12.54296875" style="22" bestFit="1" customWidth="1"/>
    <col min="5" max="16384" width="9" style="22"/>
  </cols>
  <sheetData>
    <row r="9" spans="2:2">
      <c r="B9" s="22">
        <f>TODAY()</f>
        <v>44526</v>
      </c>
    </row>
    <row r="20" spans="2:4" ht="15" thickBot="1"/>
    <row r="21" spans="2:4" ht="15" thickBot="1">
      <c r="B21" s="202" t="s">
        <v>125</v>
      </c>
    </row>
    <row r="22" spans="2:4" ht="15" thickBot="1">
      <c r="B22" s="238" t="s">
        <v>243</v>
      </c>
    </row>
    <row r="23" spans="2:4" ht="15" thickBot="1">
      <c r="B23" s="51" t="s">
        <v>228</v>
      </c>
      <c r="C23" s="51"/>
      <c r="D23" s="190">
        <v>1000000</v>
      </c>
    </row>
    <row r="24" spans="2:4">
      <c r="B24" s="30" t="s">
        <v>89</v>
      </c>
      <c r="C24" s="30"/>
      <c r="D24" s="214" t="e">
        <f>_xll.TR($B$22,"TR.Priceclose","Sdate=#1 Curn=#2 Code=Multi Null=-",,$B$9,$B21)/_xll.TR($B$22,"TR.Priceclose","Sdate=#1 Curn=#2 Code=Multi Null=-",,$C$12,$B$17)</f>
        <v>#NAME?</v>
      </c>
    </row>
    <row r="25" spans="2:4">
      <c r="B25" s="215" t="s">
        <v>230</v>
      </c>
      <c r="C25" s="215"/>
      <c r="D25" s="216" t="e">
        <f>+D23/D24</f>
        <v>#NAME?</v>
      </c>
    </row>
    <row r="26" spans="2:4">
      <c r="B26" s="30"/>
      <c r="C26" s="30"/>
      <c r="D26" s="30"/>
    </row>
    <row r="27" spans="2:4">
      <c r="B27" s="30" t="s">
        <v>227</v>
      </c>
      <c r="C27" s="30"/>
      <c r="D27" s="38">
        <f>+B9+2</f>
        <v>44528</v>
      </c>
    </row>
    <row r="28" spans="2:4">
      <c r="B28" s="30" t="s">
        <v>231</v>
      </c>
      <c r="C28" s="30"/>
      <c r="D28" s="38"/>
    </row>
    <row r="29" spans="2:4">
      <c r="B29" s="30"/>
      <c r="C29" s="30"/>
      <c r="D29" s="38"/>
    </row>
    <row r="30" spans="2:4">
      <c r="B30" s="30"/>
      <c r="C30" s="30"/>
      <c r="D30" s="38"/>
    </row>
    <row r="31" spans="2:4">
      <c r="B31" s="22" t="s">
        <v>229</v>
      </c>
      <c r="D31" s="55" t="e">
        <f>+#REF!</f>
        <v>#REF!</v>
      </c>
    </row>
    <row r="32" spans="2:4">
      <c r="D32" s="26" t="e">
        <f>IF((D31-D25)&gt;0,"OK","stop")</f>
        <v>#REF!</v>
      </c>
    </row>
  </sheetData>
  <dataValidations disablePrompts="1"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385"/>
  <sheetViews>
    <sheetView workbookViewId="0">
      <pane xSplit="3" ySplit="10" topLeftCell="D396" activePane="bottomRight" state="frozen"/>
      <selection pane="topRight" activeCell="C1" sqref="C1"/>
      <selection pane="bottomLeft" activeCell="A11" sqref="A11"/>
      <selection pane="bottomRight" activeCell="XFB9" sqref="XFB9"/>
    </sheetView>
  </sheetViews>
  <sheetFormatPr defaultColWidth="9" defaultRowHeight="14.5"/>
  <cols>
    <col min="1" max="1" width="11" style="467" bestFit="1" customWidth="1"/>
    <col min="2" max="2" width="11.54296875" style="26" customWidth="1"/>
    <col min="3" max="3" width="7.81640625" style="26" customWidth="1"/>
    <col min="4" max="4" width="12.81640625" style="26" customWidth="1"/>
    <col min="5" max="5" width="15" style="26" customWidth="1"/>
    <col min="6" max="6" width="10" style="26" customWidth="1"/>
    <col min="7" max="7" width="9.54296875" style="26" bestFit="1" customWidth="1"/>
    <col min="8" max="8" width="15.7265625" style="26" customWidth="1"/>
    <col min="9" max="9" width="16" style="26" customWidth="1"/>
    <col min="10" max="10" width="8.26953125" style="26" customWidth="1"/>
    <col min="11" max="11" width="15.81640625" style="54" bestFit="1" customWidth="1"/>
    <col min="12" max="14" width="12.54296875" style="54" customWidth="1"/>
    <col min="15" max="16" width="10" style="54" customWidth="1"/>
    <col min="17" max="21" width="12.54296875" style="54" customWidth="1"/>
    <col min="22" max="22" width="12.54296875" style="26" customWidth="1"/>
    <col min="23" max="23" width="11.54296875" style="89" bestFit="1" customWidth="1"/>
    <col min="24" max="16384" width="9" style="26"/>
  </cols>
  <sheetData>
    <row r="10" spans="2:47" s="85" customFormat="1" ht="26">
      <c r="B10" s="82" t="s">
        <v>27</v>
      </c>
      <c r="C10" s="82" t="s">
        <v>140</v>
      </c>
      <c r="D10" s="82"/>
      <c r="E10" s="82"/>
      <c r="F10" s="82" t="s">
        <v>45</v>
      </c>
      <c r="G10" s="82" t="s">
        <v>28</v>
      </c>
      <c r="H10" s="82"/>
      <c r="I10" s="82"/>
      <c r="J10" s="82" t="s">
        <v>5</v>
      </c>
      <c r="K10" s="83" t="s">
        <v>41</v>
      </c>
      <c r="L10" s="83"/>
      <c r="M10" s="83" t="s">
        <v>11</v>
      </c>
      <c r="N10" s="83" t="s">
        <v>46</v>
      </c>
      <c r="O10" s="83" t="s">
        <v>29</v>
      </c>
      <c r="P10" s="83" t="s">
        <v>30</v>
      </c>
      <c r="Q10" s="83" t="s">
        <v>31</v>
      </c>
      <c r="R10" s="83" t="s">
        <v>119</v>
      </c>
      <c r="S10" s="83" t="s">
        <v>35</v>
      </c>
      <c r="T10" s="83" t="s">
        <v>47</v>
      </c>
      <c r="U10" s="83" t="s">
        <v>32</v>
      </c>
      <c r="V10" s="82" t="s">
        <v>33</v>
      </c>
      <c r="W10" s="62" t="s">
        <v>146</v>
      </c>
      <c r="X10" s="84"/>
      <c r="Y10" s="84"/>
      <c r="Z10" s="84"/>
      <c r="AA10" s="84"/>
      <c r="AB10" s="84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6">
        <v>43623</v>
      </c>
      <c r="C11" s="56" t="s">
        <v>137</v>
      </c>
      <c r="F11" s="308" t="s">
        <v>1093</v>
      </c>
      <c r="G11" s="8" t="s">
        <v>1180</v>
      </c>
      <c r="K11" s="23">
        <v>869.5</v>
      </c>
      <c r="M11" s="15">
        <v>30000</v>
      </c>
      <c r="N11" s="54">
        <v>-26085000</v>
      </c>
      <c r="R11" s="54">
        <v>-26085000</v>
      </c>
      <c r="S11" s="23">
        <v>122.57940239991835</v>
      </c>
      <c r="T11" s="87">
        <v>-212800.841652801</v>
      </c>
      <c r="U11" s="86">
        <v>43629</v>
      </c>
      <c r="V11" s="13" t="s">
        <v>1229</v>
      </c>
      <c r="W11" s="93">
        <v>43623.68822916667</v>
      </c>
    </row>
    <row r="12" spans="2:47">
      <c r="B12" s="56">
        <v>43623</v>
      </c>
      <c r="C12" s="56" t="s">
        <v>137</v>
      </c>
      <c r="F12" s="308" t="s">
        <v>1093</v>
      </c>
      <c r="G12" s="8" t="s">
        <v>1181</v>
      </c>
      <c r="K12" s="23">
        <v>2882</v>
      </c>
      <c r="M12" s="15">
        <v>6000</v>
      </c>
      <c r="N12" s="54">
        <v>-17292000</v>
      </c>
      <c r="R12" s="54">
        <v>-17292000</v>
      </c>
      <c r="S12" s="23">
        <v>122.57940239991861</v>
      </c>
      <c r="T12" s="87">
        <v>-141067.74597892381</v>
      </c>
      <c r="U12" s="86">
        <v>43629</v>
      </c>
      <c r="V12" s="13" t="s">
        <v>1229</v>
      </c>
      <c r="W12" s="93">
        <v>43623.689768518518</v>
      </c>
    </row>
    <row r="13" spans="2:47">
      <c r="B13" s="56">
        <v>43623</v>
      </c>
      <c r="C13" s="56" t="s">
        <v>137</v>
      </c>
      <c r="D13" s="308"/>
      <c r="E13" s="308"/>
      <c r="F13" s="308" t="s">
        <v>1093</v>
      </c>
      <c r="G13" s="8" t="s">
        <v>1182</v>
      </c>
      <c r="H13" s="308"/>
      <c r="I13" s="308"/>
      <c r="J13" s="308"/>
      <c r="K13" s="23">
        <v>820</v>
      </c>
      <c r="M13" s="15">
        <v>6000</v>
      </c>
      <c r="N13" s="54">
        <v>-4920000</v>
      </c>
      <c r="R13" s="54">
        <v>-4920000</v>
      </c>
      <c r="S13" s="23">
        <v>122.57940239991845</v>
      </c>
      <c r="T13" s="87">
        <v>-40137.24902939544</v>
      </c>
      <c r="U13" s="86">
        <v>43629</v>
      </c>
      <c r="V13" s="13" t="s">
        <v>1229</v>
      </c>
      <c r="W13" s="93">
        <v>43623.690949074073</v>
      </c>
    </row>
    <row r="14" spans="2:47">
      <c r="B14" s="56">
        <v>43623</v>
      </c>
      <c r="C14" s="56" t="s">
        <v>137</v>
      </c>
      <c r="D14" s="308"/>
      <c r="E14" s="308"/>
      <c r="F14" s="308" t="s">
        <v>1093</v>
      </c>
      <c r="G14" s="8" t="s">
        <v>1183</v>
      </c>
      <c r="H14" s="308"/>
      <c r="I14" s="308"/>
      <c r="J14" s="308"/>
      <c r="K14" s="23">
        <v>1800</v>
      </c>
      <c r="M14" s="15">
        <v>6000</v>
      </c>
      <c r="N14" s="54">
        <v>-10800000</v>
      </c>
      <c r="R14" s="54">
        <v>-10800000</v>
      </c>
      <c r="S14" s="23">
        <v>122.57940239991872</v>
      </c>
      <c r="T14" s="87">
        <v>-88106.156405989794</v>
      </c>
      <c r="U14" s="86">
        <v>43629</v>
      </c>
      <c r="V14" s="13" t="s">
        <v>1229</v>
      </c>
      <c r="W14" s="93">
        <v>43623.69122685185</v>
      </c>
    </row>
    <row r="15" spans="2:47">
      <c r="B15" s="56">
        <v>43623</v>
      </c>
      <c r="C15" s="56" t="s">
        <v>137</v>
      </c>
      <c r="D15" s="308"/>
      <c r="E15" s="308"/>
      <c r="F15" s="308" t="s">
        <v>1093</v>
      </c>
      <c r="G15" s="8" t="s">
        <v>1185</v>
      </c>
      <c r="H15" s="308"/>
      <c r="I15" s="308"/>
      <c r="J15" s="308"/>
      <c r="K15" s="23">
        <v>2180</v>
      </c>
      <c r="M15" s="15">
        <v>1000</v>
      </c>
      <c r="N15" s="54">
        <v>-2180000</v>
      </c>
      <c r="R15" s="54">
        <v>-2180000</v>
      </c>
      <c r="S15" s="23">
        <v>122.57940239991831</v>
      </c>
      <c r="T15" s="87">
        <v>-17784.390830098</v>
      </c>
      <c r="U15" s="86">
        <v>43629</v>
      </c>
      <c r="V15" s="13" t="s">
        <v>1229</v>
      </c>
      <c r="W15" s="93">
        <v>43623.692141203705</v>
      </c>
    </row>
    <row r="16" spans="2:47">
      <c r="B16" s="56">
        <v>43623</v>
      </c>
      <c r="C16" s="56" t="s">
        <v>137</v>
      </c>
      <c r="D16" s="308"/>
      <c r="E16" s="308"/>
      <c r="F16" s="308" t="s">
        <v>1093</v>
      </c>
      <c r="G16" s="8" t="s">
        <v>1186</v>
      </c>
      <c r="H16" s="308"/>
      <c r="I16" s="308"/>
      <c r="J16" s="308"/>
      <c r="K16" s="23">
        <v>3140</v>
      </c>
      <c r="M16" s="15">
        <v>4000</v>
      </c>
      <c r="N16" s="54">
        <v>-12560000</v>
      </c>
      <c r="R16" s="54">
        <v>-12560000</v>
      </c>
      <c r="S16" s="23">
        <v>122.57940239991841</v>
      </c>
      <c r="T16" s="87">
        <v>-102464.1967091884</v>
      </c>
      <c r="U16" s="86">
        <v>43629</v>
      </c>
      <c r="V16" s="13" t="s">
        <v>1229</v>
      </c>
      <c r="W16" s="93">
        <v>43623.693124999998</v>
      </c>
    </row>
    <row r="17" spans="2:23">
      <c r="B17" s="56">
        <v>43623</v>
      </c>
      <c r="C17" s="56" t="s">
        <v>137</v>
      </c>
      <c r="D17" s="308"/>
      <c r="E17" s="308"/>
      <c r="F17" s="308" t="s">
        <v>1093</v>
      </c>
      <c r="G17" s="8" t="s">
        <v>1187</v>
      </c>
      <c r="H17" s="308"/>
      <c r="I17" s="308"/>
      <c r="J17" s="308"/>
      <c r="K17" s="23">
        <v>1113</v>
      </c>
      <c r="M17" s="15">
        <v>8000</v>
      </c>
      <c r="N17" s="54">
        <v>-8904000</v>
      </c>
      <c r="R17" s="54">
        <v>-8904000</v>
      </c>
      <c r="S17" s="23">
        <v>122.57940239991842</v>
      </c>
      <c r="T17" s="87">
        <v>-72638.631170271765</v>
      </c>
      <c r="U17" s="86">
        <v>43629</v>
      </c>
      <c r="V17" s="13" t="s">
        <v>1229</v>
      </c>
      <c r="W17" s="93">
        <v>43623.694849537038</v>
      </c>
    </row>
    <row r="18" spans="2:23">
      <c r="B18" s="56">
        <v>43623</v>
      </c>
      <c r="C18" s="56" t="s">
        <v>137</v>
      </c>
      <c r="D18" s="308"/>
      <c r="E18" s="308"/>
      <c r="F18" s="308" t="s">
        <v>1093</v>
      </c>
      <c r="G18" s="8" t="s">
        <v>1188</v>
      </c>
      <c r="H18" s="308"/>
      <c r="I18" s="308"/>
      <c r="J18" s="308"/>
      <c r="K18" s="23">
        <v>4070</v>
      </c>
      <c r="M18" s="15">
        <v>2700</v>
      </c>
      <c r="N18" s="54">
        <v>-10989000</v>
      </c>
      <c r="R18" s="54">
        <v>-10989000</v>
      </c>
      <c r="S18" s="23">
        <v>122.57940239991856</v>
      </c>
      <c r="T18" s="87">
        <v>-89648.014143094741</v>
      </c>
      <c r="U18" s="86">
        <v>43629</v>
      </c>
      <c r="V18" s="13" t="s">
        <v>1229</v>
      </c>
      <c r="W18" s="93">
        <v>43623.696203703701</v>
      </c>
    </row>
    <row r="19" spans="2:23">
      <c r="B19" s="56">
        <v>43623</v>
      </c>
      <c r="C19" s="56" t="s">
        <v>137</v>
      </c>
      <c r="D19" s="308"/>
      <c r="E19" s="308"/>
      <c r="F19" s="308" t="s">
        <v>1093</v>
      </c>
      <c r="G19" s="8" t="s">
        <v>1189</v>
      </c>
      <c r="H19" s="308"/>
      <c r="I19" s="308"/>
      <c r="J19" s="308"/>
      <c r="K19" s="23">
        <v>2069</v>
      </c>
      <c r="M19" s="15">
        <v>5400</v>
      </c>
      <c r="N19" s="54">
        <v>-11172600</v>
      </c>
      <c r="R19" s="54">
        <v>-11172600</v>
      </c>
      <c r="S19" s="23">
        <v>122.57940239991832</v>
      </c>
      <c r="T19" s="87">
        <v>-91145.818801996749</v>
      </c>
      <c r="U19" s="86">
        <v>43629</v>
      </c>
      <c r="V19" s="13" t="s">
        <v>1229</v>
      </c>
      <c r="W19" s="93">
        <v>43623.697118055556</v>
      </c>
    </row>
    <row r="20" spans="2:23">
      <c r="B20" s="56">
        <v>43623</v>
      </c>
      <c r="C20" s="56" t="s">
        <v>137</v>
      </c>
      <c r="D20" s="308"/>
      <c r="E20" s="308"/>
      <c r="F20" s="308" t="s">
        <v>1093</v>
      </c>
      <c r="G20" s="8" t="s">
        <v>1190</v>
      </c>
      <c r="H20" s="308"/>
      <c r="I20" s="308"/>
      <c r="J20" s="308"/>
      <c r="K20" s="23">
        <v>2352</v>
      </c>
      <c r="M20" s="15">
        <v>2000</v>
      </c>
      <c r="N20" s="54">
        <v>-4704000</v>
      </c>
      <c r="R20" s="54">
        <v>-4704000</v>
      </c>
      <c r="S20" s="23">
        <v>122.57940239991858</v>
      </c>
      <c r="T20" s="87">
        <v>-38375.125901275605</v>
      </c>
      <c r="U20" s="86">
        <v>43629</v>
      </c>
      <c r="V20" s="13" t="s">
        <v>1229</v>
      </c>
      <c r="W20" s="93">
        <v>43623.698425925926</v>
      </c>
    </row>
    <row r="21" spans="2:23">
      <c r="B21" s="56">
        <v>43623</v>
      </c>
      <c r="C21" s="56" t="s">
        <v>137</v>
      </c>
      <c r="D21" s="308"/>
      <c r="E21" s="308"/>
      <c r="F21" s="308" t="s">
        <v>1093</v>
      </c>
      <c r="G21" s="8" t="s">
        <v>1191</v>
      </c>
      <c r="H21" s="308"/>
      <c r="I21" s="308"/>
      <c r="J21" s="308"/>
      <c r="K21" s="23">
        <v>480</v>
      </c>
      <c r="M21" s="15">
        <v>38000</v>
      </c>
      <c r="N21" s="54">
        <v>-18240000</v>
      </c>
      <c r="R21" s="54">
        <v>-18240000</v>
      </c>
      <c r="S21" s="23">
        <v>122.57940239991829</v>
      </c>
      <c r="T21" s="87">
        <v>-148801.50859678327</v>
      </c>
      <c r="U21" s="86">
        <v>43629</v>
      </c>
      <c r="V21" s="13" t="s">
        <v>1229</v>
      </c>
      <c r="W21" s="93">
        <v>43623.699282407404</v>
      </c>
    </row>
    <row r="22" spans="2:23">
      <c r="B22" s="56">
        <v>43623</v>
      </c>
      <c r="C22" s="56" t="s">
        <v>137</v>
      </c>
      <c r="D22" s="308"/>
      <c r="E22" s="308"/>
      <c r="F22" s="308" t="s">
        <v>1093</v>
      </c>
      <c r="G22" s="8" t="s">
        <v>1192</v>
      </c>
      <c r="H22" s="308"/>
      <c r="I22" s="308"/>
      <c r="J22" s="308"/>
      <c r="K22" s="23">
        <v>1789</v>
      </c>
      <c r="M22" s="15">
        <v>9000</v>
      </c>
      <c r="N22" s="54">
        <v>-16101000</v>
      </c>
      <c r="R22" s="54">
        <v>-16101000</v>
      </c>
      <c r="S22" s="23">
        <v>122.57940239991881</v>
      </c>
      <c r="T22" s="87">
        <v>-131351.59484192971</v>
      </c>
      <c r="U22" s="86">
        <v>43629</v>
      </c>
      <c r="V22" s="13" t="s">
        <v>1229</v>
      </c>
      <c r="W22" s="93">
        <v>43623.700185185182</v>
      </c>
    </row>
    <row r="23" spans="2:23">
      <c r="B23" s="56">
        <v>43623</v>
      </c>
      <c r="C23" s="56" t="s">
        <v>137</v>
      </c>
      <c r="D23" s="308"/>
      <c r="E23" s="308"/>
      <c r="F23" s="308" t="s">
        <v>1093</v>
      </c>
      <c r="G23" s="8" t="s">
        <v>1193</v>
      </c>
      <c r="H23" s="308"/>
      <c r="I23" s="308"/>
      <c r="J23" s="308"/>
      <c r="K23" s="23">
        <v>1216</v>
      </c>
      <c r="M23" s="15">
        <v>4000</v>
      </c>
      <c r="N23" s="54">
        <v>-4864000</v>
      </c>
      <c r="R23" s="54">
        <v>-4864000</v>
      </c>
      <c r="S23" s="23">
        <v>122.57940239991837</v>
      </c>
      <c r="T23" s="87">
        <v>-39680.402292475519</v>
      </c>
      <c r="U23" s="86">
        <v>43629</v>
      </c>
      <c r="V23" s="13" t="s">
        <v>1229</v>
      </c>
      <c r="W23" s="93">
        <v>43623.701701388891</v>
      </c>
    </row>
    <row r="24" spans="2:23">
      <c r="B24" s="56">
        <v>43623</v>
      </c>
      <c r="C24" s="56" t="s">
        <v>137</v>
      </c>
      <c r="D24" s="308"/>
      <c r="E24" s="308"/>
      <c r="F24" s="308" t="s">
        <v>1093</v>
      </c>
      <c r="G24" s="8" t="s">
        <v>1194</v>
      </c>
      <c r="H24" s="308"/>
      <c r="I24" s="308"/>
      <c r="J24" s="308"/>
      <c r="K24" s="23">
        <v>727.7</v>
      </c>
      <c r="M24" s="15">
        <v>15000</v>
      </c>
      <c r="N24" s="54">
        <v>-10915500</v>
      </c>
      <c r="R24" s="54">
        <v>-10915500</v>
      </c>
      <c r="S24" s="23">
        <v>122.57940239991837</v>
      </c>
      <c r="T24" s="87">
        <v>-89048.402800887459</v>
      </c>
      <c r="U24" s="86">
        <v>43629</v>
      </c>
      <c r="V24" s="13" t="s">
        <v>1229</v>
      </c>
      <c r="W24" s="93">
        <v>43623.704618055555</v>
      </c>
    </row>
    <row r="25" spans="2:23">
      <c r="B25" s="56">
        <v>43623</v>
      </c>
      <c r="C25" s="56" t="s">
        <v>137</v>
      </c>
      <c r="D25" s="308"/>
      <c r="E25" s="308"/>
      <c r="F25" s="308" t="s">
        <v>1093</v>
      </c>
      <c r="G25" s="8" t="s">
        <v>1195</v>
      </c>
      <c r="H25" s="308"/>
      <c r="I25" s="308"/>
      <c r="J25" s="308"/>
      <c r="K25" s="23">
        <v>2183</v>
      </c>
      <c r="M25" s="15">
        <v>3000</v>
      </c>
      <c r="N25" s="54">
        <v>-6549000</v>
      </c>
      <c r="R25" s="54">
        <v>-6549000</v>
      </c>
      <c r="S25" s="23">
        <v>122.57940239991829</v>
      </c>
      <c r="T25" s="87">
        <v>-53426.594287298998</v>
      </c>
      <c r="U25" s="86">
        <v>43629</v>
      </c>
      <c r="V25" s="13" t="s">
        <v>1229</v>
      </c>
      <c r="W25" s="93">
        <v>43623.705659722225</v>
      </c>
    </row>
    <row r="26" spans="2:23">
      <c r="B26" s="56">
        <v>43623</v>
      </c>
      <c r="C26" s="56" t="s">
        <v>137</v>
      </c>
      <c r="D26" s="308"/>
      <c r="E26" s="308"/>
      <c r="F26" s="308" t="s">
        <v>1093</v>
      </c>
      <c r="G26" s="8" t="s">
        <v>1196</v>
      </c>
      <c r="H26" s="308"/>
      <c r="I26" s="308"/>
      <c r="J26" s="308"/>
      <c r="K26" s="23">
        <v>1567</v>
      </c>
      <c r="M26" s="15">
        <v>8000</v>
      </c>
      <c r="N26" s="54">
        <v>-12536000</v>
      </c>
      <c r="R26" s="54">
        <v>-12536000</v>
      </c>
      <c r="S26" s="23">
        <v>122.57940239991794</v>
      </c>
      <c r="T26" s="87">
        <v>-102268.4052505088</v>
      </c>
      <c r="U26" s="86">
        <v>43629</v>
      </c>
      <c r="V26" s="13" t="s">
        <v>1229</v>
      </c>
      <c r="W26" s="93">
        <v>43623.707094907404</v>
      </c>
    </row>
    <row r="27" spans="2:23">
      <c r="B27" s="56">
        <v>43623</v>
      </c>
      <c r="C27" s="56" t="s">
        <v>137</v>
      </c>
      <c r="D27" s="308"/>
      <c r="E27" s="308"/>
      <c r="F27" s="308" t="s">
        <v>1093</v>
      </c>
      <c r="G27" s="8" t="s">
        <v>1197</v>
      </c>
      <c r="H27" s="308"/>
      <c r="I27" s="308"/>
      <c r="J27" s="308"/>
      <c r="K27" s="23">
        <v>7560</v>
      </c>
      <c r="M27" s="15">
        <v>1500</v>
      </c>
      <c r="N27" s="54">
        <v>-11340000</v>
      </c>
      <c r="R27" s="54">
        <v>-11340000</v>
      </c>
      <c r="S27" s="23">
        <v>122.57940239991844</v>
      </c>
      <c r="T27" s="87">
        <v>-92511.464226289507</v>
      </c>
      <c r="U27" s="86">
        <v>43629</v>
      </c>
      <c r="V27" s="13" t="s">
        <v>1229</v>
      </c>
      <c r="W27" s="93">
        <v>43623.708182870374</v>
      </c>
    </row>
    <row r="28" spans="2:23">
      <c r="B28" s="56">
        <v>43623</v>
      </c>
      <c r="C28" s="56" t="s">
        <v>137</v>
      </c>
      <c r="D28" s="308"/>
      <c r="E28" s="308"/>
      <c r="F28" s="308" t="s">
        <v>1093</v>
      </c>
      <c r="G28" s="8" t="s">
        <v>1198</v>
      </c>
      <c r="H28" s="308"/>
      <c r="I28" s="308"/>
      <c r="J28" s="308"/>
      <c r="K28" s="23">
        <v>1156</v>
      </c>
      <c r="M28" s="15">
        <v>8000</v>
      </c>
      <c r="N28" s="54">
        <v>-9248000</v>
      </c>
      <c r="R28" s="54">
        <v>-9248000</v>
      </c>
      <c r="S28" s="23">
        <v>122.57940239991844</v>
      </c>
      <c r="T28" s="87">
        <v>-75444.975411351435</v>
      </c>
      <c r="U28" s="86">
        <v>43629</v>
      </c>
      <c r="V28" s="13" t="s">
        <v>1229</v>
      </c>
      <c r="W28" s="93">
        <v>43623.70857638889</v>
      </c>
    </row>
    <row r="29" spans="2:23">
      <c r="B29" s="56">
        <v>43623</v>
      </c>
      <c r="C29" s="56" t="s">
        <v>137</v>
      </c>
      <c r="D29" s="308"/>
      <c r="E29" s="308"/>
      <c r="F29" s="308" t="s">
        <v>1093</v>
      </c>
      <c r="G29" s="8" t="s">
        <v>1199</v>
      </c>
      <c r="H29" s="308"/>
      <c r="I29" s="308"/>
      <c r="J29" s="308"/>
      <c r="K29" s="23">
        <v>4447</v>
      </c>
      <c r="M29" s="15">
        <v>1500</v>
      </c>
      <c r="N29" s="54">
        <v>-6670500</v>
      </c>
      <c r="R29" s="54">
        <v>-6670500</v>
      </c>
      <c r="S29" s="23">
        <v>122.57940239991838</v>
      </c>
      <c r="T29" s="87">
        <v>-54417.788546866352</v>
      </c>
      <c r="U29" s="86">
        <v>43629</v>
      </c>
      <c r="V29" s="13" t="s">
        <v>1229</v>
      </c>
      <c r="W29" s="93">
        <v>43623.710138888891</v>
      </c>
    </row>
    <row r="30" spans="2:23">
      <c r="B30" s="56">
        <v>43623</v>
      </c>
      <c r="C30" s="56" t="s">
        <v>137</v>
      </c>
      <c r="D30" s="308"/>
      <c r="E30" s="308"/>
      <c r="F30" s="308" t="s">
        <v>1093</v>
      </c>
      <c r="G30" s="8" t="s">
        <v>1200</v>
      </c>
      <c r="H30" s="308"/>
      <c r="I30" s="308"/>
      <c r="J30" s="308"/>
      <c r="K30" s="23">
        <v>490</v>
      </c>
      <c r="M30" s="15">
        <v>10000</v>
      </c>
      <c r="N30" s="54">
        <v>-4900000</v>
      </c>
      <c r="R30" s="54">
        <v>-4900000</v>
      </c>
      <c r="S30" s="23">
        <v>122.57940239991832</v>
      </c>
      <c r="T30" s="87">
        <v>-39974.089480495502</v>
      </c>
      <c r="U30" s="86">
        <v>43629</v>
      </c>
      <c r="V30" s="13" t="s">
        <v>1229</v>
      </c>
      <c r="W30" s="93">
        <v>43623.711886574078</v>
      </c>
    </row>
    <row r="31" spans="2:23">
      <c r="B31" s="56">
        <v>43626</v>
      </c>
      <c r="C31" s="56" t="s">
        <v>137</v>
      </c>
      <c r="D31" s="308"/>
      <c r="E31" s="308"/>
      <c r="F31" s="308" t="s">
        <v>1093</v>
      </c>
      <c r="G31" s="8" t="s">
        <v>1202</v>
      </c>
      <c r="H31" s="308"/>
      <c r="I31" s="308"/>
      <c r="J31" s="308"/>
      <c r="K31" s="23">
        <v>190000</v>
      </c>
      <c r="M31" s="15">
        <v>820</v>
      </c>
      <c r="N31" s="54">
        <v>-155800000</v>
      </c>
      <c r="R31" s="54">
        <v>-155800000</v>
      </c>
      <c r="S31" s="23">
        <v>1338.2774523245682</v>
      </c>
      <c r="T31" s="87">
        <v>-116418.31051504133</v>
      </c>
      <c r="U31" s="86">
        <v>43629</v>
      </c>
      <c r="V31" s="13" t="s">
        <v>1230</v>
      </c>
      <c r="W31" s="93">
        <v>43626.69404884259</v>
      </c>
    </row>
    <row r="32" spans="2:23">
      <c r="B32" s="56">
        <v>43626</v>
      </c>
      <c r="C32" s="56" t="s">
        <v>137</v>
      </c>
      <c r="D32" s="308"/>
      <c r="E32" s="308"/>
      <c r="F32" s="308" t="s">
        <v>1093</v>
      </c>
      <c r="G32" s="8" t="s">
        <v>1203</v>
      </c>
      <c r="H32" s="308"/>
      <c r="I32" s="308"/>
      <c r="J32" s="308"/>
      <c r="K32" s="23">
        <v>235000</v>
      </c>
      <c r="M32" s="15">
        <v>400</v>
      </c>
      <c r="N32" s="54">
        <v>-94000000</v>
      </c>
      <c r="R32" s="54">
        <v>-94000000</v>
      </c>
      <c r="S32" s="23">
        <v>1338.277452324566</v>
      </c>
      <c r="T32" s="87">
        <v>-70239.545496880004</v>
      </c>
      <c r="U32" s="86">
        <v>43629</v>
      </c>
      <c r="V32" s="13" t="s">
        <v>1230</v>
      </c>
      <c r="W32" s="93">
        <v>43626.696166898146</v>
      </c>
    </row>
    <row r="33" spans="1:23">
      <c r="B33" s="56">
        <v>43626</v>
      </c>
      <c r="C33" s="56" t="s">
        <v>137</v>
      </c>
      <c r="D33" s="308"/>
      <c r="E33" s="308"/>
      <c r="F33" s="308" t="s">
        <v>1093</v>
      </c>
      <c r="G33" s="8" t="s">
        <v>1204</v>
      </c>
      <c r="H33" s="308"/>
      <c r="I33" s="308"/>
      <c r="J33" s="308"/>
      <c r="K33" s="23">
        <v>90400</v>
      </c>
      <c r="M33" s="15">
        <v>1000</v>
      </c>
      <c r="N33" s="54">
        <v>-90400000</v>
      </c>
      <c r="R33" s="54">
        <v>-90400000</v>
      </c>
      <c r="S33" s="23">
        <v>1338.2774523245673</v>
      </c>
      <c r="T33" s="87">
        <v>-67549.520350190898</v>
      </c>
      <c r="U33" s="86">
        <v>43629</v>
      </c>
      <c r="V33" s="13" t="s">
        <v>1230</v>
      </c>
      <c r="W33" s="93">
        <v>43626.697266087962</v>
      </c>
    </row>
    <row r="34" spans="1:23">
      <c r="B34" s="56">
        <v>43626</v>
      </c>
      <c r="C34" s="56" t="s">
        <v>137</v>
      </c>
      <c r="D34" s="308"/>
      <c r="E34" s="308"/>
      <c r="F34" s="308" t="s">
        <v>1093</v>
      </c>
      <c r="G34" s="8" t="s">
        <v>1205</v>
      </c>
      <c r="H34" s="308"/>
      <c r="I34" s="308"/>
      <c r="J34" s="308"/>
      <c r="K34" s="23">
        <v>121500</v>
      </c>
      <c r="M34" s="15">
        <v>600</v>
      </c>
      <c r="N34" s="54">
        <v>-72900000</v>
      </c>
      <c r="R34" s="54">
        <v>-72900000</v>
      </c>
      <c r="S34" s="23">
        <v>1338.2774523245669</v>
      </c>
      <c r="T34" s="87">
        <v>-54473.009220452637</v>
      </c>
      <c r="U34" s="86">
        <v>43629</v>
      </c>
      <c r="V34" s="13" t="s">
        <v>1230</v>
      </c>
      <c r="W34" s="93">
        <v>43626.698459375002</v>
      </c>
    </row>
    <row r="35" spans="1:23">
      <c r="B35" s="56">
        <v>43626</v>
      </c>
      <c r="C35" s="56" t="s">
        <v>137</v>
      </c>
      <c r="D35" s="308"/>
      <c r="E35" s="308"/>
      <c r="F35" s="308" t="s">
        <v>1093</v>
      </c>
      <c r="G35" s="8" t="s">
        <v>1206</v>
      </c>
      <c r="H35" s="308"/>
      <c r="I35" s="308"/>
      <c r="J35" s="308"/>
      <c r="K35" s="23">
        <v>4430</v>
      </c>
      <c r="M35" s="15">
        <v>17000</v>
      </c>
      <c r="N35" s="54">
        <v>-75310000</v>
      </c>
      <c r="R35" s="54">
        <v>-75310000</v>
      </c>
      <c r="S35" s="23">
        <v>1338.2774523245673</v>
      </c>
      <c r="T35" s="87">
        <v>-56273.831610319437</v>
      </c>
      <c r="U35" s="86">
        <v>43629</v>
      </c>
      <c r="V35" s="13" t="s">
        <v>1230</v>
      </c>
      <c r="W35" s="93">
        <v>43626.699320023145</v>
      </c>
    </row>
    <row r="36" spans="1:23">
      <c r="B36" s="56">
        <v>43626</v>
      </c>
      <c r="C36" s="56" t="s">
        <v>137</v>
      </c>
      <c r="D36" s="308"/>
      <c r="E36" s="308"/>
      <c r="F36" s="308" t="s">
        <v>1093</v>
      </c>
      <c r="G36" s="8" t="s">
        <v>1207</v>
      </c>
      <c r="H36" s="308"/>
      <c r="I36" s="308"/>
      <c r="J36" s="308"/>
      <c r="K36" s="23">
        <v>26900</v>
      </c>
      <c r="M36" s="15">
        <v>4000</v>
      </c>
      <c r="N36" s="54">
        <v>-107600000</v>
      </c>
      <c r="R36" s="54">
        <v>-107600000</v>
      </c>
      <c r="S36" s="23">
        <v>1338.2774523245657</v>
      </c>
      <c r="T36" s="87">
        <v>-80401.862717705197</v>
      </c>
      <c r="U36" s="86">
        <v>43629</v>
      </c>
      <c r="V36" s="13" t="s">
        <v>1230</v>
      </c>
      <c r="W36" s="93">
        <v>43626.700181365741</v>
      </c>
    </row>
    <row r="37" spans="1:23">
      <c r="B37" s="56">
        <v>43626</v>
      </c>
      <c r="C37" s="56" t="s">
        <v>137</v>
      </c>
      <c r="D37" s="308"/>
      <c r="E37" s="308"/>
      <c r="F37" s="308" t="s">
        <v>1093</v>
      </c>
      <c r="G37" s="8" t="s">
        <v>1208</v>
      </c>
      <c r="H37" s="308"/>
      <c r="I37" s="308"/>
      <c r="J37" s="308"/>
      <c r="K37" s="23">
        <v>47450</v>
      </c>
      <c r="M37" s="15">
        <v>3000</v>
      </c>
      <c r="N37" s="54">
        <v>-142350000</v>
      </c>
      <c r="R37" s="54">
        <v>-142350000</v>
      </c>
      <c r="S37" s="23">
        <v>1338.2774523245669</v>
      </c>
      <c r="T37" s="87">
        <v>-106368.0776753283</v>
      </c>
      <c r="U37" s="86">
        <v>43629</v>
      </c>
      <c r="V37" s="13" t="s">
        <v>1230</v>
      </c>
      <c r="W37" s="93">
        <v>43626.700741319444</v>
      </c>
    </row>
    <row r="38" spans="1:23" s="308" customFormat="1">
      <c r="A38" s="467"/>
      <c r="B38" s="56">
        <v>43626</v>
      </c>
      <c r="C38" s="56" t="s">
        <v>137</v>
      </c>
      <c r="F38" s="308" t="s">
        <v>1093</v>
      </c>
      <c r="G38" s="8" t="s">
        <v>1209</v>
      </c>
      <c r="K38" s="23">
        <v>1.0549999999999999</v>
      </c>
      <c r="L38" s="54"/>
      <c r="M38" s="15">
        <v>71800</v>
      </c>
      <c r="N38" s="54">
        <v>-75749</v>
      </c>
      <c r="O38" s="54"/>
      <c r="P38" s="54"/>
      <c r="Q38" s="54"/>
      <c r="R38" s="54">
        <v>-75749</v>
      </c>
      <c r="S38" s="23">
        <v>1.6191857500594877</v>
      </c>
      <c r="T38" s="87">
        <v>-46782.155782446229</v>
      </c>
      <c r="U38" s="86">
        <v>43629</v>
      </c>
      <c r="V38" s="13" t="s">
        <v>1229</v>
      </c>
      <c r="W38" s="93">
        <v>43626.701463773148</v>
      </c>
    </row>
    <row r="39" spans="1:23">
      <c r="B39" s="56">
        <v>43627</v>
      </c>
      <c r="C39" s="56" t="s">
        <v>137</v>
      </c>
      <c r="D39" s="308"/>
      <c r="E39" s="308"/>
      <c r="F39" s="308" t="s">
        <v>1093</v>
      </c>
      <c r="G39" s="8" t="s">
        <v>1210</v>
      </c>
      <c r="H39" s="308"/>
      <c r="I39" s="308"/>
      <c r="J39" s="308"/>
      <c r="K39" s="23">
        <v>27.900000000000002</v>
      </c>
      <c r="M39" s="15">
        <v>900</v>
      </c>
      <c r="N39" s="54">
        <v>-25110.000000000004</v>
      </c>
      <c r="R39" s="54">
        <v>-25110.000000000004</v>
      </c>
      <c r="S39" s="23">
        <v>1</v>
      </c>
      <c r="T39" s="87">
        <v>-25110.000000000004</v>
      </c>
      <c r="U39" s="86">
        <v>43629</v>
      </c>
      <c r="V39" s="13" t="s">
        <v>1229</v>
      </c>
      <c r="W39" s="93">
        <v>43627.422504745373</v>
      </c>
    </row>
    <row r="40" spans="1:23">
      <c r="B40" s="56">
        <v>43627</v>
      </c>
      <c r="C40" s="56" t="s">
        <v>137</v>
      </c>
      <c r="D40" s="308"/>
      <c r="E40" s="308"/>
      <c r="F40" s="308" t="s">
        <v>1093</v>
      </c>
      <c r="G40" s="8" t="s">
        <v>1211</v>
      </c>
      <c r="H40" s="308"/>
      <c r="I40" s="308"/>
      <c r="J40" s="308"/>
      <c r="K40" s="23">
        <v>41.74</v>
      </c>
      <c r="M40" s="15">
        <v>2000</v>
      </c>
      <c r="N40" s="54">
        <v>-83480</v>
      </c>
      <c r="R40" s="54">
        <v>-83480</v>
      </c>
      <c r="S40" s="23">
        <v>1</v>
      </c>
      <c r="T40" s="87">
        <v>-83480</v>
      </c>
      <c r="U40" s="86">
        <v>43629</v>
      </c>
      <c r="V40" s="13" t="s">
        <v>1229</v>
      </c>
      <c r="W40" s="93">
        <v>43627.422937615738</v>
      </c>
    </row>
    <row r="41" spans="1:23">
      <c r="B41" s="56">
        <v>43627</v>
      </c>
      <c r="C41" s="56" t="s">
        <v>137</v>
      </c>
      <c r="D41" s="308"/>
      <c r="E41" s="308"/>
      <c r="F41" s="308" t="s">
        <v>1093</v>
      </c>
      <c r="G41" s="8" t="s">
        <v>1212</v>
      </c>
      <c r="H41" s="308"/>
      <c r="I41" s="308"/>
      <c r="J41" s="308"/>
      <c r="K41" s="23">
        <v>54.5</v>
      </c>
      <c r="M41" s="15">
        <v>1400</v>
      </c>
      <c r="N41" s="54">
        <v>-76300</v>
      </c>
      <c r="R41" s="54">
        <v>-76300</v>
      </c>
      <c r="S41" s="23">
        <v>1</v>
      </c>
      <c r="T41" s="87">
        <v>-76300</v>
      </c>
      <c r="U41" s="86">
        <v>43629</v>
      </c>
      <c r="V41" s="13" t="s">
        <v>1229</v>
      </c>
      <c r="W41" s="93">
        <v>43627.423250694446</v>
      </c>
    </row>
    <row r="42" spans="1:23">
      <c r="B42" s="56">
        <v>43627</v>
      </c>
      <c r="C42" s="56" t="s">
        <v>137</v>
      </c>
      <c r="D42" s="308"/>
      <c r="E42" s="308"/>
      <c r="F42" s="308" t="s">
        <v>1093</v>
      </c>
      <c r="G42" s="8" t="s">
        <v>1213</v>
      </c>
      <c r="H42" s="308"/>
      <c r="I42" s="308"/>
      <c r="J42" s="308"/>
      <c r="K42" s="23">
        <v>42.330000000000005</v>
      </c>
      <c r="M42" s="15">
        <v>700</v>
      </c>
      <c r="N42" s="54">
        <v>-29631.000000000004</v>
      </c>
      <c r="R42" s="54">
        <v>-29631.000000000004</v>
      </c>
      <c r="S42" s="23">
        <v>1</v>
      </c>
      <c r="T42" s="87">
        <v>-29631.000000000004</v>
      </c>
      <c r="U42" s="86">
        <v>43629</v>
      </c>
      <c r="V42" s="13" t="s">
        <v>1229</v>
      </c>
      <c r="W42" s="93">
        <v>43627.423665046299</v>
      </c>
    </row>
    <row r="43" spans="1:23">
      <c r="B43" s="56">
        <v>43627</v>
      </c>
      <c r="C43" s="56" t="s">
        <v>137</v>
      </c>
      <c r="D43" s="308"/>
      <c r="E43" s="308"/>
      <c r="F43" s="308" t="s">
        <v>1093</v>
      </c>
      <c r="G43" s="8" t="s">
        <v>1214</v>
      </c>
      <c r="H43" s="308"/>
      <c r="I43" s="308"/>
      <c r="J43" s="308"/>
      <c r="K43" s="23">
        <v>25.39</v>
      </c>
      <c r="M43" s="15">
        <v>3300</v>
      </c>
      <c r="N43" s="54">
        <v>-83787</v>
      </c>
      <c r="R43" s="54">
        <v>-83787</v>
      </c>
      <c r="S43" s="23">
        <v>1</v>
      </c>
      <c r="T43" s="87">
        <v>-83787</v>
      </c>
      <c r="U43" s="86">
        <v>43629</v>
      </c>
      <c r="V43" s="13" t="s">
        <v>1229</v>
      </c>
      <c r="W43" s="93">
        <v>43627.424064814812</v>
      </c>
    </row>
    <row r="44" spans="1:23">
      <c r="B44" s="56">
        <v>43627</v>
      </c>
      <c r="C44" s="56" t="s">
        <v>137</v>
      </c>
      <c r="D44" s="308"/>
      <c r="E44" s="308"/>
      <c r="F44" s="308" t="s">
        <v>1093</v>
      </c>
      <c r="G44" s="8" t="s">
        <v>1215</v>
      </c>
      <c r="H44" s="308"/>
      <c r="I44" s="308"/>
      <c r="J44" s="308"/>
      <c r="K44" s="23">
        <v>127.56</v>
      </c>
      <c r="M44" s="15">
        <v>500</v>
      </c>
      <c r="N44" s="54">
        <v>-63780</v>
      </c>
      <c r="R44" s="54">
        <v>-63780</v>
      </c>
      <c r="S44" s="23">
        <v>1</v>
      </c>
      <c r="T44" s="87">
        <v>-63780</v>
      </c>
      <c r="U44" s="86">
        <v>43629</v>
      </c>
      <c r="V44" s="13" t="s">
        <v>1229</v>
      </c>
      <c r="W44" s="93">
        <v>43627.424471064813</v>
      </c>
    </row>
    <row r="45" spans="1:23">
      <c r="B45" s="56">
        <v>43627</v>
      </c>
      <c r="C45" s="56" t="s">
        <v>137</v>
      </c>
      <c r="D45" s="308"/>
      <c r="E45" s="308"/>
      <c r="F45" s="308" t="s">
        <v>1093</v>
      </c>
      <c r="G45" s="8" t="s">
        <v>1216</v>
      </c>
      <c r="H45" s="308"/>
      <c r="I45" s="308"/>
      <c r="J45" s="308"/>
      <c r="K45" s="23">
        <v>15.238000000000001</v>
      </c>
      <c r="M45" s="15">
        <v>2000</v>
      </c>
      <c r="N45" s="54">
        <v>-30476.000000000004</v>
      </c>
      <c r="R45" s="54">
        <v>-30476.000000000004</v>
      </c>
      <c r="S45" s="23">
        <v>1</v>
      </c>
      <c r="T45" s="87">
        <v>-30476.000000000004</v>
      </c>
      <c r="U45" s="86">
        <v>43629</v>
      </c>
      <c r="V45" s="13" t="s">
        <v>1229</v>
      </c>
      <c r="W45" s="93">
        <v>43627.42485289352</v>
      </c>
    </row>
    <row r="46" spans="1:23" s="308" customFormat="1">
      <c r="A46" s="467"/>
      <c r="B46" s="56">
        <v>43627</v>
      </c>
      <c r="C46" s="56" t="s">
        <v>137</v>
      </c>
      <c r="F46" s="308" t="s">
        <v>1093</v>
      </c>
      <c r="G46" s="8" t="s">
        <v>1217</v>
      </c>
      <c r="K46" s="23">
        <v>57.660000000000004</v>
      </c>
      <c r="L46" s="54"/>
      <c r="M46" s="15">
        <v>900</v>
      </c>
      <c r="N46" s="54">
        <v>-51894</v>
      </c>
      <c r="O46" s="54"/>
      <c r="P46" s="54"/>
      <c r="Q46" s="54"/>
      <c r="R46" s="54">
        <v>-51894</v>
      </c>
      <c r="S46" s="23">
        <v>1</v>
      </c>
      <c r="T46" s="87">
        <v>-51894</v>
      </c>
      <c r="U46" s="86">
        <v>43629</v>
      </c>
      <c r="V46" s="13" t="s">
        <v>1229</v>
      </c>
      <c r="W46" s="93">
        <v>43627.42533726852</v>
      </c>
    </row>
    <row r="47" spans="1:23" s="308" customFormat="1">
      <c r="A47" s="467"/>
      <c r="B47" s="56">
        <v>43627</v>
      </c>
      <c r="C47" s="56" t="s">
        <v>137</v>
      </c>
      <c r="F47" s="308" t="s">
        <v>1093</v>
      </c>
      <c r="G47" s="8" t="s">
        <v>1218</v>
      </c>
      <c r="K47" s="23">
        <v>48.525000000000006</v>
      </c>
      <c r="L47" s="54"/>
      <c r="M47" s="15">
        <v>600</v>
      </c>
      <c r="N47" s="54">
        <v>-29115.000000000004</v>
      </c>
      <c r="O47" s="54"/>
      <c r="P47" s="54"/>
      <c r="Q47" s="54"/>
      <c r="R47" s="54">
        <v>-29115.000000000004</v>
      </c>
      <c r="S47" s="23">
        <v>1</v>
      </c>
      <c r="T47" s="87">
        <v>-29115.000000000004</v>
      </c>
      <c r="U47" s="86">
        <v>43629</v>
      </c>
      <c r="V47" s="13" t="s">
        <v>1229</v>
      </c>
      <c r="W47" s="93">
        <v>43627.425872569445</v>
      </c>
    </row>
    <row r="48" spans="1:23" s="308" customFormat="1">
      <c r="A48" s="467"/>
      <c r="B48" s="56">
        <v>43627</v>
      </c>
      <c r="C48" s="56" t="s">
        <v>137</v>
      </c>
      <c r="F48" s="308" t="s">
        <v>1093</v>
      </c>
      <c r="G48" s="8" t="s">
        <v>1219</v>
      </c>
      <c r="K48" s="23">
        <v>56.04</v>
      </c>
      <c r="L48" s="54"/>
      <c r="M48" s="15">
        <v>1100</v>
      </c>
      <c r="N48" s="54">
        <v>-61644</v>
      </c>
      <c r="O48" s="54"/>
      <c r="P48" s="54"/>
      <c r="Q48" s="54"/>
      <c r="R48" s="54">
        <v>-61644</v>
      </c>
      <c r="S48" s="23">
        <v>1</v>
      </c>
      <c r="T48" s="87">
        <v>-61644</v>
      </c>
      <c r="U48" s="86">
        <v>43629</v>
      </c>
      <c r="V48" s="13" t="s">
        <v>1229</v>
      </c>
      <c r="W48" s="93">
        <v>43627.426203587966</v>
      </c>
    </row>
    <row r="49" spans="1:23" s="308" customFormat="1">
      <c r="A49" s="467"/>
      <c r="B49" s="56">
        <v>43627</v>
      </c>
      <c r="C49" s="56" t="s">
        <v>137</v>
      </c>
      <c r="F49" s="308" t="str">
        <f t="shared" ref="F49:F54" si="0">IF(D49=G49,"YES","NO")</f>
        <v>NO</v>
      </c>
      <c r="G49" s="8" t="s">
        <v>1220</v>
      </c>
      <c r="K49" s="23">
        <v>31.86</v>
      </c>
      <c r="L49" s="54"/>
      <c r="M49" s="15">
        <v>900</v>
      </c>
      <c r="N49" s="54">
        <f t="shared" ref="N49:N54" si="1">-K49*M49</f>
        <v>-28674</v>
      </c>
      <c r="O49" s="54"/>
      <c r="P49" s="54"/>
      <c r="Q49" s="54"/>
      <c r="R49" s="54">
        <f t="shared" ref="R49:R54" si="2">SUM(N49:Q49)</f>
        <v>-28674</v>
      </c>
      <c r="S49" s="23">
        <v>1.1311961267844619</v>
      </c>
      <c r="T49" s="87">
        <v>-25348.389479999998</v>
      </c>
      <c r="U49" s="86">
        <v>43629</v>
      </c>
      <c r="V49" s="13" t="s">
        <v>1229</v>
      </c>
      <c r="W49" s="93">
        <v>43627.42728935185</v>
      </c>
    </row>
    <row r="50" spans="1:23" s="308" customFormat="1">
      <c r="A50" s="467"/>
      <c r="B50" s="56">
        <v>43627</v>
      </c>
      <c r="C50" s="56" t="s">
        <v>137</v>
      </c>
      <c r="F50" s="308" t="str">
        <f t="shared" si="0"/>
        <v>NO</v>
      </c>
      <c r="G50" s="8" t="s">
        <v>1221</v>
      </c>
      <c r="K50" s="23">
        <v>70.929999999999993</v>
      </c>
      <c r="L50" s="54"/>
      <c r="M50" s="15">
        <v>900</v>
      </c>
      <c r="N50" s="54">
        <f t="shared" si="1"/>
        <v>-63836.999999999993</v>
      </c>
      <c r="O50" s="54"/>
      <c r="P50" s="54"/>
      <c r="Q50" s="54"/>
      <c r="R50" s="54">
        <f t="shared" si="2"/>
        <v>-63836.999999999993</v>
      </c>
      <c r="S50" s="23">
        <v>1.1311961267844619</v>
      </c>
      <c r="T50" s="87">
        <v>-56433.18473999999</v>
      </c>
      <c r="U50" s="86">
        <v>43629</v>
      </c>
      <c r="V50" s="13" t="s">
        <v>1229</v>
      </c>
      <c r="W50" s="93">
        <v>43627.427678356478</v>
      </c>
    </row>
    <row r="51" spans="1:23" s="308" customFormat="1">
      <c r="A51" s="467"/>
      <c r="B51" s="56">
        <v>43627</v>
      </c>
      <c r="C51" s="56" t="s">
        <v>137</v>
      </c>
      <c r="F51" s="308" t="str">
        <f t="shared" si="0"/>
        <v>NO</v>
      </c>
      <c r="G51" s="8" t="s">
        <v>1222</v>
      </c>
      <c r="K51" s="23">
        <v>6.83</v>
      </c>
      <c r="L51" s="54"/>
      <c r="M51" s="15">
        <v>13600</v>
      </c>
      <c r="N51" s="54">
        <f t="shared" si="1"/>
        <v>-92888</v>
      </c>
      <c r="O51" s="54"/>
      <c r="P51" s="54"/>
      <c r="Q51" s="54"/>
      <c r="R51" s="54">
        <f t="shared" si="2"/>
        <v>-92888</v>
      </c>
      <c r="S51" s="23">
        <v>1.1311961267844619</v>
      </c>
      <c r="T51" s="87">
        <v>-82114.849759999997</v>
      </c>
      <c r="U51" s="86">
        <v>43629</v>
      </c>
      <c r="V51" s="13" t="s">
        <v>1229</v>
      </c>
      <c r="W51" s="93">
        <v>43627.428067245368</v>
      </c>
    </row>
    <row r="52" spans="1:23" s="308" customFormat="1">
      <c r="A52" s="467"/>
      <c r="B52" s="56">
        <v>43627</v>
      </c>
      <c r="C52" s="56" t="s">
        <v>137</v>
      </c>
      <c r="F52" s="308" t="str">
        <f t="shared" si="0"/>
        <v>NO</v>
      </c>
      <c r="G52" s="8" t="s">
        <v>1223</v>
      </c>
      <c r="K52" s="23">
        <v>3.5</v>
      </c>
      <c r="L52" s="54"/>
      <c r="M52" s="15">
        <v>24000</v>
      </c>
      <c r="N52" s="54">
        <f t="shared" si="1"/>
        <v>-84000</v>
      </c>
      <c r="O52" s="54"/>
      <c r="P52" s="54"/>
      <c r="Q52" s="54"/>
      <c r="R52" s="54">
        <f t="shared" si="2"/>
        <v>-84000</v>
      </c>
      <c r="S52" s="23">
        <v>1.5005316621795879</v>
      </c>
      <c r="T52" s="87">
        <v>-55980.15831134568</v>
      </c>
      <c r="U52" s="86">
        <v>43629</v>
      </c>
      <c r="V52" s="13" t="s">
        <v>1229</v>
      </c>
      <c r="W52" s="93">
        <v>43627.436683333333</v>
      </c>
    </row>
    <row r="53" spans="1:23" s="308" customFormat="1">
      <c r="A53" s="467"/>
      <c r="B53" s="56">
        <v>43627</v>
      </c>
      <c r="C53" s="56" t="s">
        <v>137</v>
      </c>
      <c r="F53" s="308" t="str">
        <f t="shared" si="0"/>
        <v>NO</v>
      </c>
      <c r="G53" s="8" t="s">
        <v>1224</v>
      </c>
      <c r="K53" s="23">
        <v>17.38</v>
      </c>
      <c r="L53" s="54"/>
      <c r="M53" s="15">
        <v>2400</v>
      </c>
      <c r="N53" s="54">
        <f t="shared" si="1"/>
        <v>-41712</v>
      </c>
      <c r="O53" s="54"/>
      <c r="P53" s="54"/>
      <c r="Q53" s="54"/>
      <c r="R53" s="54">
        <f t="shared" si="2"/>
        <v>-41712</v>
      </c>
      <c r="S53" s="23">
        <v>1.1311961267844619</v>
      </c>
      <c r="T53" s="87">
        <v>-36874.24224</v>
      </c>
      <c r="U53" s="86">
        <v>43629</v>
      </c>
      <c r="V53" s="13" t="s">
        <v>1229</v>
      </c>
      <c r="W53" s="93">
        <v>43627.437274768519</v>
      </c>
    </row>
    <row r="54" spans="1:23" s="308" customFormat="1">
      <c r="A54" s="467"/>
      <c r="B54" s="56">
        <v>43627</v>
      </c>
      <c r="C54" s="56" t="s">
        <v>137</v>
      </c>
      <c r="F54" s="308" t="str">
        <f t="shared" si="0"/>
        <v>NO</v>
      </c>
      <c r="G54" s="8" t="s">
        <v>1209</v>
      </c>
      <c r="K54" s="23">
        <v>1.0549999999999999</v>
      </c>
      <c r="L54" s="54"/>
      <c r="M54" s="15">
        <v>57400</v>
      </c>
      <c r="N54" s="54">
        <f t="shared" si="1"/>
        <v>-60557</v>
      </c>
      <c r="O54" s="54"/>
      <c r="P54" s="54"/>
      <c r="Q54" s="54"/>
      <c r="R54" s="54">
        <f t="shared" si="2"/>
        <v>-60557</v>
      </c>
      <c r="S54" s="23">
        <v>1.6191857500594877</v>
      </c>
      <c r="T54" s="87">
        <v>-37399.662143626927</v>
      </c>
      <c r="U54" s="86">
        <v>43629</v>
      </c>
      <c r="V54" s="13" t="s">
        <v>1229</v>
      </c>
      <c r="W54" s="93">
        <v>43626.438043981485</v>
      </c>
    </row>
    <row r="55" spans="1:23">
      <c r="B55" s="56">
        <v>43627</v>
      </c>
      <c r="C55" s="56" t="s">
        <v>137</v>
      </c>
      <c r="D55" s="308"/>
      <c r="E55" s="308"/>
      <c r="F55" s="308" t="s">
        <v>1093</v>
      </c>
      <c r="G55" s="8" t="s">
        <v>1206</v>
      </c>
      <c r="H55" s="308"/>
      <c r="I55" s="308"/>
      <c r="J55" s="308"/>
      <c r="K55" s="23">
        <v>4475</v>
      </c>
      <c r="M55" s="15">
        <v>16000</v>
      </c>
      <c r="N55" s="54">
        <v>-71600000</v>
      </c>
      <c r="R55" s="54">
        <v>-71600000</v>
      </c>
      <c r="S55" s="23">
        <v>1338.2276419085522</v>
      </c>
      <c r="T55" s="87">
        <v>-53503.6</v>
      </c>
      <c r="U55" s="86"/>
      <c r="V55" s="13"/>
      <c r="W55" s="93">
        <v>43627.560814004632</v>
      </c>
    </row>
    <row r="56" spans="1:23">
      <c r="B56" s="56">
        <v>43627</v>
      </c>
      <c r="C56" s="56" t="s">
        <v>137</v>
      </c>
      <c r="D56" s="308"/>
      <c r="E56" s="308"/>
      <c r="F56" s="308" t="s">
        <v>1093</v>
      </c>
      <c r="G56" s="8" t="s">
        <v>1204</v>
      </c>
      <c r="H56" s="308"/>
      <c r="I56" s="308"/>
      <c r="J56" s="308"/>
      <c r="K56" s="23">
        <v>90700</v>
      </c>
      <c r="M56" s="15">
        <v>400</v>
      </c>
      <c r="N56" s="54">
        <v>-36280000</v>
      </c>
      <c r="R56" s="54">
        <v>-36280000</v>
      </c>
      <c r="S56" s="23">
        <v>1338.2276419085536</v>
      </c>
      <c r="T56" s="87">
        <v>-27110.48</v>
      </c>
      <c r="U56" s="86"/>
      <c r="V56" s="13"/>
      <c r="W56" s="93">
        <v>43627.563368518517</v>
      </c>
    </row>
    <row r="57" spans="1:23">
      <c r="B57" s="56">
        <v>43627</v>
      </c>
      <c r="C57" s="56" t="s">
        <v>137</v>
      </c>
      <c r="D57" s="308"/>
      <c r="E57" s="308"/>
      <c r="F57" s="308" t="s">
        <v>1093</v>
      </c>
      <c r="G57" s="8" t="s">
        <v>1202</v>
      </c>
      <c r="H57" s="308"/>
      <c r="I57" s="308"/>
      <c r="J57" s="308"/>
      <c r="K57" s="23">
        <v>190500</v>
      </c>
      <c r="M57" s="15">
        <v>170</v>
      </c>
      <c r="N57" s="54">
        <v>-32385000</v>
      </c>
      <c r="R57" s="54">
        <v>-32385000</v>
      </c>
      <c r="S57" s="23">
        <v>1338.227641908557</v>
      </c>
      <c r="T57" s="87">
        <v>-24199.919999999998</v>
      </c>
      <c r="U57" s="86"/>
      <c r="V57" s="13"/>
      <c r="W57" s="93">
        <v>43627.564126851852</v>
      </c>
    </row>
    <row r="58" spans="1:23">
      <c r="B58" s="56">
        <v>43627</v>
      </c>
      <c r="C58" s="56" t="s">
        <v>137</v>
      </c>
      <c r="D58" s="308"/>
      <c r="E58" s="308"/>
      <c r="F58" s="308" t="s">
        <v>1093</v>
      </c>
      <c r="G58" s="8" t="s">
        <v>1205</v>
      </c>
      <c r="H58" s="308"/>
      <c r="I58" s="308"/>
      <c r="J58" s="308"/>
      <c r="K58" s="23">
        <v>120500</v>
      </c>
      <c r="M58" s="15">
        <v>260</v>
      </c>
      <c r="N58" s="54">
        <v>-31330000</v>
      </c>
      <c r="R58" s="54">
        <v>-31330000</v>
      </c>
      <c r="S58" s="23">
        <v>1338.2276419085547</v>
      </c>
      <c r="T58" s="87">
        <v>-23411.56</v>
      </c>
      <c r="U58" s="86"/>
      <c r="V58" s="13"/>
      <c r="W58" s="93">
        <v>43627.566560300926</v>
      </c>
    </row>
    <row r="59" spans="1:23">
      <c r="B59" s="56">
        <v>43627</v>
      </c>
      <c r="C59" s="56" t="s">
        <v>137</v>
      </c>
      <c r="D59" s="308"/>
      <c r="E59" s="308"/>
      <c r="F59" s="308" t="s">
        <v>1093</v>
      </c>
      <c r="G59" s="8" t="s">
        <v>1231</v>
      </c>
      <c r="H59" s="308"/>
      <c r="I59" s="308"/>
      <c r="J59" s="308"/>
      <c r="K59" s="23">
        <v>1.28</v>
      </c>
      <c r="M59" s="15">
        <v>90000</v>
      </c>
      <c r="N59" s="54">
        <v>-115200</v>
      </c>
      <c r="R59" s="54">
        <v>-115200</v>
      </c>
      <c r="S59" s="23">
        <v>10.652360806316631</v>
      </c>
      <c r="T59" s="87">
        <v>-10814.5</v>
      </c>
      <c r="U59" s="86"/>
      <c r="V59" s="13"/>
      <c r="W59" s="93">
        <v>43627.690176041666</v>
      </c>
    </row>
    <row r="60" spans="1:23" s="303" customFormat="1">
      <c r="B60" s="320">
        <v>43628</v>
      </c>
      <c r="C60" s="320" t="s">
        <v>137</v>
      </c>
      <c r="F60" s="303" t="s">
        <v>1277</v>
      </c>
      <c r="G60" s="321" t="s">
        <v>1206</v>
      </c>
      <c r="K60" s="318">
        <v>4400</v>
      </c>
      <c r="L60" s="322"/>
      <c r="M60" s="319">
        <v>16000</v>
      </c>
      <c r="N60" s="322">
        <v>-70400000</v>
      </c>
      <c r="O60" s="322"/>
      <c r="P60" s="322"/>
      <c r="Q60" s="322"/>
      <c r="R60" s="322">
        <v>-70400000</v>
      </c>
      <c r="S60" s="318">
        <v>1329.8373527762183</v>
      </c>
      <c r="T60" s="323">
        <v>-52938.8</v>
      </c>
      <c r="U60" s="324"/>
      <c r="V60" s="325"/>
      <c r="W60" s="326">
        <v>43634.461969097225</v>
      </c>
    </row>
    <row r="61" spans="1:23" s="303" customFormat="1">
      <c r="B61" s="320">
        <v>43629</v>
      </c>
      <c r="C61" s="320" t="s">
        <v>137</v>
      </c>
      <c r="F61" s="303" t="s">
        <v>1277</v>
      </c>
      <c r="G61" s="321" t="s">
        <v>1206</v>
      </c>
      <c r="K61" s="318">
        <v>4400</v>
      </c>
      <c r="L61" s="322"/>
      <c r="M61" s="319">
        <v>10000</v>
      </c>
      <c r="N61" s="322">
        <v>-44000000</v>
      </c>
      <c r="O61" s="322"/>
      <c r="P61" s="322"/>
      <c r="Q61" s="322"/>
      <c r="R61" s="322">
        <v>-44000000</v>
      </c>
      <c r="S61" s="318">
        <v>1329.8373527762183</v>
      </c>
      <c r="T61" s="323">
        <v>-33086.75</v>
      </c>
      <c r="U61" s="324"/>
      <c r="V61" s="325"/>
      <c r="W61" s="326">
        <v>43634.462918171295</v>
      </c>
    </row>
    <row r="62" spans="1:23" s="303" customFormat="1">
      <c r="B62" s="320">
        <v>43634</v>
      </c>
      <c r="C62" s="320" t="s">
        <v>137</v>
      </c>
      <c r="F62" s="303" t="s">
        <v>1277</v>
      </c>
      <c r="G62" s="321" t="s">
        <v>1231</v>
      </c>
      <c r="K62" s="318">
        <v>1.2550000000000001</v>
      </c>
      <c r="L62" s="322"/>
      <c r="M62" s="319">
        <v>72685</v>
      </c>
      <c r="N62" s="322">
        <v>-91219.675000000003</v>
      </c>
      <c r="O62" s="322"/>
      <c r="P62" s="322"/>
      <c r="Q62" s="322"/>
      <c r="R62" s="322">
        <v>-91219.675000000003</v>
      </c>
      <c r="S62" s="318">
        <v>10.633987661245094</v>
      </c>
      <c r="T62" s="323">
        <v>-8578.1299999999992</v>
      </c>
      <c r="U62" s="324"/>
      <c r="V62" s="325"/>
      <c r="W62" s="326">
        <v>43634.467695486113</v>
      </c>
    </row>
    <row r="63" spans="1:23" s="303" customFormat="1">
      <c r="B63" s="320">
        <v>43636</v>
      </c>
      <c r="C63" s="320" t="s">
        <v>137</v>
      </c>
      <c r="F63" s="303" t="s">
        <v>1277</v>
      </c>
      <c r="G63" s="321" t="s">
        <v>1206</v>
      </c>
      <c r="K63" s="318">
        <v>4545</v>
      </c>
      <c r="L63" s="322"/>
      <c r="M63" s="319">
        <v>4200</v>
      </c>
      <c r="N63" s="322">
        <v>-19089000</v>
      </c>
      <c r="O63" s="322"/>
      <c r="P63" s="322"/>
      <c r="Q63" s="322"/>
      <c r="R63" s="322">
        <v>-19089000</v>
      </c>
      <c r="S63" s="318">
        <v>1314.8661541051674</v>
      </c>
      <c r="T63" s="323">
        <v>-14517.83</v>
      </c>
      <c r="U63" s="324"/>
      <c r="V63" s="325"/>
      <c r="W63" s="326">
        <v>43636.486723611109</v>
      </c>
    </row>
    <row r="64" spans="1:23" s="303" customFormat="1">
      <c r="B64" s="320">
        <v>43636</v>
      </c>
      <c r="C64" s="303" t="s">
        <v>137</v>
      </c>
      <c r="F64" s="303" t="s">
        <v>1277</v>
      </c>
      <c r="G64" s="303" t="s">
        <v>1204</v>
      </c>
      <c r="K64" s="322">
        <v>91600</v>
      </c>
      <c r="L64" s="322"/>
      <c r="M64" s="322">
        <v>1200</v>
      </c>
      <c r="N64" s="322">
        <v>-109920000</v>
      </c>
      <c r="O64" s="322"/>
      <c r="P64" s="322"/>
      <c r="Q64" s="322"/>
      <c r="R64" s="322">
        <v>-109920000</v>
      </c>
      <c r="S64" s="322">
        <v>1314.8661541051683</v>
      </c>
      <c r="T64" s="328">
        <v>-83597.86</v>
      </c>
      <c r="U64" s="322"/>
      <c r="W64" s="329">
        <v>43636.488364004632</v>
      </c>
    </row>
    <row r="65" spans="2:23" s="303" customFormat="1">
      <c r="B65" s="320">
        <v>43636</v>
      </c>
      <c r="C65" s="303" t="s">
        <v>137</v>
      </c>
      <c r="F65" s="303" t="s">
        <v>1277</v>
      </c>
      <c r="G65" s="303" t="s">
        <v>1205</v>
      </c>
      <c r="K65" s="322">
        <v>119500</v>
      </c>
      <c r="L65" s="322"/>
      <c r="M65" s="322">
        <v>500</v>
      </c>
      <c r="N65" s="322">
        <v>-59750000</v>
      </c>
      <c r="O65" s="322"/>
      <c r="P65" s="322"/>
      <c r="Q65" s="322"/>
      <c r="R65" s="322">
        <v>-59750000</v>
      </c>
      <c r="S65" s="322">
        <v>1314.8661541051692</v>
      </c>
      <c r="T65" s="328">
        <v>-45441.89</v>
      </c>
      <c r="U65" s="322"/>
      <c r="W65" s="329">
        <v>43636.488749305558</v>
      </c>
    </row>
    <row r="66" spans="2:23" s="303" customFormat="1">
      <c r="B66" s="320">
        <v>43636</v>
      </c>
      <c r="C66" s="303" t="s">
        <v>137</v>
      </c>
      <c r="F66" s="303" t="s">
        <v>1277</v>
      </c>
      <c r="G66" s="303" t="s">
        <v>1208</v>
      </c>
      <c r="K66" s="322">
        <v>47200</v>
      </c>
      <c r="L66" s="322"/>
      <c r="M66" s="322">
        <v>1200</v>
      </c>
      <c r="N66" s="322">
        <v>-56640000</v>
      </c>
      <c r="O66" s="322"/>
      <c r="P66" s="322"/>
      <c r="Q66" s="322"/>
      <c r="R66" s="322">
        <v>-56640000</v>
      </c>
      <c r="S66" s="322">
        <v>1314.866154105169</v>
      </c>
      <c r="T66" s="328">
        <v>-43076.63</v>
      </c>
      <c r="U66" s="322"/>
      <c r="W66" s="329">
        <v>43636.489281249997</v>
      </c>
    </row>
    <row r="67" spans="2:23">
      <c r="B67" s="56">
        <v>43636</v>
      </c>
      <c r="C67" s="26" t="s">
        <v>137</v>
      </c>
      <c r="F67" s="26" t="s">
        <v>1277</v>
      </c>
      <c r="G67" s="26" t="s">
        <v>1231</v>
      </c>
      <c r="K67" s="54">
        <v>1.26</v>
      </c>
      <c r="M67" s="54">
        <v>100000</v>
      </c>
      <c r="N67" s="54">
        <v>-126000</v>
      </c>
      <c r="R67" s="54">
        <v>-126000</v>
      </c>
      <c r="S67" s="54">
        <v>10.648970200347936</v>
      </c>
      <c r="T67" s="88">
        <v>-11832.13</v>
      </c>
      <c r="W67" s="89">
        <v>43636.638509027776</v>
      </c>
    </row>
    <row r="68" spans="2:23">
      <c r="B68" s="56">
        <v>43637</v>
      </c>
      <c r="C68" s="26" t="s">
        <v>137</v>
      </c>
      <c r="F68" s="26" t="s">
        <v>1277</v>
      </c>
      <c r="G68" s="26" t="s">
        <v>1209</v>
      </c>
      <c r="K68" s="54">
        <v>0.87</v>
      </c>
      <c r="M68" s="54">
        <v>35000</v>
      </c>
      <c r="N68" s="54">
        <v>-30450</v>
      </c>
      <c r="R68" s="54">
        <v>-30450</v>
      </c>
      <c r="S68" s="54">
        <v>1.6311790077456365</v>
      </c>
      <c r="T68" s="88">
        <v>-18667.48</v>
      </c>
      <c r="W68" s="89">
        <v>43637.703286342592</v>
      </c>
    </row>
    <row r="69" spans="2:23">
      <c r="B69" s="56">
        <v>43640</v>
      </c>
      <c r="C69" s="26" t="s">
        <v>137</v>
      </c>
      <c r="F69" s="26" t="s">
        <v>1277</v>
      </c>
      <c r="G69" s="26" t="s">
        <v>1231</v>
      </c>
      <c r="K69" s="54">
        <v>1.04</v>
      </c>
      <c r="M69" s="54">
        <v>110000</v>
      </c>
      <c r="N69" s="54">
        <v>-114400</v>
      </c>
      <c r="R69" s="54">
        <v>-114400</v>
      </c>
      <c r="S69" s="54">
        <v>10.630151525416109</v>
      </c>
      <c r="T69" s="88">
        <v>-10761.840950853417</v>
      </c>
      <c r="W69" s="89">
        <v>43640.521310763892</v>
      </c>
    </row>
    <row r="70" spans="2:23">
      <c r="B70" s="56">
        <v>43642</v>
      </c>
      <c r="C70" s="26" t="s">
        <v>137</v>
      </c>
      <c r="D70" s="26" t="s">
        <v>1112</v>
      </c>
      <c r="E70" s="26" t="s">
        <v>1314</v>
      </c>
      <c r="F70" s="26" t="s">
        <v>1277</v>
      </c>
      <c r="G70" s="26" t="s">
        <v>1180</v>
      </c>
      <c r="K70" s="54">
        <v>883.40000000000009</v>
      </c>
      <c r="M70" s="54">
        <v>6700</v>
      </c>
      <c r="N70" s="54">
        <v>-5918780.0000000009</v>
      </c>
      <c r="R70" s="54">
        <v>-5918780.0000000009</v>
      </c>
      <c r="S70" s="54">
        <v>121.79931582356893</v>
      </c>
      <c r="T70" s="88">
        <v>-48594.53</v>
      </c>
      <c r="W70" s="89">
        <v>43642.753387268516</v>
      </c>
    </row>
    <row r="71" spans="2:23">
      <c r="B71" s="56">
        <v>43662</v>
      </c>
      <c r="C71" s="26" t="s">
        <v>138</v>
      </c>
      <c r="D71" s="26" t="s">
        <v>1208</v>
      </c>
      <c r="E71" s="26" t="s">
        <v>1314</v>
      </c>
      <c r="F71" s="26" t="s">
        <v>1277</v>
      </c>
      <c r="G71" s="26" t="s">
        <v>1208</v>
      </c>
      <c r="K71" s="54">
        <v>66300</v>
      </c>
      <c r="M71" s="54">
        <v>2200</v>
      </c>
      <c r="N71" s="54">
        <v>-145860000</v>
      </c>
      <c r="R71" s="54">
        <v>-145860000</v>
      </c>
      <c r="S71" s="54">
        <v>1327.6560776279359</v>
      </c>
      <c r="T71" s="54">
        <v>-109862.78936078203</v>
      </c>
    </row>
    <row r="72" spans="2:23">
      <c r="B72" s="56">
        <v>43662</v>
      </c>
      <c r="C72" s="26" t="s">
        <v>138</v>
      </c>
      <c r="D72" s="26" t="s">
        <v>1208</v>
      </c>
      <c r="E72" s="26" t="s">
        <v>1314</v>
      </c>
      <c r="F72" s="26" t="s">
        <v>1277</v>
      </c>
      <c r="G72" s="26" t="s">
        <v>1208</v>
      </c>
      <c r="K72" s="54">
        <v>66300</v>
      </c>
      <c r="M72" s="54">
        <v>-2200</v>
      </c>
      <c r="N72" s="54">
        <v>145860000</v>
      </c>
      <c r="R72" s="54">
        <v>145860000</v>
      </c>
      <c r="S72" s="54">
        <v>1327.6560776279359</v>
      </c>
      <c r="T72" s="54">
        <v>109862.78936078203</v>
      </c>
    </row>
    <row r="73" spans="2:23">
      <c r="B73" s="56">
        <v>43662</v>
      </c>
      <c r="C73" s="26" t="s">
        <v>137</v>
      </c>
      <c r="E73" s="26" t="s">
        <v>1314</v>
      </c>
      <c r="F73" s="26" t="s">
        <v>1093</v>
      </c>
      <c r="G73" s="26" t="s">
        <v>1630</v>
      </c>
      <c r="K73" s="54">
        <v>52.300000000000004</v>
      </c>
      <c r="M73" s="54">
        <v>550</v>
      </c>
      <c r="N73" s="54">
        <v>-28765.000000000004</v>
      </c>
      <c r="R73" s="54">
        <v>-28765.000000000004</v>
      </c>
      <c r="S73" s="54">
        <v>1</v>
      </c>
      <c r="T73" s="54">
        <v>-28765.000000000004</v>
      </c>
      <c r="W73" s="89">
        <v>43662.661953240742</v>
      </c>
    </row>
    <row r="74" spans="2:23">
      <c r="B74" s="56">
        <v>43662</v>
      </c>
      <c r="C74" s="26" t="s">
        <v>137</v>
      </c>
      <c r="D74" s="26" t="s">
        <v>1222</v>
      </c>
      <c r="E74" s="26" t="s">
        <v>1314</v>
      </c>
      <c r="F74" s="26" t="s">
        <v>1277</v>
      </c>
      <c r="G74" s="26" t="s">
        <v>1222</v>
      </c>
      <c r="K74" s="54">
        <v>7.18</v>
      </c>
      <c r="M74" s="54">
        <v>3000</v>
      </c>
      <c r="N74" s="54">
        <v>-21540</v>
      </c>
      <c r="R74" s="54">
        <v>-21540</v>
      </c>
      <c r="S74" s="54">
        <v>1.1256951167345834</v>
      </c>
      <c r="T74" s="54">
        <v>-19134.843600000004</v>
      </c>
      <c r="W74" s="89">
        <v>43662.663292824072</v>
      </c>
    </row>
    <row r="75" spans="2:23">
      <c r="B75" s="56">
        <v>43662</v>
      </c>
      <c r="C75" s="26" t="s">
        <v>137</v>
      </c>
      <c r="E75" s="26" t="s">
        <v>1314</v>
      </c>
      <c r="F75" s="26" t="s">
        <v>1093</v>
      </c>
      <c r="G75" s="26" t="s">
        <v>1631</v>
      </c>
      <c r="K75" s="54">
        <v>921.6</v>
      </c>
      <c r="M75" s="54">
        <v>4200</v>
      </c>
      <c r="N75" s="54">
        <v>-3870720</v>
      </c>
      <c r="R75" s="54">
        <v>-3870720</v>
      </c>
      <c r="S75" s="54">
        <v>121.46250309566152</v>
      </c>
      <c r="T75" s="54">
        <v>-31867.612648748858</v>
      </c>
      <c r="W75" s="89">
        <v>43662.665708680557</v>
      </c>
    </row>
    <row r="76" spans="2:23">
      <c r="B76" s="56">
        <v>43663</v>
      </c>
      <c r="C76" s="26" t="s">
        <v>137</v>
      </c>
      <c r="D76" s="26" t="s">
        <v>1214</v>
      </c>
      <c r="E76" s="26" t="s">
        <v>1314</v>
      </c>
      <c r="F76" s="26" t="s">
        <v>1277</v>
      </c>
      <c r="G76" s="26" t="s">
        <v>1214</v>
      </c>
      <c r="K76" s="54">
        <v>25.360000000000003</v>
      </c>
      <c r="M76" s="54">
        <v>1000</v>
      </c>
      <c r="N76" s="54">
        <v>-25360.000000000004</v>
      </c>
      <c r="R76" s="54">
        <v>-25360.000000000004</v>
      </c>
      <c r="S76" s="54">
        <v>1</v>
      </c>
      <c r="T76" s="54">
        <v>-25360.000000000004</v>
      </c>
      <c r="W76" s="89">
        <v>43663.661126620369</v>
      </c>
    </row>
    <row r="77" spans="2:23">
      <c r="B77" s="56">
        <v>43663</v>
      </c>
      <c r="C77" s="26" t="s">
        <v>137</v>
      </c>
      <c r="D77" s="26" t="s">
        <v>1215</v>
      </c>
      <c r="E77" s="26" t="s">
        <v>1314</v>
      </c>
      <c r="F77" s="26" t="s">
        <v>1277</v>
      </c>
      <c r="G77" s="26" t="s">
        <v>1215</v>
      </c>
      <c r="K77" s="54">
        <v>118.22</v>
      </c>
      <c r="M77" s="54">
        <v>200</v>
      </c>
      <c r="N77" s="54">
        <v>-23644</v>
      </c>
      <c r="R77" s="54">
        <v>-23644</v>
      </c>
      <c r="S77" s="54">
        <v>1</v>
      </c>
      <c r="T77" s="54">
        <v>-23644</v>
      </c>
      <c r="W77" s="89">
        <v>43663.670086226855</v>
      </c>
    </row>
    <row r="78" spans="2:23">
      <c r="B78" s="56">
        <v>43665</v>
      </c>
      <c r="C78" s="26" t="s">
        <v>137</v>
      </c>
      <c r="D78" s="26" t="s">
        <v>1224</v>
      </c>
      <c r="E78" s="26" t="s">
        <v>1314</v>
      </c>
      <c r="F78" s="26" t="s">
        <v>1277</v>
      </c>
      <c r="G78" s="26" t="s">
        <v>1224</v>
      </c>
      <c r="K78" s="54">
        <v>15.479999999999999</v>
      </c>
      <c r="M78" s="54">
        <v>1700</v>
      </c>
      <c r="N78" s="54">
        <v>-26315.999999999996</v>
      </c>
      <c r="R78" s="54">
        <v>-26315.999999999996</v>
      </c>
      <c r="S78" s="54">
        <v>1.1274974067559644</v>
      </c>
      <c r="T78" s="54">
        <v>-23340.186719999998</v>
      </c>
      <c r="W78" s="89">
        <v>43665.597659143517</v>
      </c>
    </row>
    <row r="79" spans="2:23">
      <c r="B79" s="56">
        <v>43670</v>
      </c>
      <c r="C79" s="26" t="s">
        <v>137</v>
      </c>
      <c r="E79" s="26" t="s">
        <v>1314</v>
      </c>
      <c r="F79" s="26" t="s">
        <v>1093</v>
      </c>
      <c r="G79" s="26" t="s">
        <v>1632</v>
      </c>
      <c r="K79" s="54">
        <v>26.650000000000002</v>
      </c>
      <c r="M79" s="54">
        <v>1120</v>
      </c>
      <c r="N79" s="54">
        <v>-29848.000000000004</v>
      </c>
      <c r="R79" s="54">
        <v>-29848.000000000004</v>
      </c>
      <c r="S79" s="54">
        <v>1</v>
      </c>
      <c r="T79" s="54">
        <v>-29848.000000000004</v>
      </c>
      <c r="W79" s="89">
        <v>43670.510366203707</v>
      </c>
    </row>
    <row r="80" spans="2:23">
      <c r="B80" s="56">
        <v>43670</v>
      </c>
      <c r="C80" s="26" t="s">
        <v>137</v>
      </c>
      <c r="E80" s="26" t="s">
        <v>1314</v>
      </c>
      <c r="F80" s="26" t="s">
        <v>1093</v>
      </c>
      <c r="G80" s="26" t="s">
        <v>1637</v>
      </c>
      <c r="K80" s="54">
        <v>24950</v>
      </c>
      <c r="M80" s="54">
        <v>1700</v>
      </c>
      <c r="N80" s="54">
        <v>-42415000</v>
      </c>
      <c r="R80" s="54">
        <v>-42415000</v>
      </c>
      <c r="S80" s="54">
        <v>1314.5810566694167</v>
      </c>
      <c r="T80" s="54">
        <v>-32265.032106473052</v>
      </c>
      <c r="W80" s="89">
        <v>43670.719028587962</v>
      </c>
    </row>
    <row r="81" spans="2:23">
      <c r="B81" s="56">
        <v>43670</v>
      </c>
      <c r="C81" s="26" t="s">
        <v>137</v>
      </c>
      <c r="E81" s="26" t="s">
        <v>1314</v>
      </c>
      <c r="F81" s="26" t="s">
        <v>1093</v>
      </c>
      <c r="G81" s="26" t="s">
        <v>1638</v>
      </c>
      <c r="K81" s="54">
        <v>4490</v>
      </c>
      <c r="M81" s="54">
        <v>4200</v>
      </c>
      <c r="N81" s="54">
        <v>-18858000</v>
      </c>
      <c r="R81" s="54">
        <v>-18858000</v>
      </c>
      <c r="S81" s="54">
        <v>1314.5810566694163</v>
      </c>
      <c r="T81" s="54">
        <v>-14345.254637837297</v>
      </c>
      <c r="W81" s="89">
        <v>43670.729114699076</v>
      </c>
    </row>
    <row r="82" spans="2:23">
      <c r="B82" s="56">
        <v>43671</v>
      </c>
      <c r="C82" s="26" t="s">
        <v>137</v>
      </c>
      <c r="E82" s="26" t="s">
        <v>1314</v>
      </c>
      <c r="F82" s="26" t="s">
        <v>1093</v>
      </c>
      <c r="G82" s="26" t="s">
        <v>1639</v>
      </c>
      <c r="K82" s="54">
        <v>12650</v>
      </c>
      <c r="M82" s="54">
        <v>3000</v>
      </c>
      <c r="N82" s="54">
        <v>-37950000</v>
      </c>
      <c r="R82" s="54">
        <v>-37950000</v>
      </c>
      <c r="S82" s="54">
        <v>1311.5121136173759</v>
      </c>
      <c r="T82" s="54">
        <v>-28936.065176956221</v>
      </c>
      <c r="W82" s="89">
        <v>43671.097236689813</v>
      </c>
    </row>
    <row r="83" spans="2:23">
      <c r="B83" s="56">
        <v>43671</v>
      </c>
      <c r="C83" s="26" t="s">
        <v>137</v>
      </c>
      <c r="E83" s="26" t="s">
        <v>1314</v>
      </c>
      <c r="F83" s="26" t="s">
        <v>1093</v>
      </c>
      <c r="G83" s="26" t="s">
        <v>1640</v>
      </c>
      <c r="K83" s="54">
        <v>10450</v>
      </c>
      <c r="M83" s="54">
        <v>6700</v>
      </c>
      <c r="N83" s="54">
        <v>-70015000</v>
      </c>
      <c r="R83" s="54">
        <v>-70015000</v>
      </c>
      <c r="S83" s="54">
        <v>1311.5121136173766</v>
      </c>
      <c r="T83" s="54">
        <v>-53384.943435167028</v>
      </c>
      <c r="W83" s="89">
        <v>43671.097784953701</v>
      </c>
    </row>
    <row r="84" spans="2:23">
      <c r="B84" s="56">
        <v>43671</v>
      </c>
      <c r="C84" s="26" t="s">
        <v>137</v>
      </c>
      <c r="D84" s="26" t="s">
        <v>1207</v>
      </c>
      <c r="E84" s="26" t="s">
        <v>1314</v>
      </c>
      <c r="F84" s="26" t="s">
        <v>1277</v>
      </c>
      <c r="G84" s="26" t="s">
        <v>1207</v>
      </c>
      <c r="K84" s="54">
        <v>24350</v>
      </c>
      <c r="M84" s="54">
        <v>2000</v>
      </c>
      <c r="N84" s="54">
        <v>-48700000</v>
      </c>
      <c r="R84" s="54">
        <v>-48700000</v>
      </c>
      <c r="S84" s="54">
        <v>1311.5121136173784</v>
      </c>
      <c r="T84" s="54">
        <v>-37132.710780441768</v>
      </c>
      <c r="W84" s="89">
        <v>43671.098866435183</v>
      </c>
    </row>
    <row r="85" spans="2:23">
      <c r="B85" s="56">
        <v>43671</v>
      </c>
      <c r="C85" s="26" t="s">
        <v>137</v>
      </c>
      <c r="E85" s="26" t="s">
        <v>1314</v>
      </c>
      <c r="F85" s="26" t="s">
        <v>1093</v>
      </c>
      <c r="G85" s="26" t="s">
        <v>1641</v>
      </c>
      <c r="K85" s="54">
        <v>21.54</v>
      </c>
      <c r="M85" s="54">
        <v>1700</v>
      </c>
      <c r="N85" s="54">
        <v>-36618</v>
      </c>
      <c r="R85" s="54">
        <v>-36618</v>
      </c>
      <c r="S85" s="54">
        <v>1.1138958507379559</v>
      </c>
      <c r="T85" s="88">
        <v>-32873.81</v>
      </c>
      <c r="W85" s="89">
        <v>43671.515149999999</v>
      </c>
    </row>
    <row r="86" spans="2:23">
      <c r="B86" s="56">
        <v>43675</v>
      </c>
      <c r="C86" s="26" t="s">
        <v>137</v>
      </c>
      <c r="D86" s="26" t="s">
        <v>1212</v>
      </c>
      <c r="E86" s="26" t="s">
        <v>1314</v>
      </c>
      <c r="F86" s="26" t="s">
        <v>1277</v>
      </c>
      <c r="G86" s="26" t="s">
        <v>1212</v>
      </c>
      <c r="K86" s="54">
        <v>45.300000000000004</v>
      </c>
      <c r="M86" s="54">
        <v>420</v>
      </c>
      <c r="N86" s="54">
        <v>-19026</v>
      </c>
      <c r="R86" s="54">
        <v>-19026</v>
      </c>
      <c r="S86" s="54">
        <v>1</v>
      </c>
      <c r="T86" s="54">
        <v>-19026</v>
      </c>
      <c r="W86" s="89">
        <v>43675.65654236111</v>
      </c>
    </row>
    <row r="87" spans="2:23">
      <c r="B87" s="56">
        <v>43677</v>
      </c>
      <c r="C87" s="26" t="s">
        <v>137</v>
      </c>
      <c r="D87" s="26" t="s">
        <v>1209</v>
      </c>
      <c r="E87" s="26" t="s">
        <v>1314</v>
      </c>
      <c r="F87" s="26" t="s">
        <v>1277</v>
      </c>
      <c r="G87" s="26" t="s">
        <v>1209</v>
      </c>
      <c r="K87" s="54">
        <v>0.86</v>
      </c>
      <c r="M87" s="54">
        <v>38120</v>
      </c>
      <c r="N87" s="54">
        <v>-32783.199999999997</v>
      </c>
      <c r="R87" s="54">
        <v>-32783.199999999997</v>
      </c>
      <c r="S87" s="54">
        <v>1.6231960027659422</v>
      </c>
      <c r="T87" s="54">
        <v>-20196.698331031555</v>
      </c>
      <c r="W87" s="89">
        <v>43677.920176504631</v>
      </c>
    </row>
    <row r="88" spans="2:23">
      <c r="B88" s="56">
        <v>43677</v>
      </c>
      <c r="C88" s="26" t="s">
        <v>137</v>
      </c>
      <c r="D88" s="26" t="s">
        <v>1205</v>
      </c>
      <c r="E88" s="26" t="s">
        <v>1314</v>
      </c>
      <c r="F88" s="26" t="s">
        <v>1277</v>
      </c>
      <c r="G88" s="26" t="s">
        <v>1205</v>
      </c>
      <c r="K88" s="54">
        <v>119000</v>
      </c>
      <c r="M88" s="54">
        <v>420</v>
      </c>
      <c r="N88" s="54">
        <v>-49980000</v>
      </c>
      <c r="R88" s="54">
        <v>-49980000</v>
      </c>
      <c r="S88" s="54">
        <v>1317.3250652450322</v>
      </c>
      <c r="T88" s="54">
        <v>-37940.521530047219</v>
      </c>
      <c r="W88" s="89">
        <v>43677.925857754628</v>
      </c>
    </row>
    <row r="89" spans="2:23">
      <c r="B89" s="56">
        <v>43684</v>
      </c>
      <c r="C89" s="26" t="s">
        <v>137</v>
      </c>
      <c r="D89" s="26" t="s">
        <v>1211</v>
      </c>
      <c r="E89" s="26" t="s">
        <v>1314</v>
      </c>
      <c r="F89" s="26" t="s">
        <v>1277</v>
      </c>
      <c r="G89" s="26" t="s">
        <v>1211</v>
      </c>
      <c r="K89" s="54">
        <v>35.440000000000005</v>
      </c>
      <c r="M89" s="54">
        <v>500</v>
      </c>
      <c r="N89" s="54">
        <v>-17720.000000000004</v>
      </c>
      <c r="R89" s="54">
        <v>-17720.000000000004</v>
      </c>
      <c r="S89" s="54">
        <v>1</v>
      </c>
      <c r="T89" s="88">
        <v>-17720</v>
      </c>
      <c r="W89" s="89">
        <v>43684.404560300929</v>
      </c>
    </row>
    <row r="90" spans="2:23">
      <c r="B90" s="56">
        <v>43684</v>
      </c>
      <c r="C90" s="26" t="s">
        <v>137</v>
      </c>
      <c r="D90" s="26" t="s">
        <v>1212</v>
      </c>
      <c r="E90" s="26" t="s">
        <v>1314</v>
      </c>
      <c r="F90" s="26" t="s">
        <v>1277</v>
      </c>
      <c r="G90" s="26" t="s">
        <v>1212</v>
      </c>
      <c r="K90" s="54">
        <v>39.72</v>
      </c>
      <c r="M90" s="54">
        <v>500</v>
      </c>
      <c r="N90" s="54">
        <v>-19860</v>
      </c>
      <c r="R90" s="54">
        <v>-19860</v>
      </c>
      <c r="S90" s="54">
        <v>1</v>
      </c>
      <c r="T90" s="88">
        <v>-19860</v>
      </c>
      <c r="W90" s="89">
        <v>43684.404950810182</v>
      </c>
    </row>
    <row r="91" spans="2:23">
      <c r="B91" s="56">
        <v>43684</v>
      </c>
      <c r="C91" s="26" t="s">
        <v>137</v>
      </c>
      <c r="D91" s="26" t="s">
        <v>1221</v>
      </c>
      <c r="E91" s="26" t="s">
        <v>1314</v>
      </c>
      <c r="F91" s="26" t="s">
        <v>1277</v>
      </c>
      <c r="G91" s="26" t="s">
        <v>1221</v>
      </c>
      <c r="K91" s="54">
        <v>65.45</v>
      </c>
      <c r="M91" s="54">
        <v>300</v>
      </c>
      <c r="N91" s="54">
        <v>-19635</v>
      </c>
      <c r="R91" s="54">
        <v>-19635</v>
      </c>
      <c r="S91" s="54">
        <v>1.1197957492553359</v>
      </c>
      <c r="T91" s="88">
        <v>-17534.45</v>
      </c>
      <c r="W91" s="89">
        <v>43684.405304745371</v>
      </c>
    </row>
    <row r="92" spans="2:23">
      <c r="B92" s="56">
        <v>43684</v>
      </c>
      <c r="C92" s="26" t="s">
        <v>137</v>
      </c>
      <c r="E92" s="26" t="s">
        <v>1314</v>
      </c>
      <c r="F92" s="26" t="s">
        <v>1093</v>
      </c>
      <c r="G92" s="26" t="s">
        <v>1646</v>
      </c>
      <c r="K92" s="54">
        <v>10.75</v>
      </c>
      <c r="M92" s="54">
        <v>3500</v>
      </c>
      <c r="N92" s="54">
        <v>-37625</v>
      </c>
      <c r="R92" s="54">
        <v>-37625</v>
      </c>
      <c r="S92" s="54">
        <v>1.1197957492553359</v>
      </c>
      <c r="T92" s="88">
        <v>-33599.879999999997</v>
      </c>
      <c r="W92" s="89">
        <v>43684.406221412035</v>
      </c>
    </row>
    <row r="93" spans="2:23">
      <c r="B93" s="56">
        <v>43684</v>
      </c>
      <c r="C93" s="26" t="s">
        <v>137</v>
      </c>
      <c r="D93" s="26" t="s">
        <v>1222</v>
      </c>
      <c r="E93" s="26" t="s">
        <v>1314</v>
      </c>
      <c r="F93" s="26" t="s">
        <v>1277</v>
      </c>
      <c r="G93" s="26" t="s">
        <v>1222</v>
      </c>
      <c r="K93" s="54">
        <v>5.64</v>
      </c>
      <c r="M93" s="54">
        <v>3300</v>
      </c>
      <c r="N93" s="54">
        <v>-18612</v>
      </c>
      <c r="R93" s="54">
        <v>-18612</v>
      </c>
      <c r="S93" s="54">
        <v>1.1197957492553359</v>
      </c>
      <c r="T93" s="88">
        <v>-16620.89</v>
      </c>
      <c r="W93" s="89">
        <v>43684.40657175926</v>
      </c>
    </row>
    <row r="94" spans="2:23">
      <c r="B94" s="56">
        <v>43684</v>
      </c>
      <c r="C94" s="26" t="s">
        <v>137</v>
      </c>
      <c r="E94" s="26" t="s">
        <v>1314</v>
      </c>
      <c r="F94" s="26" t="s">
        <v>1093</v>
      </c>
      <c r="G94" s="26" t="s">
        <v>1647</v>
      </c>
      <c r="K94" s="54">
        <v>20.75</v>
      </c>
      <c r="M94" s="54">
        <v>2200</v>
      </c>
      <c r="N94" s="54">
        <v>-45650</v>
      </c>
      <c r="R94" s="54">
        <v>-45650</v>
      </c>
      <c r="S94" s="54">
        <v>1.1197957492553359</v>
      </c>
      <c r="T94" s="88">
        <v>-40766.36</v>
      </c>
      <c r="W94" s="89">
        <v>43684.406895486114</v>
      </c>
    </row>
    <row r="95" spans="2:23">
      <c r="B95" s="56">
        <v>43684</v>
      </c>
      <c r="C95" s="26" t="s">
        <v>137</v>
      </c>
      <c r="E95" s="26" t="s">
        <v>1314</v>
      </c>
      <c r="F95" s="26" t="s">
        <v>1093</v>
      </c>
      <c r="G95" s="26" t="s">
        <v>1648</v>
      </c>
      <c r="K95" s="54">
        <v>1537</v>
      </c>
      <c r="M95" s="54">
        <v>2200</v>
      </c>
      <c r="N95" s="54">
        <v>-3381400</v>
      </c>
      <c r="R95" s="54">
        <v>-3381400</v>
      </c>
      <c r="S95" s="54">
        <v>119.2246534232152</v>
      </c>
      <c r="T95" s="88">
        <v>-28361.58</v>
      </c>
      <c r="W95" s="89">
        <v>43684.408519907411</v>
      </c>
    </row>
    <row r="96" spans="2:23">
      <c r="B96" s="56">
        <v>43684</v>
      </c>
      <c r="C96" s="26" t="s">
        <v>137</v>
      </c>
      <c r="D96" s="26" t="s">
        <v>1183</v>
      </c>
      <c r="E96" s="26" t="s">
        <v>1314</v>
      </c>
      <c r="F96" s="26" t="s">
        <v>1277</v>
      </c>
      <c r="G96" s="26" t="s">
        <v>1649</v>
      </c>
      <c r="K96" s="54">
        <v>1851</v>
      </c>
      <c r="M96" s="54">
        <v>1700</v>
      </c>
      <c r="N96" s="54">
        <v>-3146700</v>
      </c>
      <c r="R96" s="54">
        <v>-3146700</v>
      </c>
      <c r="S96" s="54">
        <v>119.22465342321564</v>
      </c>
      <c r="T96" s="88">
        <v>-26393.03</v>
      </c>
      <c r="W96" s="89">
        <v>43684.408770023147</v>
      </c>
    </row>
    <row r="97" spans="2:23">
      <c r="B97" s="56">
        <v>43684</v>
      </c>
      <c r="C97" s="26" t="s">
        <v>137</v>
      </c>
      <c r="D97" s="26" t="s">
        <v>1191</v>
      </c>
      <c r="E97" s="26" t="s">
        <v>1314</v>
      </c>
      <c r="F97" s="26" t="s">
        <v>1277</v>
      </c>
      <c r="G97" s="26" t="s">
        <v>1191</v>
      </c>
      <c r="M97" s="54">
        <v>4200</v>
      </c>
      <c r="N97" s="54">
        <v>0</v>
      </c>
      <c r="R97" s="54">
        <v>0</v>
      </c>
      <c r="T97" s="88">
        <v>-127373.23</v>
      </c>
      <c r="W97" s="89">
        <v>43684.409122569443</v>
      </c>
    </row>
    <row r="98" spans="2:23">
      <c r="B98" s="56">
        <v>43684</v>
      </c>
      <c r="C98" s="26" t="s">
        <v>137</v>
      </c>
      <c r="F98" s="26" t="s">
        <v>1093</v>
      </c>
      <c r="G98" s="26" t="s">
        <v>1191</v>
      </c>
      <c r="K98" s="54">
        <v>459</v>
      </c>
      <c r="M98" s="54">
        <v>4200</v>
      </c>
      <c r="S98" s="54">
        <v>119.22465342321568</v>
      </c>
      <c r="T98" s="88">
        <v>-127373.23</v>
      </c>
      <c r="W98" s="89">
        <v>43684.411406018517</v>
      </c>
    </row>
    <row r="99" spans="2:23">
      <c r="B99" s="56">
        <v>43686</v>
      </c>
      <c r="C99" s="26" t="s">
        <v>137</v>
      </c>
      <c r="D99" s="26" t="s">
        <v>1647</v>
      </c>
      <c r="E99" s="26" t="s">
        <v>1314</v>
      </c>
      <c r="F99" s="26" t="s">
        <v>1277</v>
      </c>
      <c r="G99" s="26" t="s">
        <v>1654</v>
      </c>
      <c r="K99" s="54">
        <v>19.294</v>
      </c>
      <c r="M99" s="54">
        <v>1100</v>
      </c>
      <c r="N99" s="54">
        <v>-21223.4</v>
      </c>
      <c r="R99" s="54">
        <v>-21223.4</v>
      </c>
      <c r="S99" s="54">
        <v>1.1178055241949005</v>
      </c>
      <c r="T99" s="54">
        <v>-18986.665874000002</v>
      </c>
      <c r="W99" s="89">
        <v>43686.751553009257</v>
      </c>
    </row>
    <row r="100" spans="2:23">
      <c r="B100" s="56">
        <v>43689</v>
      </c>
      <c r="C100" s="26" t="s">
        <v>137</v>
      </c>
      <c r="D100" s="26" t="s">
        <v>1219</v>
      </c>
      <c r="E100" s="26" t="s">
        <v>1314</v>
      </c>
      <c r="F100" s="26" t="s">
        <v>1277</v>
      </c>
      <c r="G100" s="26" t="s">
        <v>1219</v>
      </c>
      <c r="K100" s="54">
        <v>51.17</v>
      </c>
      <c r="M100" s="54">
        <v>690</v>
      </c>
      <c r="N100" s="54">
        <v>-35307.300000000003</v>
      </c>
      <c r="R100" s="54">
        <v>-35307.300000000003</v>
      </c>
      <c r="S100" s="54">
        <v>1</v>
      </c>
      <c r="T100" s="54">
        <v>-35307.300000000003</v>
      </c>
      <c r="W100" s="89">
        <v>43689.38634571759</v>
      </c>
    </row>
    <row r="101" spans="2:23">
      <c r="B101" s="56">
        <v>43689</v>
      </c>
      <c r="C101" s="26" t="s">
        <v>137</v>
      </c>
      <c r="D101" s="26" t="s">
        <v>1632</v>
      </c>
      <c r="E101" s="26" t="s">
        <v>1314</v>
      </c>
      <c r="F101" s="26" t="s">
        <v>1277</v>
      </c>
      <c r="G101" s="26" t="s">
        <v>1632</v>
      </c>
      <c r="K101" s="54">
        <v>22.830000000000002</v>
      </c>
      <c r="M101" s="54">
        <v>1100</v>
      </c>
      <c r="N101" s="54">
        <v>-25113.000000000004</v>
      </c>
      <c r="R101" s="54">
        <v>-25113.000000000004</v>
      </c>
      <c r="S101" s="54">
        <v>1</v>
      </c>
      <c r="T101" s="54">
        <v>-25113.000000000004</v>
      </c>
      <c r="W101" s="89">
        <v>43689.774499189814</v>
      </c>
    </row>
    <row r="102" spans="2:23">
      <c r="B102" s="26">
        <v>43689</v>
      </c>
      <c r="C102" s="26" t="s">
        <v>137</v>
      </c>
      <c r="D102" s="26" t="s">
        <v>1222</v>
      </c>
      <c r="E102" s="26" t="s">
        <v>1314</v>
      </c>
      <c r="F102" s="26" t="s">
        <v>1277</v>
      </c>
      <c r="G102" s="26" t="s">
        <v>1222</v>
      </c>
      <c r="K102" s="54">
        <v>6.6849999999999996</v>
      </c>
      <c r="M102" s="54">
        <v>2200</v>
      </c>
      <c r="N102" s="54">
        <v>-14707</v>
      </c>
      <c r="R102" s="54">
        <v>-14707</v>
      </c>
      <c r="S102" s="54">
        <v>1.1197957492553359</v>
      </c>
      <c r="T102" s="54">
        <v>-13133.645139999999</v>
      </c>
      <c r="W102" s="89">
        <v>43689.77505462963</v>
      </c>
    </row>
    <row r="103" spans="2:23">
      <c r="B103" s="26">
        <v>43689</v>
      </c>
      <c r="C103" s="26" t="s">
        <v>137</v>
      </c>
      <c r="D103" s="26" t="s">
        <v>1211</v>
      </c>
      <c r="E103" s="26" t="s">
        <v>1314</v>
      </c>
      <c r="F103" s="26" t="s">
        <v>1277</v>
      </c>
      <c r="G103" s="26" t="s">
        <v>1211</v>
      </c>
      <c r="K103" s="54">
        <v>35.700000000000003</v>
      </c>
      <c r="M103" s="54">
        <v>1000</v>
      </c>
      <c r="N103" s="54">
        <v>-35700</v>
      </c>
      <c r="R103" s="54">
        <v>-35700</v>
      </c>
      <c r="S103" s="54">
        <v>1</v>
      </c>
      <c r="T103" s="54">
        <v>-35700</v>
      </c>
      <c r="W103" s="89">
        <v>43689.77560011574</v>
      </c>
    </row>
    <row r="104" spans="2:23">
      <c r="B104" s="26">
        <v>43689</v>
      </c>
      <c r="C104" s="26" t="s">
        <v>137</v>
      </c>
      <c r="D104" s="26" t="s">
        <v>1209</v>
      </c>
      <c r="E104" s="26" t="s">
        <v>1314</v>
      </c>
      <c r="F104" s="26" t="s">
        <v>1277</v>
      </c>
      <c r="G104" s="26" t="s">
        <v>1209</v>
      </c>
      <c r="K104" s="54">
        <v>0.78500000000000003</v>
      </c>
      <c r="M104" s="54">
        <v>25000</v>
      </c>
      <c r="N104" s="54">
        <v>-19625</v>
      </c>
      <c r="R104" s="54">
        <v>-19625</v>
      </c>
      <c r="S104" s="54">
        <v>1.6499182549103031</v>
      </c>
      <c r="T104" s="54">
        <v>-11894.528678371949</v>
      </c>
      <c r="W104" s="89">
        <v>43689.776077430557</v>
      </c>
    </row>
    <row r="105" spans="2:23">
      <c r="B105" s="26">
        <v>43689</v>
      </c>
      <c r="C105" s="26" t="s">
        <v>137</v>
      </c>
      <c r="D105" s="26" t="s">
        <v>1185</v>
      </c>
      <c r="E105" s="26" t="s">
        <v>1314</v>
      </c>
      <c r="F105" s="26" t="s">
        <v>1277</v>
      </c>
      <c r="G105" s="26" t="s">
        <v>1656</v>
      </c>
      <c r="K105" s="54">
        <v>2115</v>
      </c>
      <c r="M105" s="54">
        <v>2200</v>
      </c>
      <c r="N105" s="54">
        <v>-4653000</v>
      </c>
      <c r="R105" s="54">
        <v>-4653000</v>
      </c>
      <c r="S105" s="54">
        <v>118.31761886631878</v>
      </c>
      <c r="T105" s="54">
        <v>-39326.349233390116</v>
      </c>
      <c r="W105" s="89">
        <v>43689.776572106479</v>
      </c>
    </row>
    <row r="106" spans="2:23">
      <c r="B106" s="26">
        <v>43693</v>
      </c>
      <c r="C106" s="26" t="s">
        <v>137</v>
      </c>
      <c r="D106" s="26" t="s">
        <v>1219</v>
      </c>
      <c r="E106" s="26" t="s">
        <v>1314</v>
      </c>
      <c r="F106" s="26" t="s">
        <v>1277</v>
      </c>
      <c r="G106" s="26" t="s">
        <v>1657</v>
      </c>
      <c r="K106" s="54">
        <v>47.914999999999999</v>
      </c>
      <c r="M106" s="54">
        <v>690</v>
      </c>
      <c r="N106" s="54">
        <v>-33061.35</v>
      </c>
      <c r="R106" s="54">
        <v>-33061.35</v>
      </c>
      <c r="S106" s="54">
        <v>1</v>
      </c>
      <c r="T106" s="88">
        <v>-33061.35</v>
      </c>
      <c r="W106" s="89">
        <v>43693.625288078707</v>
      </c>
    </row>
    <row r="107" spans="2:23">
      <c r="B107" s="26">
        <v>43693</v>
      </c>
      <c r="C107" s="26" t="s">
        <v>137</v>
      </c>
      <c r="E107" s="26" t="s">
        <v>1314</v>
      </c>
      <c r="F107" s="26" t="s">
        <v>1093</v>
      </c>
      <c r="G107" s="26" t="s">
        <v>1658</v>
      </c>
      <c r="K107" s="54">
        <v>59.160000000000004</v>
      </c>
      <c r="M107" s="54">
        <v>1000</v>
      </c>
      <c r="N107" s="54">
        <v>-59160.000000000007</v>
      </c>
      <c r="R107" s="54">
        <v>-59160.000000000007</v>
      </c>
      <c r="S107" s="54">
        <v>1</v>
      </c>
      <c r="T107" s="88">
        <v>-59160</v>
      </c>
      <c r="W107" s="89">
        <v>43693.627879513886</v>
      </c>
    </row>
    <row r="108" spans="2:23">
      <c r="B108" s="26">
        <v>43696</v>
      </c>
      <c r="C108" s="26" t="s">
        <v>137</v>
      </c>
      <c r="D108" s="26" t="s">
        <v>1209</v>
      </c>
      <c r="E108" s="26" t="s">
        <v>1314</v>
      </c>
      <c r="F108" s="26" t="s">
        <v>1277</v>
      </c>
      <c r="G108" s="26" t="s">
        <v>1209</v>
      </c>
      <c r="K108" s="54">
        <v>0.70000000000000007</v>
      </c>
      <c r="M108" s="54">
        <v>42000</v>
      </c>
      <c r="N108" s="54">
        <v>-29400.000000000004</v>
      </c>
      <c r="R108" s="54">
        <v>-29400.000000000004</v>
      </c>
      <c r="S108" s="54">
        <v>1.6355581676443511</v>
      </c>
      <c r="T108" s="88">
        <v>-17975.509999999998</v>
      </c>
      <c r="W108" s="89">
        <v>43696.438062384259</v>
      </c>
    </row>
    <row r="109" spans="2:23">
      <c r="B109" s="26">
        <v>43696</v>
      </c>
      <c r="C109" s="26" t="s">
        <v>137</v>
      </c>
      <c r="E109" s="26" t="s">
        <v>1314</v>
      </c>
      <c r="F109" s="26" t="s">
        <v>1093</v>
      </c>
      <c r="G109" s="26" t="s">
        <v>1660</v>
      </c>
      <c r="K109" s="54">
        <v>957.40000000000009</v>
      </c>
      <c r="M109" s="54">
        <v>4200</v>
      </c>
      <c r="N109" s="54">
        <v>-4021080.0000000005</v>
      </c>
      <c r="R109" s="54">
        <v>-4021080.0000000005</v>
      </c>
      <c r="S109" s="54">
        <v>117.94320185409018</v>
      </c>
      <c r="T109" s="88">
        <v>-34093.360000000001</v>
      </c>
      <c r="W109" s="89">
        <v>43696.773257060187</v>
      </c>
    </row>
    <row r="110" spans="2:23">
      <c r="B110" s="26">
        <v>43696</v>
      </c>
      <c r="C110" s="26" t="s">
        <v>137</v>
      </c>
      <c r="E110" s="26" t="s">
        <v>1314</v>
      </c>
      <c r="F110" s="26" t="s">
        <v>1093</v>
      </c>
      <c r="G110" s="26" t="s">
        <v>1661</v>
      </c>
      <c r="K110" s="54">
        <v>4257</v>
      </c>
      <c r="M110" s="54">
        <v>1100</v>
      </c>
      <c r="N110" s="54">
        <v>-4682700</v>
      </c>
      <c r="R110" s="54">
        <v>-4682700</v>
      </c>
      <c r="S110" s="54">
        <v>117.94320185409016</v>
      </c>
      <c r="T110" s="88">
        <v>-39703.01</v>
      </c>
      <c r="W110" s="89">
        <v>43696.773765625003</v>
      </c>
    </row>
    <row r="111" spans="2:23">
      <c r="B111" s="26">
        <v>43696</v>
      </c>
      <c r="C111" s="26" t="s">
        <v>137</v>
      </c>
      <c r="D111" s="26" t="s">
        <v>1112</v>
      </c>
      <c r="E111" s="26" t="s">
        <v>1314</v>
      </c>
      <c r="F111" s="26" t="s">
        <v>1277</v>
      </c>
      <c r="G111" s="26" t="s">
        <v>1180</v>
      </c>
      <c r="K111" s="54">
        <v>806.90000000000009</v>
      </c>
      <c r="M111" s="54">
        <v>4200</v>
      </c>
      <c r="N111" s="54">
        <v>-3388980.0000000005</v>
      </c>
      <c r="R111" s="54">
        <v>-3388980.0000000005</v>
      </c>
      <c r="S111" s="54">
        <v>117.94320185409012</v>
      </c>
      <c r="T111" s="88">
        <v>-28734</v>
      </c>
      <c r="U111" s="86">
        <v>43701</v>
      </c>
      <c r="V111" s="26" t="s">
        <v>1229</v>
      </c>
      <c r="W111" s="89">
        <v>43696.776422800926</v>
      </c>
    </row>
    <row r="112" spans="2:23">
      <c r="B112" s="26">
        <v>43696</v>
      </c>
      <c r="C112" s="26" t="s">
        <v>137</v>
      </c>
      <c r="D112" s="26" t="s">
        <v>1185</v>
      </c>
      <c r="E112" s="26" t="s">
        <v>1314</v>
      </c>
      <c r="F112" s="26" t="s">
        <v>1277</v>
      </c>
      <c r="G112" s="26" t="s">
        <v>1656</v>
      </c>
      <c r="K112" s="54">
        <v>2137</v>
      </c>
      <c r="M112" s="54">
        <v>1000</v>
      </c>
      <c r="N112" s="54">
        <v>-2137000</v>
      </c>
      <c r="R112" s="54">
        <v>-2137000</v>
      </c>
      <c r="S112" s="54">
        <v>117.94320185408995</v>
      </c>
      <c r="T112" s="88">
        <v>-18118.89</v>
      </c>
      <c r="V112" s="26" t="s">
        <v>1229</v>
      </c>
      <c r="W112" s="89">
        <v>43696.777423495369</v>
      </c>
    </row>
    <row r="113" spans="2:23">
      <c r="B113" s="26">
        <v>43696</v>
      </c>
      <c r="C113" s="26" t="s">
        <v>137</v>
      </c>
      <c r="D113" s="26" t="s">
        <v>1202</v>
      </c>
      <c r="E113" s="26" t="s">
        <v>1314</v>
      </c>
      <c r="F113" s="26" t="s">
        <v>1277</v>
      </c>
      <c r="G113" s="26" t="s">
        <v>1202</v>
      </c>
      <c r="K113" s="54">
        <v>163000</v>
      </c>
      <c r="M113" s="54">
        <v>420</v>
      </c>
      <c r="N113" s="54">
        <v>-68460000</v>
      </c>
      <c r="R113" s="54">
        <v>-68460000</v>
      </c>
      <c r="S113" s="54">
        <v>1338.9702702403054</v>
      </c>
      <c r="T113" s="88">
        <v>-51128.84</v>
      </c>
      <c r="W113" s="89">
        <v>43696.77998796296</v>
      </c>
    </row>
    <row r="114" spans="2:23">
      <c r="B114" s="26">
        <v>43696</v>
      </c>
      <c r="C114" s="26" t="s">
        <v>137</v>
      </c>
      <c r="D114" s="26" t="s">
        <v>1205</v>
      </c>
      <c r="E114" s="26" t="s">
        <v>1314</v>
      </c>
      <c r="F114" s="26" t="s">
        <v>1277</v>
      </c>
      <c r="G114" s="26" t="s">
        <v>1205</v>
      </c>
      <c r="K114" s="54">
        <v>111500</v>
      </c>
      <c r="M114" s="54">
        <v>670</v>
      </c>
      <c r="N114" s="54">
        <v>-74705000</v>
      </c>
      <c r="R114" s="54">
        <v>-74705000</v>
      </c>
      <c r="S114" s="54">
        <v>1338.9702702402999</v>
      </c>
      <c r="T114" s="88">
        <v>-55792.87</v>
      </c>
      <c r="W114" s="89">
        <v>43696.781007986108</v>
      </c>
    </row>
    <row r="115" spans="2:23">
      <c r="B115" s="26">
        <v>43697</v>
      </c>
      <c r="C115" s="26" t="s">
        <v>137</v>
      </c>
      <c r="D115" s="26" t="s">
        <v>1215</v>
      </c>
      <c r="E115" s="26" t="s">
        <v>1314</v>
      </c>
      <c r="F115" s="26" t="s">
        <v>1277</v>
      </c>
      <c r="G115" s="26" t="s">
        <v>1215</v>
      </c>
      <c r="K115" s="54">
        <v>105.44000000000001</v>
      </c>
      <c r="M115" s="54">
        <v>420</v>
      </c>
      <c r="N115" s="54">
        <v>-44284.800000000003</v>
      </c>
      <c r="R115" s="54">
        <v>-44284.800000000003</v>
      </c>
      <c r="S115" s="54">
        <v>1</v>
      </c>
      <c r="T115" s="370">
        <v>-44284.800000000003</v>
      </c>
      <c r="W115" s="89">
        <v>43697.909058564815</v>
      </c>
    </row>
    <row r="116" spans="2:23">
      <c r="B116" s="26">
        <v>43697</v>
      </c>
      <c r="C116" s="26" t="s">
        <v>137</v>
      </c>
      <c r="E116" s="26" t="s">
        <v>1314</v>
      </c>
      <c r="F116" s="26" t="s">
        <v>1093</v>
      </c>
      <c r="G116" s="26" t="s">
        <v>1665</v>
      </c>
      <c r="K116" s="54">
        <v>4.0440000000000005</v>
      </c>
      <c r="M116" s="54">
        <v>17000</v>
      </c>
      <c r="N116" s="54">
        <v>-68748.000000000015</v>
      </c>
      <c r="R116" s="54">
        <v>-68748.000000000015</v>
      </c>
      <c r="S116" s="54">
        <v>1</v>
      </c>
      <c r="T116" s="370">
        <v>-68748</v>
      </c>
      <c r="W116" s="89">
        <v>43697.910327199075</v>
      </c>
    </row>
    <row r="117" spans="2:23">
      <c r="B117" s="26">
        <v>43697</v>
      </c>
      <c r="C117" s="26" t="s">
        <v>137</v>
      </c>
      <c r="D117" s="26" t="s">
        <v>1212</v>
      </c>
      <c r="E117" s="26" t="s">
        <v>1314</v>
      </c>
      <c r="F117" s="26" t="s">
        <v>1277</v>
      </c>
      <c r="G117" s="26" t="s">
        <v>1212</v>
      </c>
      <c r="K117" s="54">
        <v>40.28</v>
      </c>
      <c r="M117" s="54">
        <v>670</v>
      </c>
      <c r="N117" s="54">
        <v>-26987.600000000002</v>
      </c>
      <c r="R117" s="54">
        <v>-26987.600000000002</v>
      </c>
      <c r="S117" s="54">
        <v>1</v>
      </c>
      <c r="T117" s="370">
        <v>-26987.599999999999</v>
      </c>
      <c r="W117" s="89">
        <v>43697.911194560184</v>
      </c>
    </row>
    <row r="118" spans="2:23">
      <c r="B118" s="26">
        <v>43697</v>
      </c>
      <c r="C118" s="26" t="s">
        <v>137</v>
      </c>
      <c r="D118" s="26" t="s">
        <v>1211</v>
      </c>
      <c r="E118" s="26" t="s">
        <v>1314</v>
      </c>
      <c r="F118" s="26" t="s">
        <v>1277</v>
      </c>
      <c r="G118" s="26" t="s">
        <v>1211</v>
      </c>
      <c r="K118" s="54">
        <v>35.9</v>
      </c>
      <c r="M118" s="54">
        <v>670</v>
      </c>
      <c r="N118" s="54">
        <v>-24053</v>
      </c>
      <c r="R118" s="54">
        <v>-24053</v>
      </c>
      <c r="S118" s="54">
        <v>1</v>
      </c>
      <c r="T118" s="370">
        <v>-24053</v>
      </c>
      <c r="W118" s="89">
        <v>43697.91184108796</v>
      </c>
    </row>
    <row r="119" spans="2:23">
      <c r="B119" s="26">
        <v>43697</v>
      </c>
      <c r="C119" s="26" t="s">
        <v>137</v>
      </c>
      <c r="F119" s="26" t="s">
        <v>1093</v>
      </c>
      <c r="G119" s="26" t="s">
        <v>1667</v>
      </c>
      <c r="K119" s="54">
        <v>4.4400000000000004</v>
      </c>
      <c r="M119" s="54">
        <v>67000</v>
      </c>
      <c r="N119" s="54">
        <v>-297480</v>
      </c>
      <c r="R119" s="54">
        <v>-297480</v>
      </c>
      <c r="S119" s="54">
        <v>8.6884864595447784</v>
      </c>
      <c r="T119" s="370">
        <v>-34238.410000000003</v>
      </c>
      <c r="W119" s="89">
        <v>43697.916036342591</v>
      </c>
    </row>
    <row r="120" spans="2:23">
      <c r="B120" s="26">
        <v>43698</v>
      </c>
      <c r="C120" s="26" t="s">
        <v>137</v>
      </c>
      <c r="F120" s="26" t="s">
        <v>1093</v>
      </c>
      <c r="G120" s="26" t="s">
        <v>1682</v>
      </c>
      <c r="K120" s="54">
        <v>969</v>
      </c>
      <c r="M120" s="86">
        <v>2500</v>
      </c>
      <c r="S120" s="372">
        <v>117.89385416666667</v>
      </c>
    </row>
    <row r="121" spans="2:23">
      <c r="B121" s="26">
        <v>43698</v>
      </c>
      <c r="C121" s="26" t="s">
        <v>137</v>
      </c>
      <c r="F121" s="26" t="s">
        <v>1093</v>
      </c>
      <c r="G121" s="26" t="s">
        <v>1682</v>
      </c>
      <c r="K121" s="54">
        <v>969</v>
      </c>
      <c r="M121" s="54">
        <v>1500</v>
      </c>
      <c r="N121" s="54">
        <v>-1453500</v>
      </c>
      <c r="R121" s="54">
        <v>-1453500</v>
      </c>
      <c r="S121" s="54">
        <v>117.89384892006485</v>
      </c>
      <c r="T121" s="370">
        <v>-12328.89</v>
      </c>
      <c r="W121" s="89">
        <v>43698.037979398148</v>
      </c>
    </row>
    <row r="122" spans="2:23">
      <c r="B122" s="26">
        <v>43699</v>
      </c>
      <c r="C122" s="26" t="s">
        <v>137</v>
      </c>
      <c r="E122" s="26" t="s">
        <v>1314</v>
      </c>
      <c r="F122" s="26" t="s">
        <v>1093</v>
      </c>
      <c r="G122" s="26" t="s">
        <v>1684</v>
      </c>
      <c r="K122" s="54">
        <v>6.4</v>
      </c>
      <c r="M122" s="54">
        <v>3300</v>
      </c>
      <c r="N122" s="54">
        <v>-21120</v>
      </c>
      <c r="R122" s="54">
        <v>-21120</v>
      </c>
      <c r="S122" s="54">
        <v>1</v>
      </c>
      <c r="T122" s="54">
        <v>-21120</v>
      </c>
      <c r="W122" s="89">
        <v>43699.440909606485</v>
      </c>
    </row>
    <row r="123" spans="2:23">
      <c r="B123" s="26">
        <v>43700</v>
      </c>
      <c r="C123" s="26" t="s">
        <v>137</v>
      </c>
      <c r="D123" s="26" t="s">
        <v>1682</v>
      </c>
      <c r="E123" s="26" t="s">
        <v>1314</v>
      </c>
      <c r="F123" s="26" t="s">
        <v>1277</v>
      </c>
      <c r="G123" s="26" t="s">
        <v>1682</v>
      </c>
      <c r="K123" s="54">
        <v>951</v>
      </c>
      <c r="M123" s="54">
        <v>1500</v>
      </c>
      <c r="N123" s="54">
        <v>-1426500</v>
      </c>
      <c r="R123" s="54">
        <v>-1426500</v>
      </c>
      <c r="S123" s="54">
        <v>117.89207812205744</v>
      </c>
      <c r="T123" s="88">
        <v>-12100.05</v>
      </c>
      <c r="W123" s="89">
        <v>43700.40873599537</v>
      </c>
    </row>
    <row r="124" spans="2:23">
      <c r="B124" s="26">
        <v>43700</v>
      </c>
      <c r="C124" s="26" t="s">
        <v>137</v>
      </c>
      <c r="D124" s="26" t="s">
        <v>1682</v>
      </c>
      <c r="E124" s="26" t="s">
        <v>1314</v>
      </c>
      <c r="F124" s="26" t="s">
        <v>1277</v>
      </c>
      <c r="G124" s="26" t="s">
        <v>1682</v>
      </c>
      <c r="K124" s="54">
        <v>951</v>
      </c>
      <c r="M124" s="54">
        <v>2200</v>
      </c>
      <c r="N124" s="54">
        <v>-2092200</v>
      </c>
      <c r="R124" s="54">
        <v>-2092200</v>
      </c>
      <c r="S124" s="54">
        <v>117.89207812205744</v>
      </c>
      <c r="T124" s="54">
        <v>-17746.739503852656</v>
      </c>
      <c r="W124" s="89">
        <v>43700.412138657404</v>
      </c>
    </row>
    <row r="125" spans="2:23">
      <c r="B125" s="26">
        <v>43700</v>
      </c>
      <c r="C125" s="26" t="s">
        <v>137</v>
      </c>
      <c r="D125" s="26" t="s">
        <v>1221</v>
      </c>
      <c r="E125" s="26" t="s">
        <v>1314</v>
      </c>
      <c r="F125" s="26" t="s">
        <v>1277</v>
      </c>
      <c r="G125" s="26" t="s">
        <v>1221</v>
      </c>
      <c r="K125" s="54">
        <v>61.029999999999994</v>
      </c>
      <c r="M125" s="54">
        <v>420</v>
      </c>
      <c r="N125" s="54">
        <v>-25632.6</v>
      </c>
      <c r="R125" s="54">
        <v>-25632.6</v>
      </c>
      <c r="S125" s="54">
        <v>1.1078000199404003</v>
      </c>
      <c r="T125" s="54">
        <v>-23138.291693999996</v>
      </c>
      <c r="W125" s="89">
        <v>43700.704092361113</v>
      </c>
    </row>
    <row r="126" spans="2:23">
      <c r="B126" s="26">
        <v>43703</v>
      </c>
      <c r="C126" s="26" t="s">
        <v>137</v>
      </c>
      <c r="E126" s="26" t="s">
        <v>1314</v>
      </c>
      <c r="F126" s="26" t="s">
        <v>1093</v>
      </c>
      <c r="G126" s="26" t="s">
        <v>1687</v>
      </c>
      <c r="K126" s="54">
        <v>23.400000000000002</v>
      </c>
      <c r="M126" s="54">
        <v>1700</v>
      </c>
      <c r="N126" s="54">
        <v>-39780</v>
      </c>
      <c r="R126" s="54">
        <v>-39780</v>
      </c>
      <c r="S126" s="54">
        <v>1.1144047963982437</v>
      </c>
      <c r="T126" s="54">
        <v>-35696.185200000007</v>
      </c>
      <c r="W126" s="89">
        <v>43703.367658912037</v>
      </c>
    </row>
    <row r="127" spans="2:23">
      <c r="B127" s="26">
        <v>43704</v>
      </c>
      <c r="C127" s="26" t="s">
        <v>137</v>
      </c>
      <c r="D127" s="26" t="s">
        <v>1682</v>
      </c>
      <c r="E127" s="26" t="s">
        <v>1314</v>
      </c>
      <c r="F127" s="26" t="s">
        <v>1277</v>
      </c>
      <c r="G127" s="26" t="s">
        <v>1682</v>
      </c>
      <c r="K127" s="54">
        <v>953</v>
      </c>
      <c r="M127" s="54">
        <v>1100</v>
      </c>
      <c r="N127" s="54">
        <v>-1048300</v>
      </c>
      <c r="R127" s="54">
        <v>-1048300</v>
      </c>
      <c r="S127" s="54">
        <v>117.79331779331774</v>
      </c>
      <c r="T127" s="88">
        <v>-8899.49</v>
      </c>
      <c r="W127" s="89">
        <v>43704.448045254627</v>
      </c>
    </row>
    <row r="128" spans="2:23">
      <c r="B128" s="26">
        <v>43704</v>
      </c>
      <c r="C128" s="26" t="s">
        <v>137</v>
      </c>
      <c r="E128" s="26" t="s">
        <v>1314</v>
      </c>
      <c r="F128" s="26" t="s">
        <v>1093</v>
      </c>
      <c r="G128" s="26" t="s">
        <v>1689</v>
      </c>
      <c r="K128" s="54">
        <v>2505</v>
      </c>
      <c r="M128" s="54">
        <v>1100</v>
      </c>
      <c r="N128" s="54">
        <v>-2755500</v>
      </c>
      <c r="R128" s="54">
        <v>-2755500</v>
      </c>
      <c r="S128" s="54">
        <v>117.24390325049072</v>
      </c>
      <c r="T128" s="54">
        <v>-23502.288166855848</v>
      </c>
      <c r="W128" s="89">
        <v>43704.955766666666</v>
      </c>
    </row>
    <row r="129" spans="2:23">
      <c r="B129" s="26">
        <v>43705</v>
      </c>
      <c r="C129" s="26" t="s">
        <v>138</v>
      </c>
      <c r="D129" s="26" t="s">
        <v>1208</v>
      </c>
      <c r="E129" s="26" t="s">
        <v>1314</v>
      </c>
      <c r="F129" s="26" t="s">
        <v>1277</v>
      </c>
      <c r="G129" s="26" t="s">
        <v>1208</v>
      </c>
      <c r="K129" s="54">
        <v>71900</v>
      </c>
      <c r="M129" s="54">
        <v>-690</v>
      </c>
      <c r="N129" s="54">
        <v>49611000</v>
      </c>
      <c r="R129" s="54">
        <v>49611000</v>
      </c>
      <c r="S129" s="54">
        <v>1343.8245112064858</v>
      </c>
      <c r="T129" s="370">
        <v>36917.769999999997</v>
      </c>
    </row>
    <row r="130" spans="2:23">
      <c r="B130" s="26">
        <v>43706</v>
      </c>
      <c r="C130" s="26" t="s">
        <v>137</v>
      </c>
      <c r="D130" s="26" t="s">
        <v>1211</v>
      </c>
      <c r="E130" s="26" t="s">
        <v>1314</v>
      </c>
      <c r="F130" s="26" t="s">
        <v>1277</v>
      </c>
      <c r="G130" s="26" t="s">
        <v>1211</v>
      </c>
      <c r="K130" s="54">
        <v>36.520000000000003</v>
      </c>
      <c r="M130" s="54">
        <v>420</v>
      </c>
      <c r="N130" s="54">
        <v>-15338.400000000001</v>
      </c>
      <c r="R130" s="54">
        <v>-15338.400000000001</v>
      </c>
      <c r="S130" s="54">
        <v>1</v>
      </c>
      <c r="T130" s="88">
        <v>-15338.4</v>
      </c>
      <c r="W130" s="89">
        <v>43706.69808321759</v>
      </c>
    </row>
    <row r="131" spans="2:23">
      <c r="B131" s="26">
        <v>43709</v>
      </c>
      <c r="C131" s="26" t="s">
        <v>137</v>
      </c>
      <c r="D131" s="26" t="s">
        <v>1186</v>
      </c>
      <c r="E131" s="26" t="s">
        <v>1314</v>
      </c>
      <c r="F131" s="26" t="s">
        <v>1277</v>
      </c>
      <c r="G131" s="26" t="s">
        <v>1691</v>
      </c>
      <c r="K131" s="54">
        <v>2742</v>
      </c>
      <c r="M131" s="54">
        <v>1100</v>
      </c>
      <c r="N131" s="54">
        <v>-3016200</v>
      </c>
      <c r="R131" s="54">
        <v>-3016200</v>
      </c>
      <c r="S131" s="54">
        <v>116.80219780219767</v>
      </c>
      <c r="T131" s="88">
        <v>-25823.14</v>
      </c>
      <c r="W131" s="89">
        <v>43709.979146874997</v>
      </c>
    </row>
    <row r="132" spans="2:23">
      <c r="B132" s="26">
        <v>43709</v>
      </c>
      <c r="C132" s="26" t="s">
        <v>137</v>
      </c>
      <c r="D132" s="26" t="s">
        <v>1188</v>
      </c>
      <c r="E132" s="26" t="s">
        <v>1314</v>
      </c>
      <c r="F132" s="26" t="s">
        <v>1277</v>
      </c>
      <c r="G132" s="26" t="s">
        <v>1188</v>
      </c>
      <c r="K132" s="54">
        <v>3595</v>
      </c>
      <c r="M132" s="54">
        <v>1100</v>
      </c>
      <c r="N132" s="54">
        <v>-3954500</v>
      </c>
      <c r="R132" s="54">
        <v>-3954500</v>
      </c>
      <c r="S132" s="54">
        <v>116.80219780219785</v>
      </c>
      <c r="T132" s="88">
        <v>-33856.379999999997</v>
      </c>
      <c r="W132" s="89">
        <v>43709.980881134259</v>
      </c>
    </row>
    <row r="133" spans="2:23">
      <c r="B133" s="26">
        <v>43709</v>
      </c>
      <c r="C133" s="26" t="s">
        <v>138</v>
      </c>
      <c r="D133" s="26" t="s">
        <v>1187</v>
      </c>
      <c r="E133" s="26" t="s">
        <v>1314</v>
      </c>
      <c r="F133" s="26" t="s">
        <v>1277</v>
      </c>
      <c r="G133" s="26" t="s">
        <v>1693</v>
      </c>
      <c r="K133" s="54">
        <v>1017</v>
      </c>
      <c r="M133" s="54">
        <v>-690</v>
      </c>
      <c r="N133" s="54">
        <v>701730</v>
      </c>
      <c r="R133" s="54">
        <v>701730</v>
      </c>
      <c r="S133" s="54">
        <v>116.80219780219775</v>
      </c>
      <c r="T133" s="88">
        <v>6007.85</v>
      </c>
    </row>
    <row r="134" spans="2:23">
      <c r="B134" s="26">
        <v>43718</v>
      </c>
      <c r="C134" s="26" t="s">
        <v>137</v>
      </c>
      <c r="D134" s="26" t="s">
        <v>1209</v>
      </c>
      <c r="E134" s="26" t="s">
        <v>1314</v>
      </c>
      <c r="F134" s="26" t="s">
        <v>1277</v>
      </c>
      <c r="G134" s="26" t="s">
        <v>1209</v>
      </c>
      <c r="K134" s="54">
        <v>0.47000000000000003</v>
      </c>
      <c r="M134" s="54">
        <v>94000</v>
      </c>
      <c r="N134" s="54">
        <v>-44180</v>
      </c>
      <c r="R134" s="54">
        <v>-44180</v>
      </c>
      <c r="S134" s="54">
        <v>1.6099568103743467</v>
      </c>
      <c r="T134" s="88">
        <v>-27441.73</v>
      </c>
      <c r="W134" s="89">
        <v>43718.504809606478</v>
      </c>
    </row>
    <row r="135" spans="2:23">
      <c r="B135" s="26">
        <v>43721</v>
      </c>
      <c r="C135" s="26" t="s">
        <v>138</v>
      </c>
      <c r="D135" s="26" t="s">
        <v>1213</v>
      </c>
      <c r="E135" s="26" t="s">
        <v>1314</v>
      </c>
      <c r="F135" s="26" t="s">
        <v>1277</v>
      </c>
      <c r="G135" s="26" t="s">
        <v>1213</v>
      </c>
      <c r="K135" s="54">
        <v>43.12</v>
      </c>
      <c r="M135" s="54">
        <v>-700</v>
      </c>
      <c r="N135" s="54">
        <v>30184</v>
      </c>
      <c r="R135" s="54">
        <v>30184</v>
      </c>
      <c r="S135" s="54">
        <v>1</v>
      </c>
      <c r="T135" s="88">
        <v>30184</v>
      </c>
    </row>
    <row r="136" spans="2:23">
      <c r="B136" s="26">
        <v>43756</v>
      </c>
      <c r="C136" s="26" t="s">
        <v>137</v>
      </c>
      <c r="D136" s="26" t="s">
        <v>1209</v>
      </c>
      <c r="E136" s="26" t="s">
        <v>1314</v>
      </c>
      <c r="F136" s="26" t="s">
        <v>1277</v>
      </c>
      <c r="G136" s="26" t="s">
        <v>1209</v>
      </c>
      <c r="K136" s="54">
        <v>0.44</v>
      </c>
      <c r="M136" s="54">
        <v>70000</v>
      </c>
      <c r="N136" s="54">
        <v>-30800</v>
      </c>
      <c r="R136" s="54">
        <v>-30800</v>
      </c>
      <c r="S136" s="54">
        <v>1.6300716255894638</v>
      </c>
      <c r="T136" s="88">
        <v>-18894.88</v>
      </c>
      <c r="W136" s="89">
        <v>43756.421332986109</v>
      </c>
    </row>
    <row r="137" spans="2:23">
      <c r="B137" s="26">
        <v>43756</v>
      </c>
      <c r="C137" s="26" t="s">
        <v>137</v>
      </c>
      <c r="D137" s="26" t="s">
        <v>1640</v>
      </c>
      <c r="E137" s="26" t="s">
        <v>1314</v>
      </c>
      <c r="F137" s="26" t="s">
        <v>1277</v>
      </c>
      <c r="G137" s="26" t="s">
        <v>1640</v>
      </c>
      <c r="K137" s="54">
        <v>6140</v>
      </c>
      <c r="M137" s="54">
        <v>4300</v>
      </c>
      <c r="N137" s="54">
        <v>-26402000</v>
      </c>
      <c r="R137" s="54">
        <v>-26402000</v>
      </c>
      <c r="S137" s="54">
        <v>1310.8372631016996</v>
      </c>
      <c r="T137" s="88">
        <v>-20141.330000000002</v>
      </c>
      <c r="W137" s="89">
        <v>43756.422031481481</v>
      </c>
    </row>
    <row r="138" spans="2:23">
      <c r="B138" s="26">
        <v>43756</v>
      </c>
      <c r="C138" s="26" t="s">
        <v>137</v>
      </c>
      <c r="D138" s="26" t="s">
        <v>1219</v>
      </c>
      <c r="E138" s="26" t="s">
        <v>1314</v>
      </c>
      <c r="F138" s="26" t="s">
        <v>1277</v>
      </c>
      <c r="G138" s="26" t="s">
        <v>1219</v>
      </c>
      <c r="K138" s="54">
        <v>47.690000000000005</v>
      </c>
      <c r="M138" s="54">
        <v>550</v>
      </c>
      <c r="N138" s="54">
        <v>-26229.500000000004</v>
      </c>
      <c r="R138" s="54">
        <v>-26229.500000000004</v>
      </c>
      <c r="S138" s="54">
        <v>1</v>
      </c>
      <c r="T138" s="88">
        <v>-26229.5</v>
      </c>
      <c r="W138" s="89">
        <v>43756.426748148151</v>
      </c>
    </row>
    <row r="139" spans="2:23">
      <c r="B139" s="26">
        <v>43756</v>
      </c>
      <c r="C139" s="26" t="s">
        <v>137</v>
      </c>
      <c r="D139" s="26" t="s">
        <v>1202</v>
      </c>
      <c r="E139" s="26" t="s">
        <v>1314</v>
      </c>
      <c r="F139" s="26" t="s">
        <v>1277</v>
      </c>
      <c r="G139" s="26" t="s">
        <v>1202</v>
      </c>
      <c r="K139" s="54">
        <v>165000</v>
      </c>
      <c r="M139" s="54">
        <v>600</v>
      </c>
      <c r="N139" s="54">
        <v>-99000000</v>
      </c>
      <c r="R139" s="54">
        <v>-99000000</v>
      </c>
      <c r="S139" s="54">
        <v>1310.8372631016944</v>
      </c>
      <c r="T139" s="88">
        <v>-75524.25</v>
      </c>
      <c r="W139" s="89">
        <v>43756.645654513886</v>
      </c>
    </row>
    <row r="140" spans="2:23">
      <c r="B140" s="26">
        <v>43760</v>
      </c>
      <c r="C140" s="26" t="s">
        <v>137</v>
      </c>
      <c r="E140" s="26" t="s">
        <v>1314</v>
      </c>
      <c r="F140" s="26" t="s">
        <v>1093</v>
      </c>
      <c r="G140" s="26" t="s">
        <v>1699</v>
      </c>
      <c r="K140" s="54">
        <v>33</v>
      </c>
      <c r="M140" s="54">
        <v>680</v>
      </c>
      <c r="N140" s="54">
        <v>-22440</v>
      </c>
      <c r="R140" s="54">
        <v>-22440</v>
      </c>
      <c r="S140" s="54">
        <v>1</v>
      </c>
      <c r="T140" s="88">
        <v>-22440</v>
      </c>
      <c r="W140" s="89">
        <v>43760.725090856482</v>
      </c>
    </row>
    <row r="141" spans="2:23">
      <c r="B141" s="26">
        <v>43762</v>
      </c>
      <c r="C141" s="26" t="s">
        <v>138</v>
      </c>
      <c r="D141" s="26" t="s">
        <v>1190</v>
      </c>
      <c r="E141" s="26" t="s">
        <v>1314</v>
      </c>
      <c r="F141" s="26" t="s">
        <v>1277</v>
      </c>
      <c r="G141" s="26" t="s">
        <v>1190</v>
      </c>
      <c r="K141" s="54">
        <v>2398</v>
      </c>
      <c r="M141" s="54">
        <v>-1700</v>
      </c>
      <c r="N141" s="54">
        <v>4076600</v>
      </c>
      <c r="R141" s="54">
        <v>4076600</v>
      </c>
      <c r="S141" s="54">
        <v>120.95042012130651</v>
      </c>
      <c r="T141" s="88">
        <v>33704.720000000001</v>
      </c>
    </row>
    <row r="142" spans="2:23">
      <c r="B142" s="26">
        <v>43762</v>
      </c>
      <c r="C142" s="26" t="s">
        <v>137</v>
      </c>
      <c r="E142" s="26" t="s">
        <v>1314</v>
      </c>
      <c r="F142" s="26" t="s">
        <v>1093</v>
      </c>
      <c r="G142" s="26" t="s">
        <v>1700</v>
      </c>
      <c r="K142" s="54">
        <v>9.8249999999999993</v>
      </c>
      <c r="M142" s="54">
        <v>3200</v>
      </c>
      <c r="N142" s="54">
        <v>-31439.999999999996</v>
      </c>
      <c r="R142" s="54">
        <v>-31439.999999999996</v>
      </c>
      <c r="S142" s="54">
        <v>1.1129041233097769</v>
      </c>
      <c r="T142" s="88">
        <v>-28250.41</v>
      </c>
      <c r="W142" s="89">
        <v>43762.697917824073</v>
      </c>
    </row>
    <row r="143" spans="2:23">
      <c r="B143" s="26">
        <v>43762</v>
      </c>
      <c r="C143" s="26" t="s">
        <v>137</v>
      </c>
      <c r="E143" s="26" t="s">
        <v>1314</v>
      </c>
      <c r="F143" s="26" t="s">
        <v>1093</v>
      </c>
      <c r="G143" s="26" t="s">
        <v>1701</v>
      </c>
      <c r="K143" s="54">
        <v>0.28000000000000003</v>
      </c>
      <c r="M143" s="54">
        <v>150000</v>
      </c>
      <c r="N143" s="54">
        <v>-42000.000000000007</v>
      </c>
      <c r="R143" s="54">
        <v>-42000.000000000007</v>
      </c>
      <c r="S143" s="54">
        <v>1.6239608257748599</v>
      </c>
      <c r="T143" s="88">
        <v>-25862.69</v>
      </c>
      <c r="W143" s="89">
        <v>43762.710692245368</v>
      </c>
    </row>
    <row r="144" spans="2:23">
      <c r="B144" s="26">
        <v>43762</v>
      </c>
      <c r="C144" s="26" t="s">
        <v>138</v>
      </c>
      <c r="D144" s="26" t="s">
        <v>1197</v>
      </c>
      <c r="E144" s="26" t="s">
        <v>1314</v>
      </c>
      <c r="F144" s="26" t="s">
        <v>1277</v>
      </c>
      <c r="G144" s="26" t="s">
        <v>1197</v>
      </c>
      <c r="K144" s="54">
        <v>10730</v>
      </c>
      <c r="M144" s="54">
        <v>-600</v>
      </c>
      <c r="N144" s="54">
        <v>6438000</v>
      </c>
      <c r="R144" s="54">
        <v>6438000</v>
      </c>
      <c r="S144" s="54">
        <v>120.95042012130651</v>
      </c>
      <c r="T144" s="88">
        <v>53228.42</v>
      </c>
    </row>
    <row r="145" spans="2:23">
      <c r="B145" s="26">
        <v>43762</v>
      </c>
      <c r="C145" s="26" t="s">
        <v>138</v>
      </c>
      <c r="D145" s="26" t="s">
        <v>1183</v>
      </c>
      <c r="E145" s="26" t="s">
        <v>1314</v>
      </c>
      <c r="F145" s="26" t="s">
        <v>1277</v>
      </c>
      <c r="G145" s="26" t="s">
        <v>1649</v>
      </c>
      <c r="K145" s="54">
        <v>3325</v>
      </c>
      <c r="M145" s="54">
        <v>-2000</v>
      </c>
      <c r="N145" s="54">
        <v>6650000</v>
      </c>
      <c r="R145" s="54">
        <v>6650000</v>
      </c>
      <c r="S145" s="54">
        <v>120.95042012130675</v>
      </c>
      <c r="T145" s="88">
        <v>54981.21</v>
      </c>
    </row>
    <row r="146" spans="2:23">
      <c r="B146" s="26">
        <v>43763</v>
      </c>
      <c r="C146" s="26" t="s">
        <v>137</v>
      </c>
      <c r="D146" s="26" t="s">
        <v>1221</v>
      </c>
      <c r="E146" s="26" t="s">
        <v>1314</v>
      </c>
      <c r="F146" s="26" t="s">
        <v>1277</v>
      </c>
      <c r="G146" s="26" t="s">
        <v>1221</v>
      </c>
      <c r="K146" s="54">
        <v>64.81</v>
      </c>
      <c r="M146" s="54">
        <v>475</v>
      </c>
      <c r="N146" s="54">
        <v>-30784.75</v>
      </c>
      <c r="R146" s="54">
        <v>-30784.75</v>
      </c>
      <c r="S146" s="54">
        <v>1.1103955228852518</v>
      </c>
      <c r="T146" s="54">
        <v>-27724.130154999999</v>
      </c>
      <c r="W146" s="89">
        <v>43763.650407986112</v>
      </c>
    </row>
    <row r="147" spans="2:23">
      <c r="B147" s="26">
        <v>43763</v>
      </c>
      <c r="C147" s="26" t="s">
        <v>138</v>
      </c>
      <c r="D147" s="26" t="s">
        <v>1217</v>
      </c>
      <c r="E147" s="26" t="s">
        <v>1314</v>
      </c>
      <c r="F147" s="26" t="s">
        <v>1277</v>
      </c>
      <c r="G147" s="26" t="s">
        <v>1217</v>
      </c>
      <c r="K147" s="54">
        <v>66.08</v>
      </c>
      <c r="M147" s="54">
        <v>-900</v>
      </c>
      <c r="N147" s="54">
        <v>59472</v>
      </c>
      <c r="R147" s="54">
        <v>59472</v>
      </c>
      <c r="S147" s="54">
        <v>1</v>
      </c>
      <c r="T147" s="54">
        <v>59472</v>
      </c>
    </row>
    <row r="148" spans="2:23">
      <c r="B148" s="26">
        <v>43763</v>
      </c>
      <c r="C148" s="26" t="s">
        <v>137</v>
      </c>
      <c r="D148" s="26" t="s">
        <v>1704</v>
      </c>
      <c r="E148" s="26" t="s">
        <v>1314</v>
      </c>
      <c r="F148" s="26" t="s">
        <v>1277</v>
      </c>
      <c r="G148" s="26" t="s">
        <v>1704</v>
      </c>
      <c r="K148" s="54">
        <v>170.85</v>
      </c>
      <c r="M148" s="54">
        <v>370</v>
      </c>
      <c r="N148" s="54">
        <v>-63214.5</v>
      </c>
      <c r="R148" s="54">
        <v>-63214.5</v>
      </c>
      <c r="S148" s="54">
        <v>1</v>
      </c>
      <c r="T148" s="54">
        <v>-63214.5</v>
      </c>
      <c r="W148" s="89">
        <v>43763.677882638891</v>
      </c>
    </row>
    <row r="149" spans="2:23">
      <c r="B149" s="26">
        <v>43766</v>
      </c>
      <c r="C149" s="26" t="s">
        <v>138</v>
      </c>
      <c r="D149" s="26" t="s">
        <v>1632</v>
      </c>
      <c r="E149" s="26" t="s">
        <v>1707</v>
      </c>
      <c r="F149" s="26" t="s">
        <v>1277</v>
      </c>
      <c r="G149" s="26" t="s">
        <v>1632</v>
      </c>
      <c r="K149" s="54">
        <v>27.51</v>
      </c>
      <c r="M149" s="54">
        <v>-2220</v>
      </c>
      <c r="N149" s="54">
        <v>61072.200000000004</v>
      </c>
      <c r="R149" s="54">
        <v>61072.200000000004</v>
      </c>
      <c r="S149" s="54">
        <v>1</v>
      </c>
      <c r="T149" s="54">
        <v>61072.200000000004</v>
      </c>
    </row>
    <row r="150" spans="2:23">
      <c r="B150" s="26">
        <v>43769</v>
      </c>
      <c r="C150" s="26" t="s">
        <v>137</v>
      </c>
      <c r="D150" s="26" t="s">
        <v>1209</v>
      </c>
      <c r="E150" s="26" t="s">
        <v>1314</v>
      </c>
      <c r="F150" s="26" t="s">
        <v>1277</v>
      </c>
      <c r="G150" s="26" t="s">
        <v>1209</v>
      </c>
      <c r="K150" s="54">
        <v>0.4</v>
      </c>
      <c r="M150" s="54">
        <v>91000</v>
      </c>
      <c r="N150" s="54">
        <v>-36400</v>
      </c>
      <c r="R150" s="54">
        <v>-36400</v>
      </c>
      <c r="S150" s="54">
        <v>1.6151925263650724</v>
      </c>
      <c r="T150" s="54">
        <v>-22536.013141366358</v>
      </c>
      <c r="W150" s="89">
        <v>43769.445779398149</v>
      </c>
    </row>
    <row r="151" spans="2:23">
      <c r="B151" s="26">
        <v>43770</v>
      </c>
      <c r="C151" s="26" t="s">
        <v>137</v>
      </c>
      <c r="D151" s="26" t="s">
        <v>1647</v>
      </c>
      <c r="E151" s="26" t="s">
        <v>1314</v>
      </c>
      <c r="F151" s="26" t="s">
        <v>1277</v>
      </c>
      <c r="G151" s="26" t="s">
        <v>1647</v>
      </c>
      <c r="K151" s="54">
        <v>16.11</v>
      </c>
      <c r="M151" s="54">
        <v>1250</v>
      </c>
      <c r="N151" s="54">
        <v>-20137.5</v>
      </c>
      <c r="R151" s="54">
        <v>-20137.5</v>
      </c>
      <c r="S151" s="54">
        <v>1.1150012265013491</v>
      </c>
      <c r="T151" s="54">
        <v>-18060.518250000001</v>
      </c>
      <c r="W151" s="89">
        <v>43770.436891319441</v>
      </c>
    </row>
    <row r="152" spans="2:23">
      <c r="B152" s="26">
        <v>43774</v>
      </c>
      <c r="C152" s="26" t="s">
        <v>138</v>
      </c>
      <c r="D152" s="26" t="s">
        <v>1210</v>
      </c>
      <c r="E152" s="26" t="s">
        <v>1314</v>
      </c>
      <c r="F152" s="26" t="s">
        <v>1277</v>
      </c>
      <c r="G152" s="26" t="s">
        <v>1210</v>
      </c>
      <c r="K152" s="54">
        <v>40.06</v>
      </c>
      <c r="M152" s="54">
        <v>900</v>
      </c>
      <c r="N152" s="54">
        <v>-36054</v>
      </c>
      <c r="R152" s="54">
        <v>-36054</v>
      </c>
      <c r="S152" s="54">
        <v>1</v>
      </c>
      <c r="T152" s="54">
        <v>-36054</v>
      </c>
    </row>
    <row r="153" spans="2:23">
      <c r="B153" s="26">
        <v>43774</v>
      </c>
      <c r="C153" s="26" t="s">
        <v>138</v>
      </c>
      <c r="D153" s="26" t="s">
        <v>1197</v>
      </c>
      <c r="E153" s="26" t="s">
        <v>1314</v>
      </c>
      <c r="F153" s="26" t="s">
        <v>1277</v>
      </c>
      <c r="G153" s="26" t="s">
        <v>1197</v>
      </c>
      <c r="K153" s="54">
        <v>11340</v>
      </c>
      <c r="M153" s="54">
        <v>900</v>
      </c>
      <c r="N153" s="54">
        <v>-10206000</v>
      </c>
      <c r="R153" s="54">
        <v>-10206000</v>
      </c>
      <c r="S153" s="54">
        <v>120.78326657765905</v>
      </c>
      <c r="T153" s="54">
        <v>-84498.459837877701</v>
      </c>
    </row>
    <row r="154" spans="2:23">
      <c r="B154" s="26">
        <v>43795</v>
      </c>
      <c r="C154" s="26" t="s">
        <v>137</v>
      </c>
      <c r="D154" s="26" t="s">
        <v>1202</v>
      </c>
      <c r="E154" s="26" t="s">
        <v>1314</v>
      </c>
      <c r="F154" s="26" t="s">
        <v>1277</v>
      </c>
      <c r="G154" s="26" t="s">
        <v>1202</v>
      </c>
      <c r="K154" s="54">
        <v>168000</v>
      </c>
      <c r="M154" s="54">
        <v>280</v>
      </c>
      <c r="N154" s="54">
        <v>-47040000</v>
      </c>
      <c r="R154" s="54">
        <v>-47040000</v>
      </c>
      <c r="S154" s="54">
        <v>1291.7116363075659</v>
      </c>
      <c r="T154" s="54">
        <v>-36416.796657856721</v>
      </c>
      <c r="W154" s="89">
        <v>43795.726104629626</v>
      </c>
    </row>
    <row r="155" spans="2:23">
      <c r="B155" s="26">
        <v>43795</v>
      </c>
      <c r="C155" s="26" t="s">
        <v>137</v>
      </c>
      <c r="D155" s="26" t="s">
        <v>1209</v>
      </c>
      <c r="E155" s="26" t="s">
        <v>1314</v>
      </c>
      <c r="F155" s="26" t="s">
        <v>1277</v>
      </c>
      <c r="G155" s="26" t="s">
        <v>1209</v>
      </c>
      <c r="K155" s="54">
        <v>0.375</v>
      </c>
      <c r="M155" s="54">
        <v>160000</v>
      </c>
      <c r="N155" s="54">
        <v>-60000</v>
      </c>
      <c r="R155" s="54">
        <v>-60000</v>
      </c>
      <c r="S155" s="54">
        <v>1.6250523116230919</v>
      </c>
      <c r="T155" s="54">
        <v>-36921.888342211198</v>
      </c>
      <c r="W155" s="89">
        <v>43795.727863194443</v>
      </c>
    </row>
    <row r="156" spans="2:23">
      <c r="B156" s="26">
        <v>43795</v>
      </c>
      <c r="C156" s="26" t="s">
        <v>137</v>
      </c>
      <c r="D156" s="26" t="s">
        <v>1191</v>
      </c>
      <c r="E156" s="26" t="s">
        <v>1314</v>
      </c>
      <c r="F156" s="26" t="s">
        <v>1277</v>
      </c>
      <c r="G156" s="26" t="s">
        <v>1191</v>
      </c>
      <c r="K156" s="54">
        <v>499</v>
      </c>
      <c r="M156" s="54">
        <v>8900</v>
      </c>
      <c r="N156" s="54">
        <v>-4441100</v>
      </c>
      <c r="R156" s="54">
        <v>-4441100</v>
      </c>
      <c r="S156" s="54">
        <v>119.93127904671694</v>
      </c>
      <c r="T156" s="54">
        <v>-37030.373021120322</v>
      </c>
      <c r="W156" s="89">
        <v>43795.728642476854</v>
      </c>
    </row>
    <row r="157" spans="2:23">
      <c r="B157" s="26">
        <v>43795</v>
      </c>
      <c r="C157" s="26" t="s">
        <v>137</v>
      </c>
      <c r="D157" s="26" t="s">
        <v>1195</v>
      </c>
      <c r="E157" s="26" t="s">
        <v>1314</v>
      </c>
      <c r="F157" s="26" t="s">
        <v>1277</v>
      </c>
      <c r="G157" s="26" t="s">
        <v>1195</v>
      </c>
      <c r="K157" s="54">
        <v>2323</v>
      </c>
      <c r="M157" s="54">
        <v>1920</v>
      </c>
      <c r="N157" s="54">
        <v>-4460160</v>
      </c>
      <c r="R157" s="54">
        <v>-4460160</v>
      </c>
      <c r="S157" s="54">
        <v>119.93127904671688</v>
      </c>
      <c r="T157" s="54">
        <v>-37189.297366391234</v>
      </c>
      <c r="W157" s="89">
        <v>43795.72945810185</v>
      </c>
    </row>
    <row r="158" spans="2:23">
      <c r="B158" s="26">
        <v>43795</v>
      </c>
      <c r="C158" s="26" t="s">
        <v>137</v>
      </c>
      <c r="D158" s="26" t="s">
        <v>1194</v>
      </c>
      <c r="E158" s="26" t="s">
        <v>1314</v>
      </c>
      <c r="F158" s="26" t="s">
        <v>1277</v>
      </c>
      <c r="G158" s="26" t="s">
        <v>1194</v>
      </c>
      <c r="K158" s="54">
        <v>821.6</v>
      </c>
      <c r="M158" s="54">
        <v>5500</v>
      </c>
      <c r="N158" s="54">
        <v>-4518800</v>
      </c>
      <c r="R158" s="54">
        <v>-4518800</v>
      </c>
      <c r="S158" s="54">
        <v>119.93127904671699</v>
      </c>
      <c r="T158" s="54">
        <v>-37678.244040404054</v>
      </c>
      <c r="W158" s="89">
        <v>43795.730583449076</v>
      </c>
    </row>
    <row r="159" spans="2:23">
      <c r="B159" s="26">
        <v>43795</v>
      </c>
      <c r="C159" s="26" t="s">
        <v>137</v>
      </c>
      <c r="D159" s="26" t="s">
        <v>1204</v>
      </c>
      <c r="E159" s="26" t="s">
        <v>1314</v>
      </c>
      <c r="F159" s="26" t="s">
        <v>1277</v>
      </c>
      <c r="G159" s="26" t="s">
        <v>1204</v>
      </c>
      <c r="K159" s="54">
        <v>90000</v>
      </c>
      <c r="M159" s="54">
        <v>540</v>
      </c>
      <c r="N159" s="54">
        <v>-48600000</v>
      </c>
      <c r="R159" s="54">
        <v>-48600000</v>
      </c>
      <c r="S159" s="54">
        <v>1291.7116363075697</v>
      </c>
      <c r="T159" s="54">
        <v>-37624.496547020222</v>
      </c>
      <c r="W159" s="89">
        <v>43795.732494212964</v>
      </c>
    </row>
    <row r="160" spans="2:23">
      <c r="B160" s="26">
        <v>43795</v>
      </c>
      <c r="C160" s="26" t="s">
        <v>137</v>
      </c>
      <c r="D160" s="26" t="s">
        <v>1205</v>
      </c>
      <c r="E160" s="26" t="s">
        <v>1314</v>
      </c>
      <c r="F160" s="26" t="s">
        <v>1277</v>
      </c>
      <c r="G160" s="26" t="s">
        <v>1205</v>
      </c>
      <c r="K160" s="54">
        <v>112500</v>
      </c>
      <c r="M160" s="54">
        <v>435</v>
      </c>
      <c r="N160" s="54">
        <v>-48937500</v>
      </c>
      <c r="R160" s="54">
        <v>-48937500</v>
      </c>
      <c r="S160" s="54">
        <v>1291.7116363075704</v>
      </c>
      <c r="T160" s="54">
        <v>-37885.777773041176</v>
      </c>
      <c r="W160" s="89">
        <v>43795.733664467596</v>
      </c>
    </row>
    <row r="161" spans="2:23">
      <c r="B161" s="26">
        <v>43795</v>
      </c>
      <c r="C161" s="26" t="s">
        <v>137</v>
      </c>
      <c r="D161" s="26" t="s">
        <v>1112</v>
      </c>
      <c r="E161" s="26" t="s">
        <v>1314</v>
      </c>
      <c r="F161" s="26" t="s">
        <v>1277</v>
      </c>
      <c r="G161" s="26" t="s">
        <v>1180</v>
      </c>
      <c r="K161" s="54">
        <v>981</v>
      </c>
      <c r="M161" s="54">
        <v>4650</v>
      </c>
      <c r="N161" s="54">
        <v>-4561650</v>
      </c>
      <c r="R161" s="54">
        <v>-4561650</v>
      </c>
      <c r="S161" s="54">
        <v>119.93127904671704</v>
      </c>
      <c r="T161" s="54">
        <v>-38035.531983471068</v>
      </c>
      <c r="W161" s="89">
        <v>43795.734506597226</v>
      </c>
    </row>
    <row r="162" spans="2:23">
      <c r="B162" s="26">
        <v>43795</v>
      </c>
      <c r="C162" s="26" t="s">
        <v>137</v>
      </c>
      <c r="D162" s="26" t="s">
        <v>1701</v>
      </c>
      <c r="E162" s="26" t="s">
        <v>1314</v>
      </c>
      <c r="F162" s="26" t="s">
        <v>1277</v>
      </c>
      <c r="G162" s="26" t="s">
        <v>1701</v>
      </c>
      <c r="K162" s="54">
        <v>0.30499999999999999</v>
      </c>
      <c r="M162" s="54">
        <v>205000</v>
      </c>
      <c r="N162" s="54">
        <v>-62525</v>
      </c>
      <c r="R162" s="54">
        <v>-62525</v>
      </c>
      <c r="S162" s="54">
        <v>1.6250523116230884</v>
      </c>
      <c r="T162" s="54">
        <v>-38475.684476612674</v>
      </c>
      <c r="W162" s="89">
        <v>43795.735314467594</v>
      </c>
    </row>
    <row r="163" spans="2:23">
      <c r="B163" s="26">
        <v>43795</v>
      </c>
      <c r="C163" s="26" t="s">
        <v>138</v>
      </c>
      <c r="D163" s="26" t="s">
        <v>1641</v>
      </c>
      <c r="E163" s="26" t="s">
        <v>1314</v>
      </c>
      <c r="F163" s="26" t="s">
        <v>1277</v>
      </c>
      <c r="G163" s="26" t="s">
        <v>1641</v>
      </c>
      <c r="K163" s="54">
        <v>26.65</v>
      </c>
      <c r="M163" s="54">
        <v>-1700</v>
      </c>
      <c r="N163" s="54">
        <v>45305</v>
      </c>
      <c r="R163" s="54">
        <v>45305</v>
      </c>
      <c r="S163" s="54">
        <v>1.1012973282526817</v>
      </c>
      <c r="T163" s="54">
        <v>41137.846099999995</v>
      </c>
    </row>
    <row r="164" spans="2:23">
      <c r="B164" s="26">
        <v>43795</v>
      </c>
      <c r="C164" s="26" t="s">
        <v>138</v>
      </c>
      <c r="D164" s="26" t="s">
        <v>1199</v>
      </c>
      <c r="E164" s="26" t="s">
        <v>1314</v>
      </c>
      <c r="F164" s="26" t="s">
        <v>1277</v>
      </c>
      <c r="G164" s="26" t="s">
        <v>1199</v>
      </c>
      <c r="K164" s="54">
        <v>6405</v>
      </c>
      <c r="M164" s="54">
        <v>-1500</v>
      </c>
      <c r="N164" s="54">
        <v>9607500</v>
      </c>
      <c r="R164" s="54">
        <v>9607500</v>
      </c>
      <c r="S164" s="54">
        <v>119.93127904671695</v>
      </c>
      <c r="T164" s="54">
        <v>80108.37603305791</v>
      </c>
    </row>
    <row r="165" spans="2:23">
      <c r="B165" s="26">
        <v>43795</v>
      </c>
      <c r="C165" s="26" t="s">
        <v>137</v>
      </c>
      <c r="E165" s="26" t="s">
        <v>1712</v>
      </c>
      <c r="F165" s="26" t="s">
        <v>1277</v>
      </c>
      <c r="G165" s="26" t="s">
        <v>1193</v>
      </c>
      <c r="K165" s="54">
        <v>1325</v>
      </c>
      <c r="M165" s="54">
        <v>2200</v>
      </c>
      <c r="S165" s="54">
        <v>120.12868963541597</v>
      </c>
      <c r="T165" s="54">
        <v>-24265.643859488242</v>
      </c>
      <c r="W165" s="89">
        <v>43795.943657407406</v>
      </c>
    </row>
    <row r="166" spans="2:23">
      <c r="B166" s="26">
        <v>43795</v>
      </c>
      <c r="C166" s="26" t="s">
        <v>137</v>
      </c>
      <c r="E166" s="26" t="s">
        <v>1712</v>
      </c>
      <c r="F166" s="26" t="s">
        <v>1277</v>
      </c>
      <c r="G166" s="26" t="s">
        <v>1656</v>
      </c>
      <c r="K166" s="54">
        <v>2234</v>
      </c>
      <c r="M166" s="54">
        <v>2200</v>
      </c>
      <c r="S166" s="54">
        <v>120.1286896354159</v>
      </c>
      <c r="T166" s="54">
        <v>-40912.791231771138</v>
      </c>
      <c r="W166" s="89">
        <v>43795.944374999999</v>
      </c>
    </row>
    <row r="167" spans="2:23">
      <c r="B167" s="26">
        <v>43795</v>
      </c>
      <c r="C167" s="26" t="s">
        <v>137</v>
      </c>
      <c r="E167" s="26" t="s">
        <v>1712</v>
      </c>
      <c r="F167" s="26" t="s">
        <v>1277</v>
      </c>
      <c r="G167" s="26" t="s">
        <v>1713</v>
      </c>
      <c r="K167" s="54">
        <v>928</v>
      </c>
      <c r="M167" s="54">
        <v>2200</v>
      </c>
      <c r="S167" s="54">
        <v>120.12868963541607</v>
      </c>
      <c r="T167" s="54">
        <v>-16995.107548381184</v>
      </c>
      <c r="W167" s="89">
        <v>43795.94494212963</v>
      </c>
    </row>
    <row r="168" spans="2:23">
      <c r="B168" s="26">
        <v>43795</v>
      </c>
      <c r="C168" s="26" t="s">
        <v>137</v>
      </c>
      <c r="E168" s="26" t="s">
        <v>1712</v>
      </c>
      <c r="F168" s="26" t="s">
        <v>1277</v>
      </c>
      <c r="G168" s="26" t="s">
        <v>1714</v>
      </c>
      <c r="K168" s="54">
        <v>2.9</v>
      </c>
      <c r="M168" s="54">
        <v>22000</v>
      </c>
      <c r="S168" s="54">
        <v>1.6233955112878891</v>
      </c>
      <c r="T168" s="54">
        <v>-39300.342742345958</v>
      </c>
      <c r="W168" s="89">
        <v>43795.945914351854</v>
      </c>
    </row>
    <row r="169" spans="2:23">
      <c r="B169" s="26">
        <v>43795</v>
      </c>
      <c r="C169" s="26" t="s">
        <v>137</v>
      </c>
      <c r="G169" s="26" t="s">
        <v>1640</v>
      </c>
      <c r="K169" s="54">
        <v>4850</v>
      </c>
      <c r="M169" s="54">
        <v>6700</v>
      </c>
      <c r="S169" s="54">
        <v>1291.766287281981</v>
      </c>
      <c r="T169" s="54">
        <v>-25155.479222462967</v>
      </c>
      <c r="W169" s="89">
        <v>43795.962407407409</v>
      </c>
    </row>
    <row r="170" spans="2:23">
      <c r="B170" s="26">
        <v>43795</v>
      </c>
      <c r="C170" s="26" t="s">
        <v>137</v>
      </c>
      <c r="G170" s="26" t="s">
        <v>1639</v>
      </c>
      <c r="K170" s="54">
        <v>7570</v>
      </c>
      <c r="M170" s="54">
        <v>4200</v>
      </c>
      <c r="S170" s="54">
        <v>1291.7662872819822</v>
      </c>
      <c r="T170" s="54">
        <v>-24612.811398645539</v>
      </c>
      <c r="W170" s="89">
        <v>43795.963101851848</v>
      </c>
    </row>
    <row r="171" spans="2:23">
      <c r="B171" s="26">
        <v>43795</v>
      </c>
      <c r="C171" s="26" t="s">
        <v>137</v>
      </c>
      <c r="G171" s="26" t="s">
        <v>1206</v>
      </c>
      <c r="K171" s="54">
        <v>3680</v>
      </c>
      <c r="M171" s="54">
        <v>6900</v>
      </c>
      <c r="S171" s="54">
        <v>1291.7662847222223</v>
      </c>
    </row>
    <row r="172" spans="2:23">
      <c r="B172" s="26">
        <v>43795</v>
      </c>
      <c r="C172" s="26" t="s">
        <v>137</v>
      </c>
      <c r="G172" s="26" t="s">
        <v>1212</v>
      </c>
      <c r="K172" s="54">
        <v>42.43</v>
      </c>
      <c r="M172" s="54">
        <v>1000</v>
      </c>
      <c r="S172" s="54">
        <v>1</v>
      </c>
    </row>
    <row r="173" spans="2:23">
      <c r="B173" s="26">
        <v>43795</v>
      </c>
      <c r="C173" s="26" t="s">
        <v>137</v>
      </c>
      <c r="G173" s="26" t="s">
        <v>1211</v>
      </c>
      <c r="K173" s="54">
        <v>36.42</v>
      </c>
      <c r="M173" s="54">
        <v>1100</v>
      </c>
      <c r="S173" s="54">
        <v>1</v>
      </c>
    </row>
    <row r="174" spans="2:23">
      <c r="B174" s="26">
        <v>43795</v>
      </c>
      <c r="C174" s="26" t="s">
        <v>137</v>
      </c>
      <c r="G174" s="26" t="s">
        <v>1715</v>
      </c>
      <c r="K174" s="54">
        <v>175.88</v>
      </c>
      <c r="M174" s="54">
        <v>170</v>
      </c>
      <c r="S174" s="54">
        <v>1</v>
      </c>
    </row>
    <row r="175" spans="2:23">
      <c r="B175" s="26">
        <v>43796</v>
      </c>
      <c r="C175" s="26" t="s">
        <v>137</v>
      </c>
      <c r="D175" s="26" t="s">
        <v>1219</v>
      </c>
      <c r="E175" s="26" t="s">
        <v>1314</v>
      </c>
      <c r="F175" s="26" t="s">
        <v>1277</v>
      </c>
      <c r="G175" s="26" t="s">
        <v>1219</v>
      </c>
      <c r="K175" s="54">
        <v>43.935000000000002</v>
      </c>
      <c r="M175" s="54">
        <v>1170</v>
      </c>
      <c r="N175" s="54">
        <v>-51403.950000000004</v>
      </c>
      <c r="R175" s="54">
        <v>-51403.950000000004</v>
      </c>
      <c r="S175" s="54">
        <v>1</v>
      </c>
      <c r="T175" s="88">
        <v>-51403.95</v>
      </c>
      <c r="W175" s="89">
        <v>43796.44989398148</v>
      </c>
    </row>
    <row r="176" spans="2:23">
      <c r="B176" s="26">
        <v>43796</v>
      </c>
      <c r="C176" s="26" t="s">
        <v>137</v>
      </c>
      <c r="D176" s="26" t="s">
        <v>1221</v>
      </c>
      <c r="E176" s="26" t="s">
        <v>1314</v>
      </c>
      <c r="F176" s="26" t="s">
        <v>1277</v>
      </c>
      <c r="G176" s="26" t="s">
        <v>1221</v>
      </c>
      <c r="K176" s="54">
        <v>65.59</v>
      </c>
      <c r="M176" s="54">
        <v>690</v>
      </c>
      <c r="N176" s="54">
        <v>-45257.100000000006</v>
      </c>
      <c r="R176" s="54">
        <v>-45257.100000000006</v>
      </c>
      <c r="S176" s="54">
        <v>1.101794823767918</v>
      </c>
      <c r="T176" s="88">
        <v>-41075.800000000003</v>
      </c>
      <c r="W176" s="89">
        <v>43796.453060648149</v>
      </c>
    </row>
    <row r="177" spans="2:23">
      <c r="B177" s="26">
        <v>43796</v>
      </c>
      <c r="C177" s="26" t="s">
        <v>137</v>
      </c>
      <c r="D177" s="26" t="s">
        <v>1220</v>
      </c>
      <c r="E177" s="26" t="s">
        <v>1314</v>
      </c>
      <c r="F177" s="26" t="s">
        <v>1277</v>
      </c>
      <c r="G177" s="26" t="s">
        <v>1220</v>
      </c>
      <c r="K177" s="54">
        <v>23.189999999999998</v>
      </c>
      <c r="M177" s="54">
        <v>1100</v>
      </c>
      <c r="N177" s="54">
        <v>-25508.999999999996</v>
      </c>
      <c r="R177" s="54">
        <v>-25508.999999999996</v>
      </c>
      <c r="S177" s="54">
        <v>1.101794823767918</v>
      </c>
      <c r="T177" s="88">
        <v>-23152.22</v>
      </c>
      <c r="W177" s="89">
        <v>43796.453653819444</v>
      </c>
    </row>
    <row r="178" spans="2:23">
      <c r="B178" s="26">
        <v>43796</v>
      </c>
      <c r="C178" s="26" t="s">
        <v>137</v>
      </c>
      <c r="D178" s="26" t="s">
        <v>1647</v>
      </c>
      <c r="E178" s="26" t="s">
        <v>1314</v>
      </c>
      <c r="F178" s="26" t="s">
        <v>1277</v>
      </c>
      <c r="G178" s="26" t="s">
        <v>1647</v>
      </c>
      <c r="K178" s="54">
        <v>17.649999999999999</v>
      </c>
      <c r="M178" s="54">
        <v>2500</v>
      </c>
      <c r="N178" s="54">
        <v>-44125</v>
      </c>
      <c r="R178" s="54">
        <v>-44125</v>
      </c>
      <c r="S178" s="54">
        <v>1.101794823767918</v>
      </c>
      <c r="T178" s="88">
        <v>-40048.29</v>
      </c>
      <c r="W178" s="89">
        <v>43796.453947569447</v>
      </c>
    </row>
    <row r="179" spans="2:23">
      <c r="B179" s="26">
        <v>43796</v>
      </c>
      <c r="C179" s="26" t="s">
        <v>137</v>
      </c>
      <c r="D179" s="26" t="s">
        <v>1224</v>
      </c>
      <c r="E179" s="26" t="s">
        <v>1314</v>
      </c>
      <c r="F179" s="26" t="s">
        <v>1277</v>
      </c>
      <c r="G179" s="26" t="s">
        <v>1224</v>
      </c>
      <c r="K179" s="54">
        <v>16.71</v>
      </c>
      <c r="M179" s="54">
        <v>2200</v>
      </c>
      <c r="N179" s="54">
        <v>-36762</v>
      </c>
      <c r="R179" s="54">
        <v>-36762</v>
      </c>
      <c r="S179" s="54">
        <v>1.101794823767918</v>
      </c>
      <c r="T179" s="88">
        <v>-33365.56</v>
      </c>
      <c r="W179" s="89">
        <v>43796.454254861113</v>
      </c>
    </row>
    <row r="180" spans="2:23">
      <c r="B180" s="26">
        <v>43798</v>
      </c>
      <c r="C180" s="26" t="s">
        <v>137</v>
      </c>
      <c r="D180" s="26" t="s">
        <v>1202</v>
      </c>
      <c r="E180" s="26" t="s">
        <v>1314</v>
      </c>
      <c r="F180" s="26" t="s">
        <v>1277</v>
      </c>
      <c r="G180" s="26" t="s">
        <v>1202</v>
      </c>
      <c r="K180" s="54">
        <v>167000</v>
      </c>
      <c r="M180" s="54">
        <v>300</v>
      </c>
      <c r="N180" s="54">
        <v>-50100000</v>
      </c>
      <c r="R180" s="54">
        <v>-50100000</v>
      </c>
      <c r="S180" s="54">
        <v>1296.7276089421171</v>
      </c>
      <c r="T180" s="88">
        <v>-38635.72</v>
      </c>
      <c r="W180" s="89">
        <v>43798.527963194443</v>
      </c>
    </row>
    <row r="181" spans="2:23">
      <c r="B181" s="26">
        <v>43798</v>
      </c>
      <c r="C181" s="26" t="s">
        <v>137</v>
      </c>
      <c r="D181" s="26" t="s">
        <v>1204</v>
      </c>
      <c r="E181" s="26" t="s">
        <v>1314</v>
      </c>
      <c r="F181" s="26" t="s">
        <v>1277</v>
      </c>
      <c r="G181" s="26" t="s">
        <v>1204</v>
      </c>
      <c r="K181" s="54">
        <v>89500</v>
      </c>
      <c r="M181" s="54">
        <v>500</v>
      </c>
      <c r="N181" s="54">
        <v>-44750000</v>
      </c>
      <c r="R181" s="54">
        <v>-44750000</v>
      </c>
      <c r="S181" s="54">
        <v>1296.7276089421148</v>
      </c>
      <c r="T181" s="88">
        <v>-34509.949999999997</v>
      </c>
      <c r="W181" s="89">
        <v>43798.528320254627</v>
      </c>
    </row>
    <row r="182" spans="2:23">
      <c r="B182" s="26">
        <v>43798</v>
      </c>
      <c r="C182" s="26" t="s">
        <v>137</v>
      </c>
      <c r="D182" s="26" t="s">
        <v>1205</v>
      </c>
      <c r="E182" s="26" t="s">
        <v>1314</v>
      </c>
      <c r="F182" s="26" t="s">
        <v>1277</v>
      </c>
      <c r="G182" s="26" t="s">
        <v>1718</v>
      </c>
      <c r="K182" s="54">
        <v>111000</v>
      </c>
      <c r="M182" s="54">
        <v>420</v>
      </c>
      <c r="N182" s="54">
        <v>-46620000</v>
      </c>
      <c r="R182" s="54">
        <v>-46620000</v>
      </c>
      <c r="S182" s="54">
        <v>1296.7276089421146</v>
      </c>
      <c r="T182" s="88">
        <v>-35952.04</v>
      </c>
      <c r="W182" s="89">
        <v>43798.5287537037</v>
      </c>
    </row>
    <row r="183" spans="2:23">
      <c r="B183" s="26">
        <v>43798</v>
      </c>
      <c r="C183" s="26" t="s">
        <v>137</v>
      </c>
      <c r="D183" s="26" t="s">
        <v>1640</v>
      </c>
      <c r="E183" s="26" t="s">
        <v>1314</v>
      </c>
      <c r="F183" s="26" t="s">
        <v>1277</v>
      </c>
      <c r="G183" s="26" t="s">
        <v>1640</v>
      </c>
      <c r="K183" s="54">
        <v>4620</v>
      </c>
      <c r="M183" s="54">
        <v>4200</v>
      </c>
      <c r="N183" s="54">
        <v>-19404000</v>
      </c>
      <c r="R183" s="54">
        <v>-19404000</v>
      </c>
      <c r="S183" s="54">
        <v>1296.7276089421143</v>
      </c>
      <c r="T183" s="88">
        <v>-14963.82</v>
      </c>
      <c r="W183" s="89">
        <v>43798.529049074074</v>
      </c>
    </row>
    <row r="184" spans="2:23">
      <c r="B184" s="26">
        <v>43798</v>
      </c>
      <c r="C184" s="26" t="s">
        <v>137</v>
      </c>
      <c r="D184" s="26" t="s">
        <v>1206</v>
      </c>
      <c r="E184" s="26" t="s">
        <v>1314</v>
      </c>
      <c r="F184" s="26" t="s">
        <v>1277</v>
      </c>
      <c r="G184" s="26" t="s">
        <v>1206</v>
      </c>
      <c r="K184" s="54">
        <v>3650</v>
      </c>
      <c r="M184" s="54">
        <v>6900</v>
      </c>
      <c r="N184" s="54">
        <v>-25185000</v>
      </c>
      <c r="R184" s="54">
        <v>-25185000</v>
      </c>
      <c r="S184" s="54">
        <v>1296.7276089421123</v>
      </c>
      <c r="T184" s="88">
        <v>-19421.97</v>
      </c>
      <c r="W184" s="89">
        <v>43798.529292129628</v>
      </c>
    </row>
    <row r="185" spans="2:23">
      <c r="B185" s="26">
        <v>43811</v>
      </c>
      <c r="C185" s="26" t="s">
        <v>137</v>
      </c>
      <c r="D185" s="26" t="s">
        <v>1701</v>
      </c>
      <c r="E185" s="26" t="s">
        <v>1314</v>
      </c>
      <c r="F185" s="26" t="s">
        <v>1277</v>
      </c>
      <c r="G185" s="26" t="s">
        <v>1701</v>
      </c>
      <c r="K185" s="54">
        <v>0.255</v>
      </c>
      <c r="M185" s="54">
        <v>230000</v>
      </c>
      <c r="N185" s="54">
        <v>-58650</v>
      </c>
      <c r="R185" s="54">
        <v>-58650</v>
      </c>
      <c r="S185" s="54">
        <v>1.6188642711683332</v>
      </c>
      <c r="T185" s="88">
        <v>-36229.1</v>
      </c>
      <c r="W185" s="89">
        <v>43811.648815740744</v>
      </c>
    </row>
    <row r="186" spans="2:23">
      <c r="B186" s="26">
        <v>43811</v>
      </c>
      <c r="C186" s="26" t="s">
        <v>137</v>
      </c>
      <c r="D186" s="26" t="s">
        <v>1204</v>
      </c>
      <c r="E186" s="26" t="s">
        <v>1314</v>
      </c>
      <c r="F186" s="26" t="s">
        <v>1277</v>
      </c>
      <c r="G186" s="26" t="s">
        <v>1720</v>
      </c>
      <c r="K186" s="54">
        <v>89800</v>
      </c>
      <c r="M186" s="54">
        <v>750</v>
      </c>
      <c r="N186" s="54">
        <v>-67350000</v>
      </c>
      <c r="R186" s="54">
        <v>-67350000</v>
      </c>
      <c r="S186" s="54">
        <v>1322.6912077273173</v>
      </c>
      <c r="T186" s="88">
        <v>-50918.91</v>
      </c>
      <c r="W186" s="89">
        <v>43811.657576967591</v>
      </c>
    </row>
    <row r="187" spans="2:23">
      <c r="B187" s="26">
        <v>43811</v>
      </c>
      <c r="C187" s="26" t="s">
        <v>137</v>
      </c>
      <c r="D187" s="26" t="s">
        <v>1714</v>
      </c>
      <c r="E187" s="26" t="s">
        <v>1314</v>
      </c>
      <c r="F187" s="26" t="s">
        <v>1277</v>
      </c>
      <c r="G187" s="26" t="s">
        <v>1714</v>
      </c>
      <c r="K187" s="54">
        <v>3</v>
      </c>
      <c r="M187" s="54">
        <v>23500</v>
      </c>
      <c r="N187" s="54">
        <v>-70500</v>
      </c>
      <c r="R187" s="54">
        <v>-70500</v>
      </c>
      <c r="S187" s="54">
        <v>1.6188642711683294</v>
      </c>
      <c r="T187" s="88">
        <v>-43549.05</v>
      </c>
      <c r="W187" s="89">
        <v>43811.661746180558</v>
      </c>
    </row>
    <row r="188" spans="2:23">
      <c r="B188" s="26">
        <v>43832</v>
      </c>
      <c r="C188" s="26" t="s">
        <v>137</v>
      </c>
      <c r="D188" s="26" t="s">
        <v>1714</v>
      </c>
      <c r="E188" s="26" t="s">
        <v>1314</v>
      </c>
      <c r="F188" s="26" t="s">
        <v>1277</v>
      </c>
      <c r="G188" s="26" t="s">
        <v>1714</v>
      </c>
      <c r="K188" s="54">
        <v>2.97</v>
      </c>
      <c r="M188" s="54">
        <v>40000</v>
      </c>
      <c r="N188" s="54">
        <v>-118800.00000000001</v>
      </c>
      <c r="R188" s="54">
        <v>-118800.00000000001</v>
      </c>
      <c r="S188" s="54">
        <v>1.5975494921866287</v>
      </c>
      <c r="T188" s="88">
        <v>-74363.89</v>
      </c>
      <c r="W188" s="89">
        <v>43832.973064583333</v>
      </c>
    </row>
    <row r="189" spans="2:23">
      <c r="B189" s="26">
        <v>43833</v>
      </c>
      <c r="C189" s="26" t="s">
        <v>137</v>
      </c>
      <c r="D189" s="26" t="s">
        <v>1667</v>
      </c>
      <c r="E189" s="26" t="s">
        <v>1314</v>
      </c>
      <c r="F189" s="26" t="s">
        <v>1277</v>
      </c>
      <c r="G189" s="26" t="s">
        <v>1667</v>
      </c>
      <c r="K189" s="54">
        <v>4.4400000000000004</v>
      </c>
      <c r="M189" s="54">
        <v>142000</v>
      </c>
      <c r="N189" s="54">
        <v>-630480</v>
      </c>
      <c r="R189" s="54">
        <v>-630480</v>
      </c>
      <c r="S189" s="54">
        <v>8.6994839487970061</v>
      </c>
      <c r="T189" s="88">
        <v>-72473.259999999995</v>
      </c>
      <c r="W189" s="89">
        <v>43833.408938078705</v>
      </c>
    </row>
    <row r="190" spans="2:23">
      <c r="B190" s="26">
        <v>43833</v>
      </c>
      <c r="C190" s="26" t="s">
        <v>137</v>
      </c>
      <c r="D190" s="26" t="s">
        <v>1204</v>
      </c>
      <c r="E190" s="26" t="s">
        <v>1314</v>
      </c>
      <c r="F190" s="26" t="s">
        <v>1277</v>
      </c>
      <c r="G190" s="26" t="s">
        <v>1204</v>
      </c>
      <c r="K190" s="54">
        <v>92200</v>
      </c>
      <c r="M190" s="54">
        <v>1700</v>
      </c>
      <c r="N190" s="54">
        <v>-156740000</v>
      </c>
      <c r="R190" s="54">
        <v>-156740000</v>
      </c>
      <c r="S190" s="54">
        <v>1292.7529432790479</v>
      </c>
      <c r="T190" s="88">
        <v>-121245.13</v>
      </c>
      <c r="W190" s="89">
        <v>43833.41056689815</v>
      </c>
    </row>
    <row r="191" spans="2:23">
      <c r="B191" s="26">
        <v>43833</v>
      </c>
      <c r="C191" s="26" t="s">
        <v>137</v>
      </c>
      <c r="D191" s="26" t="s">
        <v>1205</v>
      </c>
      <c r="E191" s="26" t="s">
        <v>1314</v>
      </c>
      <c r="F191" s="26" t="s">
        <v>1277</v>
      </c>
      <c r="G191" s="26" t="s">
        <v>1205</v>
      </c>
      <c r="K191" s="54">
        <v>111000</v>
      </c>
      <c r="M191" s="54">
        <v>420</v>
      </c>
      <c r="N191" s="54">
        <v>-46620000</v>
      </c>
      <c r="R191" s="54">
        <v>-46620000</v>
      </c>
      <c r="S191" s="54">
        <v>1292.7529432790473</v>
      </c>
      <c r="T191" s="88">
        <v>-36062.58</v>
      </c>
      <c r="W191" s="89">
        <v>43833.410884375</v>
      </c>
    </row>
    <row r="192" spans="2:23">
      <c r="B192" s="26">
        <v>43833</v>
      </c>
      <c r="C192" s="26" t="s">
        <v>137</v>
      </c>
      <c r="D192" s="26" t="s">
        <v>1206</v>
      </c>
      <c r="E192" s="26" t="s">
        <v>1314</v>
      </c>
      <c r="F192" s="26" t="s">
        <v>1277</v>
      </c>
      <c r="G192" s="26" t="s">
        <v>1206</v>
      </c>
      <c r="K192" s="54">
        <v>3470</v>
      </c>
      <c r="M192" s="54">
        <v>11000</v>
      </c>
      <c r="N192" s="54">
        <v>-38170000</v>
      </c>
      <c r="R192" s="54">
        <v>-38170000</v>
      </c>
      <c r="S192" s="54">
        <v>1292.7529432790461</v>
      </c>
      <c r="T192" s="88">
        <v>-29526.14</v>
      </c>
      <c r="W192" s="89">
        <v>43833.411221064816</v>
      </c>
    </row>
    <row r="193" spans="2:23">
      <c r="B193" s="26">
        <v>43833</v>
      </c>
      <c r="C193" s="26" t="s">
        <v>138</v>
      </c>
      <c r="D193" s="26" t="s">
        <v>1665</v>
      </c>
      <c r="E193" s="26" t="s">
        <v>1314</v>
      </c>
      <c r="F193" s="26" t="s">
        <v>1277</v>
      </c>
      <c r="G193" s="26" t="s">
        <v>1665</v>
      </c>
      <c r="K193" s="54">
        <v>4.9400000000000004</v>
      </c>
      <c r="M193" s="54">
        <v>-17000</v>
      </c>
      <c r="N193" s="54">
        <v>83980</v>
      </c>
      <c r="R193" s="54">
        <v>83980</v>
      </c>
      <c r="S193" s="54">
        <v>1</v>
      </c>
      <c r="T193" s="88">
        <v>83980</v>
      </c>
    </row>
    <row r="194" spans="2:23">
      <c r="B194" s="26">
        <v>43833</v>
      </c>
      <c r="C194" s="26" t="s">
        <v>137</v>
      </c>
      <c r="D194" s="26" t="s">
        <v>1215</v>
      </c>
      <c r="E194" s="26" t="s">
        <v>1314</v>
      </c>
      <c r="F194" s="26" t="s">
        <v>1277</v>
      </c>
      <c r="G194" s="26" t="s">
        <v>1215</v>
      </c>
      <c r="K194" s="54">
        <v>114.30000000000001</v>
      </c>
      <c r="M194" s="54">
        <v>670</v>
      </c>
      <c r="N194" s="54">
        <v>-76581.000000000015</v>
      </c>
      <c r="R194" s="54">
        <v>-76581.000000000015</v>
      </c>
      <c r="S194" s="54">
        <v>1</v>
      </c>
      <c r="T194" s="88">
        <v>-76581</v>
      </c>
      <c r="W194" s="89">
        <v>43833.45717361111</v>
      </c>
    </row>
    <row r="195" spans="2:23">
      <c r="B195" s="26">
        <v>43837</v>
      </c>
      <c r="C195" s="26" t="s">
        <v>137</v>
      </c>
      <c r="D195" s="26" t="s">
        <v>1204</v>
      </c>
      <c r="E195" s="26" t="s">
        <v>1314</v>
      </c>
      <c r="F195" s="26" t="s">
        <v>1277</v>
      </c>
      <c r="G195" s="26" t="s">
        <v>1204</v>
      </c>
      <c r="K195" s="54">
        <v>92500</v>
      </c>
      <c r="M195" s="54">
        <v>670</v>
      </c>
      <c r="N195" s="54">
        <v>-61975000</v>
      </c>
      <c r="R195" s="54">
        <v>-61975000</v>
      </c>
      <c r="S195" s="54">
        <v>1306.1494034160862</v>
      </c>
      <c r="T195" s="88">
        <v>-47448.63</v>
      </c>
      <c r="W195" s="89">
        <v>43837.120826967592</v>
      </c>
    </row>
    <row r="196" spans="2:23">
      <c r="B196" s="26">
        <v>43838</v>
      </c>
      <c r="C196" s="26" t="s">
        <v>137</v>
      </c>
      <c r="D196" s="26" t="s">
        <v>1204</v>
      </c>
      <c r="E196" s="26" t="s">
        <v>1314</v>
      </c>
      <c r="F196" s="26" t="s">
        <v>1277</v>
      </c>
      <c r="G196" s="26" t="s">
        <v>1204</v>
      </c>
      <c r="K196" s="54">
        <v>91000</v>
      </c>
      <c r="M196" s="54">
        <v>670</v>
      </c>
      <c r="N196" s="54">
        <v>-60970000</v>
      </c>
      <c r="R196" s="54">
        <v>-60970000</v>
      </c>
      <c r="S196" s="54">
        <v>1301.6570396306793</v>
      </c>
      <c r="T196" s="54">
        <v>-46840.295211171062</v>
      </c>
      <c r="W196" s="89">
        <v>43838.050056250002</v>
      </c>
    </row>
    <row r="197" spans="2:23">
      <c r="B197" s="26">
        <v>43838</v>
      </c>
      <c r="C197" s="26" t="s">
        <v>137</v>
      </c>
      <c r="D197" s="26" t="s">
        <v>1205</v>
      </c>
      <c r="E197" s="26" t="s">
        <v>1314</v>
      </c>
      <c r="F197" s="26" t="s">
        <v>1277</v>
      </c>
      <c r="G197" s="26" t="s">
        <v>1205</v>
      </c>
      <c r="K197" s="54">
        <v>103000</v>
      </c>
      <c r="M197" s="54">
        <v>670</v>
      </c>
      <c r="N197" s="54">
        <v>-69010000</v>
      </c>
      <c r="R197" s="54">
        <v>-69010000</v>
      </c>
      <c r="S197" s="54">
        <v>1301.6570396306788</v>
      </c>
      <c r="T197" s="54">
        <v>-53017.037436819999</v>
      </c>
      <c r="W197" s="89">
        <v>43838.544846990742</v>
      </c>
    </row>
    <row r="198" spans="2:23">
      <c r="B198" s="26">
        <v>43838</v>
      </c>
      <c r="C198" s="26" t="s">
        <v>137</v>
      </c>
      <c r="D198" s="26" t="s">
        <v>1206</v>
      </c>
      <c r="E198" s="26" t="s">
        <v>1314</v>
      </c>
      <c r="F198" s="26" t="s">
        <v>1277</v>
      </c>
      <c r="G198" s="26" t="s">
        <v>1206</v>
      </c>
      <c r="K198" s="54">
        <v>3525</v>
      </c>
      <c r="M198" s="54">
        <v>6900</v>
      </c>
      <c r="N198" s="54">
        <v>-24322500</v>
      </c>
      <c r="R198" s="54">
        <v>-24322500</v>
      </c>
      <c r="S198" s="54">
        <v>1301.6570396306795</v>
      </c>
      <c r="T198" s="54">
        <v>-18685.797609868918</v>
      </c>
      <c r="W198" s="89">
        <v>43838.545520717591</v>
      </c>
    </row>
    <row r="199" spans="2:23">
      <c r="B199" s="26">
        <v>43838</v>
      </c>
      <c r="C199" s="26" t="s">
        <v>137</v>
      </c>
      <c r="D199" s="26" t="s">
        <v>1202</v>
      </c>
      <c r="E199" s="26" t="s">
        <v>1314</v>
      </c>
      <c r="F199" s="26" t="s">
        <v>1277</v>
      </c>
      <c r="G199" s="26" t="s">
        <v>1202</v>
      </c>
      <c r="K199" s="54">
        <v>165500</v>
      </c>
      <c r="M199" s="54">
        <v>670</v>
      </c>
      <c r="N199" s="54">
        <v>-110885000</v>
      </c>
      <c r="R199" s="54">
        <v>-110885000</v>
      </c>
      <c r="S199" s="54">
        <v>1301.6570396306811</v>
      </c>
      <c r="T199" s="54">
        <v>-85187.569862074713</v>
      </c>
      <c r="W199" s="89">
        <v>43838.546578472226</v>
      </c>
    </row>
    <row r="200" spans="2:23">
      <c r="B200" s="26">
        <v>43840</v>
      </c>
      <c r="C200" s="26" t="s">
        <v>137</v>
      </c>
      <c r="D200" s="26" t="s">
        <v>1202</v>
      </c>
      <c r="E200" s="26" t="s">
        <v>1314</v>
      </c>
      <c r="F200" s="26" t="s">
        <v>1277</v>
      </c>
      <c r="G200" s="26" t="s">
        <v>1202</v>
      </c>
      <c r="K200" s="54">
        <v>170000</v>
      </c>
      <c r="M200" s="54">
        <v>420</v>
      </c>
      <c r="N200" s="54">
        <v>-71400000</v>
      </c>
      <c r="R200" s="54">
        <v>-71400000</v>
      </c>
      <c r="S200" s="54">
        <v>1286.751804553031</v>
      </c>
      <c r="T200" s="54">
        <v>-55488.556338027956</v>
      </c>
      <c r="W200" s="89">
        <v>43840.035303240744</v>
      </c>
    </row>
    <row r="201" spans="2:23">
      <c r="B201" s="26">
        <v>43840</v>
      </c>
      <c r="C201" s="26" t="s">
        <v>137</v>
      </c>
      <c r="D201" s="26" t="s">
        <v>1205</v>
      </c>
      <c r="E201" s="26" t="s">
        <v>1314</v>
      </c>
      <c r="F201" s="26" t="s">
        <v>1277</v>
      </c>
      <c r="G201" s="26" t="s">
        <v>1205</v>
      </c>
      <c r="K201" s="54">
        <v>105000</v>
      </c>
      <c r="M201" s="54">
        <v>420</v>
      </c>
      <c r="N201" s="54">
        <v>-44100000</v>
      </c>
      <c r="R201" s="54">
        <v>-44100000</v>
      </c>
      <c r="S201" s="54">
        <v>1286.751804553026</v>
      </c>
      <c r="T201" s="54">
        <v>-34272.34362054681</v>
      </c>
      <c r="W201" s="89">
        <v>43840.035945023148</v>
      </c>
    </row>
    <row r="202" spans="2:23">
      <c r="B202" s="26">
        <v>43843</v>
      </c>
      <c r="C202" s="26" t="s">
        <v>137</v>
      </c>
      <c r="D202" s="26" t="s">
        <v>1112</v>
      </c>
      <c r="E202" s="26" t="s">
        <v>1314</v>
      </c>
      <c r="F202" s="26" t="s">
        <v>1277</v>
      </c>
      <c r="G202" s="26" t="s">
        <v>1180</v>
      </c>
      <c r="K202" s="54">
        <v>1041</v>
      </c>
      <c r="M202" s="54">
        <v>6700</v>
      </c>
      <c r="N202" s="54">
        <v>-6974700</v>
      </c>
      <c r="R202" s="54">
        <v>-6974700</v>
      </c>
      <c r="S202" s="54">
        <v>121.71959790054272</v>
      </c>
      <c r="T202" s="54">
        <v>-57301.372336926703</v>
      </c>
      <c r="W202" s="89">
        <v>43843.914539583333</v>
      </c>
    </row>
    <row r="203" spans="2:23">
      <c r="B203" s="26">
        <v>43843</v>
      </c>
      <c r="C203" s="26" t="s">
        <v>137</v>
      </c>
      <c r="D203" s="26" t="s">
        <v>1191</v>
      </c>
      <c r="E203" s="26" t="s">
        <v>1314</v>
      </c>
      <c r="F203" s="26" t="s">
        <v>1277</v>
      </c>
      <c r="G203" s="26" t="s">
        <v>1191</v>
      </c>
      <c r="K203" s="54">
        <v>482</v>
      </c>
      <c r="M203" s="54">
        <v>15900</v>
      </c>
      <c r="N203" s="54">
        <v>-7663800</v>
      </c>
      <c r="R203" s="54">
        <v>-7663800</v>
      </c>
      <c r="S203" s="54">
        <v>121.71959790054262</v>
      </c>
      <c r="T203" s="54">
        <v>-62962.744966197715</v>
      </c>
      <c r="W203" s="89">
        <v>43843.93230335648</v>
      </c>
    </row>
    <row r="204" spans="2:23">
      <c r="B204" s="26">
        <v>43843</v>
      </c>
      <c r="C204" s="26" t="s">
        <v>137</v>
      </c>
      <c r="D204" s="26" t="s">
        <v>1185</v>
      </c>
      <c r="E204" s="26" t="s">
        <v>1314</v>
      </c>
      <c r="F204" s="26" t="s">
        <v>1277</v>
      </c>
      <c r="G204" s="26" t="s">
        <v>1656</v>
      </c>
      <c r="K204" s="54">
        <v>2125</v>
      </c>
      <c r="M204" s="54">
        <v>5500</v>
      </c>
      <c r="N204" s="54">
        <v>-11687500</v>
      </c>
      <c r="R204" s="54">
        <v>-11687500</v>
      </c>
      <c r="S204" s="54">
        <v>121.71959790054248</v>
      </c>
      <c r="T204" s="54">
        <v>-96019.870272245709</v>
      </c>
      <c r="W204" s="89">
        <v>43843.937213425925</v>
      </c>
    </row>
    <row r="205" spans="2:23">
      <c r="B205" s="26">
        <v>43843</v>
      </c>
      <c r="C205" s="26" t="s">
        <v>137</v>
      </c>
      <c r="D205" s="26" t="s">
        <v>1714</v>
      </c>
      <c r="E205" s="26" t="s">
        <v>1314</v>
      </c>
      <c r="F205" s="26" t="s">
        <v>1277</v>
      </c>
      <c r="G205" s="26" t="s">
        <v>1714</v>
      </c>
      <c r="K205" s="54">
        <v>2.95</v>
      </c>
      <c r="M205" s="54">
        <v>17000</v>
      </c>
      <c r="N205" s="54">
        <v>-50150</v>
      </c>
      <c r="R205" s="54">
        <v>-50150</v>
      </c>
      <c r="S205" s="54">
        <v>1.6127829175155552</v>
      </c>
      <c r="T205" s="54">
        <v>-31095.319435336409</v>
      </c>
      <c r="W205" s="89">
        <v>43843.947643865744</v>
      </c>
    </row>
    <row r="206" spans="2:23">
      <c r="B206" s="26">
        <v>43850</v>
      </c>
      <c r="C206" s="26" t="s">
        <v>137</v>
      </c>
      <c r="D206" s="26" t="s">
        <v>1714</v>
      </c>
      <c r="E206" s="26" t="s">
        <v>1314</v>
      </c>
      <c r="F206" s="26" t="s">
        <v>1277</v>
      </c>
      <c r="G206" s="26" t="s">
        <v>1714</v>
      </c>
      <c r="K206" s="54">
        <v>2.86</v>
      </c>
      <c r="M206" s="54">
        <v>22000</v>
      </c>
      <c r="N206" s="54">
        <v>-62920</v>
      </c>
      <c r="R206" s="54">
        <v>-62920</v>
      </c>
      <c r="S206" s="54">
        <v>1.6134962522730258</v>
      </c>
      <c r="T206" s="88">
        <v>-38996.06</v>
      </c>
      <c r="W206" s="89">
        <v>43850.691771759259</v>
      </c>
    </row>
    <row r="207" spans="2:23">
      <c r="B207" s="26">
        <v>43850</v>
      </c>
      <c r="C207" s="26" t="s">
        <v>137</v>
      </c>
      <c r="D207" s="26" t="s">
        <v>1648</v>
      </c>
      <c r="E207" s="26" t="s">
        <v>1314</v>
      </c>
      <c r="F207" s="26" t="s">
        <v>1277</v>
      </c>
      <c r="G207" s="26" t="s">
        <v>1648</v>
      </c>
      <c r="K207" s="54">
        <v>1660</v>
      </c>
      <c r="M207" s="54">
        <v>4200</v>
      </c>
      <c r="N207" s="54">
        <v>-6972000</v>
      </c>
      <c r="R207" s="54">
        <v>-6972000</v>
      </c>
      <c r="S207" s="54">
        <v>122.12267707455554</v>
      </c>
      <c r="T207" s="88">
        <v>-57090.13</v>
      </c>
      <c r="W207" s="89">
        <v>43850.69378854167</v>
      </c>
    </row>
    <row r="208" spans="2:23">
      <c r="B208" s="26">
        <v>43851</v>
      </c>
      <c r="C208" s="26" t="s">
        <v>137</v>
      </c>
      <c r="D208" s="26" t="s">
        <v>1185</v>
      </c>
      <c r="E208" s="26" t="s">
        <v>1314</v>
      </c>
      <c r="F208" s="26" t="s">
        <v>1277</v>
      </c>
      <c r="G208" s="26" t="s">
        <v>1656</v>
      </c>
      <c r="K208" s="54">
        <v>2150</v>
      </c>
      <c r="M208" s="54">
        <v>1700</v>
      </c>
      <c r="N208" s="54">
        <v>-3655000</v>
      </c>
      <c r="R208" s="54">
        <v>-3655000</v>
      </c>
      <c r="S208" s="54">
        <v>121.34317952672721</v>
      </c>
      <c r="T208" s="54">
        <v>-30121.182041343698</v>
      </c>
      <c r="W208" s="89">
        <v>43851.70028125</v>
      </c>
    </row>
    <row r="209" spans="1:23">
      <c r="A209" s="61">
        <v>2019200230</v>
      </c>
      <c r="B209" s="26">
        <v>43852</v>
      </c>
      <c r="C209" s="26" t="s">
        <v>137</v>
      </c>
      <c r="D209" s="26" t="s">
        <v>1715</v>
      </c>
      <c r="E209" s="26" t="s">
        <v>1314</v>
      </c>
      <c r="F209" s="26" t="s">
        <v>1277</v>
      </c>
      <c r="G209" s="26" t="s">
        <v>1715</v>
      </c>
      <c r="K209" s="54">
        <v>180.42000000000002</v>
      </c>
      <c r="M209" s="54">
        <v>320</v>
      </c>
      <c r="N209" s="54">
        <v>-57734.400000000009</v>
      </c>
      <c r="R209" s="54">
        <v>-57734.400000000009</v>
      </c>
      <c r="S209" s="54">
        <v>1</v>
      </c>
      <c r="T209" s="88">
        <v>-57734.400000000001</v>
      </c>
      <c r="W209" s="89">
        <v>43852.484681712966</v>
      </c>
    </row>
    <row r="210" spans="1:23">
      <c r="A210" s="61">
        <v>2019200231</v>
      </c>
      <c r="B210" s="26">
        <v>43852</v>
      </c>
      <c r="C210" s="26" t="s">
        <v>137</v>
      </c>
      <c r="D210" s="26" t="s">
        <v>1185</v>
      </c>
      <c r="E210" s="26" t="s">
        <v>1314</v>
      </c>
      <c r="F210" s="26" t="s">
        <v>1277</v>
      </c>
      <c r="G210" s="26" t="s">
        <v>1656</v>
      </c>
      <c r="K210" s="54">
        <v>2164</v>
      </c>
      <c r="M210" s="54">
        <v>1700</v>
      </c>
      <c r="N210" s="54">
        <v>-3678800</v>
      </c>
      <c r="R210" s="54">
        <v>-3678800</v>
      </c>
      <c r="S210" s="54">
        <v>121.74741788199846</v>
      </c>
      <c r="T210" s="88">
        <v>-30216.66</v>
      </c>
      <c r="W210" s="89">
        <v>43852.702439930552</v>
      </c>
    </row>
    <row r="211" spans="1:23">
      <c r="A211" s="61">
        <v>2019200232</v>
      </c>
      <c r="B211" s="26">
        <v>43852</v>
      </c>
      <c r="C211" s="26" t="s">
        <v>137</v>
      </c>
      <c r="D211" s="26" t="s">
        <v>1182</v>
      </c>
      <c r="E211" s="26" t="s">
        <v>1314</v>
      </c>
      <c r="F211" s="26" t="s">
        <v>1277</v>
      </c>
      <c r="G211" s="26" t="s">
        <v>1713</v>
      </c>
      <c r="K211" s="54">
        <v>860</v>
      </c>
      <c r="M211" s="54">
        <v>6700</v>
      </c>
      <c r="N211" s="54">
        <v>-5762000</v>
      </c>
      <c r="R211" s="54">
        <v>-5762000</v>
      </c>
      <c r="S211" s="54">
        <v>121.74741788199835</v>
      </c>
      <c r="T211" s="88">
        <v>-47327.49</v>
      </c>
      <c r="W211" s="89">
        <v>43852.711632523147</v>
      </c>
    </row>
    <row r="212" spans="1:23" s="470" customFormat="1">
      <c r="A212" s="61">
        <v>2019200231</v>
      </c>
      <c r="B212" s="470">
        <v>43854</v>
      </c>
      <c r="C212" s="470" t="s">
        <v>137</v>
      </c>
      <c r="D212" s="470" t="s">
        <v>1730</v>
      </c>
      <c r="E212" s="470" t="s">
        <v>2101</v>
      </c>
      <c r="F212" s="470" t="s">
        <v>1277</v>
      </c>
      <c r="G212" s="470" t="s">
        <v>1730</v>
      </c>
      <c r="K212" s="54">
        <v>8.7573000000000008</v>
      </c>
      <c r="L212" s="54"/>
      <c r="M212" s="54">
        <v>4800</v>
      </c>
      <c r="N212" s="54">
        <v>-42035.040000000001</v>
      </c>
      <c r="O212" s="54"/>
      <c r="P212" s="54"/>
      <c r="Q212" s="54"/>
      <c r="R212" s="54">
        <v>-42035.040000000001</v>
      </c>
      <c r="S212" s="54">
        <v>0.84232048717410501</v>
      </c>
      <c r="T212" s="88">
        <v>-49903.855646469026</v>
      </c>
      <c r="U212" s="54"/>
      <c r="W212" s="89">
        <v>43854.368278587965</v>
      </c>
    </row>
    <row r="213" spans="1:23" s="470" customFormat="1">
      <c r="A213" s="61">
        <v>2019200232</v>
      </c>
      <c r="B213" s="470">
        <v>43854</v>
      </c>
      <c r="C213" s="470" t="s">
        <v>137</v>
      </c>
      <c r="D213" s="470" t="s">
        <v>1219</v>
      </c>
      <c r="E213" s="470" t="s">
        <v>1268</v>
      </c>
      <c r="F213" s="470" t="s">
        <v>1277</v>
      </c>
      <c r="G213" s="470" t="s">
        <v>1219</v>
      </c>
      <c r="K213" s="54">
        <v>36.413049999999998</v>
      </c>
      <c r="L213" s="54"/>
      <c r="M213" s="54">
        <v>1100</v>
      </c>
      <c r="N213" s="54">
        <v>-40054.354999999996</v>
      </c>
      <c r="O213" s="54"/>
      <c r="P213" s="54"/>
      <c r="Q213" s="54"/>
      <c r="R213" s="54">
        <v>-40054.354999999996</v>
      </c>
      <c r="S213" s="54">
        <v>1</v>
      </c>
      <c r="T213" s="88">
        <v>-40054.354999999996</v>
      </c>
      <c r="U213" s="54"/>
      <c r="W213" s="89">
        <v>43854.679037615744</v>
      </c>
    </row>
    <row r="214" spans="1:23" s="470" customFormat="1">
      <c r="A214" s="61">
        <v>2019200233</v>
      </c>
      <c r="B214" s="470">
        <v>43854</v>
      </c>
      <c r="C214" s="470" t="s">
        <v>137</v>
      </c>
      <c r="D214" s="470" t="s">
        <v>1731</v>
      </c>
      <c r="E214" s="470" t="s">
        <v>2102</v>
      </c>
      <c r="F214" s="470" t="s">
        <v>1277</v>
      </c>
      <c r="G214" s="470" t="s">
        <v>1731</v>
      </c>
      <c r="K214" s="54">
        <v>2.30457</v>
      </c>
      <c r="L214" s="54"/>
      <c r="M214" s="54">
        <v>17000</v>
      </c>
      <c r="N214" s="54">
        <v>-39177.69</v>
      </c>
      <c r="O214" s="54"/>
      <c r="P214" s="54"/>
      <c r="Q214" s="54"/>
      <c r="R214" s="54">
        <v>-39177.69</v>
      </c>
      <c r="S214" s="54">
        <v>0.84232048717410402</v>
      </c>
      <c r="T214" s="88">
        <v>-46511.61950415928</v>
      </c>
      <c r="U214" s="54"/>
      <c r="W214" s="89">
        <v>43854.680190277781</v>
      </c>
    </row>
    <row r="215" spans="1:23" s="470" customFormat="1">
      <c r="A215" s="61">
        <v>2019200234</v>
      </c>
      <c r="B215" s="470">
        <v>43854</v>
      </c>
      <c r="C215" s="470" t="s">
        <v>137</v>
      </c>
      <c r="D215" s="470" t="s">
        <v>1646</v>
      </c>
      <c r="E215" s="470" t="s">
        <v>1674</v>
      </c>
      <c r="F215" s="470" t="s">
        <v>1277</v>
      </c>
      <c r="G215" s="470" t="s">
        <v>1646</v>
      </c>
      <c r="K215" s="54">
        <v>11.164400000000001</v>
      </c>
      <c r="L215" s="54"/>
      <c r="M215" s="54">
        <v>4200</v>
      </c>
      <c r="N215" s="54">
        <v>-46890.48</v>
      </c>
      <c r="O215" s="54"/>
      <c r="P215" s="54"/>
      <c r="Q215" s="54"/>
      <c r="R215" s="54">
        <v>-46890.48</v>
      </c>
      <c r="S215" s="54">
        <v>1.1052044075551775</v>
      </c>
      <c r="T215" s="88">
        <v>-42426.975208799995</v>
      </c>
      <c r="U215" s="54"/>
      <c r="W215" s="89">
        <v>43854.877661458333</v>
      </c>
    </row>
    <row r="216" spans="1:23" s="470" customFormat="1">
      <c r="A216" s="61">
        <v>2019200235</v>
      </c>
      <c r="B216" s="470">
        <v>43857</v>
      </c>
      <c r="C216" s="470" t="s">
        <v>137</v>
      </c>
      <c r="D216" s="470" t="s">
        <v>1181</v>
      </c>
      <c r="E216" s="470" t="s">
        <v>1233</v>
      </c>
      <c r="F216" s="470" t="s">
        <v>1277</v>
      </c>
      <c r="G216" s="470" t="s">
        <v>2098</v>
      </c>
      <c r="K216" s="54">
        <v>3208.88042</v>
      </c>
      <c r="L216" s="54"/>
      <c r="M216" s="54">
        <v>3300</v>
      </c>
      <c r="N216" s="54">
        <v>-10589305.386</v>
      </c>
      <c r="O216" s="54"/>
      <c r="P216" s="54"/>
      <c r="Q216" s="54"/>
      <c r="R216" s="54">
        <v>-10589305.386</v>
      </c>
      <c r="S216" s="54">
        <v>120.44885856325565</v>
      </c>
      <c r="T216" s="88">
        <v>-87915.365179146596</v>
      </c>
      <c r="U216" s="54"/>
      <c r="W216" s="89">
        <v>43857.081628935186</v>
      </c>
    </row>
    <row r="217" spans="1:23" s="470" customFormat="1">
      <c r="A217" s="61">
        <v>2019200236</v>
      </c>
      <c r="B217" s="470">
        <v>43857</v>
      </c>
      <c r="C217" s="470" t="s">
        <v>137</v>
      </c>
      <c r="D217" s="470" t="s">
        <v>1112</v>
      </c>
      <c r="E217" s="470" t="s">
        <v>1232</v>
      </c>
      <c r="F217" s="470" t="s">
        <v>1277</v>
      </c>
      <c r="G217" s="470" t="s">
        <v>1180</v>
      </c>
      <c r="K217" s="54">
        <v>1104.7809500000001</v>
      </c>
      <c r="L217" s="54"/>
      <c r="M217" s="54">
        <v>4200</v>
      </c>
      <c r="N217" s="54">
        <v>-4640079.99</v>
      </c>
      <c r="O217" s="54"/>
      <c r="P217" s="54"/>
      <c r="Q217" s="54"/>
      <c r="R217" s="54">
        <v>-4640079.99</v>
      </c>
      <c r="S217" s="54">
        <v>120.44885856325583</v>
      </c>
      <c r="T217" s="88">
        <v>-38523.237541210743</v>
      </c>
      <c r="U217" s="54"/>
      <c r="W217" s="89">
        <v>43857.083069328706</v>
      </c>
    </row>
    <row r="218" spans="1:23" s="470" customFormat="1">
      <c r="A218" s="61">
        <v>2019200237</v>
      </c>
      <c r="B218" s="470">
        <v>43858</v>
      </c>
      <c r="C218" s="470" t="s">
        <v>137</v>
      </c>
      <c r="D218" s="470" t="s">
        <v>1714</v>
      </c>
      <c r="E218" s="470" t="s">
        <v>1723</v>
      </c>
      <c r="F218" s="470" t="s">
        <v>1277</v>
      </c>
      <c r="G218" s="470" t="s">
        <v>1714</v>
      </c>
      <c r="K218" s="54">
        <v>2.6299700000000001</v>
      </c>
      <c r="L218" s="54"/>
      <c r="M218" s="54">
        <v>22000</v>
      </c>
      <c r="N218" s="54">
        <v>-57859.340000000004</v>
      </c>
      <c r="O218" s="54"/>
      <c r="P218" s="54"/>
      <c r="Q218" s="54"/>
      <c r="R218" s="54">
        <v>-57859.340000000004</v>
      </c>
      <c r="S218" s="54">
        <v>1.6143916930301216</v>
      </c>
      <c r="T218" s="88">
        <v>-35839.716129486085</v>
      </c>
      <c r="U218" s="54"/>
      <c r="W218" s="89">
        <v>43858.050773842595</v>
      </c>
    </row>
    <row r="219" spans="1:23" s="470" customFormat="1">
      <c r="A219" s="61">
        <v>2019200238</v>
      </c>
      <c r="B219" s="470">
        <v>43858</v>
      </c>
      <c r="C219" s="470" t="s">
        <v>137</v>
      </c>
      <c r="D219" s="470" t="s">
        <v>1192</v>
      </c>
      <c r="E219" s="470" t="s">
        <v>1243</v>
      </c>
      <c r="F219" s="470" t="s">
        <v>1277</v>
      </c>
      <c r="G219" s="470" t="s">
        <v>1192</v>
      </c>
      <c r="K219" s="54">
        <v>1955.3227300000001</v>
      </c>
      <c r="L219" s="54"/>
      <c r="M219" s="54">
        <v>2200</v>
      </c>
      <c r="N219" s="54">
        <v>-4301710.0060000001</v>
      </c>
      <c r="O219" s="54"/>
      <c r="P219" s="54"/>
      <c r="Q219" s="54"/>
      <c r="R219" s="54">
        <v>-4301710.0060000001</v>
      </c>
      <c r="S219" s="54">
        <v>119.9532921334699</v>
      </c>
      <c r="T219" s="88">
        <v>-35861.541850919471</v>
      </c>
      <c r="U219" s="54"/>
      <c r="W219" s="89">
        <v>43858.052674999999</v>
      </c>
    </row>
    <row r="220" spans="1:23" s="470" customFormat="1">
      <c r="A220" s="61">
        <v>2019200239</v>
      </c>
      <c r="B220" s="470">
        <v>43858</v>
      </c>
      <c r="C220" s="470" t="s">
        <v>137</v>
      </c>
      <c r="D220" s="470" t="s">
        <v>1185</v>
      </c>
      <c r="E220" s="470" t="s">
        <v>1236</v>
      </c>
      <c r="F220" s="470" t="s">
        <v>1277</v>
      </c>
      <c r="G220" s="470" t="s">
        <v>1656</v>
      </c>
      <c r="K220" s="54">
        <v>2094.9888900000001</v>
      </c>
      <c r="L220" s="54"/>
      <c r="M220" s="54">
        <v>900</v>
      </c>
      <c r="N220" s="54">
        <v>-1885490.0010000002</v>
      </c>
      <c r="O220" s="54"/>
      <c r="P220" s="54"/>
      <c r="Q220" s="54"/>
      <c r="R220" s="54">
        <v>-1885490.0010000002</v>
      </c>
      <c r="S220" s="54">
        <v>119.9532921334696</v>
      </c>
      <c r="T220" s="88">
        <v>-15718.534835226144</v>
      </c>
      <c r="U220" s="54"/>
      <c r="W220" s="89">
        <v>43858.059005439813</v>
      </c>
    </row>
    <row r="221" spans="1:23" s="470" customFormat="1">
      <c r="A221" s="61">
        <v>2019200240</v>
      </c>
      <c r="B221" s="470">
        <v>43858</v>
      </c>
      <c r="C221" s="470" t="s">
        <v>137</v>
      </c>
      <c r="D221" s="470" t="s">
        <v>1205</v>
      </c>
      <c r="E221" s="470" t="s">
        <v>1255</v>
      </c>
      <c r="F221" s="470" t="s">
        <v>1277</v>
      </c>
      <c r="G221" s="470" t="s">
        <v>1205</v>
      </c>
      <c r="K221" s="54">
        <v>93516.865699999995</v>
      </c>
      <c r="L221" s="54"/>
      <c r="M221" s="54">
        <v>670</v>
      </c>
      <c r="N221" s="54">
        <v>-62656300.018999994</v>
      </c>
      <c r="O221" s="54"/>
      <c r="P221" s="54"/>
      <c r="Q221" s="54"/>
      <c r="R221" s="54">
        <v>-62656300.018999994</v>
      </c>
      <c r="S221" s="54">
        <v>1291.4755584045265</v>
      </c>
      <c r="T221" s="88">
        <v>-48515.28130846304</v>
      </c>
      <c r="U221" s="54"/>
      <c r="W221" s="89">
        <v>43858.068090509259</v>
      </c>
    </row>
    <row r="222" spans="1:23" s="470" customFormat="1">
      <c r="A222" s="61">
        <v>2019200241</v>
      </c>
      <c r="B222" s="470">
        <v>43860</v>
      </c>
      <c r="C222" s="470" t="s">
        <v>137</v>
      </c>
      <c r="D222" s="470" t="s">
        <v>1185</v>
      </c>
      <c r="E222" s="470" t="s">
        <v>1236</v>
      </c>
      <c r="F222" s="470" t="s">
        <v>1277</v>
      </c>
      <c r="G222" s="470" t="s">
        <v>1656</v>
      </c>
      <c r="K222" s="54">
        <v>2077.4058799999998</v>
      </c>
      <c r="L222" s="54"/>
      <c r="M222" s="54">
        <v>1700</v>
      </c>
      <c r="N222" s="54">
        <v>-3531589.9959999998</v>
      </c>
      <c r="O222" s="54"/>
      <c r="P222" s="54"/>
      <c r="Q222" s="54"/>
      <c r="R222" s="54">
        <v>-3531589.9959999998</v>
      </c>
      <c r="S222" s="54">
        <v>119.98678923322522</v>
      </c>
      <c r="T222" s="88">
        <v>-29433.15692142945</v>
      </c>
      <c r="U222" s="54"/>
      <c r="W222" s="89">
        <v>43860.10386516204</v>
      </c>
    </row>
    <row r="223" spans="1:23" s="470" customFormat="1">
      <c r="A223" s="61">
        <v>2019200242</v>
      </c>
      <c r="B223" s="470">
        <v>43860</v>
      </c>
      <c r="C223" s="470" t="s">
        <v>137</v>
      </c>
      <c r="D223" s="470" t="s">
        <v>1714</v>
      </c>
      <c r="E223" s="470" t="s">
        <v>1723</v>
      </c>
      <c r="F223" s="470" t="s">
        <v>1277</v>
      </c>
      <c r="G223" s="470" t="s">
        <v>1714</v>
      </c>
      <c r="K223" s="54">
        <v>2.6088399999999998</v>
      </c>
      <c r="L223" s="54"/>
      <c r="M223" s="54">
        <v>22000</v>
      </c>
      <c r="N223" s="54">
        <v>-57394.479999999996</v>
      </c>
      <c r="O223" s="54"/>
      <c r="P223" s="54"/>
      <c r="Q223" s="54"/>
      <c r="R223" s="54">
        <v>-57394.479999999996</v>
      </c>
      <c r="S223" s="54">
        <v>1.6302306379699476</v>
      </c>
      <c r="T223" s="88">
        <v>-35206.355875798494</v>
      </c>
      <c r="U223" s="54"/>
      <c r="W223" s="89">
        <v>43860.104826157411</v>
      </c>
    </row>
    <row r="224" spans="1:23" s="470" customFormat="1">
      <c r="A224" s="61">
        <v>2019200243</v>
      </c>
      <c r="B224" s="470">
        <v>43860</v>
      </c>
      <c r="C224" s="470" t="s">
        <v>137</v>
      </c>
      <c r="D224" s="470" t="s">
        <v>1700</v>
      </c>
      <c r="E224" s="470" t="s">
        <v>1708</v>
      </c>
      <c r="F224" s="470" t="s">
        <v>1277</v>
      </c>
      <c r="G224" s="470" t="s">
        <v>1700</v>
      </c>
      <c r="K224" s="54">
        <v>11.138999999999999</v>
      </c>
      <c r="L224" s="54"/>
      <c r="M224" s="54">
        <v>4200</v>
      </c>
      <c r="N224" s="54">
        <v>-46783.799999999996</v>
      </c>
      <c r="O224" s="54"/>
      <c r="P224" s="54"/>
      <c r="Q224" s="54"/>
      <c r="R224" s="54">
        <v>-46783.799999999996</v>
      </c>
      <c r="S224" s="54">
        <v>1.1008972312434635</v>
      </c>
      <c r="T224" s="88">
        <v>-42496.064729999991</v>
      </c>
      <c r="U224" s="54"/>
      <c r="W224" s="89">
        <v>43860.68221053241</v>
      </c>
    </row>
    <row r="225" spans="1:23">
      <c r="A225" s="61">
        <v>2019200244</v>
      </c>
      <c r="B225" s="496">
        <v>43868</v>
      </c>
      <c r="C225" s="496" t="s">
        <v>138</v>
      </c>
      <c r="D225" s="496" t="s">
        <v>1204</v>
      </c>
      <c r="E225" s="496" t="s">
        <v>1254</v>
      </c>
      <c r="F225" s="496" t="s">
        <v>1277</v>
      </c>
      <c r="G225" s="496" t="s">
        <v>1204</v>
      </c>
      <c r="H225" s="496"/>
      <c r="I225" s="496"/>
      <c r="J225" s="496"/>
      <c r="K225" s="54">
        <v>156500</v>
      </c>
      <c r="M225" s="54">
        <v>-840</v>
      </c>
      <c r="N225" s="54">
        <v>131460000</v>
      </c>
      <c r="R225" s="54">
        <v>130934168</v>
      </c>
      <c r="S225" s="54">
        <v>1301.3834209426657</v>
      </c>
      <c r="T225" s="88">
        <v>100611.52300922734</v>
      </c>
      <c r="V225" s="428" t="s">
        <v>1230</v>
      </c>
      <c r="W225" s="309">
        <v>43867.857933101855</v>
      </c>
    </row>
    <row r="226" spans="1:23">
      <c r="A226" s="61">
        <v>2019200245</v>
      </c>
      <c r="B226" s="496">
        <v>43871</v>
      </c>
      <c r="C226" s="496" t="s">
        <v>138</v>
      </c>
      <c r="D226" s="496" t="s">
        <v>136</v>
      </c>
      <c r="E226" s="496" t="s">
        <v>1265</v>
      </c>
      <c r="F226" s="496"/>
      <c r="G226" s="496" t="s">
        <v>1216</v>
      </c>
      <c r="H226" s="496"/>
      <c r="I226" s="496"/>
      <c r="J226" s="496"/>
      <c r="K226" s="54">
        <v>21.685009999999998</v>
      </c>
      <c r="M226" s="54">
        <v>-2000</v>
      </c>
      <c r="N226" s="54">
        <v>43370.02</v>
      </c>
      <c r="R226" s="54">
        <v>43344</v>
      </c>
      <c r="S226" s="54">
        <v>1</v>
      </c>
      <c r="T226" s="88">
        <v>43344</v>
      </c>
      <c r="V226" s="428" t="s">
        <v>1725</v>
      </c>
      <c r="W226" s="309">
        <v>43871.51514826389</v>
      </c>
    </row>
    <row r="227" spans="1:23">
      <c r="A227" s="61">
        <v>2019200246</v>
      </c>
      <c r="B227" s="496">
        <v>43871</v>
      </c>
      <c r="C227" s="496" t="s">
        <v>137</v>
      </c>
      <c r="D227" s="496" t="s">
        <v>1214</v>
      </c>
      <c r="E227" s="496" t="s">
        <v>1263</v>
      </c>
      <c r="F227" s="496" t="s">
        <v>1277</v>
      </c>
      <c r="G227" s="496" t="s">
        <v>1214</v>
      </c>
      <c r="H227" s="496"/>
      <c r="I227" s="496"/>
      <c r="J227" s="496"/>
      <c r="K227" s="54">
        <v>26.95439</v>
      </c>
      <c r="M227" s="54">
        <v>2500</v>
      </c>
      <c r="N227" s="54">
        <v>-67385.975000000006</v>
      </c>
      <c r="R227" s="54">
        <v>-67628.565000000002</v>
      </c>
      <c r="S227" s="54">
        <v>1</v>
      </c>
      <c r="T227" s="88">
        <v>-67628.565000000002</v>
      </c>
      <c r="V227" s="428" t="s">
        <v>1725</v>
      </c>
      <c r="W227" s="309">
        <v>43871.524733101855</v>
      </c>
    </row>
    <row r="228" spans="1:23">
      <c r="A228" s="61">
        <v>2019200247</v>
      </c>
      <c r="B228" s="496">
        <v>43872</v>
      </c>
      <c r="C228" s="496" t="s">
        <v>137</v>
      </c>
      <c r="D228" s="496" t="s">
        <v>1714</v>
      </c>
      <c r="E228" s="496" t="s">
        <v>1723</v>
      </c>
      <c r="F228" s="496" t="s">
        <v>1277</v>
      </c>
      <c r="G228" s="496" t="s">
        <v>1714</v>
      </c>
      <c r="H228" s="496"/>
      <c r="I228" s="496"/>
      <c r="J228" s="496"/>
      <c r="K228" s="54">
        <v>2.5236999999999998</v>
      </c>
      <c r="M228" s="54">
        <v>22000</v>
      </c>
      <c r="N228" s="54">
        <v>-55521.399999999994</v>
      </c>
      <c r="R228" s="54">
        <v>-55554.709999999992</v>
      </c>
      <c r="S228" s="54">
        <v>1.6401300022980165</v>
      </c>
      <c r="T228" s="88">
        <v>-33872.138136709444</v>
      </c>
      <c r="V228" s="371" t="s">
        <v>1725</v>
      </c>
      <c r="W228" s="309">
        <v>43871.933359490744</v>
      </c>
    </row>
    <row r="229" spans="1:23">
      <c r="A229" s="61">
        <v>2019200248</v>
      </c>
      <c r="B229" s="496">
        <v>43872</v>
      </c>
      <c r="C229" s="496" t="s">
        <v>137</v>
      </c>
      <c r="D229" s="496" t="s">
        <v>1206</v>
      </c>
      <c r="E229" s="496" t="s">
        <v>1256</v>
      </c>
      <c r="F229" s="496" t="s">
        <v>1277</v>
      </c>
      <c r="G229" s="496" t="s">
        <v>1206</v>
      </c>
      <c r="H229" s="496"/>
      <c r="I229" s="496"/>
      <c r="J229" s="496"/>
      <c r="K229" s="54">
        <v>3418.7653</v>
      </c>
      <c r="M229" s="54">
        <v>17000</v>
      </c>
      <c r="N229" s="54">
        <v>-58119010.100000001</v>
      </c>
      <c r="R229" s="54">
        <v>-58206189.100000001</v>
      </c>
      <c r="S229" s="54">
        <v>1303.7326417386168</v>
      </c>
      <c r="T229" s="88">
        <v>-44645.801782164526</v>
      </c>
      <c r="V229" s="371" t="s">
        <v>1230</v>
      </c>
      <c r="W229" s="309">
        <v>43871.936795833331</v>
      </c>
    </row>
    <row r="230" spans="1:23">
      <c r="A230" s="61">
        <v>2019200249</v>
      </c>
      <c r="B230" s="496">
        <v>43872</v>
      </c>
      <c r="C230" s="496" t="s">
        <v>137</v>
      </c>
      <c r="D230" s="496" t="s">
        <v>1206</v>
      </c>
      <c r="E230" s="496" t="s">
        <v>1256</v>
      </c>
      <c r="F230" s="496" t="s">
        <v>1277</v>
      </c>
      <c r="G230" s="496" t="s">
        <v>1206</v>
      </c>
      <c r="H230" s="496"/>
      <c r="I230" s="496"/>
      <c r="J230" s="496"/>
      <c r="K230" s="54">
        <v>3390</v>
      </c>
      <c r="M230" s="54">
        <v>580</v>
      </c>
      <c r="N230" s="54">
        <v>-1966200</v>
      </c>
      <c r="R230" s="54">
        <v>-1969149</v>
      </c>
      <c r="S230" s="54">
        <v>1303.7326417386168</v>
      </c>
      <c r="T230" s="88">
        <v>-1510.393263893435</v>
      </c>
      <c r="V230" s="371" t="s">
        <v>1230</v>
      </c>
      <c r="W230" s="309">
        <v>43871.936805555553</v>
      </c>
    </row>
    <row r="231" spans="1:23">
      <c r="A231" s="61">
        <v>2019200250</v>
      </c>
      <c r="B231" s="496">
        <v>43872</v>
      </c>
      <c r="C231" s="496" t="s">
        <v>137</v>
      </c>
      <c r="D231" s="496" t="s">
        <v>1215</v>
      </c>
      <c r="E231" s="496" t="s">
        <v>1264</v>
      </c>
      <c r="F231" s="496" t="s">
        <v>1277</v>
      </c>
      <c r="G231" s="496" t="s">
        <v>1215</v>
      </c>
      <c r="H231" s="496"/>
      <c r="I231" s="496"/>
      <c r="J231" s="496"/>
      <c r="K231" s="54">
        <v>103.9361</v>
      </c>
      <c r="M231" s="54">
        <v>420</v>
      </c>
      <c r="N231" s="54">
        <v>-43653.161999999997</v>
      </c>
      <c r="R231" s="54">
        <v>-43679.351999999999</v>
      </c>
      <c r="S231" s="54">
        <v>1</v>
      </c>
      <c r="T231" s="88">
        <v>-43679.351999999999</v>
      </c>
      <c r="V231" s="371" t="s">
        <v>1725</v>
      </c>
      <c r="W231" s="309">
        <v>43872.698958564812</v>
      </c>
    </row>
    <row r="232" spans="1:23">
      <c r="A232" s="61">
        <v>2019200251</v>
      </c>
      <c r="B232" s="496">
        <v>43873</v>
      </c>
      <c r="C232" s="496" t="s">
        <v>138</v>
      </c>
      <c r="D232" s="496" t="s">
        <v>1204</v>
      </c>
      <c r="E232" s="496" t="s">
        <v>1254</v>
      </c>
      <c r="F232" s="496" t="s">
        <v>1277</v>
      </c>
      <c r="G232" s="496" t="s">
        <v>1204</v>
      </c>
      <c r="H232" s="496"/>
      <c r="I232" s="496"/>
      <c r="J232" s="496"/>
      <c r="K232" s="54">
        <v>182000</v>
      </c>
      <c r="M232" s="54">
        <v>-321</v>
      </c>
      <c r="N232" s="54">
        <v>58422000</v>
      </c>
      <c r="R232" s="54">
        <v>58188312</v>
      </c>
      <c r="S232" s="54">
        <v>1289.222373806271</v>
      </c>
      <c r="T232" s="88">
        <v>45134.426133333494</v>
      </c>
      <c r="V232" s="371" t="s">
        <v>1727</v>
      </c>
      <c r="W232" s="309">
        <v>43873.040099652775</v>
      </c>
    </row>
    <row r="233" spans="1:23">
      <c r="A233" s="61">
        <v>2019200252</v>
      </c>
      <c r="B233" s="496">
        <v>43873</v>
      </c>
      <c r="C233" s="496" t="s">
        <v>137</v>
      </c>
      <c r="D233" s="496" t="s">
        <v>1682</v>
      </c>
      <c r="E233" s="496" t="s">
        <v>1683</v>
      </c>
      <c r="F233" s="496" t="s">
        <v>1277</v>
      </c>
      <c r="G233" s="496" t="s">
        <v>1682</v>
      </c>
      <c r="H233" s="496"/>
      <c r="I233" s="496"/>
      <c r="J233" s="496"/>
      <c r="K233" s="54">
        <v>1026.25</v>
      </c>
      <c r="M233" s="54">
        <v>1200</v>
      </c>
      <c r="N233" s="54">
        <v>-1231500</v>
      </c>
      <c r="R233" s="54">
        <v>-1232239</v>
      </c>
      <c r="S233" s="54">
        <v>119.80354706684855</v>
      </c>
      <c r="T233" s="88">
        <v>-10285.496800127541</v>
      </c>
      <c r="V233" s="371" t="s">
        <v>1725</v>
      </c>
      <c r="W233" s="309">
        <v>43873.483091203707</v>
      </c>
    </row>
    <row r="234" spans="1:23">
      <c r="A234" s="61">
        <v>2019200253</v>
      </c>
      <c r="B234" s="496">
        <v>43873</v>
      </c>
      <c r="C234" s="496" t="s">
        <v>137</v>
      </c>
      <c r="D234" s="496" t="s">
        <v>1660</v>
      </c>
      <c r="E234" s="496" t="s">
        <v>1680</v>
      </c>
      <c r="F234" s="496" t="s">
        <v>1277</v>
      </c>
      <c r="G234" s="496" t="s">
        <v>2105</v>
      </c>
      <c r="H234" s="496"/>
      <c r="I234" s="496"/>
      <c r="J234" s="496"/>
      <c r="K234" s="54">
        <v>1070</v>
      </c>
      <c r="M234" s="54">
        <v>6700</v>
      </c>
      <c r="N234" s="54">
        <v>-7169000</v>
      </c>
      <c r="R234" s="54">
        <v>-7173301</v>
      </c>
      <c r="S234" s="54">
        <v>119.80354706684852</v>
      </c>
      <c r="T234" s="88">
        <v>-59875.531030791681</v>
      </c>
      <c r="V234" s="371" t="s">
        <v>1725</v>
      </c>
      <c r="W234" s="309">
        <v>43873.48372384259</v>
      </c>
    </row>
    <row r="235" spans="1:23">
      <c r="A235" s="61">
        <v>2019200254</v>
      </c>
      <c r="B235" s="496">
        <v>43874</v>
      </c>
      <c r="C235" s="496" t="s">
        <v>137</v>
      </c>
      <c r="D235" s="496" t="s">
        <v>1682</v>
      </c>
      <c r="E235" s="496" t="s">
        <v>1683</v>
      </c>
      <c r="F235" s="496" t="s">
        <v>1277</v>
      </c>
      <c r="G235" s="496" t="s">
        <v>1682</v>
      </c>
      <c r="H235" s="496"/>
      <c r="I235" s="496"/>
      <c r="J235" s="496"/>
      <c r="K235" s="54">
        <v>1014.2381</v>
      </c>
      <c r="M235" s="54">
        <v>2100</v>
      </c>
      <c r="N235" s="54">
        <v>-2129900.0100000002</v>
      </c>
      <c r="R235" s="54">
        <v>-2131178.0100000002</v>
      </c>
      <c r="S235" s="54">
        <v>119.80354706684855</v>
      </c>
      <c r="T235" s="88">
        <v>-17788.939160631326</v>
      </c>
      <c r="V235" s="371" t="s">
        <v>1725</v>
      </c>
      <c r="W235" s="309">
        <v>43873.833059027776</v>
      </c>
    </row>
    <row r="236" spans="1:23">
      <c r="A236" s="61">
        <v>2019200255</v>
      </c>
      <c r="B236" s="496">
        <v>43875</v>
      </c>
      <c r="C236" s="496" t="s">
        <v>137</v>
      </c>
      <c r="D236" s="496" t="s">
        <v>1682</v>
      </c>
      <c r="E236" s="496" t="s">
        <v>1683</v>
      </c>
      <c r="F236" s="496" t="s">
        <v>1277</v>
      </c>
      <c r="G236" s="496" t="s">
        <v>1682</v>
      </c>
      <c r="H236" s="496"/>
      <c r="I236" s="496"/>
      <c r="J236" s="496"/>
      <c r="K236" s="54">
        <v>991.44047999999998</v>
      </c>
      <c r="M236" s="54">
        <v>4200</v>
      </c>
      <c r="N236" s="54">
        <v>-4164050.0159999998</v>
      </c>
      <c r="R236" s="54">
        <v>-4166548.0159999998</v>
      </c>
      <c r="S236" s="54">
        <v>119.66778275427232</v>
      </c>
      <c r="T236" s="88">
        <v>-34817.625263063943</v>
      </c>
      <c r="V236" s="371" t="s">
        <v>1725</v>
      </c>
      <c r="W236" s="309">
        <v>43874.895068518519</v>
      </c>
    </row>
    <row r="237" spans="1:23">
      <c r="A237" s="61">
        <v>2019200256</v>
      </c>
      <c r="B237" s="496">
        <v>43881</v>
      </c>
      <c r="C237" s="496" t="s">
        <v>137</v>
      </c>
      <c r="D237" s="496" t="s">
        <v>1212</v>
      </c>
      <c r="E237" s="496" t="s">
        <v>1261</v>
      </c>
      <c r="F237" s="496" t="s">
        <v>1277</v>
      </c>
      <c r="G237" s="496" t="s">
        <v>1212</v>
      </c>
      <c r="H237" s="496"/>
      <c r="I237" s="496"/>
      <c r="J237" s="496"/>
      <c r="K237" s="54">
        <v>32.887500000000003</v>
      </c>
      <c r="M237" s="54">
        <v>1300</v>
      </c>
      <c r="N237" s="54">
        <v>-42753.750000000007</v>
      </c>
      <c r="R237" s="54">
        <v>-42907.660000000011</v>
      </c>
      <c r="S237" s="54">
        <v>1</v>
      </c>
      <c r="T237" s="88">
        <v>-42907.660000000011</v>
      </c>
      <c r="V237" s="371" t="s">
        <v>1725</v>
      </c>
      <c r="W237" s="309">
        <v>43881.536782523151</v>
      </c>
    </row>
    <row r="238" spans="1:23">
      <c r="A238" s="61">
        <v>2019200257</v>
      </c>
      <c r="B238" s="496">
        <v>43885</v>
      </c>
      <c r="C238" s="496" t="s">
        <v>137</v>
      </c>
      <c r="D238" s="496" t="s">
        <v>1715</v>
      </c>
      <c r="E238" s="496" t="s">
        <v>1702</v>
      </c>
      <c r="F238" s="496" t="s">
        <v>1277</v>
      </c>
      <c r="G238" s="496" t="s">
        <v>1715</v>
      </c>
      <c r="H238" s="496"/>
      <c r="I238" s="496"/>
      <c r="J238" s="496"/>
      <c r="K238" s="54">
        <v>158.07650000000001</v>
      </c>
      <c r="M238" s="54">
        <v>400</v>
      </c>
      <c r="N238" s="54">
        <v>-63230.600000000006</v>
      </c>
      <c r="R238" s="54">
        <v>-63262.220000000008</v>
      </c>
      <c r="S238" s="54">
        <v>1</v>
      </c>
      <c r="T238" s="88">
        <v>-63262.220000000008</v>
      </c>
      <c r="V238" s="371" t="s">
        <v>1113</v>
      </c>
      <c r="W238" s="309">
        <v>43885.53717476852</v>
      </c>
    </row>
    <row r="239" spans="1:23">
      <c r="A239" s="61">
        <v>2019200258</v>
      </c>
      <c r="B239" s="496">
        <v>43885</v>
      </c>
      <c r="C239" s="496" t="s">
        <v>137</v>
      </c>
      <c r="D239" s="496" t="s">
        <v>1214</v>
      </c>
      <c r="E239" s="496" t="s">
        <v>1263</v>
      </c>
      <c r="F239" s="496" t="s">
        <v>1277</v>
      </c>
      <c r="G239" s="496" t="s">
        <v>1214</v>
      </c>
      <c r="H239" s="496"/>
      <c r="I239" s="496"/>
      <c r="J239" s="496"/>
      <c r="K239" s="54">
        <v>25.2135</v>
      </c>
      <c r="M239" s="54">
        <v>1300</v>
      </c>
      <c r="N239" s="54">
        <v>-32777.550000000003</v>
      </c>
      <c r="R239" s="54">
        <v>-32892.270000000004</v>
      </c>
      <c r="S239" s="54">
        <v>1</v>
      </c>
      <c r="T239" s="88">
        <v>-32892.270000000004</v>
      </c>
      <c r="V239" s="371" t="s">
        <v>1113</v>
      </c>
      <c r="W239" s="309">
        <v>43885.54159872685</v>
      </c>
    </row>
    <row r="240" spans="1:23">
      <c r="A240" s="61">
        <v>2019200259</v>
      </c>
      <c r="B240" s="496">
        <v>43886</v>
      </c>
      <c r="C240" s="496" t="s">
        <v>137</v>
      </c>
      <c r="D240" s="496" t="s">
        <v>1647</v>
      </c>
      <c r="E240" s="496" t="s">
        <v>1675</v>
      </c>
      <c r="F240" s="496" t="s">
        <v>1277</v>
      </c>
      <c r="G240" s="496" t="s">
        <v>1647</v>
      </c>
      <c r="H240" s="496"/>
      <c r="I240" s="496"/>
      <c r="J240" s="496"/>
      <c r="K240" s="54">
        <v>12.64432</v>
      </c>
      <c r="M240" s="54">
        <v>2200</v>
      </c>
      <c r="N240" s="54">
        <v>-27817.504000000001</v>
      </c>
      <c r="R240" s="54">
        <v>-27831.414000000001</v>
      </c>
      <c r="S240" s="54">
        <v>1.0851989712313752</v>
      </c>
      <c r="T240" s="88">
        <v>-25646.369686860002</v>
      </c>
      <c r="V240" s="371" t="s">
        <v>1725</v>
      </c>
      <c r="W240" s="309">
        <v>43886.823459490741</v>
      </c>
    </row>
    <row r="241" spans="1:23">
      <c r="A241" s="61">
        <v>2019200260</v>
      </c>
      <c r="B241" s="496">
        <v>43888</v>
      </c>
      <c r="C241" s="496" t="s">
        <v>137</v>
      </c>
      <c r="D241" s="496" t="s">
        <v>1647</v>
      </c>
      <c r="E241" s="496" t="s">
        <v>1675</v>
      </c>
      <c r="F241" s="496" t="s">
        <v>1277</v>
      </c>
      <c r="G241" s="496" t="s">
        <v>1647</v>
      </c>
      <c r="H241" s="496"/>
      <c r="I241" s="496"/>
      <c r="J241" s="496"/>
      <c r="K241" s="54">
        <v>9.99512</v>
      </c>
      <c r="M241" s="54">
        <v>4200</v>
      </c>
      <c r="N241" s="54">
        <v>-41979.504000000001</v>
      </c>
      <c r="R241" s="54">
        <v>-42000.493999999999</v>
      </c>
      <c r="S241" s="54">
        <v>1.0879025239338556</v>
      </c>
      <c r="T241" s="88">
        <v>-38606.854084799998</v>
      </c>
      <c r="V241" s="371" t="s">
        <v>1725</v>
      </c>
      <c r="W241" s="309">
        <v>43888.868312037041</v>
      </c>
    </row>
    <row r="242" spans="1:23">
      <c r="A242" s="61">
        <v>2019200261</v>
      </c>
      <c r="B242" s="496">
        <v>43889</v>
      </c>
      <c r="C242" s="496" t="s">
        <v>137</v>
      </c>
      <c r="D242" s="496" t="s">
        <v>1715</v>
      </c>
      <c r="E242" s="496" t="s">
        <v>1702</v>
      </c>
      <c r="F242" s="496" t="s">
        <v>1277</v>
      </c>
      <c r="G242" s="496" t="s">
        <v>1715</v>
      </c>
      <c r="H242" s="496"/>
      <c r="I242" s="496"/>
      <c r="J242" s="496"/>
      <c r="K242" s="54">
        <v>143.66499999999999</v>
      </c>
      <c r="M242" s="54">
        <v>370</v>
      </c>
      <c r="N242" s="54">
        <v>-53156.049999999996</v>
      </c>
      <c r="R242" s="54">
        <v>-53182.63</v>
      </c>
      <c r="S242" s="54">
        <v>1</v>
      </c>
      <c r="T242" s="88">
        <v>-53182.63</v>
      </c>
      <c r="V242" s="371" t="s">
        <v>1113</v>
      </c>
      <c r="W242" s="309">
        <v>43889.457901504633</v>
      </c>
    </row>
    <row r="243" spans="1:23">
      <c r="A243" s="61">
        <v>2019200262</v>
      </c>
      <c r="B243" s="496">
        <v>43889</v>
      </c>
      <c r="C243" s="496" t="s">
        <v>137</v>
      </c>
      <c r="D243" s="496" t="s">
        <v>1219</v>
      </c>
      <c r="E243" s="496" t="s">
        <v>1268</v>
      </c>
      <c r="F243" s="496" t="s">
        <v>1277</v>
      </c>
      <c r="G243" s="496" t="s">
        <v>1219</v>
      </c>
      <c r="H243" s="496"/>
      <c r="I243" s="496"/>
      <c r="J243" s="496"/>
      <c r="K243" s="54">
        <v>26.145900000000001</v>
      </c>
      <c r="M243" s="54">
        <v>2000</v>
      </c>
      <c r="N243" s="54">
        <v>-52291.8</v>
      </c>
      <c r="R243" s="54">
        <v>-52474.83</v>
      </c>
      <c r="S243" s="54">
        <v>1</v>
      </c>
      <c r="T243" s="88">
        <v>-52474.83</v>
      </c>
      <c r="V243" s="371" t="s">
        <v>1113</v>
      </c>
      <c r="W243" s="309">
        <v>43889.459537615738</v>
      </c>
    </row>
    <row r="244" spans="1:23">
      <c r="A244" s="61">
        <v>2019200263</v>
      </c>
      <c r="B244" s="496">
        <v>43889</v>
      </c>
      <c r="C244" s="496" t="s">
        <v>138</v>
      </c>
      <c r="D244" s="496" t="s">
        <v>136</v>
      </c>
      <c r="E244" s="496" t="s">
        <v>1678</v>
      </c>
      <c r="F244" s="496"/>
      <c r="G244" s="496" t="s">
        <v>2108</v>
      </c>
      <c r="H244" s="496"/>
      <c r="I244" s="496"/>
      <c r="J244" s="496"/>
      <c r="K244" s="54">
        <v>57.8249</v>
      </c>
      <c r="M244" s="54">
        <v>-1000</v>
      </c>
      <c r="N244" s="54">
        <v>57824.9</v>
      </c>
      <c r="R244" s="54">
        <v>57795.99</v>
      </c>
      <c r="S244" s="54">
        <v>1</v>
      </c>
      <c r="T244" s="88">
        <v>57795.99</v>
      </c>
      <c r="V244" s="371" t="s">
        <v>1113</v>
      </c>
      <c r="W244" s="309">
        <v>43889.466879282409</v>
      </c>
    </row>
    <row r="245" spans="1:23">
      <c r="A245" s="61">
        <v>2019200264</v>
      </c>
      <c r="B245" s="496">
        <v>43894</v>
      </c>
      <c r="C245" s="496" t="s">
        <v>137</v>
      </c>
      <c r="D245" s="496" t="s">
        <v>1714</v>
      </c>
      <c r="E245" s="496" t="s">
        <v>1723</v>
      </c>
      <c r="F245" s="496" t="s">
        <v>1277</v>
      </c>
      <c r="G245" s="496" t="s">
        <v>1714</v>
      </c>
      <c r="H245" s="496"/>
      <c r="I245" s="496"/>
      <c r="J245" s="496"/>
      <c r="K245" s="54">
        <v>2.4169200000000002</v>
      </c>
      <c r="M245" s="54">
        <v>17000</v>
      </c>
      <c r="N245" s="54">
        <v>-41087.64</v>
      </c>
      <c r="R245" s="54">
        <v>-41112.29</v>
      </c>
      <c r="S245" s="54">
        <v>1.6972005630152565</v>
      </c>
      <c r="T245" s="88">
        <v>-24223.589654577809</v>
      </c>
      <c r="V245" s="371" t="s">
        <v>1725</v>
      </c>
      <c r="W245" s="309">
        <v>43894.432877546293</v>
      </c>
    </row>
    <row r="246" spans="1:23">
      <c r="A246" s="61">
        <v>2019200265</v>
      </c>
      <c r="B246" s="496">
        <v>43894</v>
      </c>
      <c r="C246" s="496" t="s">
        <v>137</v>
      </c>
      <c r="D246" s="496" t="s">
        <v>1181</v>
      </c>
      <c r="E246" s="496" t="s">
        <v>1233</v>
      </c>
      <c r="F246" s="496" t="s">
        <v>1277</v>
      </c>
      <c r="G246" s="496" t="s">
        <v>2098</v>
      </c>
      <c r="H246" s="496"/>
      <c r="I246" s="496"/>
      <c r="J246" s="496"/>
      <c r="K246" s="54">
        <v>2625</v>
      </c>
      <c r="M246" s="54">
        <v>4200</v>
      </c>
      <c r="N246" s="54">
        <v>-11025000</v>
      </c>
      <c r="R246" s="54">
        <v>-11031615</v>
      </c>
      <c r="S246" s="54">
        <v>119.66308451931455</v>
      </c>
      <c r="T246" s="88">
        <v>-92188.957390776704</v>
      </c>
      <c r="V246" s="371" t="s">
        <v>1725</v>
      </c>
      <c r="W246" s="309">
        <v>43894.47167071759</v>
      </c>
    </row>
    <row r="247" spans="1:23">
      <c r="A247" s="61">
        <v>2019200266</v>
      </c>
      <c r="B247" s="496">
        <v>43899</v>
      </c>
      <c r="C247" s="496" t="s">
        <v>138</v>
      </c>
      <c r="D247" s="496" t="s">
        <v>136</v>
      </c>
      <c r="E247" s="496" t="s">
        <v>1253</v>
      </c>
      <c r="F247" s="496"/>
      <c r="G247" s="496" t="s">
        <v>1203</v>
      </c>
      <c r="H247" s="496"/>
      <c r="I247" s="496"/>
      <c r="J247" s="496"/>
      <c r="K247" s="54">
        <v>289000</v>
      </c>
      <c r="M247" s="54">
        <v>-400</v>
      </c>
      <c r="N247" s="54">
        <v>115600000</v>
      </c>
      <c r="R247" s="54">
        <v>115137600</v>
      </c>
      <c r="S247" s="54">
        <v>1374</v>
      </c>
      <c r="T247" s="88">
        <v>83797.37991266376</v>
      </c>
      <c r="V247" s="371" t="s">
        <v>1230</v>
      </c>
      <c r="W247" s="309">
        <v>43899.970605787035</v>
      </c>
    </row>
    <row r="248" spans="1:23">
      <c r="A248" s="61">
        <v>2019200267</v>
      </c>
      <c r="B248" s="496">
        <v>43915</v>
      </c>
      <c r="C248" s="496" t="s">
        <v>137</v>
      </c>
      <c r="D248" s="496" t="s">
        <v>1687</v>
      </c>
      <c r="E248" s="496" t="s">
        <v>1698</v>
      </c>
      <c r="F248" s="496" t="s">
        <v>1277</v>
      </c>
      <c r="G248" s="496" t="s">
        <v>1687</v>
      </c>
      <c r="H248" s="496"/>
      <c r="I248" s="496"/>
      <c r="J248" s="496"/>
      <c r="K248" s="54">
        <v>24.22437</v>
      </c>
      <c r="M248" s="54">
        <v>1970</v>
      </c>
      <c r="N248" s="54">
        <v>-47722.008900000001</v>
      </c>
      <c r="R248" s="54">
        <v>-47750.638899999998</v>
      </c>
      <c r="S248" s="54">
        <v>1.0787021056265103</v>
      </c>
      <c r="T248" s="88">
        <v>-44266.752285855997</v>
      </c>
      <c r="V248" s="371" t="s">
        <v>1725</v>
      </c>
      <c r="W248" s="309">
        <v>43915.548448379632</v>
      </c>
    </row>
    <row r="249" spans="1:23">
      <c r="A249" s="61">
        <v>2019200268</v>
      </c>
      <c r="B249" s="496">
        <v>43931</v>
      </c>
      <c r="C249" s="496" t="s">
        <v>137</v>
      </c>
      <c r="D249" s="496" t="s">
        <v>1660</v>
      </c>
      <c r="E249" s="496" t="s">
        <v>1680</v>
      </c>
      <c r="F249" s="496" t="s">
        <v>1277</v>
      </c>
      <c r="G249" s="496" t="s">
        <v>2105</v>
      </c>
      <c r="H249" s="496"/>
      <c r="I249" s="496"/>
      <c r="J249" s="496"/>
      <c r="K249" s="54">
        <v>718.54055000000005</v>
      </c>
      <c r="M249" s="54">
        <v>6700</v>
      </c>
      <c r="N249" s="54">
        <v>-4814221.6850000005</v>
      </c>
      <c r="R249" s="54">
        <v>-4815665.6850000005</v>
      </c>
      <c r="S249" s="54">
        <v>118.51479522706417</v>
      </c>
      <c r="T249" s="88">
        <v>-40633.455728237124</v>
      </c>
      <c r="V249" s="371" t="s">
        <v>1725</v>
      </c>
      <c r="W249" s="309">
        <v>43931.081108217593</v>
      </c>
    </row>
    <row r="250" spans="1:23">
      <c r="A250" s="61">
        <v>2019200269</v>
      </c>
      <c r="B250" s="496">
        <v>43949</v>
      </c>
      <c r="C250" s="496" t="s">
        <v>137</v>
      </c>
      <c r="D250" s="496" t="s">
        <v>1209</v>
      </c>
      <c r="E250" s="496" t="s">
        <v>1273</v>
      </c>
      <c r="F250" s="496" t="s">
        <v>1277</v>
      </c>
      <c r="G250" s="496" t="s">
        <v>1209</v>
      </c>
      <c r="H250" s="496"/>
      <c r="I250" s="496"/>
      <c r="J250" s="496"/>
      <c r="K250" s="54">
        <v>0.23427999999999999</v>
      </c>
      <c r="M250" s="54">
        <v>220000</v>
      </c>
      <c r="N250" s="54">
        <v>-51541.599999999999</v>
      </c>
      <c r="R250" s="54">
        <v>-51572.53</v>
      </c>
      <c r="S250" s="54">
        <v>1.6751269585178588</v>
      </c>
      <c r="T250" s="88">
        <v>-30787.236595864371</v>
      </c>
      <c r="V250" s="371" t="s">
        <v>1725</v>
      </c>
      <c r="W250" s="497">
        <v>43949.490571296294</v>
      </c>
    </row>
    <row r="251" spans="1:23">
      <c r="A251" s="61">
        <v>2019200270</v>
      </c>
      <c r="B251" s="496">
        <v>43971</v>
      </c>
      <c r="C251" s="496" t="s">
        <v>137</v>
      </c>
      <c r="D251" s="496" t="s">
        <v>1714</v>
      </c>
      <c r="E251" s="496" t="s">
        <v>1723</v>
      </c>
      <c r="F251" s="496" t="s">
        <v>1277</v>
      </c>
      <c r="G251" s="496" t="s">
        <v>1714</v>
      </c>
      <c r="H251" s="496"/>
      <c r="I251" s="496"/>
      <c r="J251" s="496"/>
      <c r="K251" s="54">
        <v>2.2915899999999998</v>
      </c>
      <c r="M251" s="54">
        <v>42000</v>
      </c>
      <c r="N251" s="54">
        <v>-96246.779999999984</v>
      </c>
      <c r="R251" s="54">
        <v>-96304.529999999984</v>
      </c>
      <c r="S251" s="54">
        <v>1.6708967204342142</v>
      </c>
      <c r="T251" s="88">
        <v>-57636.43486892082</v>
      </c>
      <c r="V251" s="371" t="s">
        <v>1725</v>
      </c>
      <c r="W251" s="497">
        <v>43971.130711805556</v>
      </c>
    </row>
    <row r="252" spans="1:23">
      <c r="A252" s="61">
        <v>2019200271</v>
      </c>
      <c r="B252" s="496">
        <v>43971</v>
      </c>
      <c r="C252" s="496" t="s">
        <v>138</v>
      </c>
      <c r="D252" s="496" t="s">
        <v>1204</v>
      </c>
      <c r="E252" s="496" t="s">
        <v>1254</v>
      </c>
      <c r="F252" s="496" t="s">
        <v>1277</v>
      </c>
      <c r="G252" s="496" t="s">
        <v>1204</v>
      </c>
      <c r="H252" s="496"/>
      <c r="I252" s="496"/>
      <c r="J252" s="496"/>
      <c r="K252" s="54">
        <v>168690</v>
      </c>
      <c r="M252" s="54">
        <v>-400</v>
      </c>
      <c r="N252" s="54">
        <v>67476000</v>
      </c>
      <c r="R252" s="54">
        <v>67206133</v>
      </c>
      <c r="S252" s="54">
        <v>1374</v>
      </c>
      <c r="T252" s="88">
        <v>48912.760553129548</v>
      </c>
      <c r="V252" s="371" t="s">
        <v>1230</v>
      </c>
      <c r="W252" s="497">
        <v>43971.132098842594</v>
      </c>
    </row>
    <row r="253" spans="1:23">
      <c r="A253" s="61">
        <v>2019200272</v>
      </c>
      <c r="B253" s="496">
        <v>43973</v>
      </c>
      <c r="C253" s="496" t="s">
        <v>137</v>
      </c>
      <c r="D253" s="496" t="s">
        <v>1714</v>
      </c>
      <c r="E253" s="496" t="s">
        <v>1723</v>
      </c>
      <c r="F253" s="496" t="s">
        <v>1277</v>
      </c>
      <c r="G253" s="496" t="s">
        <v>1714</v>
      </c>
      <c r="H253" s="496"/>
      <c r="I253" s="496"/>
      <c r="J253" s="496"/>
      <c r="K253" s="54">
        <v>2.2707000000000002</v>
      </c>
      <c r="M253" s="54">
        <v>22000</v>
      </c>
      <c r="N253" s="54">
        <v>-49955.4</v>
      </c>
      <c r="R253" s="54">
        <v>-49985.37</v>
      </c>
      <c r="S253" s="54">
        <v>1.6680279855035984</v>
      </c>
      <c r="T253" s="88">
        <v>-29966.745422984492</v>
      </c>
      <c r="V253" s="371" t="s">
        <v>1725</v>
      </c>
      <c r="W253" s="497">
        <v>43972.996930208334</v>
      </c>
    </row>
    <row r="254" spans="1:23">
      <c r="A254" s="61">
        <v>2019200273</v>
      </c>
      <c r="B254" s="496">
        <v>43973</v>
      </c>
      <c r="C254" s="496" t="s">
        <v>137</v>
      </c>
      <c r="D254" s="496" t="s">
        <v>1209</v>
      </c>
      <c r="E254" s="496" t="s">
        <v>1273</v>
      </c>
      <c r="F254" s="496" t="s">
        <v>1277</v>
      </c>
      <c r="G254" s="496" t="s">
        <v>1209</v>
      </c>
      <c r="H254" s="496"/>
      <c r="I254" s="496"/>
      <c r="J254" s="496"/>
      <c r="K254" s="54">
        <v>0.30391000000000001</v>
      </c>
      <c r="M254" s="54">
        <v>260000</v>
      </c>
      <c r="N254" s="54">
        <v>-79016.600000000006</v>
      </c>
      <c r="R254" s="54">
        <v>-79064.010000000009</v>
      </c>
      <c r="S254" s="54">
        <v>1.6680279855035978</v>
      </c>
      <c r="T254" s="88">
        <v>-47399.69034520103</v>
      </c>
      <c r="V254" s="371" t="s">
        <v>1725</v>
      </c>
      <c r="W254" s="497">
        <v>43972.998083217593</v>
      </c>
    </row>
    <row r="255" spans="1:23">
      <c r="A255" s="61">
        <v>2019200274</v>
      </c>
      <c r="B255" s="496">
        <v>43979</v>
      </c>
      <c r="C255" s="496" t="s">
        <v>137</v>
      </c>
      <c r="D255" s="496" t="s">
        <v>1112</v>
      </c>
      <c r="E255" s="496" t="s">
        <v>1232</v>
      </c>
      <c r="F255" s="496" t="s">
        <v>1277</v>
      </c>
      <c r="G255" s="496" t="s">
        <v>1180</v>
      </c>
      <c r="H255" s="496"/>
      <c r="I255" s="496"/>
      <c r="J255" s="496"/>
      <c r="K255" s="54">
        <v>961.1</v>
      </c>
      <c r="M255" s="54">
        <v>11000</v>
      </c>
      <c r="N255" s="54">
        <v>-10572100</v>
      </c>
      <c r="R255" s="54">
        <v>-10578443</v>
      </c>
      <c r="S255" s="54">
        <v>118.51370978390042</v>
      </c>
      <c r="T255" s="88">
        <v>-89259.2343897502</v>
      </c>
      <c r="V255" s="371" t="s">
        <v>1725</v>
      </c>
      <c r="W255" s="497">
        <v>43979.856964583334</v>
      </c>
    </row>
    <row r="256" spans="1:23">
      <c r="A256" s="61">
        <v>2019200275</v>
      </c>
      <c r="B256" s="496">
        <v>43979</v>
      </c>
      <c r="C256" s="496" t="s">
        <v>138</v>
      </c>
      <c r="D256" s="496" t="s">
        <v>1196</v>
      </c>
      <c r="E256" s="496" t="s">
        <v>1247</v>
      </c>
      <c r="F256" s="496" t="s">
        <v>1277</v>
      </c>
      <c r="G256" s="496" t="s">
        <v>1196</v>
      </c>
      <c r="H256" s="496"/>
      <c r="I256" s="496"/>
      <c r="J256" s="496"/>
      <c r="K256" s="54">
        <v>1600</v>
      </c>
      <c r="M256" s="54">
        <v>-4000</v>
      </c>
      <c r="N256" s="54">
        <v>6400000</v>
      </c>
      <c r="R256" s="54">
        <v>6396160</v>
      </c>
      <c r="S256" s="54">
        <v>118.51370978390042</v>
      </c>
      <c r="T256" s="88">
        <v>53969.789753968958</v>
      </c>
      <c r="V256" s="371" t="s">
        <v>1725</v>
      </c>
      <c r="W256" s="497">
        <v>43979.859993865743</v>
      </c>
    </row>
    <row r="257" spans="1:22">
      <c r="A257" s="467">
        <v>2019200276</v>
      </c>
      <c r="B257" s="26">
        <v>43985</v>
      </c>
      <c r="C257" s="26" t="s">
        <v>137</v>
      </c>
      <c r="D257" s="26" t="s">
        <v>1719</v>
      </c>
      <c r="E257" s="26" t="s">
        <v>1314</v>
      </c>
      <c r="F257" s="26" t="s">
        <v>1277</v>
      </c>
      <c r="G257" s="26" t="s">
        <v>1719</v>
      </c>
      <c r="I257" s="26" t="s">
        <v>1314</v>
      </c>
      <c r="J257" s="26" t="s">
        <v>1314</v>
      </c>
      <c r="K257" s="54">
        <v>0.14000000000000001</v>
      </c>
      <c r="M257" s="54">
        <v>67000</v>
      </c>
      <c r="N257" s="54">
        <v>-9380</v>
      </c>
      <c r="R257" s="54">
        <v>-9380</v>
      </c>
      <c r="S257" s="372">
        <v>1.5095949074074073</v>
      </c>
      <c r="T257" s="54">
        <v>-6213.5907073098815</v>
      </c>
      <c r="V257" s="26" t="s">
        <v>1725</v>
      </c>
    </row>
    <row r="258" spans="1:22">
      <c r="A258" s="467">
        <v>2019200277</v>
      </c>
      <c r="B258" s="26">
        <v>43986</v>
      </c>
      <c r="C258" s="26" t="s">
        <v>137</v>
      </c>
      <c r="D258" s="26" t="s">
        <v>1646</v>
      </c>
      <c r="E258" s="26" t="s">
        <v>1314</v>
      </c>
      <c r="F258" s="26" t="s">
        <v>1277</v>
      </c>
      <c r="G258" s="26" t="s">
        <v>1646</v>
      </c>
      <c r="I258" s="26" t="s">
        <v>1314</v>
      </c>
      <c r="J258" s="26" t="s">
        <v>1314</v>
      </c>
      <c r="K258" s="54">
        <v>8.1</v>
      </c>
      <c r="M258" s="54">
        <v>6700</v>
      </c>
      <c r="N258" s="54">
        <v>-54270</v>
      </c>
      <c r="R258" s="54">
        <v>-54270</v>
      </c>
      <c r="S258" s="372">
        <v>1.1232060185185184</v>
      </c>
      <c r="T258" s="54">
        <v>-48317.123699999989</v>
      </c>
      <c r="V258" s="26" t="s">
        <v>1725</v>
      </c>
    </row>
    <row r="259" spans="1:22">
      <c r="A259" s="467">
        <v>2019200278</v>
      </c>
      <c r="B259" s="26">
        <v>43986</v>
      </c>
      <c r="C259" s="26" t="s">
        <v>137</v>
      </c>
      <c r="D259" s="26" t="s">
        <v>1186</v>
      </c>
      <c r="E259" s="26" t="s">
        <v>1314</v>
      </c>
      <c r="F259" s="26" t="s">
        <v>1277</v>
      </c>
      <c r="G259" s="26" t="s">
        <v>1691</v>
      </c>
      <c r="I259" s="26" t="s">
        <v>1314</v>
      </c>
      <c r="J259" s="26" t="s">
        <v>1314</v>
      </c>
      <c r="K259" s="54">
        <v>2589</v>
      </c>
      <c r="M259" s="54">
        <v>2200</v>
      </c>
      <c r="N259" s="54">
        <v>-5695800</v>
      </c>
      <c r="R259" s="54">
        <v>-5695800</v>
      </c>
      <c r="S259" s="372">
        <v>122.30571759259259</v>
      </c>
      <c r="T259" s="54">
        <v>-46570.187326659921</v>
      </c>
      <c r="V259" s="26" t="s">
        <v>1725</v>
      </c>
    </row>
    <row r="260" spans="1:22">
      <c r="A260" s="467">
        <v>2019200279</v>
      </c>
      <c r="B260" s="26">
        <v>43986</v>
      </c>
      <c r="C260" s="26" t="s">
        <v>137</v>
      </c>
      <c r="D260" s="26" t="s">
        <v>1209</v>
      </c>
      <c r="E260" s="26" t="s">
        <v>1314</v>
      </c>
      <c r="F260" s="26" t="s">
        <v>1277</v>
      </c>
      <c r="G260" s="26" t="s">
        <v>1209</v>
      </c>
      <c r="I260" s="26" t="s">
        <v>1314</v>
      </c>
      <c r="J260" s="26" t="s">
        <v>1314</v>
      </c>
      <c r="K260" s="54">
        <v>0.32500000000000001</v>
      </c>
      <c r="M260" s="54">
        <v>170000</v>
      </c>
      <c r="N260" s="54">
        <v>-55250</v>
      </c>
      <c r="R260" s="54">
        <v>-55250</v>
      </c>
      <c r="S260" s="372">
        <v>1.6233680555555554</v>
      </c>
      <c r="T260" s="54">
        <v>-34034.1987822597</v>
      </c>
      <c r="V260" s="26" t="s">
        <v>1725</v>
      </c>
    </row>
    <row r="261" spans="1:22">
      <c r="A261" s="467">
        <v>2019200280</v>
      </c>
      <c r="B261" s="26">
        <v>43986</v>
      </c>
      <c r="C261" s="26" t="s">
        <v>137</v>
      </c>
      <c r="D261" s="26" t="s">
        <v>1714</v>
      </c>
      <c r="E261" s="26" t="s">
        <v>1314</v>
      </c>
      <c r="F261" s="26" t="s">
        <v>1277</v>
      </c>
      <c r="G261" s="26" t="s">
        <v>1714</v>
      </c>
      <c r="I261" s="26" t="s">
        <v>1314</v>
      </c>
      <c r="J261" s="26" t="s">
        <v>1314</v>
      </c>
      <c r="K261" s="54">
        <v>2.38</v>
      </c>
      <c r="M261" s="54">
        <v>22000</v>
      </c>
      <c r="N261" s="54">
        <v>-52360</v>
      </c>
      <c r="R261" s="54">
        <v>-52360</v>
      </c>
      <c r="S261" s="372">
        <v>1.6233680555555554</v>
      </c>
      <c r="T261" s="54">
        <v>-32253.948384418418</v>
      </c>
      <c r="V261" s="26" t="s">
        <v>1725</v>
      </c>
    </row>
    <row r="262" spans="1:22">
      <c r="A262" s="467">
        <v>2019200281</v>
      </c>
      <c r="B262" s="26">
        <v>43993</v>
      </c>
      <c r="C262" s="26" t="s">
        <v>138</v>
      </c>
      <c r="D262" s="26" t="s">
        <v>1204</v>
      </c>
      <c r="E262" s="26" t="s">
        <v>1314</v>
      </c>
      <c r="F262" s="26" t="s">
        <v>1277</v>
      </c>
      <c r="G262" s="26" t="s">
        <v>1204</v>
      </c>
      <c r="I262" s="26" t="s">
        <v>1314</v>
      </c>
      <c r="J262" s="26" t="s">
        <v>1314</v>
      </c>
      <c r="K262" s="54">
        <v>286000</v>
      </c>
      <c r="M262" s="54">
        <v>-690</v>
      </c>
      <c r="N262" s="54">
        <v>197340000</v>
      </c>
      <c r="R262" s="54">
        <v>197340000</v>
      </c>
      <c r="T262" s="88">
        <v>144677.42000000001</v>
      </c>
      <c r="V262" s="26" t="s">
        <v>1156</v>
      </c>
    </row>
    <row r="263" spans="1:22">
      <c r="A263" s="467" t="e">
        <v>#VALUE!</v>
      </c>
      <c r="B263" s="26">
        <v>44000</v>
      </c>
      <c r="C263" s="26" t="s">
        <v>137</v>
      </c>
      <c r="E263" s="26" t="s">
        <v>1314</v>
      </c>
      <c r="F263" s="26" t="s">
        <v>1093</v>
      </c>
      <c r="G263" s="26" t="s">
        <v>2160</v>
      </c>
      <c r="I263" s="26" t="s">
        <v>1314</v>
      </c>
      <c r="J263" s="26" t="s">
        <v>1314</v>
      </c>
      <c r="K263" s="54">
        <v>41300</v>
      </c>
      <c r="M263" s="54">
        <v>2200</v>
      </c>
      <c r="N263" s="54">
        <v>-90860000</v>
      </c>
      <c r="R263" s="54">
        <v>-90860000</v>
      </c>
      <c r="S263" s="372">
        <v>1366.4890277777777</v>
      </c>
      <c r="T263" s="88">
        <v>-66491.570000000007</v>
      </c>
      <c r="V263" s="26" t="s">
        <v>1156</v>
      </c>
    </row>
    <row r="264" spans="1:22">
      <c r="A264" s="467" t="e">
        <v>#VALUE!</v>
      </c>
      <c r="B264" s="26">
        <v>44000</v>
      </c>
      <c r="C264" s="26" t="s">
        <v>138</v>
      </c>
      <c r="D264" s="26" t="s">
        <v>1196</v>
      </c>
      <c r="E264" s="26" t="s">
        <v>1314</v>
      </c>
      <c r="F264" s="26" t="s">
        <v>1277</v>
      </c>
      <c r="G264" s="26" t="s">
        <v>1196</v>
      </c>
      <c r="I264" s="26" t="s">
        <v>1314</v>
      </c>
      <c r="J264" s="26" t="s">
        <v>1314</v>
      </c>
      <c r="K264" s="54">
        <v>1782</v>
      </c>
      <c r="M264" s="54">
        <v>-4000</v>
      </c>
      <c r="N264" s="54">
        <v>7128000</v>
      </c>
      <c r="R264" s="54">
        <v>7128000</v>
      </c>
      <c r="T264" s="88">
        <v>59400</v>
      </c>
      <c r="V264" s="26" t="s">
        <v>1725</v>
      </c>
    </row>
    <row r="265" spans="1:22">
      <c r="A265" s="467" t="e">
        <v>#VALUE!</v>
      </c>
      <c r="B265" s="26">
        <v>44000</v>
      </c>
      <c r="C265" s="26" t="s">
        <v>137</v>
      </c>
      <c r="E265" s="26" t="s">
        <v>1314</v>
      </c>
      <c r="F265" s="26" t="s">
        <v>1093</v>
      </c>
      <c r="G265" s="26" t="s">
        <v>2161</v>
      </c>
      <c r="I265" s="26" t="s">
        <v>1314</v>
      </c>
      <c r="J265" s="26" t="s">
        <v>1314</v>
      </c>
      <c r="K265" s="54">
        <v>58.050000000000004</v>
      </c>
      <c r="M265" s="54">
        <v>11000</v>
      </c>
      <c r="N265" s="54">
        <v>-638550</v>
      </c>
      <c r="R265" s="54">
        <v>-638550</v>
      </c>
      <c r="S265" s="372">
        <v>8.7133449074074072</v>
      </c>
      <c r="T265" s="88">
        <v>-73284.12</v>
      </c>
      <c r="V265" s="26" t="s">
        <v>1725</v>
      </c>
    </row>
    <row r="266" spans="1:22">
      <c r="A266" s="467">
        <v>2019200286</v>
      </c>
      <c r="B266" s="26">
        <v>44000</v>
      </c>
      <c r="C266" s="26" t="s">
        <v>137</v>
      </c>
      <c r="D266" s="26" t="s">
        <v>1112</v>
      </c>
      <c r="E266" s="26" t="s">
        <v>1314</v>
      </c>
      <c r="F266" s="26" t="s">
        <v>1277</v>
      </c>
      <c r="G266" s="26" t="s">
        <v>1180</v>
      </c>
      <c r="I266" s="26" t="s">
        <v>1314</v>
      </c>
      <c r="J266" s="26" t="s">
        <v>1314</v>
      </c>
      <c r="K266" s="54">
        <v>968.2</v>
      </c>
      <c r="M266" s="54">
        <v>11000</v>
      </c>
      <c r="N266" s="54">
        <v>-10650200</v>
      </c>
      <c r="R266" s="54">
        <v>-10650200</v>
      </c>
      <c r="S266" s="372">
        <v>120.30041666666666</v>
      </c>
      <c r="T266" s="88">
        <v>-88530.04</v>
      </c>
      <c r="V266" s="26" t="s">
        <v>1725</v>
      </c>
    </row>
    <row r="267" spans="1:22">
      <c r="A267" s="467">
        <v>2019200287</v>
      </c>
      <c r="B267" s="26">
        <v>44007</v>
      </c>
      <c r="C267" s="26" t="s">
        <v>137</v>
      </c>
      <c r="D267" s="26" t="s">
        <v>1112</v>
      </c>
      <c r="E267" s="26" t="s">
        <v>1314</v>
      </c>
      <c r="F267" s="26" t="s">
        <v>1277</v>
      </c>
      <c r="G267" s="26" t="s">
        <v>1180</v>
      </c>
      <c r="I267" s="26" t="s">
        <v>1314</v>
      </c>
      <c r="J267" s="26" t="s">
        <v>1314</v>
      </c>
      <c r="K267" s="54">
        <v>924.80000000000007</v>
      </c>
      <c r="M267" s="54">
        <v>11000</v>
      </c>
      <c r="N267" s="54">
        <v>-10172800</v>
      </c>
      <c r="R267" s="54">
        <v>-10172800</v>
      </c>
      <c r="S267" s="372">
        <v>120.39734953703703</v>
      </c>
      <c r="T267" s="88">
        <v>-84493.55</v>
      </c>
      <c r="V267" s="26" t="s">
        <v>1725</v>
      </c>
    </row>
    <row r="268" spans="1:22">
      <c r="A268" s="467">
        <v>2019200288</v>
      </c>
      <c r="B268" s="26">
        <v>44048</v>
      </c>
      <c r="C268" s="26" t="s">
        <v>138</v>
      </c>
      <c r="D268" s="26" t="s">
        <v>1202</v>
      </c>
      <c r="E268" s="26" t="s">
        <v>1314</v>
      </c>
      <c r="F268" s="26" t="s">
        <v>1277</v>
      </c>
      <c r="G268" s="26" t="s">
        <v>1202</v>
      </c>
      <c r="I268" s="26" t="s">
        <v>1314</v>
      </c>
      <c r="J268" s="26" t="s">
        <v>1314</v>
      </c>
      <c r="K268" s="54">
        <v>363000</v>
      </c>
      <c r="M268" s="54">
        <v>-450</v>
      </c>
      <c r="N268" s="54">
        <v>163350000</v>
      </c>
      <c r="R268" s="54">
        <v>163350000</v>
      </c>
      <c r="S268" s="372">
        <v>1407.9720601851852</v>
      </c>
      <c r="T268" s="54">
        <v>116017.92742205858</v>
      </c>
      <c r="V268" s="26" t="s">
        <v>1156</v>
      </c>
    </row>
    <row r="269" spans="1:22">
      <c r="A269" s="467">
        <v>2019200289</v>
      </c>
      <c r="B269" s="26">
        <v>44048</v>
      </c>
      <c r="C269" s="26" t="s">
        <v>137</v>
      </c>
      <c r="D269" s="26" t="s">
        <v>1684</v>
      </c>
      <c r="E269" s="26" t="s">
        <v>1314</v>
      </c>
      <c r="F269" s="26" t="s">
        <v>1277</v>
      </c>
      <c r="G269" s="26" t="s">
        <v>1684</v>
      </c>
      <c r="I269" s="26" t="s">
        <v>1314</v>
      </c>
      <c r="J269" s="26" t="s">
        <v>1314</v>
      </c>
      <c r="K269" s="54">
        <v>3.4550000000000001</v>
      </c>
      <c r="M269" s="54">
        <v>13000</v>
      </c>
      <c r="N269" s="54">
        <v>-44915</v>
      </c>
      <c r="R269" s="54">
        <v>-44915</v>
      </c>
      <c r="S269" s="86">
        <v>1</v>
      </c>
      <c r="T269" s="88">
        <v>-44915</v>
      </c>
      <c r="V269" s="26" t="s">
        <v>1725</v>
      </c>
    </row>
    <row r="270" spans="1:22">
      <c r="A270" s="467">
        <v>2019200290</v>
      </c>
      <c r="B270" s="26">
        <v>44048</v>
      </c>
      <c r="C270" s="26" t="s">
        <v>137</v>
      </c>
      <c r="D270" s="26" t="s">
        <v>1186</v>
      </c>
      <c r="E270" s="26" t="s">
        <v>1314</v>
      </c>
      <c r="F270" s="26" t="s">
        <v>1277</v>
      </c>
      <c r="G270" s="26" t="s">
        <v>1691</v>
      </c>
      <c r="I270" s="26" t="s">
        <v>1314</v>
      </c>
      <c r="J270" s="26" t="s">
        <v>1314</v>
      </c>
      <c r="K270" s="54">
        <v>2240</v>
      </c>
      <c r="M270" s="54">
        <v>4200</v>
      </c>
      <c r="N270" s="54">
        <v>-9408000</v>
      </c>
      <c r="R270" s="54">
        <v>-9408000</v>
      </c>
      <c r="S270" s="372">
        <v>124.72564814814815</v>
      </c>
      <c r="T270" s="54">
        <v>-75429.552317880589</v>
      </c>
      <c r="V270" s="26" t="s">
        <v>1725</v>
      </c>
    </row>
    <row r="271" spans="1:22">
      <c r="A271" s="467">
        <v>2019200291</v>
      </c>
      <c r="B271" s="26">
        <v>44049</v>
      </c>
      <c r="C271" s="26" t="s">
        <v>137</v>
      </c>
      <c r="D271" s="26" t="s">
        <v>1684</v>
      </c>
      <c r="E271" s="26" t="s">
        <v>1314</v>
      </c>
      <c r="F271" s="26" t="s">
        <v>1277</v>
      </c>
      <c r="G271" s="26" t="s">
        <v>1684</v>
      </c>
      <c r="I271" s="26" t="s">
        <v>1314</v>
      </c>
      <c r="J271" s="26" t="s">
        <v>1314</v>
      </c>
      <c r="K271" s="54">
        <v>3.45</v>
      </c>
      <c r="M271" s="54">
        <v>6320</v>
      </c>
      <c r="N271" s="54">
        <v>-21804</v>
      </c>
      <c r="R271" s="54">
        <v>-21804</v>
      </c>
      <c r="S271" s="86">
        <v>1</v>
      </c>
      <c r="T271" s="88">
        <v>-21804</v>
      </c>
      <c r="V271" s="26" t="s">
        <v>1153</v>
      </c>
    </row>
    <row r="272" spans="1:22">
      <c r="A272" s="467">
        <v>2019200321</v>
      </c>
      <c r="B272" s="26">
        <v>44102</v>
      </c>
      <c r="C272" s="26" t="s">
        <v>137</v>
      </c>
      <c r="D272" s="26" t="s">
        <v>1208</v>
      </c>
      <c r="E272" s="26" t="s">
        <v>1314</v>
      </c>
      <c r="F272" s="26" t="s">
        <v>1277</v>
      </c>
      <c r="G272" s="26" t="s">
        <v>1208</v>
      </c>
      <c r="I272" s="26" t="s">
        <v>1314</v>
      </c>
      <c r="J272" s="26" t="s">
        <v>1314</v>
      </c>
      <c r="K272" s="86">
        <v>45150</v>
      </c>
      <c r="M272" s="86">
        <v>1100</v>
      </c>
      <c r="N272" s="54">
        <v>-49665000</v>
      </c>
      <c r="O272" s="54">
        <v>-4813</v>
      </c>
      <c r="R272" s="54">
        <v>-49669813</v>
      </c>
      <c r="S272" s="372">
        <v>1365.7265802174807</v>
      </c>
      <c r="T272" s="370">
        <v>-36365.26</v>
      </c>
      <c r="U272" s="86">
        <v>44103</v>
      </c>
      <c r="V272" s="26" t="s">
        <v>1156</v>
      </c>
    </row>
    <row r="273" spans="1:23">
      <c r="A273" s="467" t="s">
        <v>2166</v>
      </c>
      <c r="B273" s="26">
        <v>44202</v>
      </c>
      <c r="C273" s="26" t="s">
        <v>137</v>
      </c>
      <c r="D273" s="26" t="s">
        <v>1192</v>
      </c>
      <c r="E273" s="26" t="s">
        <v>1314</v>
      </c>
      <c r="F273" s="26" t="s">
        <v>1277</v>
      </c>
      <c r="G273" s="26" t="s">
        <v>1192</v>
      </c>
      <c r="I273" s="26" t="s">
        <v>1314</v>
      </c>
      <c r="J273" s="26" t="s">
        <v>1314</v>
      </c>
      <c r="K273" s="86">
        <v>1924</v>
      </c>
      <c r="M273" s="86">
        <v>5800</v>
      </c>
      <c r="N273" s="54">
        <v>-11159200</v>
      </c>
      <c r="R273" s="54">
        <v>-11159200</v>
      </c>
      <c r="S273" s="372">
        <v>126.28473379629629</v>
      </c>
      <c r="T273" s="88">
        <v>-88365.39</v>
      </c>
      <c r="V273" s="26" t="s">
        <v>1725</v>
      </c>
    </row>
    <row r="274" spans="1:23">
      <c r="A274" s="467">
        <v>201900012</v>
      </c>
      <c r="B274" s="26">
        <v>43623</v>
      </c>
      <c r="C274" s="26" t="s">
        <v>137</v>
      </c>
      <c r="D274" s="26" t="s">
        <v>1181</v>
      </c>
      <c r="E274" s="26" t="s">
        <v>1233</v>
      </c>
      <c r="F274" s="26" t="s">
        <v>1277</v>
      </c>
      <c r="G274" s="26" t="s">
        <v>1181</v>
      </c>
      <c r="I274" s="26" t="s">
        <v>1131</v>
      </c>
      <c r="J274" s="26" t="s">
        <v>125</v>
      </c>
      <c r="K274" s="86">
        <v>2923.5</v>
      </c>
      <c r="M274" s="86">
        <v>6000</v>
      </c>
      <c r="N274" s="54">
        <v>-17541000</v>
      </c>
      <c r="O274" s="54">
        <v>-14033</v>
      </c>
      <c r="R274" s="54">
        <v>-17555033</v>
      </c>
      <c r="S274" s="372">
        <v>122.57940239991861</v>
      </c>
      <c r="T274" s="88">
        <v>-143213.56</v>
      </c>
      <c r="U274" s="86">
        <v>43629</v>
      </c>
      <c r="V274" s="26" t="s">
        <v>1229</v>
      </c>
    </row>
    <row r="275" spans="1:23">
      <c r="A275" s="467">
        <v>201900013</v>
      </c>
      <c r="B275" s="26">
        <v>43623</v>
      </c>
      <c r="C275" s="26" t="s">
        <v>137</v>
      </c>
      <c r="D275" s="26" t="s">
        <v>1182</v>
      </c>
      <c r="E275" s="26" t="s">
        <v>1234</v>
      </c>
      <c r="F275" s="26" t="s">
        <v>1277</v>
      </c>
      <c r="G275" s="26" t="s">
        <v>1182</v>
      </c>
      <c r="I275" s="26" t="s">
        <v>1184</v>
      </c>
      <c r="J275" s="26" t="s">
        <v>125</v>
      </c>
      <c r="K275" s="54">
        <v>872.15</v>
      </c>
      <c r="M275" s="54">
        <v>6000</v>
      </c>
      <c r="N275" s="54">
        <v>-5232900</v>
      </c>
      <c r="O275" s="54">
        <v>-4186</v>
      </c>
      <c r="R275" s="54">
        <v>-5237086</v>
      </c>
      <c r="S275" s="54">
        <v>122.57940239991845</v>
      </c>
      <c r="T275" s="54">
        <v>-42724.02946552042</v>
      </c>
      <c r="U275" s="86">
        <v>43629</v>
      </c>
      <c r="V275" s="26" t="s">
        <v>1229</v>
      </c>
    </row>
    <row r="276" spans="1:23">
      <c r="B276" s="26">
        <v>44272</v>
      </c>
      <c r="C276" s="26" t="s">
        <v>137</v>
      </c>
      <c r="D276" s="26" t="s">
        <v>1714</v>
      </c>
      <c r="E276" s="26" t="s">
        <v>1314</v>
      </c>
      <c r="F276" s="26" t="s">
        <v>1277</v>
      </c>
      <c r="G276" s="26" t="s">
        <v>1714</v>
      </c>
      <c r="I276" s="26" t="s">
        <v>1314</v>
      </c>
      <c r="J276" s="26" t="s">
        <v>1314</v>
      </c>
      <c r="K276" s="372">
        <v>2.0300000000000002</v>
      </c>
      <c r="M276" s="86">
        <v>70000</v>
      </c>
      <c r="N276" s="54">
        <v>-142100.00000000003</v>
      </c>
      <c r="R276" s="54">
        <v>-142100.00000000003</v>
      </c>
      <c r="S276" s="372">
        <v>1.5364699074074073</v>
      </c>
      <c r="T276" s="88">
        <v>-92484.52</v>
      </c>
      <c r="V276" s="26" t="s">
        <v>1725</v>
      </c>
    </row>
    <row r="277" spans="1:23">
      <c r="B277" s="26">
        <v>44277</v>
      </c>
      <c r="C277" s="26" t="s">
        <v>137</v>
      </c>
      <c r="D277" s="26" t="s">
        <v>1185</v>
      </c>
      <c r="E277" s="26" t="s">
        <v>1314</v>
      </c>
      <c r="F277" s="26" t="s">
        <v>1277</v>
      </c>
      <c r="G277" s="26" t="s">
        <v>1185</v>
      </c>
      <c r="I277" s="26" t="s">
        <v>1314</v>
      </c>
      <c r="J277" s="26" t="s">
        <v>1314</v>
      </c>
      <c r="K277" s="54">
        <v>2207</v>
      </c>
      <c r="M277" s="54">
        <v>2600</v>
      </c>
      <c r="N277" s="54">
        <v>-5738200</v>
      </c>
      <c r="R277" s="54">
        <v>-5738200</v>
      </c>
      <c r="S277" s="372">
        <v>129.58863425925927</v>
      </c>
      <c r="T277" s="88">
        <v>-44280.12</v>
      </c>
      <c r="V277" s="26" t="s">
        <v>1725</v>
      </c>
      <c r="W277" s="89">
        <v>44216.554416666666</v>
      </c>
    </row>
    <row r="278" spans="1:23">
      <c r="B278" s="26">
        <v>44279</v>
      </c>
      <c r="C278" s="26" t="s">
        <v>137</v>
      </c>
      <c r="D278" s="26" t="s">
        <v>1214</v>
      </c>
      <c r="E278" s="26" t="s">
        <v>1314</v>
      </c>
      <c r="F278" s="26" t="s">
        <v>1277</v>
      </c>
      <c r="G278" s="26" t="s">
        <v>1214</v>
      </c>
      <c r="I278" s="26" t="s">
        <v>1314</v>
      </c>
      <c r="J278" s="26" t="s">
        <v>1314</v>
      </c>
      <c r="K278" s="54">
        <v>28.080000000000002</v>
      </c>
      <c r="M278" s="54">
        <v>5000</v>
      </c>
      <c r="N278" s="54">
        <v>-140400</v>
      </c>
      <c r="R278" s="54">
        <v>-140400</v>
      </c>
      <c r="S278" s="86">
        <v>1</v>
      </c>
      <c r="T278" s="88">
        <v>-140400</v>
      </c>
      <c r="V278" s="26" t="s">
        <v>1153</v>
      </c>
      <c r="W278" s="89">
        <v>44216.554416666666</v>
      </c>
    </row>
    <row r="279" spans="1:23">
      <c r="B279" s="26">
        <v>44279</v>
      </c>
      <c r="C279" s="26" t="s">
        <v>137</v>
      </c>
      <c r="D279" s="26" t="s">
        <v>1214</v>
      </c>
      <c r="E279" s="26" t="s">
        <v>1314</v>
      </c>
      <c r="F279" s="26" t="s">
        <v>1277</v>
      </c>
      <c r="G279" s="26" t="s">
        <v>1214</v>
      </c>
      <c r="I279" s="26" t="s">
        <v>1314</v>
      </c>
      <c r="J279" s="26" t="s">
        <v>1314</v>
      </c>
      <c r="K279" s="54">
        <v>28.080000000000002</v>
      </c>
      <c r="M279" s="54">
        <v>5100</v>
      </c>
      <c r="N279" s="54">
        <v>-143208</v>
      </c>
      <c r="R279" s="54">
        <v>-143208</v>
      </c>
      <c r="S279" s="86">
        <v>1</v>
      </c>
      <c r="T279" s="88">
        <v>-143208</v>
      </c>
      <c r="V279" s="26" t="s">
        <v>1153</v>
      </c>
      <c r="W279" s="89">
        <v>44216.554416666666</v>
      </c>
    </row>
    <row r="280" spans="1:23">
      <c r="B280" s="26">
        <v>44280</v>
      </c>
      <c r="C280" s="26" t="s">
        <v>137</v>
      </c>
      <c r="D280" s="26" t="s">
        <v>1667</v>
      </c>
      <c r="E280" s="26" t="s">
        <v>1314</v>
      </c>
      <c r="F280" s="26" t="s">
        <v>1277</v>
      </c>
      <c r="G280" s="26" t="s">
        <v>1667</v>
      </c>
      <c r="I280" s="26" t="s">
        <v>1314</v>
      </c>
      <c r="J280" s="26" t="s">
        <v>1314</v>
      </c>
      <c r="K280" s="54">
        <v>2.46</v>
      </c>
      <c r="M280" s="54">
        <v>330000</v>
      </c>
      <c r="N280" s="54">
        <v>-811800</v>
      </c>
      <c r="R280" s="54">
        <v>-811800</v>
      </c>
      <c r="S280" s="372">
        <v>9.1756481481481487</v>
      </c>
      <c r="T280" s="88">
        <v>-88473.36</v>
      </c>
      <c r="V280" s="26" t="s">
        <v>1725</v>
      </c>
      <c r="W280" s="89">
        <v>44216.554416666666</v>
      </c>
    </row>
    <row r="281" spans="1:23">
      <c r="B281" s="26">
        <v>44280</v>
      </c>
      <c r="C281" s="26" t="s">
        <v>137</v>
      </c>
      <c r="D281" s="26" t="s">
        <v>12700</v>
      </c>
      <c r="E281" s="26" t="s">
        <v>1314</v>
      </c>
      <c r="F281" s="26" t="s">
        <v>1277</v>
      </c>
      <c r="G281" s="26" t="s">
        <v>12700</v>
      </c>
      <c r="I281" s="26" t="s">
        <v>1314</v>
      </c>
      <c r="J281" s="26" t="s">
        <v>1314</v>
      </c>
      <c r="K281" s="54">
        <v>829</v>
      </c>
      <c r="M281" s="54">
        <v>9100</v>
      </c>
      <c r="N281" s="54">
        <v>-7543900</v>
      </c>
      <c r="R281" s="54">
        <v>-7543900</v>
      </c>
      <c r="S281" s="372">
        <v>128.41956018518519</v>
      </c>
      <c r="T281" s="88">
        <v>-58744.17</v>
      </c>
      <c r="V281" s="26" t="s">
        <v>1725</v>
      </c>
      <c r="W281" s="89">
        <v>44216.554416666666</v>
      </c>
    </row>
    <row r="282" spans="1:23">
      <c r="B282" s="26">
        <v>44281</v>
      </c>
      <c r="C282" s="26" t="s">
        <v>137</v>
      </c>
      <c r="D282" s="26" t="s">
        <v>1215</v>
      </c>
      <c r="E282" s="26" t="s">
        <v>1314</v>
      </c>
      <c r="F282" s="26" t="s">
        <v>1277</v>
      </c>
      <c r="G282" s="26" t="s">
        <v>1215</v>
      </c>
      <c r="I282" s="26" t="s">
        <v>1314</v>
      </c>
      <c r="J282" s="26" t="s">
        <v>1314</v>
      </c>
      <c r="K282" s="54">
        <v>111.95</v>
      </c>
      <c r="M282" s="54">
        <v>1090</v>
      </c>
      <c r="N282" s="54">
        <v>-122025.5</v>
      </c>
      <c r="R282" s="54">
        <v>-122025.5</v>
      </c>
      <c r="S282" s="86">
        <v>1</v>
      </c>
      <c r="T282" s="54">
        <v>-122025.5</v>
      </c>
      <c r="V282" s="26" t="s">
        <v>1153</v>
      </c>
      <c r="W282" s="89">
        <v>44216.554416666666</v>
      </c>
    </row>
    <row r="283" spans="1:23">
      <c r="B283" s="26">
        <v>44293</v>
      </c>
      <c r="C283" s="26" t="s">
        <v>138</v>
      </c>
      <c r="D283" s="26" t="s">
        <v>2202</v>
      </c>
      <c r="E283" s="26" t="s">
        <v>1314</v>
      </c>
      <c r="F283" s="26" t="s">
        <v>1277</v>
      </c>
      <c r="G283" s="26" t="s">
        <v>2202</v>
      </c>
      <c r="I283" s="26" t="s">
        <v>1314</v>
      </c>
      <c r="J283" s="26" t="s">
        <v>1314</v>
      </c>
      <c r="K283" s="54">
        <v>4530</v>
      </c>
      <c r="M283" s="54">
        <v>-22000</v>
      </c>
      <c r="N283" s="54">
        <v>99660000</v>
      </c>
      <c r="R283" s="54">
        <v>99660000</v>
      </c>
      <c r="S283" s="372">
        <v>130.31552083333332</v>
      </c>
      <c r="T283" s="54">
        <v>764759.27282668103</v>
      </c>
      <c r="V283" s="26" t="s">
        <v>1725</v>
      </c>
      <c r="W283" s="89">
        <v>44216.554416666666</v>
      </c>
    </row>
    <row r="284" spans="1:23">
      <c r="B284" s="26">
        <v>44293</v>
      </c>
      <c r="C284" s="26" t="s">
        <v>137</v>
      </c>
      <c r="D284" s="26" t="s">
        <v>12700</v>
      </c>
      <c r="E284" s="26" t="s">
        <v>1314</v>
      </c>
      <c r="F284" s="26" t="s">
        <v>1277</v>
      </c>
      <c r="G284" s="26" t="s">
        <v>12700</v>
      </c>
      <c r="I284" s="26" t="s">
        <v>1314</v>
      </c>
      <c r="J284" s="26" t="s">
        <v>1314</v>
      </c>
      <c r="K284" s="54">
        <v>828</v>
      </c>
      <c r="M284" s="54">
        <v>10900</v>
      </c>
      <c r="N284" s="54">
        <v>-9025200</v>
      </c>
      <c r="R284" s="54">
        <v>-9025200</v>
      </c>
      <c r="S284" s="372">
        <v>130.31552083333332</v>
      </c>
      <c r="T284" s="54">
        <v>-69256.526079825038</v>
      </c>
      <c r="V284" s="26" t="s">
        <v>1725</v>
      </c>
      <c r="W284" s="89">
        <v>44216.554416666666</v>
      </c>
    </row>
    <row r="285" spans="1:23">
      <c r="B285" s="26">
        <v>44298</v>
      </c>
      <c r="C285" s="26" t="s">
        <v>137</v>
      </c>
      <c r="D285" s="26" t="s">
        <v>1192</v>
      </c>
      <c r="E285" s="26" t="s">
        <v>1314</v>
      </c>
      <c r="F285" s="26" t="s">
        <v>1277</v>
      </c>
      <c r="G285" s="26" t="s">
        <v>1192</v>
      </c>
      <c r="I285" s="26" t="s">
        <v>1314</v>
      </c>
      <c r="J285" s="26" t="s">
        <v>1314</v>
      </c>
      <c r="K285" s="54">
        <v>1844</v>
      </c>
      <c r="M285" s="54">
        <v>11600</v>
      </c>
      <c r="N285" s="54">
        <v>-21390400</v>
      </c>
      <c r="R285" s="54">
        <v>-21390400</v>
      </c>
      <c r="S285" s="54">
        <v>130.43943755799336</v>
      </c>
      <c r="T285" s="88">
        <v>-163987.21</v>
      </c>
      <c r="V285" s="26" t="s">
        <v>1725</v>
      </c>
      <c r="W285" s="89">
        <v>44216.554416666666</v>
      </c>
    </row>
    <row r="286" spans="1:23">
      <c r="B286" s="26">
        <v>44298</v>
      </c>
      <c r="C286" s="26" t="s">
        <v>138</v>
      </c>
      <c r="D286" s="26" t="s">
        <v>1660</v>
      </c>
      <c r="E286" s="26" t="s">
        <v>1314</v>
      </c>
      <c r="F286" s="26" t="s">
        <v>1277</v>
      </c>
      <c r="G286" s="26" t="s">
        <v>1660</v>
      </c>
      <c r="I286" s="26" t="s">
        <v>1314</v>
      </c>
      <c r="J286" s="26" t="s">
        <v>1314</v>
      </c>
      <c r="K286" s="86">
        <v>1226</v>
      </c>
    </row>
    <row r="287" spans="1:23">
      <c r="B287" s="26">
        <v>44299</v>
      </c>
      <c r="C287" s="26" t="s">
        <v>137</v>
      </c>
      <c r="D287" s="26" t="s">
        <v>1112</v>
      </c>
      <c r="E287" s="26" t="s">
        <v>1314</v>
      </c>
      <c r="F287" s="26" t="s">
        <v>1277</v>
      </c>
      <c r="G287" s="26" t="s">
        <v>1180</v>
      </c>
      <c r="I287" s="26" t="s">
        <v>1314</v>
      </c>
      <c r="J287" s="26" t="s">
        <v>1314</v>
      </c>
      <c r="K287" s="86">
        <v>1392</v>
      </c>
      <c r="M287" s="86">
        <v>5000</v>
      </c>
      <c r="N287" s="54">
        <v>-6960000</v>
      </c>
      <c r="R287" s="54">
        <v>-6960000</v>
      </c>
      <c r="S287" s="372">
        <v>130.24890046296295</v>
      </c>
      <c r="T287" s="88">
        <v>-53436.15</v>
      </c>
      <c r="V287" s="26" t="s">
        <v>1725</v>
      </c>
      <c r="W287" s="89">
        <v>44216.554416666666</v>
      </c>
    </row>
    <row r="288" spans="1:23">
      <c r="B288" s="26">
        <v>44299</v>
      </c>
      <c r="C288" s="26" t="s">
        <v>137</v>
      </c>
      <c r="D288" s="26" t="s">
        <v>1214</v>
      </c>
      <c r="E288" s="26" t="s">
        <v>1314</v>
      </c>
      <c r="F288" s="26" t="s">
        <v>1277</v>
      </c>
      <c r="G288" s="26" t="s">
        <v>1214</v>
      </c>
      <c r="I288" s="26" t="s">
        <v>1314</v>
      </c>
      <c r="J288" s="26" t="s">
        <v>1314</v>
      </c>
      <c r="K288" s="372">
        <v>27.51</v>
      </c>
      <c r="M288" s="86">
        <v>4200</v>
      </c>
      <c r="N288" s="54">
        <v>-115542</v>
      </c>
      <c r="R288" s="54">
        <v>-115542</v>
      </c>
      <c r="S288" s="372">
        <v>130.24890046296295</v>
      </c>
      <c r="T288" s="88">
        <v>-887.09</v>
      </c>
      <c r="V288" s="26" t="s">
        <v>1153</v>
      </c>
      <c r="W288" s="89">
        <v>44216.554416666666</v>
      </c>
    </row>
    <row r="289" spans="2:23">
      <c r="B289" s="26">
        <v>44301</v>
      </c>
      <c r="C289" s="26" t="s">
        <v>138</v>
      </c>
      <c r="D289" s="26" t="s">
        <v>2202</v>
      </c>
      <c r="E289" s="26" t="s">
        <v>1314</v>
      </c>
      <c r="F289" s="26" t="s">
        <v>1277</v>
      </c>
      <c r="G289" s="26" t="s">
        <v>2202</v>
      </c>
      <c r="I289" s="26" t="s">
        <v>1314</v>
      </c>
      <c r="J289" s="26" t="s">
        <v>1314</v>
      </c>
      <c r="K289" s="86">
        <v>4895</v>
      </c>
    </row>
    <row r="290" spans="2:23">
      <c r="B290" s="26">
        <v>44306</v>
      </c>
      <c r="C290" s="26" t="s">
        <v>138</v>
      </c>
      <c r="D290" s="26" t="s">
        <v>2218</v>
      </c>
      <c r="E290" s="26" t="s">
        <v>1314</v>
      </c>
      <c r="F290" s="26" t="s">
        <v>1277</v>
      </c>
      <c r="G290" s="26" t="s">
        <v>2218</v>
      </c>
      <c r="I290" s="26" t="s">
        <v>1314</v>
      </c>
      <c r="J290" s="26" t="s">
        <v>1314</v>
      </c>
      <c r="K290" s="372">
        <v>4.9649999999999999</v>
      </c>
    </row>
    <row r="291" spans="2:23">
      <c r="B291" s="26">
        <v>44307</v>
      </c>
      <c r="C291" s="26" t="s">
        <v>137</v>
      </c>
      <c r="E291" s="26" t="s">
        <v>1314</v>
      </c>
      <c r="F291" s="26" t="s">
        <v>1093</v>
      </c>
      <c r="G291" s="26" t="s">
        <v>1180</v>
      </c>
      <c r="I291" s="26" t="s">
        <v>1314</v>
      </c>
      <c r="J291" s="26" t="s">
        <v>1314</v>
      </c>
      <c r="K291" s="372">
        <v>1328.5</v>
      </c>
      <c r="M291" s="86">
        <v>11000</v>
      </c>
      <c r="N291" s="54">
        <v>-14613500</v>
      </c>
      <c r="R291" s="54">
        <v>-14613500</v>
      </c>
      <c r="S291" s="372">
        <v>130.24890046296295</v>
      </c>
      <c r="T291" s="88">
        <v>-112196.73</v>
      </c>
      <c r="V291" s="26" t="s">
        <v>1725</v>
      </c>
      <c r="W291" s="89">
        <v>44216.554416666666</v>
      </c>
    </row>
    <row r="292" spans="2:23">
      <c r="B292" s="26">
        <v>44307</v>
      </c>
      <c r="C292" s="26" t="s">
        <v>137</v>
      </c>
      <c r="E292" s="26" t="s">
        <v>1314</v>
      </c>
      <c r="F292" s="26" t="s">
        <v>1093</v>
      </c>
      <c r="G292" s="26" t="s">
        <v>2202</v>
      </c>
      <c r="I292" s="26" t="s">
        <v>1314</v>
      </c>
      <c r="J292" s="26" t="s">
        <v>1314</v>
      </c>
      <c r="K292" s="86">
        <v>4205</v>
      </c>
      <c r="M292" s="86">
        <v>11000</v>
      </c>
      <c r="N292" s="54">
        <v>-46255000</v>
      </c>
      <c r="R292" s="54">
        <v>-46255000</v>
      </c>
      <c r="S292" s="372">
        <v>130.24890046296295</v>
      </c>
      <c r="T292" s="88">
        <v>-355127.76</v>
      </c>
      <c r="V292" s="26" t="s">
        <v>1725</v>
      </c>
      <c r="W292" s="89">
        <v>44216.554416666666</v>
      </c>
    </row>
    <row r="293" spans="2:23">
      <c r="B293" s="26">
        <v>44309</v>
      </c>
      <c r="C293" s="26" t="s">
        <v>137</v>
      </c>
      <c r="E293" s="26" t="s">
        <v>1314</v>
      </c>
      <c r="F293" s="26" t="s">
        <v>1093</v>
      </c>
      <c r="G293" s="26" t="s">
        <v>1219</v>
      </c>
      <c r="I293" s="26" t="s">
        <v>1314</v>
      </c>
      <c r="J293" s="26" t="s">
        <v>1314</v>
      </c>
      <c r="K293" s="372">
        <v>33.975000000000001</v>
      </c>
      <c r="M293" s="86">
        <v>4500</v>
      </c>
      <c r="N293" s="54">
        <v>-152887.5</v>
      </c>
      <c r="R293" s="54">
        <v>-152887.5</v>
      </c>
      <c r="S293" s="86">
        <v>1</v>
      </c>
      <c r="T293" s="54">
        <v>-152887.5</v>
      </c>
      <c r="V293" s="26" t="s">
        <v>1153</v>
      </c>
      <c r="W293" s="89">
        <v>44216.554416666666</v>
      </c>
    </row>
    <row r="294" spans="2:23">
      <c r="B294" s="26">
        <v>44309</v>
      </c>
      <c r="C294" s="26" t="s">
        <v>138</v>
      </c>
      <c r="E294" s="26" t="s">
        <v>1314</v>
      </c>
      <c r="F294" s="26" t="s">
        <v>1093</v>
      </c>
      <c r="G294" s="26" t="s">
        <v>2218</v>
      </c>
      <c r="I294" s="26" t="s">
        <v>1314</v>
      </c>
      <c r="J294" s="26" t="s">
        <v>1314</v>
      </c>
      <c r="K294" s="372">
        <v>4.82</v>
      </c>
    </row>
    <row r="295" spans="2:23">
      <c r="B295" s="26">
        <v>44312</v>
      </c>
      <c r="C295" s="26" t="s">
        <v>138</v>
      </c>
      <c r="D295" s="26" t="s">
        <v>2218</v>
      </c>
      <c r="E295" s="26" t="s">
        <v>1314</v>
      </c>
      <c r="F295" s="26" t="s">
        <v>1277</v>
      </c>
      <c r="G295" s="26" t="s">
        <v>2218</v>
      </c>
      <c r="I295" s="26" t="s">
        <v>1314</v>
      </c>
      <c r="J295" s="26" t="s">
        <v>1314</v>
      </c>
      <c r="K295" s="372">
        <v>4.8499999999999996</v>
      </c>
    </row>
    <row r="296" spans="2:23">
      <c r="B296" s="26">
        <v>44312</v>
      </c>
      <c r="C296" s="26" t="s">
        <v>137</v>
      </c>
      <c r="D296" s="26" t="s">
        <v>1112</v>
      </c>
      <c r="E296" s="26" t="s">
        <v>1314</v>
      </c>
      <c r="F296" s="26" t="s">
        <v>1277</v>
      </c>
      <c r="G296" s="26" t="s">
        <v>1180</v>
      </c>
      <c r="I296" s="26" t="s">
        <v>1314</v>
      </c>
      <c r="J296" s="26" t="s">
        <v>1314</v>
      </c>
      <c r="K296" s="372">
        <v>1313.5</v>
      </c>
      <c r="M296" s="86">
        <v>9000</v>
      </c>
      <c r="N296" s="54">
        <v>-11821500</v>
      </c>
      <c r="R296" s="54">
        <v>-11821500</v>
      </c>
      <c r="S296" s="372">
        <v>130.5610300925926</v>
      </c>
      <c r="T296" s="54">
        <v>-90543.860300250002</v>
      </c>
      <c r="V296" s="26" t="s">
        <v>1725</v>
      </c>
      <c r="W296" s="89">
        <v>44216.554416666666</v>
      </c>
    </row>
    <row r="297" spans="2:23">
      <c r="B297" s="26">
        <v>44312</v>
      </c>
      <c r="C297" s="26" t="s">
        <v>137</v>
      </c>
      <c r="D297" s="26" t="s">
        <v>1192</v>
      </c>
      <c r="E297" s="26" t="s">
        <v>1314</v>
      </c>
      <c r="F297" s="26" t="s">
        <v>1277</v>
      </c>
      <c r="G297" s="26" t="s">
        <v>1192</v>
      </c>
      <c r="I297" s="26" t="s">
        <v>1314</v>
      </c>
      <c r="J297" s="26" t="s">
        <v>1314</v>
      </c>
      <c r="K297" s="86">
        <v>1790</v>
      </c>
      <c r="M297" s="86">
        <v>5000</v>
      </c>
      <c r="N297" s="54">
        <v>-8950000</v>
      </c>
      <c r="R297" s="54">
        <v>-8950000</v>
      </c>
      <c r="S297" s="372">
        <v>130.5610300925926</v>
      </c>
      <c r="T297" s="54">
        <v>-68550.315077379491</v>
      </c>
      <c r="V297" s="26" t="s">
        <v>1725</v>
      </c>
      <c r="W297" s="89">
        <v>44216.554416666666</v>
      </c>
    </row>
    <row r="298" spans="2:23">
      <c r="B298" s="26">
        <v>44313</v>
      </c>
      <c r="C298" s="26" t="s">
        <v>138</v>
      </c>
      <c r="D298" s="26" t="s">
        <v>2218</v>
      </c>
      <c r="E298" s="26" t="s">
        <v>1314</v>
      </c>
      <c r="F298" s="26" t="s">
        <v>1277</v>
      </c>
      <c r="G298" s="26" t="s">
        <v>2218</v>
      </c>
      <c r="I298" s="26" t="s">
        <v>1314</v>
      </c>
      <c r="J298" s="26" t="s">
        <v>1314</v>
      </c>
      <c r="K298" s="54">
        <v>4.7700000000000005</v>
      </c>
      <c r="M298" s="54">
        <v>-6489</v>
      </c>
      <c r="N298" s="54">
        <v>30952.530000000002</v>
      </c>
      <c r="R298" s="54">
        <v>30952.530000000002</v>
      </c>
      <c r="S298" s="54">
        <v>1</v>
      </c>
      <c r="T298" s="54">
        <v>30952.530000000002</v>
      </c>
      <c r="V298" s="26" t="s">
        <v>1725</v>
      </c>
      <c r="W298" s="89">
        <v>44216.554416666666</v>
      </c>
    </row>
    <row r="299" spans="2:23">
      <c r="B299" s="26">
        <v>44314</v>
      </c>
      <c r="C299" s="26" t="s">
        <v>138</v>
      </c>
      <c r="D299" s="26" t="s">
        <v>2218</v>
      </c>
      <c r="E299" s="26" t="s">
        <v>1314</v>
      </c>
      <c r="F299" s="26" t="s">
        <v>1277</v>
      </c>
      <c r="G299" s="26" t="s">
        <v>2218</v>
      </c>
      <c r="I299" s="26" t="s">
        <v>1314</v>
      </c>
      <c r="J299" s="26" t="s">
        <v>1314</v>
      </c>
      <c r="K299" s="54">
        <v>4.8</v>
      </c>
      <c r="M299" s="54">
        <v>-1427</v>
      </c>
      <c r="N299" s="54">
        <v>6849.5999999999995</v>
      </c>
      <c r="R299" s="54">
        <v>6849.5999999999995</v>
      </c>
      <c r="S299" s="54">
        <v>1</v>
      </c>
      <c r="T299" s="54">
        <v>6849.5999999999995</v>
      </c>
      <c r="V299" s="26" t="s">
        <v>1725</v>
      </c>
      <c r="W299" s="89">
        <v>44216.554416666666</v>
      </c>
    </row>
    <row r="300" spans="2:23">
      <c r="B300" s="26">
        <v>44316</v>
      </c>
      <c r="C300" s="26" t="s">
        <v>138</v>
      </c>
      <c r="D300" s="26" t="s">
        <v>12703</v>
      </c>
      <c r="E300" s="26" t="s">
        <v>1314</v>
      </c>
      <c r="F300" s="26" t="s">
        <v>1277</v>
      </c>
      <c r="G300" s="26" t="s">
        <v>12703</v>
      </c>
      <c r="I300" s="26" t="s">
        <v>1314</v>
      </c>
      <c r="J300" s="26" t="s">
        <v>1314</v>
      </c>
      <c r="K300" s="54">
        <v>4210</v>
      </c>
      <c r="M300" s="54">
        <v>-2200</v>
      </c>
      <c r="N300" s="54">
        <v>9262000</v>
      </c>
      <c r="R300" s="54">
        <v>9262000</v>
      </c>
      <c r="S300" s="54">
        <v>131.97692736482404</v>
      </c>
      <c r="T300" s="54">
        <v>70178.933431273472</v>
      </c>
      <c r="V300" s="26" t="s">
        <v>1725</v>
      </c>
      <c r="W300" s="89">
        <v>44216.554416666666</v>
      </c>
    </row>
    <row r="301" spans="2:23">
      <c r="B301" s="26">
        <v>44322</v>
      </c>
      <c r="C301" s="26" t="s">
        <v>137</v>
      </c>
      <c r="D301" s="26" t="s">
        <v>1112</v>
      </c>
      <c r="E301" s="26" t="s">
        <v>1314</v>
      </c>
      <c r="F301" s="26" t="s">
        <v>1277</v>
      </c>
      <c r="G301" s="26" t="s">
        <v>1180</v>
      </c>
      <c r="I301" s="26" t="s">
        <v>1314</v>
      </c>
      <c r="J301" s="26" t="s">
        <v>1314</v>
      </c>
      <c r="K301" s="54">
        <v>1271</v>
      </c>
      <c r="M301" s="54">
        <v>25000</v>
      </c>
      <c r="N301" s="54">
        <v>-31775000</v>
      </c>
      <c r="R301" s="54">
        <v>-31775000</v>
      </c>
      <c r="S301" s="54">
        <v>131.07000084034618</v>
      </c>
      <c r="T301" s="54">
        <v>-242427.70882945601</v>
      </c>
      <c r="V301" s="26" t="s">
        <v>1725</v>
      </c>
      <c r="W301" s="89">
        <v>44216.554416666666</v>
      </c>
    </row>
    <row r="302" spans="2:23">
      <c r="B302" s="26">
        <v>44327</v>
      </c>
      <c r="C302" s="26" t="s">
        <v>138</v>
      </c>
      <c r="D302" s="26" t="s">
        <v>1205</v>
      </c>
      <c r="E302" s="26" t="s">
        <v>1314</v>
      </c>
      <c r="F302" s="26" t="s">
        <v>1277</v>
      </c>
      <c r="G302" s="26" t="s">
        <v>1205</v>
      </c>
      <c r="I302" s="26" t="s">
        <v>1314</v>
      </c>
      <c r="J302" s="26" t="s">
        <v>1314</v>
      </c>
      <c r="K302" s="54">
        <v>187000</v>
      </c>
      <c r="M302" s="54">
        <v>-500</v>
      </c>
      <c r="N302" s="54">
        <v>93500000</v>
      </c>
      <c r="R302" s="54">
        <v>93500000</v>
      </c>
      <c r="S302" s="54">
        <v>1354.4216284400886</v>
      </c>
      <c r="T302" s="88">
        <v>69033.16</v>
      </c>
      <c r="V302" s="26" t="s">
        <v>1156</v>
      </c>
      <c r="W302" s="89">
        <v>44327.373985763887</v>
      </c>
    </row>
    <row r="303" spans="2:23">
      <c r="B303" s="26">
        <v>44327</v>
      </c>
      <c r="C303" s="26" t="s">
        <v>138</v>
      </c>
      <c r="D303" s="26" t="s">
        <v>1204</v>
      </c>
      <c r="E303" s="26" t="s">
        <v>1314</v>
      </c>
      <c r="F303" s="26" t="s">
        <v>1277</v>
      </c>
      <c r="G303" s="26" t="s">
        <v>1204</v>
      </c>
      <c r="I303" s="26" t="s">
        <v>1314</v>
      </c>
      <c r="J303" s="26" t="s">
        <v>1314</v>
      </c>
      <c r="K303" s="54">
        <v>439000</v>
      </c>
      <c r="M303" s="54">
        <v>-410</v>
      </c>
      <c r="N303" s="54">
        <v>179990000</v>
      </c>
      <c r="R303" s="54">
        <v>179990000</v>
      </c>
      <c r="S303" s="54">
        <v>1354.4216284400898</v>
      </c>
      <c r="T303" s="88">
        <v>132890.67000000001</v>
      </c>
      <c r="V303" s="26" t="s">
        <v>1156</v>
      </c>
      <c r="W303" s="89">
        <v>44327.374343981479</v>
      </c>
    </row>
    <row r="304" spans="2:23">
      <c r="B304" s="26">
        <v>44327</v>
      </c>
      <c r="C304" s="26" t="s">
        <v>138</v>
      </c>
      <c r="D304" s="26" t="s">
        <v>1202</v>
      </c>
      <c r="E304" s="26" t="s">
        <v>1314</v>
      </c>
      <c r="F304" s="26" t="s">
        <v>1277</v>
      </c>
      <c r="G304" s="26" t="s">
        <v>1202</v>
      </c>
      <c r="I304" s="26" t="s">
        <v>1314</v>
      </c>
      <c r="J304" s="26" t="s">
        <v>1314</v>
      </c>
      <c r="K304" s="54">
        <v>430000</v>
      </c>
      <c r="M304" s="54">
        <v>-600</v>
      </c>
      <c r="N304" s="54">
        <v>258000000</v>
      </c>
      <c r="R304" s="54">
        <v>258000000</v>
      </c>
      <c r="S304" s="54">
        <v>1354.4216284400868</v>
      </c>
      <c r="T304" s="88">
        <v>190487.21</v>
      </c>
      <c r="V304" s="26" t="s">
        <v>1156</v>
      </c>
      <c r="W304" s="89">
        <v>44327.374733101853</v>
      </c>
    </row>
    <row r="305" spans="2:23">
      <c r="B305" s="26">
        <v>44327</v>
      </c>
      <c r="C305" s="26" t="s">
        <v>137</v>
      </c>
      <c r="D305" s="26" t="s">
        <v>1112</v>
      </c>
      <c r="E305" s="26" t="s">
        <v>1314</v>
      </c>
      <c r="F305" s="26" t="s">
        <v>1277</v>
      </c>
      <c r="G305" s="26" t="s">
        <v>1180</v>
      </c>
      <c r="I305" s="26" t="s">
        <v>1314</v>
      </c>
      <c r="J305" s="26" t="s">
        <v>1314</v>
      </c>
      <c r="K305" s="54">
        <v>1215.5</v>
      </c>
      <c r="M305" s="54">
        <v>22000</v>
      </c>
      <c r="N305" s="54">
        <v>-26741000</v>
      </c>
      <c r="R305" s="54">
        <v>-26741000</v>
      </c>
      <c r="S305" s="54">
        <v>131.93930646354627</v>
      </c>
      <c r="T305" s="88">
        <v>-202676.52</v>
      </c>
      <c r="V305" s="26" t="s">
        <v>1725</v>
      </c>
      <c r="W305" s="89">
        <v>44216.554416666666</v>
      </c>
    </row>
    <row r="306" spans="2:23">
      <c r="B306" s="26">
        <v>44328</v>
      </c>
      <c r="C306" s="26" t="s">
        <v>137</v>
      </c>
      <c r="D306" s="26" t="s">
        <v>1112</v>
      </c>
      <c r="E306" s="26" t="s">
        <v>1314</v>
      </c>
      <c r="F306" s="26" t="s">
        <v>1277</v>
      </c>
      <c r="G306" s="26" t="s">
        <v>1180</v>
      </c>
      <c r="I306" s="26" t="s">
        <v>1314</v>
      </c>
      <c r="J306" s="26" t="s">
        <v>1314</v>
      </c>
      <c r="K306" s="54">
        <v>1215.5</v>
      </c>
      <c r="M306" s="54">
        <v>22000</v>
      </c>
      <c r="N306" s="54">
        <v>-26741000</v>
      </c>
      <c r="R306" s="54">
        <v>-26741000</v>
      </c>
      <c r="S306" s="54">
        <v>131.91711606665692</v>
      </c>
      <c r="T306" s="54">
        <v>-202710.61707025141</v>
      </c>
      <c r="V306" s="26" t="s">
        <v>1725</v>
      </c>
      <c r="W306" s="89">
        <v>44216.554416666666</v>
      </c>
    </row>
    <row r="307" spans="2:23">
      <c r="B307" s="26">
        <v>44328</v>
      </c>
      <c r="C307" s="26" t="s">
        <v>137</v>
      </c>
      <c r="D307" s="26" t="s">
        <v>1112</v>
      </c>
      <c r="E307" s="26" t="s">
        <v>1314</v>
      </c>
      <c r="F307" s="26" t="s">
        <v>1277</v>
      </c>
      <c r="G307" s="26" t="s">
        <v>1180</v>
      </c>
      <c r="I307" s="26" t="s">
        <v>1314</v>
      </c>
      <c r="J307" s="26" t="s">
        <v>1314</v>
      </c>
      <c r="K307" s="54">
        <v>1215.5</v>
      </c>
      <c r="M307" s="54">
        <v>22000</v>
      </c>
      <c r="N307" s="54">
        <v>-26741000</v>
      </c>
      <c r="R307" s="54">
        <v>-26741000</v>
      </c>
      <c r="S307" s="54">
        <v>131.91711606665692</v>
      </c>
      <c r="T307" s="54">
        <v>-202710.61707025141</v>
      </c>
      <c r="V307" s="26" t="s">
        <v>1725</v>
      </c>
      <c r="W307" s="89">
        <v>44216.554416666666</v>
      </c>
    </row>
    <row r="308" spans="2:23">
      <c r="B308" s="26">
        <v>44333</v>
      </c>
      <c r="C308" s="26" t="s">
        <v>137</v>
      </c>
      <c r="D308" s="26" t="s">
        <v>1689</v>
      </c>
      <c r="E308" s="26" t="s">
        <v>1314</v>
      </c>
      <c r="F308" s="26" t="s">
        <v>1277</v>
      </c>
      <c r="G308" s="26" t="s">
        <v>1689</v>
      </c>
      <c r="I308" s="26" t="s">
        <v>1314</v>
      </c>
      <c r="J308" s="26" t="s">
        <v>1314</v>
      </c>
      <c r="K308" s="54">
        <v>2937</v>
      </c>
      <c r="M308" s="54">
        <v>5000</v>
      </c>
      <c r="N308" s="54">
        <v>-14685000</v>
      </c>
      <c r="R308" s="54">
        <v>-14685000</v>
      </c>
      <c r="S308" s="54">
        <v>132.73928033797884</v>
      </c>
      <c r="T308" s="88">
        <v>-110630.39999999999</v>
      </c>
      <c r="V308" s="26" t="s">
        <v>1725</v>
      </c>
      <c r="W308" s="89">
        <v>44216.554416666666</v>
      </c>
    </row>
    <row r="309" spans="2:23">
      <c r="B309" s="26">
        <v>44333</v>
      </c>
      <c r="C309" s="26" t="s">
        <v>137</v>
      </c>
      <c r="D309" s="26" t="s">
        <v>12701</v>
      </c>
      <c r="E309" s="26" t="s">
        <v>1314</v>
      </c>
      <c r="F309" s="26" t="s">
        <v>1277</v>
      </c>
      <c r="G309" s="26" t="s">
        <v>12701</v>
      </c>
      <c r="I309" s="26" t="s">
        <v>1314</v>
      </c>
      <c r="J309" s="26" t="s">
        <v>1314</v>
      </c>
      <c r="K309" s="54">
        <v>2190</v>
      </c>
      <c r="M309" s="54">
        <v>5000</v>
      </c>
      <c r="N309" s="54">
        <v>-10950000</v>
      </c>
      <c r="R309" s="54">
        <v>-10950000</v>
      </c>
      <c r="S309" s="54">
        <v>132.7392803379787</v>
      </c>
      <c r="T309" s="88">
        <v>-82492.539999999994</v>
      </c>
      <c r="V309" s="26" t="s">
        <v>1725</v>
      </c>
      <c r="W309" s="89">
        <v>44216.554416666666</v>
      </c>
    </row>
    <row r="310" spans="2:23">
      <c r="B310" s="26">
        <v>44333</v>
      </c>
      <c r="C310" s="26" t="s">
        <v>137</v>
      </c>
      <c r="D310" s="26" t="s">
        <v>12718</v>
      </c>
      <c r="E310" s="26" t="s">
        <v>1314</v>
      </c>
      <c r="F310" s="26" t="s">
        <v>1277</v>
      </c>
      <c r="G310" s="26" t="s">
        <v>12718</v>
      </c>
      <c r="I310" s="26" t="s">
        <v>1314</v>
      </c>
      <c r="J310" s="26" t="s">
        <v>1314</v>
      </c>
      <c r="K310" s="54">
        <v>2591</v>
      </c>
      <c r="M310" s="54">
        <v>5000</v>
      </c>
      <c r="N310" s="54">
        <v>-12955000</v>
      </c>
      <c r="R310" s="54">
        <v>-12955000</v>
      </c>
      <c r="S310" s="54">
        <v>132.73928033797898</v>
      </c>
      <c r="T310" s="88">
        <v>-97597.33</v>
      </c>
      <c r="V310" s="26" t="s">
        <v>1725</v>
      </c>
      <c r="W310" s="89">
        <v>44216.554416666666</v>
      </c>
    </row>
    <row r="311" spans="2:23">
      <c r="B311" s="26">
        <v>44335</v>
      </c>
      <c r="C311" s="26" t="s">
        <v>137</v>
      </c>
      <c r="D311" s="26" t="s">
        <v>1112</v>
      </c>
      <c r="E311" s="26" t="s">
        <v>1314</v>
      </c>
      <c r="F311" s="26" t="s">
        <v>1277</v>
      </c>
      <c r="G311" s="26" t="s">
        <v>1180</v>
      </c>
      <c r="I311" s="26" t="s">
        <v>1314</v>
      </c>
      <c r="J311" s="26" t="s">
        <v>1314</v>
      </c>
      <c r="K311" s="54">
        <v>1190</v>
      </c>
      <c r="M311" s="54">
        <v>11000</v>
      </c>
      <c r="N311" s="54">
        <v>-13090000</v>
      </c>
      <c r="R311" s="54">
        <v>-13090000</v>
      </c>
      <c r="S311" s="54">
        <v>133.05145845807931</v>
      </c>
      <c r="T311" s="88">
        <v>-98382.99</v>
      </c>
      <c r="V311" s="26" t="s">
        <v>1725</v>
      </c>
      <c r="W311" s="89">
        <v>44216.554416666666</v>
      </c>
    </row>
    <row r="312" spans="2:23">
      <c r="B312" s="26">
        <v>44342</v>
      </c>
      <c r="C312" s="26" t="s">
        <v>137</v>
      </c>
      <c r="D312" s="26" t="s">
        <v>2204</v>
      </c>
      <c r="E312" s="26" t="s">
        <v>1314</v>
      </c>
      <c r="F312" s="26" t="s">
        <v>1277</v>
      </c>
      <c r="G312" s="26" t="s">
        <v>2204</v>
      </c>
      <c r="I312" s="26" t="s">
        <v>1314</v>
      </c>
      <c r="J312" s="26" t="s">
        <v>1314</v>
      </c>
      <c r="K312" s="54">
        <v>42800</v>
      </c>
      <c r="M312" s="54">
        <v>7800</v>
      </c>
      <c r="N312" s="54">
        <v>-333840000</v>
      </c>
      <c r="R312" s="54">
        <v>-333840000</v>
      </c>
      <c r="S312" s="54">
        <v>1374.8851567380834</v>
      </c>
      <c r="T312" s="54">
        <v>-242813.0075911473</v>
      </c>
      <c r="V312" s="26" t="s">
        <v>1156</v>
      </c>
      <c r="W312" s="89">
        <v>44216.554416666666</v>
      </c>
    </row>
    <row r="313" spans="2:23">
      <c r="B313" s="26">
        <v>44343</v>
      </c>
      <c r="C313" s="26" t="s">
        <v>137</v>
      </c>
      <c r="D313" s="26" t="s">
        <v>2204</v>
      </c>
      <c r="E313" s="26" t="s">
        <v>1314</v>
      </c>
      <c r="F313" s="26" t="s">
        <v>1277</v>
      </c>
      <c r="G313" s="26" t="s">
        <v>2204</v>
      </c>
      <c r="I313" s="26" t="s">
        <v>1314</v>
      </c>
      <c r="J313" s="26" t="s">
        <v>1314</v>
      </c>
      <c r="K313" s="54">
        <v>42950</v>
      </c>
      <c r="M313" s="54">
        <v>1900</v>
      </c>
      <c r="N313" s="54">
        <v>-81605000</v>
      </c>
      <c r="R313" s="54">
        <v>-81605000</v>
      </c>
      <c r="S313" s="54">
        <v>1361.1551307994257</v>
      </c>
      <c r="T313" s="88">
        <v>-59952.75</v>
      </c>
      <c r="V313" s="26" t="s">
        <v>1156</v>
      </c>
      <c r="W313" s="89">
        <v>44216.554416666666</v>
      </c>
    </row>
    <row r="314" spans="2:23">
      <c r="B314" s="26">
        <v>44347</v>
      </c>
      <c r="C314" s="26" t="s">
        <v>137</v>
      </c>
      <c r="D314" s="26" t="s">
        <v>1185</v>
      </c>
      <c r="E314" s="26" t="s">
        <v>1314</v>
      </c>
      <c r="F314" s="26" t="s">
        <v>1277</v>
      </c>
      <c r="G314" s="26" t="s">
        <v>1656</v>
      </c>
      <c r="I314" s="26" t="s">
        <v>1314</v>
      </c>
      <c r="J314" s="26" t="s">
        <v>1314</v>
      </c>
      <c r="K314" s="54">
        <v>2300</v>
      </c>
      <c r="M314" s="54">
        <v>4500</v>
      </c>
      <c r="N314" s="54">
        <v>-10350000</v>
      </c>
      <c r="R314" s="54">
        <v>-10350000</v>
      </c>
      <c r="S314" s="54">
        <v>133.84771029119571</v>
      </c>
      <c r="T314" s="88">
        <v>-77326.69</v>
      </c>
      <c r="V314" s="26" t="s">
        <v>1725</v>
      </c>
      <c r="W314" s="89">
        <v>44216.554416666666</v>
      </c>
    </row>
    <row r="315" spans="2:23">
      <c r="B315" s="26">
        <v>44351</v>
      </c>
      <c r="C315" s="26" t="s">
        <v>138</v>
      </c>
      <c r="D315" s="26" t="s">
        <v>2168</v>
      </c>
      <c r="E315" s="26" t="s">
        <v>1314</v>
      </c>
      <c r="F315" s="26" t="s">
        <v>1277</v>
      </c>
      <c r="G315" s="26" t="s">
        <v>2168</v>
      </c>
      <c r="I315" s="26" t="s">
        <v>1314</v>
      </c>
      <c r="J315" s="26" t="s">
        <v>1314</v>
      </c>
      <c r="K315" s="54">
        <v>344000</v>
      </c>
      <c r="M315" s="54">
        <v>-420</v>
      </c>
      <c r="N315" s="54">
        <v>144480000</v>
      </c>
      <c r="R315" s="54">
        <v>144480000</v>
      </c>
      <c r="S315" s="54">
        <v>1353.5965858803829</v>
      </c>
      <c r="T315" s="54">
        <v>106737.85787220334</v>
      </c>
      <c r="V315" s="26" t="s">
        <v>1156</v>
      </c>
      <c r="W315" s="89">
        <v>44351.389093518519</v>
      </c>
    </row>
    <row r="316" spans="2:23">
      <c r="B316" s="26">
        <v>44351</v>
      </c>
      <c r="C316" s="26" t="s">
        <v>138</v>
      </c>
      <c r="D316" s="26" t="s">
        <v>12815</v>
      </c>
      <c r="E316" s="26" t="s">
        <v>1314</v>
      </c>
      <c r="F316" s="26" t="s">
        <v>1277</v>
      </c>
      <c r="G316" s="26" t="s">
        <v>12815</v>
      </c>
      <c r="I316" s="26" t="s">
        <v>1314</v>
      </c>
      <c r="J316" s="26" t="s">
        <v>1314</v>
      </c>
      <c r="K316" s="54">
        <v>155000</v>
      </c>
      <c r="M316" s="54">
        <v>-373</v>
      </c>
      <c r="N316" s="54">
        <v>57815000</v>
      </c>
      <c r="R316" s="54">
        <v>57815000</v>
      </c>
      <c r="S316" s="54">
        <v>1353.5965858803888</v>
      </c>
      <c r="T316" s="54">
        <v>42712.134917506984</v>
      </c>
      <c r="V316" s="26" t="s">
        <v>1156</v>
      </c>
      <c r="W316" s="89">
        <v>44351.389583217591</v>
      </c>
    </row>
    <row r="317" spans="2:23">
      <c r="B317" s="26">
        <v>44351</v>
      </c>
      <c r="C317" s="26" t="s">
        <v>137</v>
      </c>
      <c r="D317" s="26" t="s">
        <v>1208</v>
      </c>
      <c r="E317" s="26" t="s">
        <v>1314</v>
      </c>
      <c r="F317" s="26" t="s">
        <v>1277</v>
      </c>
      <c r="G317" s="26" t="s">
        <v>1208</v>
      </c>
      <c r="I317" s="26" t="s">
        <v>1314</v>
      </c>
      <c r="J317" s="26" t="s">
        <v>1314</v>
      </c>
      <c r="K317" s="54">
        <v>37650</v>
      </c>
      <c r="M317" s="54">
        <v>5076</v>
      </c>
      <c r="N317" s="54">
        <v>-191111400</v>
      </c>
      <c r="R317" s="54">
        <v>-191111400</v>
      </c>
      <c r="S317" s="54">
        <v>1353.5965858803829</v>
      </c>
      <c r="T317" s="54">
        <v>-141187.85611128047</v>
      </c>
      <c r="V317" s="26" t="s">
        <v>1156</v>
      </c>
      <c r="W317" s="89">
        <v>44216.554416666666</v>
      </c>
    </row>
    <row r="318" spans="2:23">
      <c r="B318" s="26">
        <v>44364</v>
      </c>
      <c r="C318" s="26" t="s">
        <v>137</v>
      </c>
      <c r="D318" s="26" t="s">
        <v>1192</v>
      </c>
      <c r="E318" s="26" t="s">
        <v>1314</v>
      </c>
      <c r="F318" s="26" t="s">
        <v>1277</v>
      </c>
      <c r="G318" s="26" t="s">
        <v>1192</v>
      </c>
      <c r="I318" s="26" t="s">
        <v>1314</v>
      </c>
      <c r="J318" s="26" t="s">
        <v>1314</v>
      </c>
      <c r="K318" s="54">
        <v>1714</v>
      </c>
      <c r="M318" s="54">
        <v>5000</v>
      </c>
      <c r="N318" s="54">
        <v>-8570000</v>
      </c>
      <c r="R318" s="54">
        <v>-8570000</v>
      </c>
      <c r="S318" s="54">
        <v>132.76161919040521</v>
      </c>
      <c r="T318" s="54">
        <v>-64551.788779474002</v>
      </c>
      <c r="V318" s="26" t="s">
        <v>1725</v>
      </c>
      <c r="W318" s="89">
        <v>44216.554416666666</v>
      </c>
    </row>
    <row r="319" spans="2:23">
      <c r="B319" s="26">
        <v>44368</v>
      </c>
      <c r="C319" s="26" t="s">
        <v>137</v>
      </c>
      <c r="D319" s="26" t="s">
        <v>1219</v>
      </c>
      <c r="E319" s="26" t="s">
        <v>1314</v>
      </c>
      <c r="F319" s="26" t="s">
        <v>1277</v>
      </c>
      <c r="G319" s="26" t="s">
        <v>1219</v>
      </c>
      <c r="I319" s="26" t="s">
        <v>1314</v>
      </c>
      <c r="J319" s="26" t="s">
        <v>1314</v>
      </c>
      <c r="K319" s="54">
        <v>34.865000000000002</v>
      </c>
      <c r="M319" s="54">
        <v>3900</v>
      </c>
      <c r="N319" s="54">
        <v>-135973.5</v>
      </c>
      <c r="R319" s="54">
        <v>-135973.5</v>
      </c>
      <c r="S319" s="54">
        <v>1</v>
      </c>
      <c r="T319" s="54">
        <v>-135973.5</v>
      </c>
      <c r="V319" s="26" t="s">
        <v>1153</v>
      </c>
      <c r="W319" s="89">
        <v>44216.554416666666</v>
      </c>
    </row>
    <row r="320" spans="2:23">
      <c r="B320" s="26">
        <v>44368</v>
      </c>
      <c r="C320" s="26" t="s">
        <v>137</v>
      </c>
      <c r="D320" s="26" t="s">
        <v>1214</v>
      </c>
      <c r="E320" s="26" t="s">
        <v>1314</v>
      </c>
      <c r="F320" s="26" t="s">
        <v>1277</v>
      </c>
      <c r="G320" s="26" t="s">
        <v>1214</v>
      </c>
      <c r="I320" s="26" t="s">
        <v>1314</v>
      </c>
      <c r="J320" s="26" t="s">
        <v>1314</v>
      </c>
      <c r="K320" s="54">
        <v>26.220000000000002</v>
      </c>
      <c r="M320" s="54">
        <v>6800</v>
      </c>
      <c r="N320" s="54">
        <v>-178296.00000000003</v>
      </c>
      <c r="R320" s="54">
        <v>-178296.00000000003</v>
      </c>
      <c r="S320" s="54">
        <v>1</v>
      </c>
      <c r="T320" s="54">
        <v>-178296.00000000003</v>
      </c>
      <c r="V320" s="26" t="s">
        <v>1153</v>
      </c>
      <c r="W320" s="89">
        <v>44216.554416666666</v>
      </c>
    </row>
    <row r="321" spans="2:23">
      <c r="B321" s="26">
        <v>44372</v>
      </c>
      <c r="C321" s="26" t="s">
        <v>137</v>
      </c>
      <c r="D321" s="26" t="s">
        <v>1192</v>
      </c>
      <c r="E321" s="26" t="s">
        <v>1314</v>
      </c>
      <c r="F321" s="26" t="s">
        <v>1277</v>
      </c>
      <c r="G321" s="26" t="s">
        <v>1192</v>
      </c>
      <c r="I321" s="26" t="s">
        <v>1314</v>
      </c>
      <c r="J321" s="26" t="s">
        <v>1314</v>
      </c>
      <c r="K321" s="54">
        <v>1727</v>
      </c>
      <c r="M321" s="54">
        <v>6000</v>
      </c>
      <c r="N321" s="54">
        <v>-10362000</v>
      </c>
      <c r="R321" s="54">
        <v>-10362000</v>
      </c>
      <c r="S321" s="54">
        <v>132.25644818782632</v>
      </c>
      <c r="T321" s="54">
        <v>-78347.786758073402</v>
      </c>
      <c r="V321" s="26" t="s">
        <v>1725</v>
      </c>
      <c r="W321" s="89">
        <v>44216.554416666666</v>
      </c>
    </row>
    <row r="322" spans="2:23">
      <c r="B322" s="26">
        <v>44372</v>
      </c>
      <c r="C322" s="26" t="s">
        <v>138</v>
      </c>
      <c r="D322" s="26" t="s">
        <v>1112</v>
      </c>
      <c r="E322" s="26" t="s">
        <v>1314</v>
      </c>
      <c r="F322" s="26" t="s">
        <v>1277</v>
      </c>
      <c r="G322" s="26" t="s">
        <v>1180</v>
      </c>
      <c r="I322" s="26" t="s">
        <v>1314</v>
      </c>
      <c r="J322" s="26" t="s">
        <v>1314</v>
      </c>
      <c r="K322" s="54">
        <v>1309</v>
      </c>
      <c r="M322" s="54">
        <v>-4200</v>
      </c>
      <c r="N322" s="54">
        <v>5497800</v>
      </c>
      <c r="R322" s="54">
        <v>5497800</v>
      </c>
      <c r="S322" s="54">
        <v>132.25644818782661</v>
      </c>
      <c r="T322" s="54">
        <v>41569.239725780259</v>
      </c>
      <c r="V322" s="26" t="s">
        <v>1725</v>
      </c>
      <c r="W322" s="89">
        <v>44372.436921643515</v>
      </c>
    </row>
    <row r="323" spans="2:23" s="572" customFormat="1">
      <c r="B323" s="572">
        <v>44382</v>
      </c>
      <c r="C323" s="572" t="s">
        <v>138</v>
      </c>
      <c r="D323" s="572" t="s">
        <v>1112</v>
      </c>
      <c r="E323" s="572" t="s">
        <v>1314</v>
      </c>
      <c r="F323" s="572" t="s">
        <v>1277</v>
      </c>
      <c r="G323" s="572" t="s">
        <v>1180</v>
      </c>
      <c r="I323" s="572" t="s">
        <v>1314</v>
      </c>
      <c r="J323" s="572" t="s">
        <v>1314</v>
      </c>
      <c r="K323" s="54">
        <v>1321.5</v>
      </c>
      <c r="L323" s="54"/>
      <c r="M323" s="54">
        <v>-3300</v>
      </c>
      <c r="N323" s="54">
        <v>4360950</v>
      </c>
      <c r="O323" s="54"/>
      <c r="P323" s="54"/>
      <c r="Q323" s="54"/>
      <c r="R323" s="54">
        <v>4360950</v>
      </c>
      <c r="S323" s="54">
        <v>131.73723736193332</v>
      </c>
      <c r="T323" s="573">
        <v>33103.4</v>
      </c>
      <c r="U323" s="54"/>
      <c r="V323" s="572" t="s">
        <v>1725</v>
      </c>
      <c r="W323" s="89">
        <v>44382.351098611114</v>
      </c>
    </row>
    <row r="324" spans="2:23">
      <c r="B324" s="26">
        <v>44391</v>
      </c>
      <c r="C324" s="26" t="s">
        <v>137</v>
      </c>
      <c r="E324" s="26" t="s">
        <v>12952</v>
      </c>
      <c r="F324" s="26" t="s">
        <v>1277</v>
      </c>
      <c r="G324" s="26" t="s">
        <v>12899</v>
      </c>
      <c r="I324" s="26" t="s">
        <v>12952</v>
      </c>
      <c r="J324" s="26" t="s">
        <v>12952</v>
      </c>
      <c r="K324" s="54">
        <v>24.5</v>
      </c>
      <c r="M324" s="54">
        <v>4200</v>
      </c>
      <c r="N324" s="54">
        <v>0</v>
      </c>
      <c r="R324" s="54">
        <v>0</v>
      </c>
      <c r="S324" s="54">
        <v>1</v>
      </c>
      <c r="T324" s="54">
        <v>-147000</v>
      </c>
      <c r="V324" s="26" t="s">
        <v>1153</v>
      </c>
      <c r="W324" s="89">
        <v>44391.385765393519</v>
      </c>
    </row>
    <row r="325" spans="2:23">
      <c r="B325" s="26">
        <v>44392</v>
      </c>
      <c r="C325" s="26" t="s">
        <v>138</v>
      </c>
      <c r="D325" s="26" t="s">
        <v>12889</v>
      </c>
      <c r="E325" s="26" t="s">
        <v>1232</v>
      </c>
      <c r="F325" s="26" t="s">
        <v>1277</v>
      </c>
      <c r="G325" s="26" t="s">
        <v>12889</v>
      </c>
      <c r="J325" s="26" t="s">
        <v>125</v>
      </c>
      <c r="K325" s="54">
        <v>1315.5</v>
      </c>
      <c r="M325" s="54">
        <v>-5000</v>
      </c>
      <c r="N325" s="54">
        <v>6577500</v>
      </c>
      <c r="R325" s="54">
        <v>6577500</v>
      </c>
      <c r="S325" s="54">
        <v>129.88</v>
      </c>
      <c r="T325" s="54">
        <v>50642.901139513393</v>
      </c>
      <c r="V325" s="26" t="s">
        <v>1725</v>
      </c>
      <c r="W325" s="89">
        <v>44392.727456712964</v>
      </c>
    </row>
    <row r="326" spans="2:23">
      <c r="B326" s="26">
        <v>44392</v>
      </c>
      <c r="C326" s="26" t="s">
        <v>137</v>
      </c>
      <c r="E326" s="26" t="s">
        <v>12858</v>
      </c>
      <c r="F326" s="26" t="s">
        <v>1093</v>
      </c>
      <c r="G326" s="26" t="s">
        <v>12953</v>
      </c>
      <c r="J326" s="26" t="s">
        <v>123</v>
      </c>
      <c r="K326" s="54">
        <v>41450</v>
      </c>
      <c r="M326" s="54">
        <v>4200</v>
      </c>
      <c r="N326" s="54">
        <v>-174090000</v>
      </c>
      <c r="R326" s="54">
        <v>-174090000</v>
      </c>
      <c r="S326" s="54">
        <v>1350.73</v>
      </c>
      <c r="T326" s="54">
        <v>-128885.8617192185</v>
      </c>
      <c r="V326" s="26" t="s">
        <v>1156</v>
      </c>
      <c r="W326" s="89">
        <v>44392.73100104167</v>
      </c>
    </row>
    <row r="327" spans="2:23">
      <c r="B327" s="26">
        <v>44410</v>
      </c>
      <c r="C327" s="26" t="s">
        <v>138</v>
      </c>
      <c r="D327" s="26" t="s">
        <v>12910</v>
      </c>
      <c r="E327" s="26" t="s">
        <v>12863</v>
      </c>
      <c r="F327" s="26" t="s">
        <v>1277</v>
      </c>
      <c r="G327" s="26" t="s">
        <v>12910</v>
      </c>
      <c r="J327" s="26" t="s">
        <v>1104</v>
      </c>
      <c r="K327" s="54">
        <v>9.4700000000000006</v>
      </c>
      <c r="M327" s="54">
        <v>-11000</v>
      </c>
      <c r="N327" s="54">
        <v>104170</v>
      </c>
      <c r="R327" s="54">
        <v>104170</v>
      </c>
      <c r="S327" s="54">
        <v>1.61598</v>
      </c>
      <c r="T327" s="54">
        <v>64462.431465735965</v>
      </c>
      <c r="V327" s="26" t="s">
        <v>1725</v>
      </c>
      <c r="W327" s="89">
        <v>44410.417314120372</v>
      </c>
    </row>
    <row r="328" spans="2:23">
      <c r="B328" s="26">
        <v>44413</v>
      </c>
      <c r="C328" s="26" t="s">
        <v>138</v>
      </c>
      <c r="D328" s="26" t="s">
        <v>12889</v>
      </c>
      <c r="E328" s="26" t="s">
        <v>1232</v>
      </c>
      <c r="F328" s="26" t="s">
        <v>1277</v>
      </c>
      <c r="G328" s="26" t="s">
        <v>12889</v>
      </c>
      <c r="J328" s="26" t="s">
        <v>125</v>
      </c>
      <c r="K328" s="54">
        <v>1359.5</v>
      </c>
      <c r="M328" s="54">
        <v>-4000</v>
      </c>
      <c r="N328" s="54">
        <v>5438000</v>
      </c>
      <c r="R328" s="54">
        <v>5438000</v>
      </c>
      <c r="S328" s="372">
        <v>129.6</v>
      </c>
      <c r="T328" s="54">
        <v>41959.876543209881</v>
      </c>
      <c r="V328" s="26" t="s">
        <v>1725</v>
      </c>
      <c r="W328" s="89">
        <v>44413.326128472225</v>
      </c>
    </row>
    <row r="329" spans="2:23">
      <c r="B329" s="26">
        <v>44414</v>
      </c>
      <c r="C329" s="26" t="s">
        <v>138</v>
      </c>
      <c r="D329" s="26" t="s">
        <v>12902</v>
      </c>
      <c r="E329" s="26" t="s">
        <v>1273</v>
      </c>
      <c r="F329" s="26" t="s">
        <v>1277</v>
      </c>
      <c r="G329" s="26" t="s">
        <v>12902</v>
      </c>
      <c r="J329" s="26" t="s">
        <v>1104</v>
      </c>
      <c r="K329" s="54">
        <v>1.53</v>
      </c>
      <c r="M329" s="54">
        <v>-110000</v>
      </c>
      <c r="N329" s="54">
        <v>168300</v>
      </c>
      <c r="R329" s="54">
        <v>168300</v>
      </c>
      <c r="S329" s="54">
        <v>1.5989899999999999</v>
      </c>
      <c r="T329" s="54">
        <v>105253.94155060383</v>
      </c>
      <c r="V329" s="26" t="s">
        <v>1725</v>
      </c>
      <c r="W329" s="89">
        <v>44414.373979050928</v>
      </c>
    </row>
    <row r="330" spans="2:23">
      <c r="B330" s="26">
        <v>44418</v>
      </c>
      <c r="C330" s="26" t="s">
        <v>137</v>
      </c>
      <c r="D330" s="26" t="s">
        <v>12890</v>
      </c>
      <c r="E330" s="26" t="s">
        <v>1233</v>
      </c>
      <c r="F330" s="26" t="s">
        <v>1277</v>
      </c>
      <c r="G330" s="26" t="s">
        <v>12890</v>
      </c>
      <c r="J330" s="26" t="s">
        <v>125</v>
      </c>
      <c r="K330" s="54">
        <v>4195</v>
      </c>
      <c r="M330" s="54">
        <v>4100</v>
      </c>
      <c r="N330" s="54">
        <v>-17199500</v>
      </c>
      <c r="R330" s="54">
        <v>-17199500</v>
      </c>
      <c r="S330" s="54">
        <v>129.57</v>
      </c>
      <c r="T330" s="54">
        <v>-132742.9188855445</v>
      </c>
      <c r="V330" s="26" t="s">
        <v>1725</v>
      </c>
      <c r="W330" s="89">
        <v>44418.372908217592</v>
      </c>
    </row>
    <row r="331" spans="2:23">
      <c r="B331" s="26">
        <v>44418</v>
      </c>
      <c r="C331" s="26" t="s">
        <v>138</v>
      </c>
      <c r="D331" s="26" t="s">
        <v>12910</v>
      </c>
      <c r="E331" s="26" t="s">
        <v>12863</v>
      </c>
      <c r="F331" s="26" t="s">
        <v>1277</v>
      </c>
      <c r="G331" s="26" t="s">
        <v>12910</v>
      </c>
      <c r="J331" s="26" t="s">
        <v>1104</v>
      </c>
      <c r="K331" s="54">
        <v>9.83</v>
      </c>
      <c r="M331" s="54">
        <v>-22000</v>
      </c>
      <c r="N331" s="54">
        <v>216260</v>
      </c>
      <c r="R331" s="54">
        <v>216260</v>
      </c>
      <c r="S331" s="54">
        <v>1.5991299999999999</v>
      </c>
      <c r="T331" s="54">
        <v>135236.03459381039</v>
      </c>
      <c r="V331" s="26" t="s">
        <v>1725</v>
      </c>
      <c r="W331" s="89">
        <v>44418.373842476853</v>
      </c>
    </row>
    <row r="332" spans="2:23">
      <c r="B332" s="26">
        <v>44427</v>
      </c>
      <c r="C332" s="26" t="s">
        <v>138</v>
      </c>
      <c r="D332" s="26" t="s">
        <v>12922</v>
      </c>
      <c r="E332" s="26" t="s">
        <v>1673</v>
      </c>
      <c r="F332" s="26" t="s">
        <v>1277</v>
      </c>
      <c r="G332" s="26" t="s">
        <v>12975</v>
      </c>
      <c r="J332" s="26" t="s">
        <v>123</v>
      </c>
      <c r="K332" s="54">
        <v>19250</v>
      </c>
      <c r="M332" s="54">
        <v>-16371</v>
      </c>
      <c r="N332" s="54">
        <v>315141750</v>
      </c>
      <c r="R332" s="54">
        <v>315141750</v>
      </c>
      <c r="S332" s="54">
        <v>1372.37</v>
      </c>
      <c r="T332" s="54">
        <v>229633.22573358499</v>
      </c>
      <c r="V332" s="26" t="s">
        <v>1155</v>
      </c>
      <c r="W332" s="89">
        <v>44427.385445254629</v>
      </c>
    </row>
    <row r="333" spans="2:23">
      <c r="B333" s="26">
        <v>44427</v>
      </c>
      <c r="C333" s="26" t="s">
        <v>137</v>
      </c>
      <c r="E333" s="26" t="s">
        <v>12858</v>
      </c>
      <c r="F333" s="26" t="s">
        <v>1093</v>
      </c>
      <c r="G333" s="26" t="s">
        <v>12976</v>
      </c>
      <c r="J333" s="26" t="s">
        <v>123</v>
      </c>
      <c r="K333" s="54">
        <v>36800</v>
      </c>
      <c r="M333" s="54">
        <v>6730</v>
      </c>
      <c r="N333" s="54">
        <v>-247664000</v>
      </c>
      <c r="R333" s="54">
        <v>-247664000</v>
      </c>
      <c r="S333" s="54">
        <v>1372.37</v>
      </c>
      <c r="T333" s="54">
        <v>-180464.45200638313</v>
      </c>
      <c r="V333" s="26" t="s">
        <v>1155</v>
      </c>
      <c r="W333" s="89">
        <v>44427.385445370368</v>
      </c>
    </row>
    <row r="334" spans="2:23">
      <c r="B334" s="26">
        <v>44427</v>
      </c>
      <c r="C334" s="26" t="s">
        <v>137</v>
      </c>
      <c r="D334" s="26" t="s">
        <v>12927</v>
      </c>
      <c r="E334" s="26" t="s">
        <v>12855</v>
      </c>
      <c r="F334" s="26" t="s">
        <v>1277</v>
      </c>
      <c r="G334" s="26" t="s">
        <v>12927</v>
      </c>
      <c r="J334" s="26" t="s">
        <v>123</v>
      </c>
      <c r="K334" s="54">
        <v>54000</v>
      </c>
      <c r="M334" s="54">
        <v>2700</v>
      </c>
      <c r="N334" s="54">
        <v>-145800000</v>
      </c>
      <c r="R334" s="54">
        <v>-145800000</v>
      </c>
      <c r="S334" s="54">
        <v>1372.37</v>
      </c>
      <c r="T334" s="54">
        <v>-106239.57096118396</v>
      </c>
      <c r="V334" s="26" t="s">
        <v>1155</v>
      </c>
      <c r="W334" s="89">
        <v>44427.385445370368</v>
      </c>
    </row>
    <row r="335" spans="2:23">
      <c r="B335" s="26">
        <v>44427</v>
      </c>
      <c r="C335" s="26" t="s">
        <v>138</v>
      </c>
      <c r="D335" s="26" t="s">
        <v>12906</v>
      </c>
      <c r="E335" s="26" t="s">
        <v>1723</v>
      </c>
      <c r="F335" s="26" t="s">
        <v>1277</v>
      </c>
      <c r="G335" s="26" t="s">
        <v>12906</v>
      </c>
      <c r="J335" s="26" t="s">
        <v>1104</v>
      </c>
      <c r="K335" s="54">
        <v>2.99</v>
      </c>
      <c r="M335" s="54">
        <v>-250000</v>
      </c>
      <c r="N335" s="54">
        <v>747500</v>
      </c>
      <c r="R335" s="54">
        <v>747500</v>
      </c>
      <c r="S335" s="372">
        <v>1.6406712962962962</v>
      </c>
      <c r="T335" s="54">
        <v>455606.55098222068</v>
      </c>
      <c r="V335" s="26" t="s">
        <v>1725</v>
      </c>
      <c r="W335" s="89">
        <v>44427.385445254629</v>
      </c>
    </row>
    <row r="336" spans="2:23">
      <c r="B336" s="26">
        <v>44428</v>
      </c>
      <c r="C336" s="26" t="s">
        <v>137</v>
      </c>
      <c r="D336" s="26" t="s">
        <v>12890</v>
      </c>
      <c r="E336" s="26" t="s">
        <v>1233</v>
      </c>
      <c r="F336" s="26" t="s">
        <v>1277</v>
      </c>
      <c r="G336" s="26" t="s">
        <v>12890</v>
      </c>
      <c r="J336" s="26" t="s">
        <v>125</v>
      </c>
      <c r="K336" s="54">
        <v>3960</v>
      </c>
      <c r="M336" s="54">
        <v>4200</v>
      </c>
      <c r="N336" s="54">
        <v>-16632000</v>
      </c>
      <c r="R336" s="54">
        <v>-16632000</v>
      </c>
      <c r="S336" s="372">
        <v>128.15</v>
      </c>
      <c r="T336" s="54">
        <v>-129785.40772532189</v>
      </c>
      <c r="V336" s="26" t="s">
        <v>1725</v>
      </c>
      <c r="W336" s="89">
        <v>44427.385445370368</v>
      </c>
    </row>
    <row r="337" spans="1:23">
      <c r="B337" s="26">
        <v>44452</v>
      </c>
      <c r="C337" s="26" t="s">
        <v>138</v>
      </c>
      <c r="D337" s="26" t="s">
        <v>12889</v>
      </c>
      <c r="E337" s="26" t="s">
        <v>1232</v>
      </c>
      <c r="F337" s="26" t="s">
        <v>1277</v>
      </c>
      <c r="G337" s="26" t="s">
        <v>12889</v>
      </c>
      <c r="I337" s="26" t="s">
        <v>1122</v>
      </c>
      <c r="J337" s="26" t="s">
        <v>125</v>
      </c>
      <c r="K337" s="54">
        <v>1446</v>
      </c>
      <c r="M337" s="54">
        <v>-3500</v>
      </c>
      <c r="N337" s="54">
        <v>5061000</v>
      </c>
      <c r="R337" s="54">
        <v>5061000</v>
      </c>
      <c r="S337" s="372">
        <v>129.88</v>
      </c>
      <c r="T337" s="54">
        <v>38966.738527871887</v>
      </c>
      <c r="V337" s="26" t="s">
        <v>1725</v>
      </c>
      <c r="W337" s="89">
        <v>44452.852227314812</v>
      </c>
    </row>
    <row r="338" spans="1:23">
      <c r="B338" s="26">
        <v>44453</v>
      </c>
      <c r="C338" s="26" t="s">
        <v>137</v>
      </c>
      <c r="D338" s="26" t="s">
        <v>12890</v>
      </c>
      <c r="E338" s="26" t="s">
        <v>1233</v>
      </c>
      <c r="F338" s="26" t="s">
        <v>1277</v>
      </c>
      <c r="G338" s="26" t="s">
        <v>12890</v>
      </c>
      <c r="I338" s="26" t="s">
        <v>1131</v>
      </c>
      <c r="J338" s="26" t="s">
        <v>125</v>
      </c>
      <c r="K338" s="54">
        <v>4422</v>
      </c>
      <c r="M338" s="54">
        <v>6900</v>
      </c>
      <c r="N338" s="54">
        <v>-30511800</v>
      </c>
      <c r="R338" s="54">
        <v>-30511800</v>
      </c>
      <c r="S338" s="372">
        <v>130.09</v>
      </c>
      <c r="T338" s="54">
        <v>-234543.77738488736</v>
      </c>
      <c r="V338" s="26" t="s">
        <v>1725</v>
      </c>
      <c r="W338" s="89">
        <v>44453.475909490742</v>
      </c>
    </row>
    <row r="339" spans="1:23">
      <c r="B339" s="26">
        <v>44453</v>
      </c>
      <c r="C339" s="26" t="s">
        <v>138</v>
      </c>
      <c r="D339" s="26" t="s">
        <v>12892</v>
      </c>
      <c r="E339" s="26" t="s">
        <v>1242</v>
      </c>
      <c r="F339" s="26" t="s">
        <v>1277</v>
      </c>
      <c r="G339" s="26" t="s">
        <v>12892</v>
      </c>
      <c r="I339" s="26" t="s">
        <v>1129</v>
      </c>
      <c r="J339" s="26" t="s">
        <v>125</v>
      </c>
      <c r="K339" s="86">
        <v>609</v>
      </c>
    </row>
    <row r="340" spans="1:23">
      <c r="B340" s="26">
        <v>44457</v>
      </c>
      <c r="C340" s="26" t="s">
        <v>137</v>
      </c>
      <c r="D340" s="26" t="s">
        <v>12899</v>
      </c>
      <c r="E340" s="26" t="s">
        <v>1263</v>
      </c>
      <c r="F340" s="26" t="s">
        <v>1277</v>
      </c>
      <c r="G340" s="26" t="s">
        <v>12899</v>
      </c>
      <c r="I340" s="26" t="s">
        <v>12949</v>
      </c>
      <c r="J340" s="26" t="s">
        <v>2</v>
      </c>
      <c r="K340" s="54">
        <v>21.58</v>
      </c>
      <c r="M340" s="54">
        <v>11000</v>
      </c>
      <c r="N340" s="54">
        <v>-237379.99999999997</v>
      </c>
      <c r="R340" s="54">
        <v>-237379.99999999997</v>
      </c>
      <c r="S340" s="86">
        <v>1</v>
      </c>
      <c r="T340" s="54">
        <v>-237379.99999999997</v>
      </c>
      <c r="V340" s="26" t="s">
        <v>1153</v>
      </c>
      <c r="W340" s="89">
        <v>44457.411546759256</v>
      </c>
    </row>
    <row r="341" spans="1:23" s="601" customFormat="1">
      <c r="B341" s="601">
        <v>44468</v>
      </c>
      <c r="C341" s="601" t="s">
        <v>137</v>
      </c>
      <c r="E341" s="601" t="s">
        <v>1248</v>
      </c>
      <c r="F341" s="601" t="s">
        <v>1093</v>
      </c>
      <c r="G341" s="601" t="s">
        <v>13047</v>
      </c>
      <c r="I341" s="601" t="s">
        <v>13048</v>
      </c>
      <c r="J341" s="601" t="s">
        <v>125</v>
      </c>
      <c r="K341" s="54">
        <v>4095</v>
      </c>
      <c r="L341" s="54"/>
      <c r="M341" s="54">
        <v>6700</v>
      </c>
      <c r="N341" s="54">
        <v>-27436500</v>
      </c>
      <c r="O341" s="54"/>
      <c r="P341" s="54"/>
      <c r="Q341" s="54"/>
      <c r="R341" s="54">
        <v>-27436500</v>
      </c>
      <c r="S341" s="86">
        <v>130.26</v>
      </c>
      <c r="T341" s="54">
        <v>-210628.74251497007</v>
      </c>
      <c r="U341" s="54"/>
      <c r="V341" s="601" t="s">
        <v>1725</v>
      </c>
      <c r="W341" s="89">
        <v>44468.351708217589</v>
      </c>
    </row>
    <row r="342" spans="1:23" s="601" customFormat="1">
      <c r="B342" s="601">
        <v>44469</v>
      </c>
      <c r="C342" s="601" t="s">
        <v>137</v>
      </c>
      <c r="E342" s="601" t="s">
        <v>13050</v>
      </c>
      <c r="F342" s="601" t="s">
        <v>1093</v>
      </c>
      <c r="G342" s="601" t="s">
        <v>13049</v>
      </c>
      <c r="I342" s="601" t="s">
        <v>13048</v>
      </c>
      <c r="J342" s="601" t="s">
        <v>2</v>
      </c>
      <c r="K342" s="54">
        <v>51.4</v>
      </c>
      <c r="L342" s="54"/>
      <c r="M342" s="54">
        <v>3540</v>
      </c>
      <c r="N342" s="54">
        <v>-181956</v>
      </c>
      <c r="O342" s="54"/>
      <c r="P342" s="54"/>
      <c r="Q342" s="54"/>
      <c r="R342" s="54">
        <v>-181956</v>
      </c>
      <c r="S342" s="86">
        <v>1</v>
      </c>
      <c r="T342" s="54">
        <v>-181956</v>
      </c>
      <c r="U342" s="54"/>
      <c r="V342" s="601" t="s">
        <v>1153</v>
      </c>
      <c r="W342" s="89">
        <v>44469.437924189813</v>
      </c>
    </row>
    <row r="343" spans="1:23" s="601" customFormat="1">
      <c r="B343" s="601">
        <v>44469</v>
      </c>
      <c r="C343" s="601" t="s">
        <v>137</v>
      </c>
      <c r="E343" s="601" t="s">
        <v>13053</v>
      </c>
      <c r="F343" s="601" t="s">
        <v>1093</v>
      </c>
      <c r="G343" s="601" t="s">
        <v>13052</v>
      </c>
      <c r="I343" s="601" t="s">
        <v>13048</v>
      </c>
      <c r="J343" s="601" t="s">
        <v>125</v>
      </c>
      <c r="K343" s="54">
        <v>2871</v>
      </c>
      <c r="L343" s="54"/>
      <c r="M343" s="54">
        <v>22000</v>
      </c>
      <c r="N343" s="54">
        <v>-63162000</v>
      </c>
      <c r="O343" s="54"/>
      <c r="P343" s="54"/>
      <c r="Q343" s="54"/>
      <c r="R343" s="54">
        <v>-63162000</v>
      </c>
      <c r="S343" s="86">
        <v>129.59</v>
      </c>
      <c r="T343" s="54">
        <v>-487398.71903696266</v>
      </c>
      <c r="U343" s="54"/>
      <c r="V343" s="601" t="s">
        <v>1153</v>
      </c>
      <c r="W343" s="89">
        <v>44469.51668148148</v>
      </c>
    </row>
    <row r="344" spans="1:23" s="601" customFormat="1">
      <c r="B344" s="601">
        <v>44473</v>
      </c>
      <c r="C344" s="601" t="s">
        <v>138</v>
      </c>
      <c r="D344" s="601" t="s">
        <v>12906</v>
      </c>
      <c r="E344" s="601" t="s">
        <v>1723</v>
      </c>
      <c r="F344" s="601" t="s">
        <v>1277</v>
      </c>
      <c r="G344" s="601" t="s">
        <v>12906</v>
      </c>
      <c r="I344" s="601" t="s">
        <v>1724</v>
      </c>
      <c r="J344" s="601" t="s">
        <v>1104</v>
      </c>
      <c r="K344" s="54">
        <v>2.96</v>
      </c>
      <c r="L344" s="54"/>
      <c r="M344" s="54"/>
      <c r="N344" s="54"/>
      <c r="O344" s="54"/>
      <c r="P344" s="54"/>
      <c r="Q344" s="54"/>
      <c r="R344" s="54"/>
      <c r="S344" s="86"/>
      <c r="T344" s="54"/>
      <c r="U344" s="54"/>
      <c r="W344" s="89"/>
    </row>
    <row r="345" spans="1:23" s="601" customFormat="1">
      <c r="B345" s="601">
        <v>44473</v>
      </c>
      <c r="C345" s="601" t="s">
        <v>137</v>
      </c>
      <c r="D345" s="601" t="s">
        <v>12890</v>
      </c>
      <c r="E345" s="601" t="s">
        <v>1233</v>
      </c>
      <c r="F345" s="601" t="s">
        <v>1277</v>
      </c>
      <c r="G345" s="601" t="s">
        <v>12890</v>
      </c>
      <c r="I345" s="601" t="s">
        <v>1131</v>
      </c>
      <c r="J345" s="601" t="s">
        <v>125</v>
      </c>
      <c r="K345" s="54">
        <v>3920</v>
      </c>
      <c r="L345" s="54"/>
      <c r="M345" s="54">
        <v>8900</v>
      </c>
      <c r="N345" s="54">
        <v>-34888000</v>
      </c>
      <c r="O345" s="54"/>
      <c r="P345" s="54"/>
      <c r="Q345" s="54"/>
      <c r="R345" s="54">
        <v>-34888000</v>
      </c>
      <c r="S345" s="86">
        <v>129.27000000000001</v>
      </c>
      <c r="T345" s="54">
        <v>-269884.73737139319</v>
      </c>
      <c r="U345" s="54"/>
      <c r="V345" s="601" t="s">
        <v>1725</v>
      </c>
      <c r="W345" s="89">
        <v>44473.621874652781</v>
      </c>
    </row>
    <row r="346" spans="1:23" s="601" customFormat="1">
      <c r="B346" s="601">
        <v>44495</v>
      </c>
      <c r="C346" s="601" t="s">
        <v>138</v>
      </c>
      <c r="D346" s="601" t="s">
        <v>12889</v>
      </c>
      <c r="E346" s="601" t="s">
        <v>1232</v>
      </c>
      <c r="F346" s="601" t="s">
        <v>1277</v>
      </c>
      <c r="G346" s="601" t="s">
        <v>12889</v>
      </c>
      <c r="I346" s="601" t="s">
        <v>1122</v>
      </c>
      <c r="J346" s="601" t="s">
        <v>125</v>
      </c>
      <c r="K346" s="54">
        <v>1445.5</v>
      </c>
      <c r="L346" s="54"/>
      <c r="M346" s="54"/>
      <c r="N346" s="54"/>
      <c r="O346" s="54"/>
      <c r="P346" s="54"/>
      <c r="Q346" s="54"/>
      <c r="R346" s="54"/>
      <c r="S346" s="86"/>
      <c r="T346" s="54"/>
      <c r="U346" s="54"/>
      <c r="W346" s="89"/>
    </row>
    <row r="347" spans="1:23" s="601" customFormat="1">
      <c r="B347" s="601">
        <v>44507</v>
      </c>
      <c r="C347" s="601" t="s">
        <v>138</v>
      </c>
      <c r="D347" s="601" t="s">
        <v>12909</v>
      </c>
      <c r="E347" s="601" t="s">
        <v>12861</v>
      </c>
      <c r="F347" s="601" t="s">
        <v>1277</v>
      </c>
      <c r="G347" s="601" t="s">
        <v>12909</v>
      </c>
      <c r="I347" s="601" t="s">
        <v>12797</v>
      </c>
      <c r="J347" s="601" t="s">
        <v>125</v>
      </c>
      <c r="K347" s="54">
        <v>5122</v>
      </c>
      <c r="L347" s="54"/>
      <c r="M347" s="54"/>
      <c r="N347" s="54"/>
      <c r="O347" s="54"/>
      <c r="P347" s="54"/>
      <c r="Q347" s="54"/>
      <c r="R347" s="54"/>
      <c r="S347" s="86"/>
      <c r="T347" s="54"/>
      <c r="U347" s="54"/>
      <c r="W347" s="89"/>
    </row>
    <row r="348" spans="1:23" s="601" customFormat="1">
      <c r="A348" s="601">
        <v>2019200484</v>
      </c>
      <c r="B348" s="601">
        <v>44351</v>
      </c>
      <c r="C348" s="601" t="s">
        <v>138</v>
      </c>
      <c r="E348" s="601" t="s">
        <v>12874</v>
      </c>
      <c r="G348" s="601" t="s">
        <v>12815</v>
      </c>
      <c r="I348" s="601" t="s">
        <v>12816</v>
      </c>
      <c r="J348" s="601" t="s">
        <v>123</v>
      </c>
      <c r="K348" s="54">
        <v>152423.86060000001</v>
      </c>
      <c r="L348" s="54"/>
      <c r="M348" s="54">
        <v>-373</v>
      </c>
      <c r="N348" s="54">
        <v>56854100.003800005</v>
      </c>
      <c r="O348" s="54">
        <v>-85281</v>
      </c>
      <c r="P348" s="54">
        <v>-130729</v>
      </c>
      <c r="Q348" s="54"/>
      <c r="R348" s="54">
        <v>56638090.003800005</v>
      </c>
      <c r="S348" s="86">
        <v>1353.5965858803888</v>
      </c>
      <c r="T348" s="54">
        <v>41842.66611973034</v>
      </c>
      <c r="U348" s="54">
        <v>44355</v>
      </c>
      <c r="V348" s="601" t="s">
        <v>1156</v>
      </c>
      <c r="W348" s="89">
        <v>44351.389583217591</v>
      </c>
    </row>
    <row r="349" spans="1:23" s="601" customFormat="1">
      <c r="B349" s="601">
        <v>44507</v>
      </c>
      <c r="C349" s="601" t="s">
        <v>138</v>
      </c>
      <c r="D349" s="601" t="s">
        <v>12918</v>
      </c>
      <c r="E349" s="601" t="s">
        <v>1257</v>
      </c>
      <c r="F349" s="601" t="s">
        <v>1277</v>
      </c>
      <c r="G349" s="601" t="s">
        <v>12918</v>
      </c>
      <c r="I349" s="601" t="s">
        <v>1135</v>
      </c>
      <c r="J349" s="601" t="s">
        <v>123</v>
      </c>
      <c r="K349" s="54">
        <v>137000</v>
      </c>
      <c r="L349" s="54"/>
      <c r="M349" s="54"/>
      <c r="N349" s="54"/>
      <c r="O349" s="54"/>
      <c r="P349" s="54"/>
      <c r="Q349" s="54"/>
      <c r="R349" s="54"/>
      <c r="S349" s="86"/>
      <c r="T349" s="54"/>
      <c r="U349" s="54"/>
      <c r="W349" s="89"/>
    </row>
    <row r="350" spans="1:23" s="601" customFormat="1">
      <c r="B350" s="601">
        <v>44507</v>
      </c>
      <c r="C350" s="601" t="s">
        <v>138</v>
      </c>
      <c r="D350" s="601" t="s">
        <v>12909</v>
      </c>
      <c r="E350" s="601" t="s">
        <v>12861</v>
      </c>
      <c r="F350" s="601" t="s">
        <v>1277</v>
      </c>
      <c r="G350" s="601" t="s">
        <v>13063</v>
      </c>
      <c r="I350" s="601" t="s">
        <v>12797</v>
      </c>
      <c r="J350" s="601" t="s">
        <v>125</v>
      </c>
      <c r="K350" s="54">
        <v>5122</v>
      </c>
      <c r="L350" s="54"/>
      <c r="M350" s="54"/>
      <c r="N350" s="54"/>
      <c r="O350" s="54"/>
      <c r="P350" s="54"/>
      <c r="Q350" s="54"/>
      <c r="R350" s="54"/>
      <c r="S350" s="86"/>
      <c r="T350" s="54"/>
      <c r="U350" s="54"/>
      <c r="W350" s="89"/>
    </row>
    <row r="351" spans="1:23">
      <c r="B351" s="26">
        <v>44507</v>
      </c>
      <c r="C351" s="26" t="s">
        <v>137</v>
      </c>
      <c r="D351" s="26" t="s">
        <v>12896</v>
      </c>
      <c r="E351" s="26" t="s">
        <v>1255</v>
      </c>
      <c r="F351" s="26" t="s">
        <v>1277</v>
      </c>
      <c r="G351" s="26" t="s">
        <v>12896</v>
      </c>
      <c r="I351" s="26" t="s">
        <v>1143</v>
      </c>
      <c r="J351" s="26" t="s">
        <v>123</v>
      </c>
      <c r="K351" s="86">
        <v>143500</v>
      </c>
      <c r="M351" s="86">
        <v>1600</v>
      </c>
      <c r="N351" s="54">
        <v>-229600000</v>
      </c>
      <c r="R351" s="54">
        <v>-229600000</v>
      </c>
      <c r="S351" s="372">
        <v>1369.23</v>
      </c>
      <c r="T351" s="54">
        <v>-167685.48746375699</v>
      </c>
      <c r="V351" s="26" t="s">
        <v>1156</v>
      </c>
      <c r="W351" s="89">
        <v>44507.976485300926</v>
      </c>
    </row>
    <row r="352" spans="1:23">
      <c r="B352" s="26">
        <v>44507</v>
      </c>
      <c r="C352" s="26" t="s">
        <v>137</v>
      </c>
      <c r="D352" s="26" t="s">
        <v>12894</v>
      </c>
      <c r="E352" s="26" t="s">
        <v>1252</v>
      </c>
      <c r="F352" s="26" t="s">
        <v>1277</v>
      </c>
      <c r="G352" s="26" t="s">
        <v>12894</v>
      </c>
      <c r="I352" s="26" t="s">
        <v>1121</v>
      </c>
      <c r="J352" s="26" t="s">
        <v>123</v>
      </c>
      <c r="K352" s="86">
        <v>363500</v>
      </c>
      <c r="M352" s="86">
        <v>1100</v>
      </c>
      <c r="N352" s="54">
        <v>-399850000</v>
      </c>
      <c r="R352" s="54">
        <v>-399850000</v>
      </c>
      <c r="S352" s="372">
        <v>1369.23</v>
      </c>
      <c r="T352" s="54">
        <v>-292025.44495811511</v>
      </c>
      <c r="V352" s="26" t="s">
        <v>1156</v>
      </c>
      <c r="W352" s="89">
        <v>44507.978803124999</v>
      </c>
    </row>
    <row r="353" spans="2:23">
      <c r="B353" s="26">
        <v>44509</v>
      </c>
      <c r="C353" s="26" t="s">
        <v>137</v>
      </c>
      <c r="D353" s="26" t="s">
        <v>12896</v>
      </c>
      <c r="E353" s="26" t="s">
        <v>1255</v>
      </c>
      <c r="F353" s="26" t="s">
        <v>1277</v>
      </c>
      <c r="G353" s="26" t="s">
        <v>12896</v>
      </c>
      <c r="I353" s="26" t="s">
        <v>1143</v>
      </c>
      <c r="J353" s="26" t="s">
        <v>123</v>
      </c>
      <c r="K353" s="86">
        <v>142500</v>
      </c>
      <c r="M353" s="86">
        <v>650</v>
      </c>
      <c r="N353" s="54">
        <v>-92625000</v>
      </c>
      <c r="R353" s="54">
        <v>-92625000</v>
      </c>
      <c r="S353" s="372">
        <v>1366.27</v>
      </c>
      <c r="T353" s="54">
        <v>-67794.067058487708</v>
      </c>
      <c r="V353" s="26" t="s">
        <v>1156</v>
      </c>
      <c r="W353" s="89">
        <v>44509.359861226854</v>
      </c>
    </row>
    <row r="354" spans="2:23">
      <c r="B354" s="26">
        <v>44509</v>
      </c>
      <c r="C354" s="26" t="s">
        <v>138</v>
      </c>
      <c r="D354" s="26" t="s">
        <v>12909</v>
      </c>
      <c r="E354" s="26" t="s">
        <v>12861</v>
      </c>
      <c r="F354" s="26" t="s">
        <v>1277</v>
      </c>
      <c r="G354" s="26" t="s">
        <v>13063</v>
      </c>
      <c r="I354" s="26" t="s">
        <v>12797</v>
      </c>
      <c r="J354" s="26" t="s">
        <v>125</v>
      </c>
      <c r="K354" s="86">
        <v>4845</v>
      </c>
    </row>
    <row r="355" spans="2:23">
      <c r="B355" s="26">
        <v>44509</v>
      </c>
      <c r="C355" s="26" t="s">
        <v>137</v>
      </c>
      <c r="D355" s="26" t="s">
        <v>12894</v>
      </c>
      <c r="E355" s="26" t="s">
        <v>1252</v>
      </c>
      <c r="F355" s="26" t="s">
        <v>1277</v>
      </c>
      <c r="G355" s="26" t="s">
        <v>12894</v>
      </c>
      <c r="I355" s="26" t="s">
        <v>1121</v>
      </c>
      <c r="J355" s="26" t="s">
        <v>123</v>
      </c>
      <c r="K355" s="54">
        <v>350500</v>
      </c>
      <c r="M355" s="54">
        <v>500</v>
      </c>
      <c r="N355" s="54">
        <v>-175250000</v>
      </c>
      <c r="R355" s="54">
        <v>-175250000</v>
      </c>
      <c r="S355" s="372">
        <v>1366.27</v>
      </c>
      <c r="T355" s="54">
        <v>-128268.93659379186</v>
      </c>
      <c r="V355" s="26" t="s">
        <v>1156</v>
      </c>
      <c r="W355" s="89">
        <v>44509.361826273147</v>
      </c>
    </row>
    <row r="356" spans="2:23">
      <c r="B356" s="26">
        <v>44509</v>
      </c>
      <c r="C356" s="26" t="s">
        <v>137</v>
      </c>
      <c r="D356" s="26" t="s">
        <v>12976</v>
      </c>
      <c r="E356" s="26" t="s">
        <v>12858</v>
      </c>
      <c r="F356" s="26" t="s">
        <v>1277</v>
      </c>
      <c r="G356" s="26" t="s">
        <v>12976</v>
      </c>
      <c r="I356" s="26" t="s">
        <v>12794</v>
      </c>
      <c r="J356" s="26" t="s">
        <v>123</v>
      </c>
      <c r="K356" s="54">
        <v>35050</v>
      </c>
      <c r="M356" s="54">
        <v>11000</v>
      </c>
      <c r="N356" s="54">
        <v>-385550000</v>
      </c>
      <c r="R356" s="54">
        <v>-385550000</v>
      </c>
      <c r="S356" s="372">
        <v>1366.27</v>
      </c>
      <c r="T356" s="54">
        <v>-282191.66050634207</v>
      </c>
      <c r="V356" s="26" t="s">
        <v>1156</v>
      </c>
      <c r="W356" s="89">
        <v>44509.362659722225</v>
      </c>
    </row>
    <row r="357" spans="2:23">
      <c r="B357" s="26">
        <v>44511</v>
      </c>
      <c r="C357" s="26" t="s">
        <v>137</v>
      </c>
      <c r="D357" s="26" t="s">
        <v>12893</v>
      </c>
      <c r="E357" s="26" t="s">
        <v>1243</v>
      </c>
      <c r="F357" s="26" t="s">
        <v>1277</v>
      </c>
      <c r="G357" s="26" t="s">
        <v>12893</v>
      </c>
      <c r="I357" s="26" t="s">
        <v>1144</v>
      </c>
      <c r="J357" s="26" t="s">
        <v>125</v>
      </c>
      <c r="K357" s="86">
        <v>1437</v>
      </c>
      <c r="M357" s="86">
        <v>11000</v>
      </c>
      <c r="N357" s="54">
        <v>-15807000</v>
      </c>
      <c r="R357" s="54">
        <v>-15807000</v>
      </c>
      <c r="S357" s="372">
        <v>130.72</v>
      </c>
      <c r="T357" s="54">
        <v>-120922.58261933904</v>
      </c>
      <c r="V357" s="26" t="s">
        <v>1725</v>
      </c>
      <c r="W357" s="89">
        <v>44511.39211828704</v>
      </c>
    </row>
    <row r="358" spans="2:23">
      <c r="B358" s="26">
        <v>44511</v>
      </c>
      <c r="C358" s="26" t="s">
        <v>137</v>
      </c>
      <c r="D358" s="26" t="s">
        <v>12915</v>
      </c>
      <c r="E358" s="26" t="s">
        <v>1235</v>
      </c>
      <c r="F358" s="26" t="s">
        <v>1277</v>
      </c>
      <c r="G358" s="26" t="s">
        <v>13065</v>
      </c>
      <c r="I358" s="26" t="s">
        <v>12942</v>
      </c>
      <c r="J358" s="26" t="s">
        <v>125</v>
      </c>
      <c r="K358" s="86">
        <v>2780</v>
      </c>
      <c r="M358" s="86">
        <v>5000</v>
      </c>
      <c r="N358" s="54">
        <v>-13900000</v>
      </c>
      <c r="R358" s="54">
        <v>-13900000</v>
      </c>
      <c r="S358" s="372">
        <v>130.72</v>
      </c>
      <c r="T358" s="54">
        <v>-106334.14932680539</v>
      </c>
      <c r="V358" s="26" t="s">
        <v>1725</v>
      </c>
      <c r="W358" s="89">
        <v>44511.395658449073</v>
      </c>
    </row>
    <row r="359" spans="2:23">
      <c r="B359" s="26">
        <v>44518</v>
      </c>
      <c r="C359" s="26" t="s">
        <v>137</v>
      </c>
      <c r="D359" s="26" t="s">
        <v>12893</v>
      </c>
      <c r="E359" s="26" t="s">
        <v>1243</v>
      </c>
      <c r="F359" s="26" t="s">
        <v>1277</v>
      </c>
      <c r="G359" s="26" t="s">
        <v>12893</v>
      </c>
      <c r="I359" s="26" t="s">
        <v>1144</v>
      </c>
      <c r="J359" s="26" t="s">
        <v>125</v>
      </c>
      <c r="K359" s="86">
        <v>1412</v>
      </c>
      <c r="M359" s="86">
        <v>11000</v>
      </c>
      <c r="N359" s="54">
        <v>-15532000</v>
      </c>
      <c r="R359" s="54">
        <v>-15532000</v>
      </c>
      <c r="S359" s="372">
        <v>129.43</v>
      </c>
      <c r="T359" s="54">
        <v>-120003.09047361507</v>
      </c>
      <c r="V359" s="26" t="s">
        <v>1725</v>
      </c>
      <c r="W359" s="89">
        <v>44518.37735451389</v>
      </c>
    </row>
    <row r="360" spans="2:23">
      <c r="B360" s="26">
        <v>44518</v>
      </c>
      <c r="C360" s="26" t="s">
        <v>138</v>
      </c>
      <c r="D360" s="26" t="s">
        <v>12899</v>
      </c>
      <c r="E360" s="26" t="s">
        <v>1263</v>
      </c>
      <c r="F360" s="26" t="s">
        <v>1277</v>
      </c>
      <c r="G360" s="26" t="s">
        <v>12899</v>
      </c>
      <c r="I360" s="26" t="s">
        <v>12949</v>
      </c>
      <c r="J360" s="26" t="s">
        <v>2</v>
      </c>
      <c r="K360" s="372">
        <v>29.51</v>
      </c>
    </row>
    <row r="361" spans="2:23">
      <c r="B361" s="26">
        <v>44518</v>
      </c>
      <c r="C361" s="26" t="s">
        <v>137</v>
      </c>
      <c r="D361" s="26" t="s">
        <v>13049</v>
      </c>
      <c r="E361" s="26" t="s">
        <v>13050</v>
      </c>
      <c r="F361" s="26" t="s">
        <v>1277</v>
      </c>
      <c r="G361" s="26" t="s">
        <v>13049</v>
      </c>
      <c r="I361" s="26" t="s">
        <v>13054</v>
      </c>
      <c r="J361" s="26" t="s">
        <v>2</v>
      </c>
      <c r="K361" s="372">
        <v>48.1</v>
      </c>
      <c r="M361" s="86">
        <v>6800</v>
      </c>
      <c r="N361" s="54">
        <v>-327080</v>
      </c>
      <c r="R361" s="54">
        <v>-327080</v>
      </c>
      <c r="S361" s="86">
        <v>1</v>
      </c>
      <c r="T361" s="54">
        <v>-327080</v>
      </c>
      <c r="V361" s="26" t="s">
        <v>1153</v>
      </c>
      <c r="W361" s="89">
        <v>44518.379667361114</v>
      </c>
    </row>
    <row r="362" spans="2:23">
      <c r="B362" s="26">
        <v>44521</v>
      </c>
      <c r="C362" s="26" t="s">
        <v>137</v>
      </c>
      <c r="D362" s="26" t="s">
        <v>12925</v>
      </c>
      <c r="E362" s="26" t="s">
        <v>1697</v>
      </c>
      <c r="F362" s="26" t="s">
        <v>1277</v>
      </c>
      <c r="G362" s="26" t="s">
        <v>12925</v>
      </c>
      <c r="I362" s="26" t="s">
        <v>1690</v>
      </c>
      <c r="J362" s="26" t="s">
        <v>125</v>
      </c>
      <c r="K362" s="86">
        <v>2683</v>
      </c>
      <c r="M362" s="86">
        <v>3250</v>
      </c>
      <c r="N362" s="54">
        <v>-8719750</v>
      </c>
      <c r="R362" s="54">
        <v>-8719750</v>
      </c>
      <c r="S362" s="372">
        <v>128.71</v>
      </c>
      <c r="T362" s="54">
        <v>-67747.261285059431</v>
      </c>
      <c r="V362" s="26" t="s">
        <v>1725</v>
      </c>
      <c r="W362" s="89">
        <v>44521.890818518521</v>
      </c>
    </row>
    <row r="363" spans="2:23">
      <c r="B363" s="26">
        <v>44521</v>
      </c>
      <c r="C363" s="26" t="s">
        <v>138</v>
      </c>
      <c r="D363" s="26" t="s">
        <v>12906</v>
      </c>
      <c r="E363" s="26" t="s">
        <v>1723</v>
      </c>
      <c r="F363" s="26" t="s">
        <v>1277</v>
      </c>
      <c r="G363" s="26" t="s">
        <v>12906</v>
      </c>
      <c r="I363" s="26" t="s">
        <v>1724</v>
      </c>
      <c r="J363" s="26" t="s">
        <v>1104</v>
      </c>
      <c r="K363" s="54">
        <v>3.33</v>
      </c>
      <c r="M363" s="54">
        <v>-65414</v>
      </c>
      <c r="N363" s="54">
        <v>217828.62</v>
      </c>
      <c r="R363" s="54">
        <v>217828.62</v>
      </c>
      <c r="S363" s="54">
        <v>1.5601</v>
      </c>
      <c r="T363" s="54">
        <v>139624.78046279083</v>
      </c>
      <c r="V363" s="26" t="s">
        <v>1725</v>
      </c>
      <c r="W363" s="89">
        <v>44521.892127199077</v>
      </c>
    </row>
    <row r="364" spans="2:23">
      <c r="B364" s="26">
        <v>44521</v>
      </c>
      <c r="C364" s="26" t="s">
        <v>137</v>
      </c>
      <c r="D364" s="26" t="s">
        <v>12891</v>
      </c>
      <c r="E364" s="26" t="s">
        <v>1237</v>
      </c>
      <c r="F364" s="26" t="s">
        <v>1277</v>
      </c>
      <c r="G364" s="26" t="s">
        <v>12891</v>
      </c>
      <c r="I364" s="26" t="s">
        <v>1132</v>
      </c>
      <c r="J364" s="26" t="s">
        <v>125</v>
      </c>
      <c r="K364" s="54">
        <v>2636</v>
      </c>
      <c r="M364" s="54">
        <v>15300</v>
      </c>
      <c r="N364" s="54">
        <v>-40330800</v>
      </c>
      <c r="R364" s="54">
        <v>-40330800</v>
      </c>
      <c r="S364" s="54">
        <v>128.71</v>
      </c>
      <c r="T364" s="54">
        <v>-313346.28234014451</v>
      </c>
      <c r="V364" s="26" t="s">
        <v>1725</v>
      </c>
      <c r="W364" s="89">
        <v>44521.892384027778</v>
      </c>
    </row>
    <row r="365" spans="2:23">
      <c r="B365" s="26">
        <v>44522</v>
      </c>
      <c r="C365" s="26" t="s">
        <v>137</v>
      </c>
      <c r="D365" s="26" t="s">
        <v>12929</v>
      </c>
      <c r="E365" s="26" t="s">
        <v>12860</v>
      </c>
      <c r="F365" s="26" t="s">
        <v>1277</v>
      </c>
      <c r="G365" s="26" t="s">
        <v>12929</v>
      </c>
      <c r="I365" s="26" t="s">
        <v>12796</v>
      </c>
      <c r="J365" s="26" t="s">
        <v>125</v>
      </c>
      <c r="K365" s="86">
        <v>1327</v>
      </c>
      <c r="M365" s="86">
        <v>10100</v>
      </c>
      <c r="N365" s="54">
        <v>-13402700</v>
      </c>
      <c r="R365" s="54">
        <v>-13402700</v>
      </c>
      <c r="S365" s="372">
        <v>128.66</v>
      </c>
      <c r="T365" s="54">
        <v>-104171.45966112234</v>
      </c>
      <c r="V365" s="26" t="s">
        <v>1725</v>
      </c>
      <c r="W365" s="89">
        <v>44522.42391539352</v>
      </c>
    </row>
    <row r="366" spans="2:23">
      <c r="B366" s="26">
        <v>44522</v>
      </c>
      <c r="C366" s="26" t="s">
        <v>137</v>
      </c>
      <c r="D366" s="26" t="s">
        <v>12927</v>
      </c>
      <c r="E366" s="26" t="s">
        <v>12855</v>
      </c>
      <c r="F366" s="26" t="s">
        <v>1277</v>
      </c>
      <c r="G366" s="26" t="s">
        <v>12927</v>
      </c>
      <c r="I366" s="26" t="s">
        <v>12809</v>
      </c>
      <c r="J366" s="26" t="s">
        <v>123</v>
      </c>
      <c r="K366" s="86">
        <v>48400</v>
      </c>
      <c r="M366" s="86">
        <v>4100</v>
      </c>
      <c r="N366" s="54">
        <v>-198440000</v>
      </c>
      <c r="R366" s="54">
        <v>-198440000</v>
      </c>
      <c r="S366" s="372">
        <v>1338.88</v>
      </c>
      <c r="T366" s="54">
        <v>-148213.43212237093</v>
      </c>
      <c r="V366" s="26" t="s">
        <v>1156</v>
      </c>
      <c r="W366" s="89">
        <v>44522.424989467596</v>
      </c>
    </row>
    <row r="367" spans="2:23">
      <c r="B367" s="26">
        <v>44522</v>
      </c>
      <c r="C367" s="26" t="s">
        <v>137</v>
      </c>
      <c r="D367" s="26" t="s">
        <v>12896</v>
      </c>
      <c r="E367" s="26" t="s">
        <v>1255</v>
      </c>
      <c r="F367" s="26" t="s">
        <v>1277</v>
      </c>
      <c r="G367" s="26" t="s">
        <v>12896</v>
      </c>
      <c r="I367" s="26" t="s">
        <v>1143</v>
      </c>
      <c r="J367" s="26" t="s">
        <v>123</v>
      </c>
      <c r="K367" s="86">
        <v>135500</v>
      </c>
      <c r="M367" s="86">
        <v>900</v>
      </c>
      <c r="N367" s="54">
        <v>-121950000</v>
      </c>
      <c r="R367" s="54">
        <v>-121950000</v>
      </c>
      <c r="S367" s="372">
        <v>1338.88</v>
      </c>
      <c r="T367" s="54">
        <v>-91083.592256214135</v>
      </c>
      <c r="V367" s="26" t="s">
        <v>1156</v>
      </c>
      <c r="W367" s="89">
        <v>44522.42534652778</v>
      </c>
    </row>
    <row r="368" spans="2:23">
      <c r="B368" s="26">
        <v>44524</v>
      </c>
      <c r="C368" s="26" t="s">
        <v>137</v>
      </c>
      <c r="E368" s="26" t="e">
        <v>#N/A</v>
      </c>
      <c r="F368" s="26" t="s">
        <v>1277</v>
      </c>
      <c r="G368" s="26" t="s">
        <v>13049</v>
      </c>
      <c r="I368" s="26" t="e">
        <v>#N/A</v>
      </c>
      <c r="J368" s="26" t="e">
        <v>#N/A</v>
      </c>
      <c r="K368" s="372">
        <v>43.25</v>
      </c>
      <c r="M368" s="86">
        <v>4200</v>
      </c>
      <c r="N368" s="54">
        <v>0</v>
      </c>
      <c r="R368" s="54">
        <v>0</v>
      </c>
      <c r="S368" s="86">
        <v>1</v>
      </c>
      <c r="T368" s="54" t="e">
        <v>#DIV/0!</v>
      </c>
      <c r="V368" s="26" t="s">
        <v>1153</v>
      </c>
      <c r="W368" s="89">
        <v>44524.342790162038</v>
      </c>
    </row>
    <row r="369" spans="2:23">
      <c r="B369" s="26">
        <v>44525</v>
      </c>
      <c r="C369" s="26" t="s">
        <v>137</v>
      </c>
      <c r="D369" s="26" t="s">
        <v>12896</v>
      </c>
      <c r="E369" s="26" t="s">
        <v>1255</v>
      </c>
      <c r="F369" s="26" t="s">
        <v>1277</v>
      </c>
      <c r="G369" s="26" t="s">
        <v>12896</v>
      </c>
      <c r="I369" s="26" t="s">
        <v>1143</v>
      </c>
      <c r="J369" s="26" t="s">
        <v>123</v>
      </c>
      <c r="K369" s="86">
        <v>135000</v>
      </c>
      <c r="M369" s="86">
        <v>1280</v>
      </c>
      <c r="N369" s="54">
        <v>-172800000</v>
      </c>
      <c r="R369" s="54">
        <v>-172800000</v>
      </c>
      <c r="S369" s="372">
        <v>1333.71</v>
      </c>
      <c r="T369" s="54">
        <v>-129563.39833996896</v>
      </c>
      <c r="V369" s="26" t="s">
        <v>1156</v>
      </c>
      <c r="W369" s="89">
        <v>44525.314445023148</v>
      </c>
    </row>
    <row r="370" spans="2:23">
      <c r="B370" s="26">
        <v>44525</v>
      </c>
      <c r="C370" s="26" t="s">
        <v>138</v>
      </c>
      <c r="D370" s="26" t="s">
        <v>12906</v>
      </c>
      <c r="E370" s="26" t="s">
        <v>1723</v>
      </c>
      <c r="F370" s="26" t="s">
        <v>1277</v>
      </c>
      <c r="G370" s="26" t="s">
        <v>12906</v>
      </c>
      <c r="I370" s="26" t="s">
        <v>1724</v>
      </c>
      <c r="J370" s="26" t="s">
        <v>1104</v>
      </c>
      <c r="K370" s="372">
        <v>3.14</v>
      </c>
    </row>
    <row r="371" spans="2:23">
      <c r="B371" s="26">
        <v>44526</v>
      </c>
      <c r="C371" s="26" t="s">
        <v>137</v>
      </c>
      <c r="D371" s="26" t="s">
        <v>12896</v>
      </c>
      <c r="E371" s="26" t="s">
        <v>1255</v>
      </c>
      <c r="F371" s="26" t="s">
        <v>1277</v>
      </c>
      <c r="G371" s="26" t="s">
        <v>12896</v>
      </c>
      <c r="I371" s="26" t="s">
        <v>1143</v>
      </c>
      <c r="J371" s="26" t="s">
        <v>123</v>
      </c>
      <c r="K371" s="86">
        <v>125500</v>
      </c>
      <c r="M371" s="86">
        <v>690</v>
      </c>
      <c r="N371" s="54">
        <v>-86595000</v>
      </c>
      <c r="R371" s="54">
        <v>-86595000</v>
      </c>
      <c r="S371" s="372">
        <v>1347.16</v>
      </c>
      <c r="T371" s="54">
        <v>-64279.669823925884</v>
      </c>
      <c r="V371" s="26" t="s">
        <v>1156</v>
      </c>
      <c r="W371" s="89">
        <v>44526.514342939816</v>
      </c>
    </row>
    <row r="372" spans="2:23">
      <c r="B372" s="26">
        <v>44526</v>
      </c>
      <c r="C372" s="26" t="s">
        <v>137</v>
      </c>
      <c r="D372" s="26" t="s">
        <v>12894</v>
      </c>
      <c r="E372" s="26" t="s">
        <v>1252</v>
      </c>
      <c r="F372" s="26" t="s">
        <v>1277</v>
      </c>
      <c r="G372" s="26" t="s">
        <v>12894</v>
      </c>
      <c r="I372" s="26" t="s">
        <v>1121</v>
      </c>
      <c r="J372" s="26" t="s">
        <v>123</v>
      </c>
      <c r="K372" s="86">
        <v>340000</v>
      </c>
      <c r="M372" s="86">
        <v>470</v>
      </c>
      <c r="N372" s="54">
        <v>-159800000</v>
      </c>
      <c r="R372" s="54">
        <v>-159800000</v>
      </c>
      <c r="S372" s="372">
        <v>1347.16</v>
      </c>
      <c r="T372" s="54">
        <v>-118619.91151756287</v>
      </c>
      <c r="V372" s="26" t="s">
        <v>1156</v>
      </c>
      <c r="W372" s="89">
        <v>44526.514342939816</v>
      </c>
    </row>
    <row r="373" spans="2:23">
      <c r="B373" s="26">
        <v>44532</v>
      </c>
      <c r="C373" s="26" t="s">
        <v>137</v>
      </c>
      <c r="D373" s="26" t="s">
        <v>12891</v>
      </c>
      <c r="E373" s="26" t="s">
        <v>1237</v>
      </c>
      <c r="F373" s="26" t="s">
        <v>1277</v>
      </c>
      <c r="G373" s="26" t="s">
        <v>12891</v>
      </c>
      <c r="I373" s="26" t="s">
        <v>1132</v>
      </c>
      <c r="J373" s="26" t="s">
        <v>125</v>
      </c>
      <c r="K373" s="86">
        <v>2388</v>
      </c>
      <c r="M373" s="86">
        <v>4200</v>
      </c>
      <c r="N373" s="54">
        <v>-10029600</v>
      </c>
      <c r="R373" s="54">
        <v>-10029600</v>
      </c>
      <c r="S373" s="372">
        <v>128.15</v>
      </c>
      <c r="T373" s="54">
        <v>-78264.53374951228</v>
      </c>
      <c r="V373" s="26" t="s">
        <v>1725</v>
      </c>
      <c r="W373" s="89">
        <v>44526.514342939816</v>
      </c>
    </row>
    <row r="374" spans="2:23">
      <c r="B374" s="26">
        <v>44532</v>
      </c>
      <c r="C374" s="26" t="s">
        <v>137</v>
      </c>
      <c r="E374" s="26" t="s">
        <v>13053</v>
      </c>
      <c r="F374" s="26" t="s">
        <v>1093</v>
      </c>
      <c r="G374" s="26" t="s">
        <v>13086</v>
      </c>
      <c r="I374" s="26" t="s">
        <v>13055</v>
      </c>
      <c r="J374" s="26" t="s">
        <v>125</v>
      </c>
      <c r="K374" s="86">
        <v>2140</v>
      </c>
      <c r="M374" s="86">
        <v>6700</v>
      </c>
      <c r="N374" s="54">
        <v>-14338000</v>
      </c>
      <c r="R374" s="54">
        <v>-14338000</v>
      </c>
      <c r="S374" s="372">
        <v>128.15</v>
      </c>
      <c r="T374" s="54">
        <v>-111884.51033944596</v>
      </c>
      <c r="V374" s="26" t="s">
        <v>1725</v>
      </c>
      <c r="W374" s="89">
        <v>44526.514342939816</v>
      </c>
    </row>
    <row r="375" spans="2:23">
      <c r="B375" s="26">
        <v>44526</v>
      </c>
      <c r="C375" s="26" t="s">
        <v>138</v>
      </c>
      <c r="D375" s="26" t="s">
        <v>12926</v>
      </c>
      <c r="E375" s="26" t="s">
        <v>2102</v>
      </c>
      <c r="F375" s="26" t="s">
        <v>1277</v>
      </c>
      <c r="G375" s="26" t="s">
        <v>12926</v>
      </c>
      <c r="I375" s="26" t="s">
        <v>12791</v>
      </c>
      <c r="J375" s="26" t="s">
        <v>124</v>
      </c>
      <c r="K375" s="372">
        <v>363.4</v>
      </c>
    </row>
    <row r="376" spans="2:23">
      <c r="B376" s="26">
        <v>44533</v>
      </c>
      <c r="C376" s="26" t="s">
        <v>137</v>
      </c>
      <c r="E376" s="26" t="s">
        <v>1680</v>
      </c>
      <c r="F376" s="26" t="s">
        <v>1093</v>
      </c>
      <c r="G376" s="26" t="s">
        <v>13087</v>
      </c>
      <c r="I376" s="26" t="s">
        <v>13048</v>
      </c>
      <c r="J376" s="26" t="s">
        <v>125</v>
      </c>
      <c r="K376" s="86">
        <v>1118</v>
      </c>
      <c r="M376" s="86">
        <v>11000</v>
      </c>
      <c r="N376" s="54">
        <v>-12298000</v>
      </c>
      <c r="R376" s="54">
        <v>-12298000</v>
      </c>
      <c r="S376" s="372">
        <v>127.99</v>
      </c>
      <c r="T376" s="54">
        <v>-96085.63168997578</v>
      </c>
      <c r="V376" s="26" t="s">
        <v>1725</v>
      </c>
      <c r="W376" s="89">
        <v>44526.514342939816</v>
      </c>
    </row>
    <row r="377" spans="2:23">
      <c r="B377" s="26">
        <v>44533</v>
      </c>
      <c r="C377" s="26" t="s">
        <v>138</v>
      </c>
      <c r="D377" s="26" t="s">
        <v>12909</v>
      </c>
      <c r="E377" s="26" t="s">
        <v>12861</v>
      </c>
      <c r="F377" s="26" t="s">
        <v>1277</v>
      </c>
      <c r="G377" s="26" t="s">
        <v>12909</v>
      </c>
      <c r="I377" s="26" t="s">
        <v>12797</v>
      </c>
      <c r="J377" s="26" t="s">
        <v>125</v>
      </c>
      <c r="K377" s="86">
        <v>4743</v>
      </c>
    </row>
    <row r="378" spans="2:23">
      <c r="B378" s="26">
        <v>44533</v>
      </c>
      <c r="C378" s="26" t="s">
        <v>137</v>
      </c>
      <c r="E378" s="26" t="s">
        <v>1258</v>
      </c>
      <c r="F378" s="26" t="s">
        <v>1093</v>
      </c>
      <c r="G378" s="26" t="s">
        <v>13088</v>
      </c>
      <c r="I378" s="26" t="s">
        <v>12792</v>
      </c>
      <c r="J378" s="26" t="s">
        <v>123</v>
      </c>
      <c r="K378" s="54">
        <v>36400</v>
      </c>
      <c r="M378" s="54">
        <v>4100</v>
      </c>
      <c r="N378" s="54">
        <v>-149240000</v>
      </c>
      <c r="R378" s="54">
        <v>-149240000</v>
      </c>
      <c r="S378" s="54">
        <v>1332.03</v>
      </c>
      <c r="T378" s="54">
        <v>-112039.5186294603</v>
      </c>
      <c r="V378" s="26" t="s">
        <v>1725</v>
      </c>
      <c r="W378" s="89">
        <v>44526.514342939816</v>
      </c>
    </row>
    <row r="379" spans="2:23">
      <c r="B379" s="26">
        <v>44533</v>
      </c>
      <c r="C379" s="26" t="s">
        <v>137</v>
      </c>
      <c r="D379" s="26" t="s">
        <v>12894</v>
      </c>
      <c r="E379" s="26" t="s">
        <v>1252</v>
      </c>
      <c r="F379" s="26" t="s">
        <v>1277</v>
      </c>
      <c r="G379" s="26" t="s">
        <v>12894</v>
      </c>
      <c r="I379" s="26" t="s">
        <v>1121</v>
      </c>
      <c r="J379" s="26" t="s">
        <v>123</v>
      </c>
      <c r="K379" s="86">
        <v>337500</v>
      </c>
      <c r="M379" s="86">
        <v>330</v>
      </c>
      <c r="N379" s="54">
        <v>-111375000</v>
      </c>
      <c r="R379" s="54">
        <v>-111375000</v>
      </c>
      <c r="S379" s="372">
        <v>1332.03</v>
      </c>
      <c r="T379" s="54">
        <v>-83612.981689601584</v>
      </c>
      <c r="V379" s="26" t="s">
        <v>1725</v>
      </c>
      <c r="W379" s="89">
        <v>44526.514342939816</v>
      </c>
    </row>
    <row r="380" spans="2:23">
      <c r="B380" s="26">
        <v>44533</v>
      </c>
      <c r="C380" s="26" t="s">
        <v>137</v>
      </c>
      <c r="D380" s="26" t="s">
        <v>12896</v>
      </c>
      <c r="E380" s="26" t="s">
        <v>1255</v>
      </c>
      <c r="F380" s="26" t="s">
        <v>1277</v>
      </c>
      <c r="G380" s="26" t="s">
        <v>12896</v>
      </c>
      <c r="I380" s="26" t="s">
        <v>1143</v>
      </c>
      <c r="J380" s="26" t="s">
        <v>123</v>
      </c>
      <c r="K380" s="86">
        <v>123500</v>
      </c>
      <c r="M380" s="86">
        <v>983</v>
      </c>
      <c r="N380" s="54">
        <v>-121400500</v>
      </c>
      <c r="R380" s="54">
        <v>-121400500</v>
      </c>
      <c r="S380" s="372">
        <v>1332.03</v>
      </c>
      <c r="T380" s="54">
        <v>-91139.463825889805</v>
      </c>
      <c r="V380" s="26" t="s">
        <v>1725</v>
      </c>
      <c r="W380" s="89">
        <v>44526.514342939816</v>
      </c>
    </row>
    <row r="381" spans="2:23">
      <c r="B381" s="26">
        <v>44559</v>
      </c>
      <c r="C381" s="26" t="s">
        <v>138</v>
      </c>
      <c r="D381" s="26" t="s">
        <v>12906</v>
      </c>
      <c r="E381" s="26" t="s">
        <v>1723</v>
      </c>
      <c r="F381" s="26" t="s">
        <v>1277</v>
      </c>
      <c r="G381" s="26" t="s">
        <v>12906</v>
      </c>
      <c r="I381" s="26" t="s">
        <v>1724</v>
      </c>
      <c r="J381" s="26" t="s">
        <v>1104</v>
      </c>
      <c r="K381" s="372">
        <v>3.41</v>
      </c>
    </row>
    <row r="382" spans="2:23">
      <c r="B382" s="26">
        <v>44559</v>
      </c>
      <c r="C382" s="26" t="s">
        <v>138</v>
      </c>
      <c r="D382" s="26" t="s">
        <v>12936</v>
      </c>
      <c r="E382" s="26" t="s">
        <v>12870</v>
      </c>
      <c r="F382" s="26" t="s">
        <v>1277</v>
      </c>
      <c r="G382" s="26" t="s">
        <v>12936</v>
      </c>
      <c r="I382" s="26" t="s">
        <v>12805</v>
      </c>
      <c r="J382" s="26" t="s">
        <v>125</v>
      </c>
      <c r="K382" s="86">
        <v>3590</v>
      </c>
    </row>
    <row r="383" spans="2:23">
      <c r="B383" s="26">
        <v>44560</v>
      </c>
      <c r="C383" s="26" t="s">
        <v>138</v>
      </c>
      <c r="D383" s="26" t="s">
        <v>12902</v>
      </c>
      <c r="E383" s="26" t="s">
        <v>1273</v>
      </c>
      <c r="F383" s="26" t="s">
        <v>1277</v>
      </c>
      <c r="G383" s="26" t="s">
        <v>12902</v>
      </c>
      <c r="I383" s="26" t="s">
        <v>1133</v>
      </c>
      <c r="J383" s="26" t="s">
        <v>1104</v>
      </c>
      <c r="K383" s="372">
        <v>1.7999999999999998</v>
      </c>
    </row>
    <row r="384" spans="2:23">
      <c r="B384" s="26">
        <v>44560</v>
      </c>
      <c r="C384" s="26" t="s">
        <v>137</v>
      </c>
      <c r="D384" s="26" t="s">
        <v>12894</v>
      </c>
      <c r="E384" s="26" t="s">
        <v>1252</v>
      </c>
      <c r="F384" s="26" t="s">
        <v>1277</v>
      </c>
      <c r="G384" s="26" t="s">
        <v>12894</v>
      </c>
      <c r="I384" s="26" t="s">
        <v>1121</v>
      </c>
      <c r="J384" s="26" t="s">
        <v>123</v>
      </c>
      <c r="K384" s="86">
        <v>287000</v>
      </c>
      <c r="M384" s="86">
        <v>1200</v>
      </c>
      <c r="N384" s="54">
        <v>-344400000</v>
      </c>
      <c r="R384" s="54">
        <v>-344400000</v>
      </c>
      <c r="S384" s="372">
        <v>1345.13</v>
      </c>
      <c r="T384" s="54">
        <v>-256034.73270241535</v>
      </c>
      <c r="V384" s="26" t="s">
        <v>1156</v>
      </c>
      <c r="W384" s="89">
        <v>44526.514342939816</v>
      </c>
    </row>
    <row r="385" spans="2:23">
      <c r="B385" s="26">
        <v>44560</v>
      </c>
      <c r="C385" s="26" t="s">
        <v>137</v>
      </c>
      <c r="D385" s="26" t="s">
        <v>12896</v>
      </c>
      <c r="E385" s="26" t="s">
        <v>1255</v>
      </c>
      <c r="F385" s="26" t="s">
        <v>1277</v>
      </c>
      <c r="G385" s="26" t="s">
        <v>12896</v>
      </c>
      <c r="I385" s="26" t="s">
        <v>1143</v>
      </c>
      <c r="J385" s="26" t="s">
        <v>123</v>
      </c>
      <c r="K385" s="86">
        <v>141000</v>
      </c>
      <c r="M385" s="86">
        <v>1293</v>
      </c>
      <c r="N385" s="54">
        <v>-182313000</v>
      </c>
      <c r="R385" s="54">
        <v>-182313000</v>
      </c>
      <c r="S385" s="372">
        <v>1345.13</v>
      </c>
      <c r="T385" s="54">
        <v>-135535.59878970805</v>
      </c>
      <c r="V385" s="26" t="s">
        <v>1156</v>
      </c>
      <c r="W385" s="89">
        <v>44526.514342939816</v>
      </c>
    </row>
  </sheetData>
  <sheetProtection sheet="1" objects="1" scenarios="1"/>
  <conditionalFormatting sqref="V225:V227">
    <cfRule type="expression" dxfId="23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4.5"/>
  <cols>
    <col min="1" max="1" width="11.26953125" style="22" customWidth="1"/>
    <col min="2" max="2" width="9.54296875" style="26" customWidth="1"/>
    <col min="3" max="3" width="9" style="22" customWidth="1"/>
    <col min="4" max="4" width="14.81640625" style="22" customWidth="1"/>
    <col min="5" max="7" width="9" style="58" customWidth="1"/>
    <col min="8" max="8" width="9" style="58"/>
    <col min="9" max="9" width="12.26953125" style="54" customWidth="1"/>
    <col min="10" max="15" width="9" style="54" customWidth="1"/>
    <col min="16" max="16" width="9" style="54"/>
    <col min="17" max="18" width="9" style="54" customWidth="1"/>
    <col min="19" max="19" width="9" style="54"/>
    <col min="20" max="20" width="9" style="89"/>
    <col min="21" max="16384" width="9" style="22"/>
  </cols>
  <sheetData>
    <row r="10" spans="1:32" s="2" customFormat="1" ht="26">
      <c r="A10" s="3" t="s">
        <v>27</v>
      </c>
      <c r="B10" s="81" t="s">
        <v>139</v>
      </c>
      <c r="C10" s="3"/>
      <c r="D10" s="4" t="s">
        <v>34</v>
      </c>
      <c r="E10" s="94" t="s">
        <v>45</v>
      </c>
      <c r="F10" s="97"/>
      <c r="G10" s="94" t="s">
        <v>5</v>
      </c>
      <c r="H10" s="94" t="s">
        <v>20</v>
      </c>
      <c r="I10" s="95" t="s">
        <v>36</v>
      </c>
      <c r="J10" s="94" t="s">
        <v>46</v>
      </c>
      <c r="K10" s="94" t="s">
        <v>120</v>
      </c>
      <c r="L10" s="94" t="s">
        <v>30</v>
      </c>
      <c r="M10" s="94" t="s">
        <v>31</v>
      </c>
      <c r="N10" s="94" t="s">
        <v>48</v>
      </c>
      <c r="O10" s="94" t="s">
        <v>119</v>
      </c>
      <c r="P10" s="62" t="s">
        <v>25</v>
      </c>
      <c r="Q10" s="94" t="s">
        <v>47</v>
      </c>
      <c r="R10" s="62" t="s">
        <v>32</v>
      </c>
      <c r="S10" s="62" t="s">
        <v>33</v>
      </c>
      <c r="T10" s="62" t="s">
        <v>146</v>
      </c>
      <c r="U10" s="16"/>
      <c r="V10" s="96"/>
      <c r="W10" s="96"/>
      <c r="X10" s="18"/>
      <c r="Y10" s="96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137</v>
      </c>
      <c r="D11" s="22" t="s">
        <v>1114</v>
      </c>
      <c r="E11" s="58" t="s">
        <v>1093</v>
      </c>
      <c r="H11" s="58">
        <v>88.652000000000001</v>
      </c>
      <c r="I11" s="50">
        <v>100000</v>
      </c>
      <c r="J11" s="54">
        <v>-88652</v>
      </c>
      <c r="O11" s="54">
        <v>-88652</v>
      </c>
      <c r="P11" s="54">
        <v>1</v>
      </c>
      <c r="Q11" s="88">
        <v>-86186.25</v>
      </c>
      <c r="T11" s="89">
        <v>43514.692830324071</v>
      </c>
    </row>
    <row r="12" spans="1:32">
      <c r="A12" s="22">
        <v>44491</v>
      </c>
      <c r="B12" s="26" t="s">
        <v>138</v>
      </c>
      <c r="E12" s="58" t="s">
        <v>1277</v>
      </c>
      <c r="F12" s="58" t="e">
        <v>#N/A</v>
      </c>
      <c r="G12" s="58" t="e">
        <v>#N/A</v>
      </c>
      <c r="H12" s="58" t="s">
        <v>13062</v>
      </c>
      <c r="I12" s="54">
        <v>100000</v>
      </c>
      <c r="J12" s="54" t="e">
        <v>#VALUE!</v>
      </c>
      <c r="O12" s="54" t="e">
        <v>#VALUE!</v>
      </c>
      <c r="P12" s="54">
        <v>158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workbookViewId="0">
      <selection activeCell="G63" sqref="G63"/>
    </sheetView>
  </sheetViews>
  <sheetFormatPr defaultColWidth="9" defaultRowHeight="14.5"/>
  <cols>
    <col min="1" max="1" width="11.54296875" style="26" customWidth="1"/>
    <col min="2" max="2" width="12" style="26" customWidth="1"/>
    <col min="3" max="3" width="9" style="26" customWidth="1"/>
    <col min="4" max="4" width="13.26953125" style="54" bestFit="1" customWidth="1"/>
    <col min="5" max="7" width="9" style="54" customWidth="1"/>
    <col min="8" max="9" width="9" style="54"/>
    <col min="10" max="14" width="9" style="54" customWidth="1"/>
    <col min="15" max="15" width="9" style="54"/>
    <col min="16" max="17" width="9" style="54" customWidth="1"/>
    <col min="18" max="18" width="9" style="54"/>
    <col min="19" max="19" width="13" style="89" customWidth="1"/>
    <col min="20" max="16384" width="9" style="22"/>
  </cols>
  <sheetData>
    <row r="10" spans="1:68" s="2" customFormat="1" ht="26">
      <c r="A10" s="3" t="s">
        <v>27</v>
      </c>
      <c r="B10" s="81" t="s">
        <v>139</v>
      </c>
      <c r="C10" s="3"/>
      <c r="D10" s="77" t="s">
        <v>34</v>
      </c>
      <c r="E10" s="94" t="s">
        <v>110</v>
      </c>
      <c r="F10" s="94"/>
      <c r="G10" s="94" t="s">
        <v>5</v>
      </c>
      <c r="H10" s="94" t="s">
        <v>20</v>
      </c>
      <c r="I10" s="95" t="s">
        <v>11</v>
      </c>
      <c r="J10" s="94" t="s">
        <v>46</v>
      </c>
      <c r="K10" s="94" t="s">
        <v>29</v>
      </c>
      <c r="L10" s="94" t="s">
        <v>30</v>
      </c>
      <c r="M10" s="94" t="s">
        <v>31</v>
      </c>
      <c r="N10" s="94" t="s">
        <v>119</v>
      </c>
      <c r="O10" s="62" t="s">
        <v>25</v>
      </c>
      <c r="P10" s="94" t="s">
        <v>47</v>
      </c>
      <c r="Q10" s="62" t="s">
        <v>32</v>
      </c>
      <c r="R10" s="62" t="s">
        <v>33</v>
      </c>
      <c r="S10" s="62" t="s">
        <v>146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137</v>
      </c>
      <c r="D11" s="54" t="s">
        <v>1116</v>
      </c>
      <c r="E11" s="54" t="s">
        <v>1093</v>
      </c>
      <c r="H11" s="54">
        <v>45.1</v>
      </c>
      <c r="I11" s="54">
        <v>2200</v>
      </c>
      <c r="J11" s="54">
        <v>-99220</v>
      </c>
      <c r="N11" s="54">
        <v>-99220</v>
      </c>
      <c r="O11" s="54">
        <v>0.85924745261000746</v>
      </c>
      <c r="P11" s="88">
        <v>-115473.14</v>
      </c>
      <c r="Q11" s="86">
        <v>43525</v>
      </c>
      <c r="S11" s="89">
        <v>43523.420672337961</v>
      </c>
    </row>
    <row r="12" spans="1:68">
      <c r="A12" s="26">
        <v>43523</v>
      </c>
      <c r="B12" s="26" t="s">
        <v>137</v>
      </c>
      <c r="D12" s="54" t="s">
        <v>1117</v>
      </c>
      <c r="E12" s="54" t="s">
        <v>1093</v>
      </c>
      <c r="H12" s="54">
        <v>61.664000000000001</v>
      </c>
      <c r="I12" s="54">
        <v>2200</v>
      </c>
      <c r="J12" s="54">
        <v>-135660.80000000002</v>
      </c>
      <c r="N12" s="54">
        <v>-135660.80000000002</v>
      </c>
      <c r="O12" s="54">
        <v>1</v>
      </c>
      <c r="P12" s="88">
        <v>-135660.79999999999</v>
      </c>
      <c r="Q12" s="86">
        <v>43525</v>
      </c>
      <c r="S12" s="89">
        <v>43523.421083333335</v>
      </c>
    </row>
    <row r="13" spans="1:68">
      <c r="P13" s="88"/>
    </row>
    <row r="14" spans="1:68">
      <c r="P14" s="88"/>
    </row>
    <row r="15" spans="1:68">
      <c r="P15" s="88"/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I11" activePane="bottomRight" state="frozen"/>
      <selection pane="topRight" activeCell="B1" sqref="B1"/>
      <selection pane="bottomLeft" activeCell="A11" sqref="A11"/>
      <selection pane="bottomRight" activeCell="W11" sqref="W11"/>
    </sheetView>
  </sheetViews>
  <sheetFormatPr defaultColWidth="9" defaultRowHeight="13" outlineLevelCol="1"/>
  <cols>
    <col min="1" max="1" width="12.54296875" style="1" customWidth="1"/>
    <col min="2" max="2" width="13.54296875" style="1" customWidth="1"/>
    <col min="3" max="3" width="12.81640625" style="1" hidden="1" customWidth="1" outlineLevel="1"/>
    <col min="4" max="4" width="15.26953125" style="1" customWidth="1" collapsed="1"/>
    <col min="5" max="5" width="14.26953125" style="2" customWidth="1"/>
    <col min="6" max="6" width="44" style="2" bestFit="1" customWidth="1"/>
    <col min="7" max="7" width="9" style="2"/>
    <col min="8" max="8" width="7.81640625" style="2" customWidth="1"/>
    <col min="9" max="9" width="9" style="2" customWidth="1"/>
    <col min="10" max="10" width="18.81640625" style="2" customWidth="1"/>
    <col min="11" max="11" width="12.54296875" style="2" customWidth="1"/>
    <col min="12" max="12" width="11.81640625" style="2" customWidth="1"/>
    <col min="13" max="13" width="12.26953125" style="2" customWidth="1"/>
    <col min="14" max="14" width="18.54296875" style="2" customWidth="1"/>
    <col min="15" max="15" width="9" style="61"/>
    <col min="16" max="16" width="18.26953125" style="2" customWidth="1"/>
    <col min="17" max="17" width="16" style="2" customWidth="1"/>
    <col min="18" max="18" width="12" style="1" customWidth="1"/>
    <col min="19" max="19" width="13" style="92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3"/>
      <c r="P1" s="8"/>
      <c r="S1" s="90"/>
    </row>
    <row r="2" spans="1:25" s="6" customFormat="1">
      <c r="A2" s="8"/>
      <c r="B2" s="8"/>
      <c r="D2" s="8"/>
      <c r="M2" s="8"/>
      <c r="N2" s="8"/>
      <c r="O2" s="53"/>
      <c r="P2" s="8"/>
      <c r="S2" s="90"/>
    </row>
    <row r="3" spans="1:25" s="6" customFormat="1">
      <c r="A3" s="8"/>
      <c r="B3" s="8"/>
      <c r="D3" s="8"/>
      <c r="M3" s="8"/>
      <c r="N3" s="8"/>
      <c r="O3" s="53"/>
      <c r="P3" s="8"/>
      <c r="S3" s="90"/>
    </row>
    <row r="4" spans="1:25" s="6" customFormat="1">
      <c r="A4" s="8"/>
      <c r="B4" s="8"/>
      <c r="D4" s="8"/>
      <c r="M4" s="8"/>
      <c r="N4" s="8"/>
      <c r="O4" s="53"/>
      <c r="P4" s="8"/>
      <c r="S4" s="90"/>
    </row>
    <row r="5" spans="1:25" s="6" customFormat="1">
      <c r="A5" s="8"/>
      <c r="B5" s="8"/>
      <c r="D5" s="8"/>
      <c r="M5" s="8"/>
      <c r="N5" s="8"/>
      <c r="O5" s="53"/>
      <c r="P5" s="8"/>
      <c r="S5" s="90"/>
    </row>
    <row r="6" spans="1:25" s="6" customFormat="1">
      <c r="A6" s="8"/>
      <c r="B6" s="8"/>
      <c r="C6" s="8"/>
      <c r="D6" s="8"/>
      <c r="O6" s="57"/>
      <c r="R6" s="8"/>
      <c r="S6" s="90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7"/>
      <c r="P7" s="6"/>
      <c r="Q7" s="6"/>
      <c r="R7" s="8"/>
      <c r="S7" s="90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3"/>
      <c r="P8" s="8"/>
      <c r="Q8" s="8"/>
      <c r="R8" s="8"/>
      <c r="S8" s="91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7"/>
      <c r="P9" s="6"/>
      <c r="Q9" s="17"/>
      <c r="R9" s="8"/>
      <c r="S9" s="91"/>
      <c r="T9" s="6"/>
      <c r="U9" s="6"/>
      <c r="V9" s="6"/>
      <c r="W9" s="6"/>
      <c r="X9" s="6"/>
      <c r="Y9" s="6"/>
    </row>
    <row r="10" spans="1:25">
      <c r="A10" s="139" t="s">
        <v>27</v>
      </c>
      <c r="B10" s="129" t="s">
        <v>139</v>
      </c>
      <c r="C10" s="130" t="s">
        <v>167</v>
      </c>
      <c r="D10" s="131" t="s">
        <v>34</v>
      </c>
      <c r="E10" s="130" t="s">
        <v>110</v>
      </c>
      <c r="F10" s="140" t="s">
        <v>128</v>
      </c>
      <c r="G10" s="130" t="s">
        <v>5</v>
      </c>
      <c r="H10" s="130" t="s">
        <v>20</v>
      </c>
      <c r="I10" s="141" t="s">
        <v>11</v>
      </c>
      <c r="J10" s="130" t="s">
        <v>46</v>
      </c>
      <c r="K10" s="130" t="s">
        <v>29</v>
      </c>
      <c r="L10" s="130" t="s">
        <v>30</v>
      </c>
      <c r="M10" s="130" t="s">
        <v>1118</v>
      </c>
      <c r="N10" s="130" t="s">
        <v>119</v>
      </c>
      <c r="O10" s="142" t="s">
        <v>25</v>
      </c>
      <c r="P10" s="130" t="s">
        <v>47</v>
      </c>
      <c r="Q10" s="143" t="s">
        <v>32</v>
      </c>
      <c r="R10" s="143" t="s">
        <v>33</v>
      </c>
      <c r="S10" s="132" t="s">
        <v>145</v>
      </c>
      <c r="T10" s="6"/>
      <c r="U10" s="6"/>
      <c r="V10" s="6"/>
      <c r="W10" s="6"/>
      <c r="X10" s="6"/>
      <c r="Y10" s="6"/>
    </row>
    <row r="11" spans="1:25">
      <c r="A11" s="144">
        <v>43522</v>
      </c>
      <c r="B11" s="145" t="s">
        <v>137</v>
      </c>
      <c r="C11" s="134" t="str">
        <f>IFERROR(VLOOKUP(D11,PosAggregate!$A$13:$A$275,1,FALSE),"")</f>
        <v/>
      </c>
      <c r="D11" s="134" t="s">
        <v>1116</v>
      </c>
      <c r="E11" s="134" t="str">
        <f>IF(C11=D11,"YES","NO")</f>
        <v>NO</v>
      </c>
      <c r="F11" s="146" t="s">
        <v>1140</v>
      </c>
      <c r="G11" s="134" t="s">
        <v>1141</v>
      </c>
      <c r="H11" s="135">
        <v>45.35</v>
      </c>
      <c r="I11" s="136">
        <v>2200</v>
      </c>
      <c r="J11" s="138">
        <f>-H11*I11</f>
        <v>-99770</v>
      </c>
      <c r="K11" s="147">
        <v>-41.58</v>
      </c>
      <c r="L11" s="134"/>
      <c r="M11" s="147">
        <v>-8.31</v>
      </c>
      <c r="N11" s="148">
        <f>J11+K11+L11+M11</f>
        <v>-99819.89</v>
      </c>
      <c r="O11" s="299">
        <v>0.85924745261000746</v>
      </c>
      <c r="P11" s="150">
        <v>-115473.13838244646</v>
      </c>
      <c r="Q11" s="137">
        <f>+A11+2</f>
        <v>43524</v>
      </c>
      <c r="R11" s="133" t="s">
        <v>1113</v>
      </c>
      <c r="S11" s="157">
        <v>43523.420672337961</v>
      </c>
      <c r="T11" s="6"/>
      <c r="U11" s="6"/>
      <c r="V11" s="6"/>
      <c r="W11" s="6"/>
      <c r="X11" s="6"/>
      <c r="Y11" s="6"/>
    </row>
    <row r="12" spans="1:25">
      <c r="A12" s="144"/>
      <c r="B12" s="145"/>
      <c r="C12" s="134">
        <f>IFERROR(VLOOKUP(D12,PosAggregate!$A$13:$A$275,1,FALSE),"")</f>
        <v>0</v>
      </c>
      <c r="D12" s="134"/>
      <c r="E12" s="134" t="str">
        <f t="shared" ref="E12:E22" si="0">IF(C12=D12,"YES","NO")</f>
        <v>YES</v>
      </c>
      <c r="F12" s="146" t="str">
        <f>_xll.TR(D12,"TR.CommonName")</f>
        <v>No universe defined.</v>
      </c>
      <c r="G12" s="134" t="str">
        <f>_xll.TR(D12,"TR.FundCurrency")</f>
        <v>No universe defined.</v>
      </c>
      <c r="H12" s="135"/>
      <c r="I12" s="136"/>
      <c r="J12" s="138">
        <f>-H12*I12</f>
        <v>0</v>
      </c>
      <c r="K12" s="147"/>
      <c r="L12" s="134"/>
      <c r="M12" s="147"/>
      <c r="N12" s="148">
        <f t="shared" ref="N12:N22" si="1">J12+K12+L12+M12</f>
        <v>0</v>
      </c>
      <c r="O12" s="149"/>
      <c r="P12" s="150" t="e">
        <f t="shared" ref="P12:P22" si="2">+N12/O12</f>
        <v>#DIV/0!</v>
      </c>
      <c r="Q12" s="137">
        <f t="shared" ref="Q12:Q22" si="3">+A12+2</f>
        <v>2</v>
      </c>
      <c r="R12" s="133"/>
      <c r="S12" s="157"/>
      <c r="T12" s="6"/>
      <c r="U12" s="6"/>
      <c r="V12" s="6"/>
      <c r="W12" s="6"/>
      <c r="X12" s="6"/>
      <c r="Y12" s="6"/>
    </row>
    <row r="13" spans="1:25">
      <c r="A13" s="144"/>
      <c r="B13" s="145"/>
      <c r="C13" s="134">
        <f>IFERROR(VLOOKUP(D13,PosAggregate!$A$13:$A$275,1,FALSE),"")</f>
        <v>0</v>
      </c>
      <c r="D13" s="134"/>
      <c r="E13" s="134" t="str">
        <f t="shared" si="0"/>
        <v>YES</v>
      </c>
      <c r="F13" s="146" t="str">
        <f>_xll.TR(D13,"TR.CommonName")</f>
        <v>No universe defined.</v>
      </c>
      <c r="G13" s="134" t="str">
        <f>_xll.TR(D13,"TR.FundCurrency")</f>
        <v>No universe defined.</v>
      </c>
      <c r="H13" s="135"/>
      <c r="I13" s="136"/>
      <c r="J13" s="138">
        <f>-H13*I13</f>
        <v>0</v>
      </c>
      <c r="K13" s="147"/>
      <c r="L13" s="134"/>
      <c r="M13" s="147"/>
      <c r="N13" s="148">
        <f t="shared" si="1"/>
        <v>0</v>
      </c>
      <c r="O13" s="149"/>
      <c r="P13" s="150" t="e">
        <f t="shared" si="2"/>
        <v>#DIV/0!</v>
      </c>
      <c r="Q13" s="137">
        <f t="shared" si="3"/>
        <v>2</v>
      </c>
      <c r="R13" s="133"/>
      <c r="S13" s="157"/>
      <c r="T13" s="6"/>
      <c r="U13" s="6"/>
      <c r="V13" s="6"/>
      <c r="W13" s="6"/>
      <c r="X13" s="6"/>
      <c r="Y13" s="6"/>
    </row>
    <row r="14" spans="1:25">
      <c r="A14" s="144"/>
      <c r="B14" s="145"/>
      <c r="C14" s="134">
        <f>IFERROR(VLOOKUP(D14,PosAggregate!$A$13:$A$275,1,FALSE),"")</f>
        <v>0</v>
      </c>
      <c r="D14" s="134"/>
      <c r="E14" s="134" t="str">
        <f>IF(C14=D14,"YES","NO")</f>
        <v>YES</v>
      </c>
      <c r="F14" s="146" t="str">
        <f>_xll.TR(D14,"TR.CommonName")</f>
        <v>No universe defined.</v>
      </c>
      <c r="G14" s="134" t="str">
        <f>_xll.TR(D14,"TR.FundCurrency")</f>
        <v>No universe defined.</v>
      </c>
      <c r="H14" s="135"/>
      <c r="I14" s="136"/>
      <c r="J14" s="138">
        <f>-H14*I14</f>
        <v>0</v>
      </c>
      <c r="K14" s="147"/>
      <c r="L14" s="134"/>
      <c r="M14" s="147"/>
      <c r="N14" s="148">
        <f t="shared" si="1"/>
        <v>0</v>
      </c>
      <c r="O14" s="149"/>
      <c r="P14" s="150" t="e">
        <f t="shared" si="2"/>
        <v>#DIV/0!</v>
      </c>
      <c r="Q14" s="137">
        <f t="shared" si="3"/>
        <v>2</v>
      </c>
      <c r="R14" s="133"/>
      <c r="S14" s="157"/>
      <c r="T14" s="6"/>
      <c r="U14" s="6"/>
      <c r="V14" s="6"/>
      <c r="W14" s="6"/>
      <c r="X14" s="6"/>
      <c r="Y14" s="6"/>
    </row>
    <row r="15" spans="1:25">
      <c r="A15" s="144"/>
      <c r="B15" s="145"/>
      <c r="C15" s="134">
        <f>IFERROR(VLOOKUP(D15,PosAggregate!$A$13:$A$275,1,FALSE),"")</f>
        <v>0</v>
      </c>
      <c r="D15" s="134"/>
      <c r="E15" s="134" t="str">
        <f t="shared" si="0"/>
        <v>YES</v>
      </c>
      <c r="F15" s="146" t="str">
        <f>_xll.TR(D15,"TR.CommonName")</f>
        <v>No universe defined.</v>
      </c>
      <c r="G15" s="134" t="str">
        <f>_xll.TR(D15,"TR.FundCurrency")</f>
        <v>No universe defined.</v>
      </c>
      <c r="H15" s="135"/>
      <c r="I15" s="136"/>
      <c r="J15" s="138">
        <f>-H15*I15</f>
        <v>0</v>
      </c>
      <c r="K15" s="147"/>
      <c r="L15" s="134"/>
      <c r="M15" s="147"/>
      <c r="N15" s="148">
        <f t="shared" si="1"/>
        <v>0</v>
      </c>
      <c r="O15" s="149"/>
      <c r="P15" s="150" t="e">
        <f t="shared" si="2"/>
        <v>#DIV/0!</v>
      </c>
      <c r="Q15" s="137">
        <f t="shared" si="3"/>
        <v>2</v>
      </c>
      <c r="R15" s="133"/>
      <c r="S15" s="157"/>
      <c r="T15" s="6"/>
      <c r="U15" s="6"/>
      <c r="V15" s="6"/>
      <c r="W15" s="6"/>
      <c r="X15" s="6"/>
      <c r="Y15" s="6"/>
    </row>
    <row r="16" spans="1:25">
      <c r="A16" s="144"/>
      <c r="B16" s="145"/>
      <c r="C16" s="134">
        <f>IFERROR(VLOOKUP(D16,PosAggregate!$A$13:$A$275,1,FALSE),"")</f>
        <v>0</v>
      </c>
      <c r="D16" s="134"/>
      <c r="E16" s="134" t="str">
        <f t="shared" si="0"/>
        <v>YES</v>
      </c>
      <c r="F16" s="146" t="str">
        <f>_xll.TR(D16,"TR.CommonName")</f>
        <v>No universe defined.</v>
      </c>
      <c r="G16" s="134" t="str">
        <f>_xll.TR(D16,"TR.FundCurrency")</f>
        <v>No universe defined.</v>
      </c>
      <c r="H16" s="135"/>
      <c r="I16" s="136"/>
      <c r="J16" s="138">
        <f t="shared" ref="J16:J22" si="4">-H16*I16</f>
        <v>0</v>
      </c>
      <c r="K16" s="147"/>
      <c r="L16" s="134"/>
      <c r="M16" s="147"/>
      <c r="N16" s="148">
        <f t="shared" si="1"/>
        <v>0</v>
      </c>
      <c r="O16" s="149"/>
      <c r="P16" s="150" t="e">
        <f t="shared" si="2"/>
        <v>#DIV/0!</v>
      </c>
      <c r="Q16" s="137">
        <f t="shared" si="3"/>
        <v>2</v>
      </c>
      <c r="R16" s="133"/>
      <c r="S16" s="157"/>
      <c r="T16" s="6"/>
      <c r="U16" s="6"/>
      <c r="V16" s="6"/>
      <c r="W16" s="6"/>
      <c r="X16" s="6"/>
      <c r="Y16" s="6"/>
    </row>
    <row r="17" spans="1:25">
      <c r="A17" s="144"/>
      <c r="B17" s="145"/>
      <c r="C17" s="134">
        <f>IFERROR(VLOOKUP(D17,PosAggregate!$A$13:$A$275,1,FALSE),"")</f>
        <v>0</v>
      </c>
      <c r="D17" s="134"/>
      <c r="E17" s="134" t="str">
        <f t="shared" si="0"/>
        <v>YES</v>
      </c>
      <c r="F17" s="146" t="str">
        <f>_xll.TR(D17,"TR.CommonName")</f>
        <v>No universe defined.</v>
      </c>
      <c r="G17" s="134" t="str">
        <f>_xll.TR(D17,"TR.FundCurrency")</f>
        <v>No universe defined.</v>
      </c>
      <c r="H17" s="135"/>
      <c r="I17" s="136"/>
      <c r="J17" s="138">
        <f t="shared" si="4"/>
        <v>0</v>
      </c>
      <c r="K17" s="147"/>
      <c r="L17" s="134"/>
      <c r="M17" s="147"/>
      <c r="N17" s="148">
        <f t="shared" si="1"/>
        <v>0</v>
      </c>
      <c r="O17" s="149"/>
      <c r="P17" s="150" t="e">
        <f t="shared" si="2"/>
        <v>#DIV/0!</v>
      </c>
      <c r="Q17" s="137">
        <f t="shared" si="3"/>
        <v>2</v>
      </c>
      <c r="R17" s="133"/>
      <c r="S17" s="157"/>
      <c r="T17" s="6"/>
      <c r="U17" s="6"/>
      <c r="V17" s="6"/>
      <c r="W17" s="6"/>
      <c r="X17" s="6"/>
      <c r="Y17" s="6"/>
    </row>
    <row r="18" spans="1:25">
      <c r="A18" s="144"/>
      <c r="B18" s="145"/>
      <c r="C18" s="134">
        <f>IFERROR(VLOOKUP(D18,PosAggregate!$A$13:$A$275,1,FALSE),"")</f>
        <v>0</v>
      </c>
      <c r="D18" s="134"/>
      <c r="E18" s="134" t="str">
        <f t="shared" si="0"/>
        <v>YES</v>
      </c>
      <c r="F18" s="146" t="str">
        <f>_xll.TR(D18,"TR.CommonName")</f>
        <v>No universe defined.</v>
      </c>
      <c r="G18" s="134" t="str">
        <f>_xll.TR(D18,"TR.FundCurrency")</f>
        <v>No universe defined.</v>
      </c>
      <c r="H18" s="135"/>
      <c r="I18" s="136"/>
      <c r="J18" s="138">
        <f t="shared" si="4"/>
        <v>0</v>
      </c>
      <c r="K18" s="147"/>
      <c r="L18" s="134"/>
      <c r="M18" s="147"/>
      <c r="N18" s="148">
        <f t="shared" si="1"/>
        <v>0</v>
      </c>
      <c r="O18" s="149"/>
      <c r="P18" s="150" t="e">
        <f t="shared" si="2"/>
        <v>#DIV/0!</v>
      </c>
      <c r="Q18" s="137">
        <f t="shared" si="3"/>
        <v>2</v>
      </c>
      <c r="R18" s="133"/>
      <c r="S18" s="157"/>
      <c r="T18" s="6"/>
      <c r="U18" s="6"/>
      <c r="V18" s="6"/>
      <c r="W18" s="6"/>
      <c r="X18" s="6"/>
      <c r="Y18" s="6"/>
    </row>
    <row r="19" spans="1:25">
      <c r="A19" s="144"/>
      <c r="B19" s="145"/>
      <c r="C19" s="134">
        <f>IFERROR(VLOOKUP(D19,PosAggregate!$A$13:$A$275,1,FALSE),"")</f>
        <v>0</v>
      </c>
      <c r="D19" s="134"/>
      <c r="E19" s="134" t="str">
        <f t="shared" si="0"/>
        <v>YES</v>
      </c>
      <c r="F19" s="146" t="str">
        <f>_xll.TR(D19,"TR.CommonName")</f>
        <v>No universe defined.</v>
      </c>
      <c r="G19" s="134" t="str">
        <f>_xll.TR(D19,"TR.FundCurrency")</f>
        <v>No universe defined.</v>
      </c>
      <c r="H19" s="135"/>
      <c r="I19" s="136"/>
      <c r="J19" s="138">
        <f t="shared" si="4"/>
        <v>0</v>
      </c>
      <c r="K19" s="147"/>
      <c r="L19" s="134"/>
      <c r="M19" s="147"/>
      <c r="N19" s="148">
        <f t="shared" si="1"/>
        <v>0</v>
      </c>
      <c r="O19" s="149"/>
      <c r="P19" s="150" t="e">
        <f t="shared" si="2"/>
        <v>#DIV/0!</v>
      </c>
      <c r="Q19" s="137">
        <f t="shared" si="3"/>
        <v>2</v>
      </c>
      <c r="R19" s="133"/>
      <c r="S19" s="157"/>
      <c r="T19" s="6"/>
      <c r="U19" s="6"/>
      <c r="V19" s="6"/>
      <c r="W19" s="6"/>
      <c r="X19" s="6"/>
      <c r="Y19" s="6"/>
    </row>
    <row r="20" spans="1:25">
      <c r="A20" s="144"/>
      <c r="B20" s="145"/>
      <c r="C20" s="134">
        <f>IFERROR(VLOOKUP(D20,PosAggregate!$A$13:$A$275,1,FALSE),"")</f>
        <v>0</v>
      </c>
      <c r="D20" s="134"/>
      <c r="E20" s="134" t="str">
        <f t="shared" si="0"/>
        <v>YES</v>
      </c>
      <c r="F20" s="146" t="str">
        <f>_xll.TR(D20,"TR.CommonName")</f>
        <v>No universe defined.</v>
      </c>
      <c r="G20" s="134" t="str">
        <f>_xll.TR(D20,"TR.FundCurrency")</f>
        <v>No universe defined.</v>
      </c>
      <c r="H20" s="135"/>
      <c r="I20" s="136"/>
      <c r="J20" s="138">
        <f t="shared" si="4"/>
        <v>0</v>
      </c>
      <c r="K20" s="147"/>
      <c r="L20" s="134"/>
      <c r="M20" s="147"/>
      <c r="N20" s="148">
        <f t="shared" si="1"/>
        <v>0</v>
      </c>
      <c r="O20" s="149"/>
      <c r="P20" s="150" t="e">
        <f t="shared" si="2"/>
        <v>#DIV/0!</v>
      </c>
      <c r="Q20" s="137">
        <f t="shared" si="3"/>
        <v>2</v>
      </c>
      <c r="R20" s="133"/>
      <c r="S20" s="157"/>
      <c r="T20" s="6"/>
      <c r="U20" s="6"/>
      <c r="V20" s="6"/>
      <c r="W20" s="6"/>
      <c r="X20" s="6"/>
      <c r="Y20" s="6"/>
    </row>
    <row r="21" spans="1:25">
      <c r="A21" s="144"/>
      <c r="B21" s="145"/>
      <c r="C21" s="134">
        <f>IFERROR(VLOOKUP(D21,PosAggregate!$A$13:$A$275,1,FALSE),"")</f>
        <v>0</v>
      </c>
      <c r="D21" s="134"/>
      <c r="E21" s="134" t="str">
        <f t="shared" si="0"/>
        <v>YES</v>
      </c>
      <c r="F21" s="146" t="str">
        <f>_xll.TR(D21,"TR.CommonName")</f>
        <v>No universe defined.</v>
      </c>
      <c r="G21" s="134" t="str">
        <f>_xll.TR(D21,"TR.FundCurrency")</f>
        <v>No universe defined.</v>
      </c>
      <c r="H21" s="135"/>
      <c r="I21" s="136"/>
      <c r="J21" s="138">
        <f t="shared" si="4"/>
        <v>0</v>
      </c>
      <c r="K21" s="147"/>
      <c r="L21" s="134"/>
      <c r="M21" s="147"/>
      <c r="N21" s="148">
        <f t="shared" si="1"/>
        <v>0</v>
      </c>
      <c r="O21" s="149"/>
      <c r="P21" s="150" t="e">
        <f t="shared" si="2"/>
        <v>#DIV/0!</v>
      </c>
      <c r="Q21" s="137">
        <f t="shared" si="3"/>
        <v>2</v>
      </c>
      <c r="R21" s="133"/>
      <c r="S21" s="157"/>
      <c r="T21" s="6"/>
      <c r="U21" s="6"/>
      <c r="V21" s="6"/>
      <c r="W21" s="6"/>
      <c r="X21" s="6"/>
      <c r="Y21" s="6"/>
    </row>
    <row r="22" spans="1:25">
      <c r="A22" s="144"/>
      <c r="B22" s="145"/>
      <c r="C22" s="134">
        <f>IFERROR(VLOOKUP(D22,PosAggregate!$A$13:$A$275,1,FALSE),"")</f>
        <v>0</v>
      </c>
      <c r="D22" s="134"/>
      <c r="E22" s="134" t="str">
        <f t="shared" si="0"/>
        <v>YES</v>
      </c>
      <c r="F22" s="146" t="str">
        <f>_xll.TR(D22,"TR.CommonName")</f>
        <v>No universe defined.</v>
      </c>
      <c r="G22" s="134" t="str">
        <f>_xll.TR(D22,"TR.FundCurrency")</f>
        <v>No universe defined.</v>
      </c>
      <c r="H22" s="135"/>
      <c r="I22" s="136"/>
      <c r="J22" s="138">
        <f t="shared" si="4"/>
        <v>0</v>
      </c>
      <c r="K22" s="147"/>
      <c r="L22" s="134"/>
      <c r="M22" s="147"/>
      <c r="N22" s="148">
        <f t="shared" si="1"/>
        <v>0</v>
      </c>
      <c r="O22" s="149"/>
      <c r="P22" s="150" t="e">
        <f t="shared" si="2"/>
        <v>#DIV/0!</v>
      </c>
      <c r="Q22" s="137">
        <f t="shared" si="3"/>
        <v>2</v>
      </c>
      <c r="R22" s="133"/>
      <c r="S22" s="157"/>
      <c r="T22" s="6"/>
      <c r="U22" s="6"/>
      <c r="V22" s="6"/>
      <c r="W22" s="6"/>
      <c r="X22" s="6"/>
      <c r="Y22" s="6"/>
    </row>
    <row r="23" spans="1:25">
      <c r="A23" s="144"/>
      <c r="B23" s="145"/>
      <c r="C23" s="134"/>
      <c r="D23" s="134"/>
      <c r="E23" s="134"/>
      <c r="F23" s="146"/>
      <c r="G23" s="134"/>
      <c r="H23" s="135"/>
      <c r="I23" s="136"/>
      <c r="J23" s="138"/>
      <c r="K23" s="147"/>
      <c r="L23" s="134"/>
      <c r="M23" s="147"/>
      <c r="N23" s="148"/>
      <c r="O23" s="149"/>
      <c r="P23" s="150"/>
      <c r="Q23" s="137"/>
      <c r="R23" s="133"/>
      <c r="S23" s="157"/>
      <c r="T23" s="6"/>
      <c r="U23" s="6"/>
      <c r="V23" s="6"/>
      <c r="W23" s="6"/>
      <c r="X23" s="6"/>
      <c r="Y23" s="6"/>
    </row>
    <row r="24" spans="1:25">
      <c r="A24" s="144"/>
      <c r="B24" s="145"/>
      <c r="C24" s="134"/>
      <c r="D24" s="134"/>
      <c r="E24" s="134"/>
      <c r="F24" s="146"/>
      <c r="G24" s="134"/>
      <c r="H24" s="135"/>
      <c r="I24" s="136"/>
      <c r="J24" s="138"/>
      <c r="K24" s="147"/>
      <c r="L24" s="134"/>
      <c r="M24" s="147"/>
      <c r="N24" s="148"/>
      <c r="O24" s="149"/>
      <c r="P24" s="150"/>
      <c r="Q24" s="137"/>
      <c r="R24" s="133"/>
      <c r="S24" s="157"/>
      <c r="T24" s="6"/>
      <c r="U24" s="6"/>
      <c r="V24" s="6"/>
      <c r="W24" s="6"/>
      <c r="X24" s="6"/>
      <c r="Y24" s="6"/>
    </row>
    <row r="25" spans="1:25">
      <c r="A25" s="144"/>
      <c r="B25" s="145"/>
      <c r="C25" s="134"/>
      <c r="D25" s="134"/>
      <c r="E25" s="134"/>
      <c r="F25" s="146"/>
      <c r="G25" s="134"/>
      <c r="H25" s="135"/>
      <c r="I25" s="136"/>
      <c r="J25" s="138"/>
      <c r="K25" s="147"/>
      <c r="L25" s="134"/>
      <c r="M25" s="147"/>
      <c r="N25" s="148"/>
      <c r="O25" s="149"/>
      <c r="P25" s="150"/>
      <c r="Q25" s="137"/>
      <c r="R25" s="133"/>
      <c r="S25" s="157"/>
      <c r="T25" s="6"/>
      <c r="U25" s="6"/>
      <c r="V25" s="6"/>
      <c r="W25" s="6"/>
      <c r="X25" s="6"/>
      <c r="Y25" s="6"/>
    </row>
    <row r="26" spans="1:25">
      <c r="A26" s="144"/>
      <c r="B26" s="145"/>
      <c r="C26" s="134"/>
      <c r="D26" s="134"/>
      <c r="E26" s="134"/>
      <c r="F26" s="146"/>
      <c r="G26" s="134"/>
      <c r="H26" s="135"/>
      <c r="I26" s="136"/>
      <c r="J26" s="138"/>
      <c r="K26" s="147"/>
      <c r="L26" s="134"/>
      <c r="M26" s="147"/>
      <c r="N26" s="148"/>
      <c r="O26" s="149"/>
      <c r="P26" s="150"/>
      <c r="Q26" s="137"/>
      <c r="R26" s="133"/>
      <c r="S26" s="157"/>
      <c r="T26" s="6"/>
      <c r="U26" s="6"/>
      <c r="V26" s="6"/>
      <c r="W26" s="6"/>
      <c r="X26" s="6"/>
      <c r="Y26" s="6"/>
    </row>
    <row r="27" spans="1:25">
      <c r="A27" s="144"/>
      <c r="B27" s="145"/>
      <c r="C27" s="134"/>
      <c r="D27" s="134"/>
      <c r="E27" s="134"/>
      <c r="F27" s="146"/>
      <c r="G27" s="134"/>
      <c r="H27" s="135"/>
      <c r="I27" s="136"/>
      <c r="J27" s="138"/>
      <c r="K27" s="147"/>
      <c r="L27" s="134"/>
      <c r="M27" s="147"/>
      <c r="N27" s="148"/>
      <c r="O27" s="149"/>
      <c r="P27" s="150"/>
      <c r="Q27" s="137"/>
      <c r="R27" s="133"/>
      <c r="S27" s="157"/>
      <c r="T27" s="6"/>
      <c r="U27" s="6"/>
      <c r="V27" s="6"/>
      <c r="W27" s="6"/>
      <c r="X27" s="6"/>
      <c r="Y27" s="6"/>
    </row>
    <row r="28" spans="1:25">
      <c r="A28" s="144"/>
      <c r="B28" s="145"/>
      <c r="C28" s="134"/>
      <c r="D28" s="134"/>
      <c r="E28" s="134"/>
      <c r="F28" s="146"/>
      <c r="G28" s="134"/>
      <c r="H28" s="135"/>
      <c r="I28" s="136"/>
      <c r="J28" s="138"/>
      <c r="K28" s="147"/>
      <c r="L28" s="134"/>
      <c r="M28" s="147"/>
      <c r="N28" s="148"/>
      <c r="O28" s="149"/>
      <c r="P28" s="150"/>
      <c r="Q28" s="137"/>
      <c r="R28" s="133"/>
      <c r="S28" s="157"/>
      <c r="T28" s="6"/>
      <c r="U28" s="6"/>
      <c r="V28" s="6"/>
      <c r="W28" s="6"/>
      <c r="X28" s="6"/>
      <c r="Y28" s="6"/>
    </row>
    <row r="29" spans="1:25">
      <c r="A29" s="144"/>
      <c r="B29" s="145"/>
      <c r="C29" s="134"/>
      <c r="D29" s="134"/>
      <c r="E29" s="134"/>
      <c r="F29" s="146"/>
      <c r="G29" s="134"/>
      <c r="H29" s="135"/>
      <c r="I29" s="136"/>
      <c r="J29" s="138"/>
      <c r="K29" s="147"/>
      <c r="L29" s="134"/>
      <c r="M29" s="147"/>
      <c r="N29" s="148"/>
      <c r="O29" s="149"/>
      <c r="P29" s="150"/>
      <c r="Q29" s="137"/>
      <c r="R29" s="133"/>
      <c r="S29" s="157"/>
      <c r="T29" s="6"/>
      <c r="U29" s="6"/>
      <c r="V29" s="6"/>
      <c r="W29" s="6"/>
      <c r="X29" s="6"/>
      <c r="Y29" s="6"/>
    </row>
    <row r="30" spans="1:25">
      <c r="A30" s="144"/>
      <c r="B30" s="145"/>
      <c r="C30" s="134"/>
      <c r="D30" s="134"/>
      <c r="E30" s="134"/>
      <c r="F30" s="146"/>
      <c r="G30" s="134"/>
      <c r="H30" s="135"/>
      <c r="I30" s="136"/>
      <c r="J30" s="138"/>
      <c r="K30" s="147"/>
      <c r="L30" s="134"/>
      <c r="M30" s="147"/>
      <c r="N30" s="148"/>
      <c r="O30" s="149"/>
      <c r="P30" s="150"/>
      <c r="Q30" s="137"/>
      <c r="R30" s="133"/>
      <c r="S30" s="157"/>
      <c r="T30" s="6"/>
      <c r="U30" s="6"/>
      <c r="V30" s="6"/>
      <c r="W30" s="6"/>
      <c r="X30" s="6"/>
      <c r="Y30" s="6"/>
    </row>
    <row r="31" spans="1:25">
      <c r="A31" s="144"/>
      <c r="B31" s="145"/>
      <c r="C31" s="134"/>
      <c r="D31" s="134"/>
      <c r="E31" s="134"/>
      <c r="F31" s="146"/>
      <c r="G31" s="134"/>
      <c r="H31" s="135"/>
      <c r="I31" s="136"/>
      <c r="J31" s="138"/>
      <c r="K31" s="147"/>
      <c r="L31" s="134"/>
      <c r="M31" s="147"/>
      <c r="N31" s="148"/>
      <c r="O31" s="149"/>
      <c r="P31" s="150"/>
      <c r="Q31" s="137"/>
      <c r="R31" s="133"/>
      <c r="S31" s="157"/>
      <c r="T31" s="6"/>
      <c r="U31" s="6"/>
      <c r="V31" s="6"/>
      <c r="W31" s="6"/>
      <c r="X31" s="6"/>
      <c r="Y31" s="6"/>
    </row>
    <row r="32" spans="1:25">
      <c r="A32" s="144"/>
      <c r="B32" s="145"/>
      <c r="C32" s="134"/>
      <c r="D32" s="134"/>
      <c r="E32" s="134"/>
      <c r="F32" s="146"/>
      <c r="G32" s="134"/>
      <c r="H32" s="135"/>
      <c r="I32" s="136"/>
      <c r="J32" s="138"/>
      <c r="K32" s="147"/>
      <c r="L32" s="134"/>
      <c r="M32" s="147"/>
      <c r="N32" s="148"/>
      <c r="O32" s="149"/>
      <c r="P32" s="150"/>
      <c r="Q32" s="137"/>
      <c r="R32" s="133"/>
      <c r="S32" s="157"/>
      <c r="T32" s="6"/>
      <c r="U32" s="6"/>
      <c r="V32" s="6"/>
      <c r="W32" s="6"/>
      <c r="X32" s="6"/>
      <c r="Y32" s="6"/>
    </row>
    <row r="33" spans="1:25">
      <c r="A33" s="144"/>
      <c r="B33" s="145"/>
      <c r="C33" s="134"/>
      <c r="D33" s="134"/>
      <c r="E33" s="134"/>
      <c r="F33" s="146"/>
      <c r="G33" s="134"/>
      <c r="H33" s="135"/>
      <c r="I33" s="136"/>
      <c r="J33" s="138"/>
      <c r="K33" s="147"/>
      <c r="L33" s="134"/>
      <c r="M33" s="147"/>
      <c r="N33" s="148"/>
      <c r="O33" s="149"/>
      <c r="P33" s="150"/>
      <c r="Q33" s="137"/>
      <c r="R33" s="133"/>
      <c r="S33" s="157"/>
      <c r="T33" s="6"/>
      <c r="U33" s="6"/>
      <c r="V33" s="6"/>
      <c r="W33" s="6"/>
      <c r="X33" s="6"/>
      <c r="Y33" s="6"/>
    </row>
    <row r="34" spans="1:25">
      <c r="A34" s="144"/>
      <c r="B34" s="145"/>
      <c r="C34" s="134"/>
      <c r="D34" s="134"/>
      <c r="E34" s="134"/>
      <c r="F34" s="146"/>
      <c r="G34" s="134"/>
      <c r="H34" s="135"/>
      <c r="I34" s="136"/>
      <c r="J34" s="138"/>
      <c r="K34" s="147"/>
      <c r="L34" s="134"/>
      <c r="M34" s="147"/>
      <c r="N34" s="148"/>
      <c r="O34" s="149"/>
      <c r="P34" s="150"/>
      <c r="Q34" s="137"/>
      <c r="R34" s="133"/>
      <c r="S34" s="157"/>
      <c r="T34" s="6"/>
      <c r="U34" s="6"/>
      <c r="V34" s="6"/>
      <c r="W34" s="6"/>
      <c r="X34" s="6"/>
      <c r="Y34" s="6"/>
    </row>
    <row r="35" spans="1:25">
      <c r="A35" s="144"/>
      <c r="B35" s="145"/>
      <c r="C35" s="134"/>
      <c r="D35" s="134"/>
      <c r="E35" s="134"/>
      <c r="F35" s="146"/>
      <c r="G35" s="134"/>
      <c r="H35" s="135"/>
      <c r="I35" s="136"/>
      <c r="J35" s="138"/>
      <c r="K35" s="147"/>
      <c r="L35" s="134"/>
      <c r="M35" s="147"/>
      <c r="N35" s="148"/>
      <c r="O35" s="149"/>
      <c r="P35" s="150"/>
      <c r="Q35" s="137"/>
      <c r="R35" s="133"/>
      <c r="S35" s="157"/>
      <c r="T35" s="6"/>
      <c r="U35" s="6"/>
      <c r="V35" s="6"/>
      <c r="W35" s="6"/>
      <c r="X35" s="6"/>
      <c r="Y35" s="6"/>
    </row>
    <row r="36" spans="1:25">
      <c r="A36" s="144"/>
      <c r="B36" s="145"/>
      <c r="C36" s="134"/>
      <c r="D36" s="134"/>
      <c r="E36" s="134"/>
      <c r="F36" s="146"/>
      <c r="G36" s="134"/>
      <c r="H36" s="135"/>
      <c r="I36" s="136"/>
      <c r="J36" s="138"/>
      <c r="K36" s="147"/>
      <c r="L36" s="134"/>
      <c r="M36" s="147"/>
      <c r="N36" s="148"/>
      <c r="O36" s="149"/>
      <c r="P36" s="150"/>
      <c r="Q36" s="137"/>
      <c r="R36" s="133"/>
      <c r="S36" s="157"/>
      <c r="T36" s="6"/>
      <c r="U36" s="6"/>
      <c r="V36" s="6"/>
      <c r="W36" s="6"/>
      <c r="X36" s="6"/>
      <c r="Y36" s="6"/>
    </row>
    <row r="37" spans="1:25">
      <c r="A37" s="144"/>
      <c r="B37" s="145"/>
      <c r="C37" s="134"/>
      <c r="D37" s="134"/>
      <c r="E37" s="134"/>
      <c r="F37" s="146"/>
      <c r="G37" s="134"/>
      <c r="H37" s="135"/>
      <c r="I37" s="136"/>
      <c r="J37" s="138"/>
      <c r="K37" s="147"/>
      <c r="L37" s="134"/>
      <c r="M37" s="147"/>
      <c r="N37" s="148"/>
      <c r="O37" s="149"/>
      <c r="P37" s="150"/>
      <c r="Q37" s="137"/>
      <c r="R37" s="133"/>
      <c r="S37" s="157"/>
      <c r="T37" s="6"/>
      <c r="U37" s="6"/>
      <c r="V37" s="6"/>
      <c r="W37" s="6"/>
      <c r="X37" s="6"/>
      <c r="Y37" s="6"/>
    </row>
    <row r="38" spans="1:25">
      <c r="A38" s="144"/>
      <c r="B38" s="145"/>
      <c r="C38" s="134"/>
      <c r="D38" s="134"/>
      <c r="E38" s="134"/>
      <c r="F38" s="146"/>
      <c r="G38" s="134"/>
      <c r="H38" s="135"/>
      <c r="I38" s="136"/>
      <c r="J38" s="138"/>
      <c r="K38" s="147"/>
      <c r="L38" s="134"/>
      <c r="M38" s="147"/>
      <c r="N38" s="148"/>
      <c r="O38" s="149"/>
      <c r="P38" s="150"/>
      <c r="Q38" s="137"/>
      <c r="R38" s="133"/>
      <c r="S38" s="157"/>
      <c r="T38" s="6"/>
      <c r="U38" s="6"/>
      <c r="V38" s="6"/>
      <c r="W38" s="6"/>
      <c r="X38" s="6"/>
      <c r="Y38" s="6"/>
    </row>
    <row r="39" spans="1:25">
      <c r="A39" s="144"/>
      <c r="B39" s="145"/>
      <c r="C39" s="134"/>
      <c r="D39" s="134"/>
      <c r="E39" s="134"/>
      <c r="F39" s="146"/>
      <c r="G39" s="134"/>
      <c r="H39" s="135"/>
      <c r="I39" s="136"/>
      <c r="J39" s="138"/>
      <c r="K39" s="147"/>
      <c r="L39" s="134"/>
      <c r="M39" s="147"/>
      <c r="N39" s="148"/>
      <c r="O39" s="149"/>
      <c r="P39" s="150"/>
      <c r="Q39" s="137"/>
      <c r="R39" s="133"/>
      <c r="S39" s="157"/>
      <c r="T39" s="6"/>
      <c r="U39" s="6"/>
      <c r="V39" s="6"/>
      <c r="W39" s="6"/>
      <c r="X39" s="6"/>
      <c r="Y39" s="6"/>
    </row>
    <row r="40" spans="1:25">
      <c r="A40" s="144"/>
      <c r="B40" s="145"/>
      <c r="C40" s="134"/>
      <c r="D40" s="134"/>
      <c r="E40" s="134"/>
      <c r="F40" s="146"/>
      <c r="G40" s="134"/>
      <c r="H40" s="135"/>
      <c r="I40" s="136"/>
      <c r="J40" s="138"/>
      <c r="K40" s="147"/>
      <c r="L40" s="134"/>
      <c r="M40" s="147"/>
      <c r="N40" s="148"/>
      <c r="O40" s="149"/>
      <c r="P40" s="150"/>
      <c r="Q40" s="137"/>
      <c r="R40" s="133"/>
      <c r="S40" s="157"/>
      <c r="T40" s="6"/>
      <c r="U40" s="6"/>
      <c r="V40" s="6"/>
      <c r="W40" s="6"/>
      <c r="X40" s="6"/>
      <c r="Y40" s="6"/>
    </row>
    <row r="41" spans="1:25">
      <c r="A41" s="144"/>
      <c r="B41" s="145"/>
      <c r="C41" s="134"/>
      <c r="D41" s="134"/>
      <c r="E41" s="134"/>
      <c r="F41" s="146"/>
      <c r="G41" s="134"/>
      <c r="H41" s="135"/>
      <c r="I41" s="136"/>
      <c r="J41" s="138"/>
      <c r="K41" s="147"/>
      <c r="L41" s="134"/>
      <c r="M41" s="147"/>
      <c r="N41" s="148"/>
      <c r="O41" s="149"/>
      <c r="P41" s="150"/>
      <c r="Q41" s="137"/>
      <c r="R41" s="133"/>
      <c r="S41" s="157"/>
      <c r="T41" s="6"/>
      <c r="U41" s="6"/>
      <c r="V41" s="6"/>
      <c r="W41" s="6"/>
      <c r="X41" s="6"/>
      <c r="Y41" s="6"/>
    </row>
    <row r="42" spans="1:25">
      <c r="A42" s="144"/>
      <c r="B42" s="145"/>
      <c r="C42" s="134"/>
      <c r="D42" s="134"/>
      <c r="E42" s="134"/>
      <c r="F42" s="146"/>
      <c r="G42" s="134"/>
      <c r="H42" s="135"/>
      <c r="I42" s="136"/>
      <c r="J42" s="138"/>
      <c r="K42" s="147"/>
      <c r="L42" s="134"/>
      <c r="M42" s="147"/>
      <c r="N42" s="148"/>
      <c r="O42" s="149"/>
      <c r="P42" s="150"/>
      <c r="Q42" s="137"/>
      <c r="R42" s="133"/>
      <c r="S42" s="157"/>
      <c r="T42" s="6"/>
      <c r="U42" s="6"/>
      <c r="V42" s="6"/>
      <c r="W42" s="6"/>
      <c r="X42" s="6"/>
      <c r="Y42" s="6"/>
    </row>
    <row r="43" spans="1:25">
      <c r="A43" s="144"/>
      <c r="B43" s="145"/>
      <c r="C43" s="134"/>
      <c r="D43" s="134"/>
      <c r="E43" s="134"/>
      <c r="F43" s="146"/>
      <c r="G43" s="134"/>
      <c r="H43" s="135"/>
      <c r="I43" s="136"/>
      <c r="J43" s="138"/>
      <c r="K43" s="147"/>
      <c r="L43" s="134"/>
      <c r="M43" s="147"/>
      <c r="N43" s="148"/>
      <c r="O43" s="149"/>
      <c r="P43" s="150"/>
      <c r="Q43" s="137"/>
      <c r="R43" s="133"/>
      <c r="S43" s="157"/>
      <c r="T43" s="6"/>
      <c r="U43" s="6"/>
      <c r="V43" s="6"/>
      <c r="W43" s="6"/>
      <c r="X43" s="6"/>
      <c r="Y43" s="6"/>
    </row>
    <row r="44" spans="1:25">
      <c r="A44" s="144"/>
      <c r="B44" s="145"/>
      <c r="C44" s="134"/>
      <c r="D44" s="134"/>
      <c r="E44" s="134"/>
      <c r="F44" s="146"/>
      <c r="G44" s="134"/>
      <c r="H44" s="134"/>
      <c r="I44" s="136"/>
      <c r="J44" s="138"/>
      <c r="K44" s="147"/>
      <c r="L44" s="134"/>
      <c r="M44" s="147"/>
      <c r="N44" s="148"/>
      <c r="O44" s="149"/>
      <c r="P44" s="150"/>
      <c r="Q44" s="137"/>
      <c r="R44" s="133"/>
      <c r="S44" s="157"/>
      <c r="T44" s="6"/>
      <c r="U44" s="6"/>
      <c r="V44" s="6"/>
      <c r="W44" s="6"/>
      <c r="X44" s="6"/>
      <c r="Y44" s="6"/>
    </row>
    <row r="45" spans="1:25">
      <c r="A45" s="144"/>
      <c r="B45" s="145"/>
      <c r="C45" s="134"/>
      <c r="D45" s="134"/>
      <c r="E45" s="134"/>
      <c r="F45" s="146"/>
      <c r="G45" s="134"/>
      <c r="H45" s="134"/>
      <c r="I45" s="136"/>
      <c r="J45" s="138"/>
      <c r="K45" s="147"/>
      <c r="L45" s="134"/>
      <c r="M45" s="134"/>
      <c r="N45" s="148"/>
      <c r="O45" s="149"/>
      <c r="P45" s="150"/>
      <c r="Q45" s="137"/>
      <c r="R45" s="133"/>
      <c r="S45" s="157"/>
      <c r="T45" s="6"/>
      <c r="U45" s="6"/>
      <c r="V45" s="6"/>
      <c r="W45" s="6"/>
      <c r="X45" s="6"/>
      <c r="Y45" s="6"/>
    </row>
    <row r="46" spans="1:25">
      <c r="A46" s="144"/>
      <c r="B46" s="145"/>
      <c r="C46" s="134"/>
      <c r="D46" s="134"/>
      <c r="E46" s="134"/>
      <c r="F46" s="146"/>
      <c r="G46" s="134"/>
      <c r="H46" s="134"/>
      <c r="I46" s="136"/>
      <c r="J46" s="138"/>
      <c r="K46" s="147"/>
      <c r="L46" s="134"/>
      <c r="M46" s="134"/>
      <c r="N46" s="148"/>
      <c r="O46" s="149"/>
      <c r="P46" s="150"/>
      <c r="Q46" s="137"/>
      <c r="R46" s="133"/>
      <c r="S46" s="157"/>
      <c r="T46" s="6"/>
      <c r="U46" s="6"/>
      <c r="V46" s="6"/>
      <c r="W46" s="6"/>
      <c r="X46" s="6"/>
      <c r="Y46" s="6"/>
    </row>
    <row r="47" spans="1:25">
      <c r="A47" s="144"/>
      <c r="B47" s="145"/>
      <c r="C47" s="134"/>
      <c r="D47" s="134"/>
      <c r="E47" s="134"/>
      <c r="F47" s="146"/>
      <c r="G47" s="134"/>
      <c r="H47" s="134"/>
      <c r="I47" s="136"/>
      <c r="J47" s="138"/>
      <c r="K47" s="147"/>
      <c r="L47" s="134"/>
      <c r="M47" s="134"/>
      <c r="N47" s="148"/>
      <c r="O47" s="149"/>
      <c r="P47" s="150"/>
      <c r="Q47" s="137"/>
      <c r="R47" s="133"/>
      <c r="S47" s="157"/>
      <c r="T47" s="6"/>
      <c r="U47" s="6"/>
      <c r="V47" s="6"/>
      <c r="W47" s="6"/>
      <c r="X47" s="6"/>
      <c r="Y47" s="6"/>
    </row>
    <row r="48" spans="1:25">
      <c r="A48" s="144"/>
      <c r="B48" s="145"/>
      <c r="C48" s="134"/>
      <c r="D48" s="134"/>
      <c r="E48" s="134"/>
      <c r="F48" s="146"/>
      <c r="G48" s="134"/>
      <c r="H48" s="134"/>
      <c r="I48" s="136"/>
      <c r="J48" s="138"/>
      <c r="K48" s="147"/>
      <c r="L48" s="134"/>
      <c r="M48" s="134"/>
      <c r="N48" s="148"/>
      <c r="O48" s="149"/>
      <c r="P48" s="150"/>
      <c r="Q48" s="137"/>
      <c r="R48" s="133"/>
      <c r="S48" s="157"/>
      <c r="T48" s="6"/>
      <c r="U48" s="6"/>
      <c r="V48" s="6"/>
      <c r="W48" s="6"/>
      <c r="X48" s="6"/>
      <c r="Y48" s="6"/>
    </row>
    <row r="49" spans="1:25">
      <c r="A49" s="144"/>
      <c r="B49" s="145"/>
      <c r="C49" s="134"/>
      <c r="D49" s="134"/>
      <c r="E49" s="134"/>
      <c r="F49" s="146"/>
      <c r="G49" s="134"/>
      <c r="H49" s="134"/>
      <c r="I49" s="136"/>
      <c r="J49" s="138"/>
      <c r="K49" s="147"/>
      <c r="L49" s="134"/>
      <c r="M49" s="134"/>
      <c r="N49" s="148"/>
      <c r="O49" s="149"/>
      <c r="P49" s="150"/>
      <c r="Q49" s="137"/>
      <c r="R49" s="133"/>
      <c r="S49" s="157"/>
      <c r="T49" s="6"/>
      <c r="U49" s="6"/>
      <c r="V49" s="6"/>
      <c r="W49" s="6"/>
      <c r="X49" s="6"/>
      <c r="Y49" s="6"/>
    </row>
    <row r="50" spans="1:25">
      <c r="A50" s="144"/>
      <c r="B50" s="145"/>
      <c r="C50" s="134"/>
      <c r="D50" s="134"/>
      <c r="E50" s="134"/>
      <c r="F50" s="146"/>
      <c r="G50" s="134"/>
      <c r="H50" s="134"/>
      <c r="I50" s="136"/>
      <c r="J50" s="138"/>
      <c r="K50" s="147"/>
      <c r="L50" s="134"/>
      <c r="M50" s="134"/>
      <c r="N50" s="148"/>
      <c r="O50" s="149"/>
      <c r="P50" s="150"/>
      <c r="Q50" s="137"/>
      <c r="R50" s="133"/>
      <c r="S50" s="157"/>
      <c r="T50" s="6"/>
      <c r="U50" s="6"/>
      <c r="V50" s="6"/>
      <c r="W50" s="6"/>
      <c r="X50" s="6"/>
      <c r="Y50" s="6"/>
    </row>
    <row r="51" spans="1:25">
      <c r="A51" s="144"/>
      <c r="B51" s="145"/>
      <c r="C51" s="134"/>
      <c r="D51" s="134"/>
      <c r="E51" s="134"/>
      <c r="F51" s="146"/>
      <c r="G51" s="134"/>
      <c r="H51" s="134"/>
      <c r="I51" s="136"/>
      <c r="J51" s="138"/>
      <c r="K51" s="147"/>
      <c r="L51" s="134"/>
      <c r="M51" s="134"/>
      <c r="N51" s="148"/>
      <c r="O51" s="149"/>
      <c r="P51" s="150"/>
      <c r="Q51" s="137"/>
      <c r="R51" s="133"/>
      <c r="S51" s="157"/>
      <c r="T51" s="6"/>
      <c r="U51" s="6"/>
      <c r="V51" s="6"/>
      <c r="W51" s="6"/>
      <c r="X51" s="6"/>
      <c r="Y51" s="6"/>
    </row>
    <row r="52" spans="1:25">
      <c r="A52" s="144"/>
      <c r="B52" s="145"/>
      <c r="C52" s="134"/>
      <c r="D52" s="134"/>
      <c r="E52" s="134"/>
      <c r="F52" s="146"/>
      <c r="G52" s="134"/>
      <c r="H52" s="134"/>
      <c r="I52" s="136"/>
      <c r="J52" s="138"/>
      <c r="K52" s="147"/>
      <c r="L52" s="134"/>
      <c r="M52" s="134"/>
      <c r="N52" s="148"/>
      <c r="O52" s="149"/>
      <c r="P52" s="150"/>
      <c r="Q52" s="137"/>
      <c r="R52" s="133"/>
      <c r="S52" s="157"/>
      <c r="T52" s="6"/>
      <c r="U52" s="6"/>
      <c r="V52" s="6"/>
      <c r="W52" s="6"/>
      <c r="X52" s="6"/>
      <c r="Y52" s="6"/>
    </row>
    <row r="53" spans="1:25">
      <c r="A53" s="144"/>
      <c r="B53" s="145"/>
      <c r="C53" s="134"/>
      <c r="D53" s="134"/>
      <c r="E53" s="134"/>
      <c r="F53" s="146"/>
      <c r="G53" s="134"/>
      <c r="H53" s="134"/>
      <c r="I53" s="136"/>
      <c r="J53" s="138"/>
      <c r="K53" s="147"/>
      <c r="L53" s="134"/>
      <c r="M53" s="134"/>
      <c r="N53" s="148"/>
      <c r="O53" s="149"/>
      <c r="P53" s="150"/>
      <c r="Q53" s="137"/>
      <c r="R53" s="133"/>
      <c r="S53" s="157"/>
      <c r="T53" s="6"/>
      <c r="U53" s="6"/>
      <c r="V53" s="6"/>
      <c r="W53" s="6"/>
      <c r="X53" s="6"/>
      <c r="Y53" s="6"/>
    </row>
    <row r="54" spans="1:25">
      <c r="A54" s="144"/>
      <c r="B54" s="145"/>
      <c r="C54" s="134"/>
      <c r="D54" s="134"/>
      <c r="E54" s="134"/>
      <c r="F54" s="146"/>
      <c r="G54" s="134"/>
      <c r="H54" s="134"/>
      <c r="I54" s="136"/>
      <c r="J54" s="138"/>
      <c r="K54" s="147"/>
      <c r="L54" s="134"/>
      <c r="M54" s="134"/>
      <c r="N54" s="148"/>
      <c r="O54" s="149"/>
      <c r="P54" s="150"/>
      <c r="Q54" s="137"/>
      <c r="R54" s="133"/>
      <c r="S54" s="157"/>
      <c r="T54" s="6"/>
      <c r="U54" s="6"/>
      <c r="V54" s="6"/>
      <c r="W54" s="6"/>
      <c r="X54" s="6"/>
      <c r="Y54" s="6"/>
    </row>
    <row r="55" spans="1:25">
      <c r="A55" s="144"/>
      <c r="B55" s="145"/>
      <c r="C55" s="134"/>
      <c r="D55" s="134"/>
      <c r="E55" s="134"/>
      <c r="F55" s="146"/>
      <c r="G55" s="134"/>
      <c r="H55" s="134"/>
      <c r="I55" s="136"/>
      <c r="J55" s="138"/>
      <c r="K55" s="147"/>
      <c r="L55" s="134"/>
      <c r="M55" s="134"/>
      <c r="N55" s="148"/>
      <c r="O55" s="149"/>
      <c r="P55" s="150"/>
      <c r="Q55" s="137"/>
      <c r="R55" s="133"/>
      <c r="S55" s="157"/>
      <c r="T55" s="6"/>
      <c r="U55" s="6"/>
      <c r="V55" s="6"/>
      <c r="W55" s="6"/>
      <c r="X55" s="6"/>
      <c r="Y55" s="6"/>
    </row>
    <row r="56" spans="1:25">
      <c r="A56" s="144"/>
      <c r="B56" s="145"/>
      <c r="C56" s="134"/>
      <c r="D56" s="134"/>
      <c r="E56" s="134"/>
      <c r="F56" s="146"/>
      <c r="G56" s="134"/>
      <c r="H56" s="134"/>
      <c r="I56" s="136"/>
      <c r="J56" s="138"/>
      <c r="K56" s="147"/>
      <c r="L56" s="134"/>
      <c r="M56" s="134"/>
      <c r="N56" s="148"/>
      <c r="O56" s="149"/>
      <c r="P56" s="150"/>
      <c r="Q56" s="137"/>
      <c r="R56" s="133"/>
      <c r="S56" s="157"/>
      <c r="T56" s="6"/>
      <c r="U56" s="6"/>
      <c r="V56" s="6"/>
      <c r="W56" s="6"/>
      <c r="X56" s="6"/>
      <c r="Y56" s="6"/>
    </row>
    <row r="57" spans="1:25">
      <c r="A57" s="144"/>
      <c r="B57" s="145"/>
      <c r="C57" s="134"/>
      <c r="D57" s="134"/>
      <c r="E57" s="134"/>
      <c r="F57" s="146"/>
      <c r="G57" s="134"/>
      <c r="H57" s="134"/>
      <c r="I57" s="136"/>
      <c r="J57" s="138"/>
      <c r="K57" s="147"/>
      <c r="L57" s="134"/>
      <c r="M57" s="134"/>
      <c r="N57" s="148"/>
      <c r="O57" s="149"/>
      <c r="P57" s="150"/>
      <c r="Q57" s="137"/>
      <c r="R57" s="133"/>
      <c r="S57" s="157"/>
      <c r="T57" s="6"/>
      <c r="U57" s="6"/>
      <c r="V57" s="6"/>
      <c r="W57" s="6"/>
      <c r="X57" s="6"/>
      <c r="Y57" s="6"/>
    </row>
    <row r="58" spans="1:25">
      <c r="A58" s="144"/>
      <c r="B58" s="145"/>
      <c r="C58" s="134"/>
      <c r="D58" s="134"/>
      <c r="E58" s="134"/>
      <c r="F58" s="146"/>
      <c r="G58" s="134"/>
      <c r="H58" s="134"/>
      <c r="I58" s="136"/>
      <c r="J58" s="138"/>
      <c r="K58" s="147"/>
      <c r="L58" s="134"/>
      <c r="M58" s="134"/>
      <c r="N58" s="148"/>
      <c r="O58" s="149"/>
      <c r="P58" s="150"/>
      <c r="Q58" s="137"/>
      <c r="R58" s="133"/>
      <c r="S58" s="157"/>
      <c r="T58" s="6"/>
      <c r="U58" s="6"/>
      <c r="V58" s="6"/>
      <c r="W58" s="6"/>
      <c r="X58" s="6"/>
      <c r="Y58" s="6"/>
    </row>
    <row r="59" spans="1:25">
      <c r="A59" s="144"/>
      <c r="B59" s="145"/>
      <c r="C59" s="134"/>
      <c r="D59" s="134"/>
      <c r="E59" s="134"/>
      <c r="F59" s="146"/>
      <c r="G59" s="134"/>
      <c r="H59" s="134"/>
      <c r="I59" s="136"/>
      <c r="J59" s="138"/>
      <c r="K59" s="147"/>
      <c r="L59" s="134"/>
      <c r="M59" s="134"/>
      <c r="N59" s="148"/>
      <c r="O59" s="149"/>
      <c r="P59" s="150"/>
      <c r="Q59" s="137"/>
      <c r="R59" s="133"/>
      <c r="S59" s="157"/>
      <c r="T59" s="6"/>
      <c r="U59" s="6"/>
      <c r="V59" s="6"/>
      <c r="W59" s="6"/>
      <c r="X59" s="6"/>
      <c r="Y59" s="6"/>
    </row>
    <row r="60" spans="1:25">
      <c r="A60" s="144"/>
      <c r="B60" s="145"/>
      <c r="C60" s="134"/>
      <c r="D60" s="134"/>
      <c r="E60" s="134"/>
      <c r="F60" s="146"/>
      <c r="G60" s="134"/>
      <c r="H60" s="134"/>
      <c r="I60" s="136"/>
      <c r="J60" s="138"/>
      <c r="K60" s="147"/>
      <c r="L60" s="134"/>
      <c r="M60" s="134"/>
      <c r="N60" s="148"/>
      <c r="O60" s="149"/>
      <c r="P60" s="150"/>
      <c r="Q60" s="137"/>
      <c r="R60" s="133"/>
      <c r="S60" s="157"/>
      <c r="T60" s="6"/>
      <c r="U60" s="6"/>
      <c r="V60" s="6"/>
      <c r="W60" s="6"/>
      <c r="X60" s="6"/>
      <c r="Y60" s="6"/>
    </row>
    <row r="61" spans="1:25">
      <c r="A61" s="144"/>
      <c r="B61" s="145"/>
      <c r="C61" s="134"/>
      <c r="D61" s="134"/>
      <c r="E61" s="134"/>
      <c r="F61" s="146"/>
      <c r="G61" s="134"/>
      <c r="H61" s="134"/>
      <c r="I61" s="136"/>
      <c r="J61" s="138"/>
      <c r="K61" s="147"/>
      <c r="L61" s="134"/>
      <c r="M61" s="134"/>
      <c r="N61" s="148"/>
      <c r="O61" s="149"/>
      <c r="P61" s="150"/>
      <c r="Q61" s="137"/>
      <c r="R61" s="133"/>
      <c r="S61" s="157"/>
      <c r="T61" s="6"/>
      <c r="U61" s="6"/>
      <c r="V61" s="6"/>
      <c r="W61" s="6"/>
      <c r="X61" s="6"/>
      <c r="Y61" s="6"/>
    </row>
    <row r="62" spans="1:25">
      <c r="A62" s="144"/>
      <c r="B62" s="145"/>
      <c r="C62" s="134"/>
      <c r="D62" s="134"/>
      <c r="E62" s="134"/>
      <c r="F62" s="146"/>
      <c r="G62" s="134"/>
      <c r="H62" s="134"/>
      <c r="I62" s="136"/>
      <c r="J62" s="138"/>
      <c r="K62" s="147"/>
      <c r="L62" s="134"/>
      <c r="M62" s="134"/>
      <c r="N62" s="148"/>
      <c r="O62" s="149"/>
      <c r="P62" s="150"/>
      <c r="Q62" s="137"/>
      <c r="R62" s="133"/>
      <c r="S62" s="157"/>
      <c r="T62" s="6"/>
      <c r="U62" s="6"/>
      <c r="V62" s="6"/>
      <c r="W62" s="6"/>
      <c r="X62" s="6"/>
      <c r="Y62" s="6"/>
    </row>
    <row r="63" spans="1:25">
      <c r="A63" s="144"/>
      <c r="B63" s="145"/>
      <c r="C63" s="134"/>
      <c r="D63" s="134"/>
      <c r="E63" s="134"/>
      <c r="F63" s="146"/>
      <c r="G63" s="134"/>
      <c r="H63" s="134"/>
      <c r="I63" s="136"/>
      <c r="J63" s="138"/>
      <c r="K63" s="147"/>
      <c r="L63" s="134"/>
      <c r="M63" s="134"/>
      <c r="N63" s="148"/>
      <c r="O63" s="149"/>
      <c r="P63" s="150"/>
      <c r="Q63" s="137"/>
      <c r="R63" s="133"/>
      <c r="S63" s="157"/>
      <c r="T63" s="6"/>
      <c r="U63" s="6"/>
      <c r="V63" s="6"/>
      <c r="W63" s="6"/>
      <c r="X63" s="6"/>
      <c r="Y63" s="6"/>
    </row>
    <row r="64" spans="1:25">
      <c r="A64" s="144"/>
      <c r="B64" s="145"/>
      <c r="C64" s="134"/>
      <c r="D64" s="134"/>
      <c r="E64" s="134"/>
      <c r="F64" s="146"/>
      <c r="G64" s="134"/>
      <c r="H64" s="134"/>
      <c r="I64" s="136"/>
      <c r="J64" s="138"/>
      <c r="K64" s="147"/>
      <c r="L64" s="134"/>
      <c r="M64" s="134"/>
      <c r="N64" s="148"/>
      <c r="O64" s="149"/>
      <c r="P64" s="150"/>
      <c r="Q64" s="137"/>
      <c r="R64" s="133"/>
      <c r="S64" s="157"/>
      <c r="T64" s="6"/>
      <c r="U64" s="6"/>
      <c r="V64" s="6"/>
      <c r="W64" s="6"/>
      <c r="X64" s="6"/>
      <c r="Y64" s="6"/>
    </row>
    <row r="65" spans="1:25">
      <c r="A65" s="144"/>
      <c r="B65" s="145"/>
      <c r="C65" s="134"/>
      <c r="D65" s="134"/>
      <c r="E65" s="134"/>
      <c r="F65" s="146"/>
      <c r="G65" s="134"/>
      <c r="H65" s="134"/>
      <c r="I65" s="136"/>
      <c r="J65" s="138"/>
      <c r="K65" s="147"/>
      <c r="L65" s="134"/>
      <c r="M65" s="134"/>
      <c r="N65" s="148"/>
      <c r="O65" s="149"/>
      <c r="P65" s="150"/>
      <c r="Q65" s="137"/>
      <c r="R65" s="133"/>
      <c r="S65" s="157"/>
      <c r="T65" s="6"/>
      <c r="U65" s="6"/>
      <c r="V65" s="6"/>
      <c r="W65" s="6"/>
      <c r="X65" s="6"/>
      <c r="Y65" s="6"/>
    </row>
    <row r="66" spans="1:25">
      <c r="A66" s="144"/>
      <c r="B66" s="145"/>
      <c r="C66" s="134"/>
      <c r="D66" s="134"/>
      <c r="E66" s="134"/>
      <c r="F66" s="146"/>
      <c r="G66" s="134"/>
      <c r="H66" s="134"/>
      <c r="I66" s="136"/>
      <c r="J66" s="138"/>
      <c r="K66" s="147"/>
      <c r="L66" s="134"/>
      <c r="M66" s="134"/>
      <c r="N66" s="148"/>
      <c r="O66" s="149"/>
      <c r="P66" s="150"/>
      <c r="Q66" s="137"/>
      <c r="R66" s="133"/>
      <c r="S66" s="157"/>
      <c r="T66" s="6"/>
      <c r="U66" s="6"/>
      <c r="V66" s="6"/>
      <c r="W66" s="6"/>
      <c r="X66" s="6"/>
      <c r="Y66" s="6"/>
    </row>
    <row r="67" spans="1:25">
      <c r="A67" s="144"/>
      <c r="B67" s="145"/>
      <c r="C67" s="134"/>
      <c r="D67" s="134"/>
      <c r="E67" s="134"/>
      <c r="F67" s="146"/>
      <c r="G67" s="134"/>
      <c r="H67" s="134"/>
      <c r="I67" s="136"/>
      <c r="J67" s="138"/>
      <c r="K67" s="147"/>
      <c r="L67" s="134"/>
      <c r="M67" s="134"/>
      <c r="N67" s="148"/>
      <c r="O67" s="149"/>
      <c r="P67" s="150"/>
      <c r="Q67" s="137"/>
      <c r="R67" s="133"/>
      <c r="S67" s="157"/>
      <c r="T67" s="6"/>
      <c r="U67" s="6"/>
      <c r="V67" s="6"/>
      <c r="W67" s="6"/>
      <c r="X67" s="6"/>
      <c r="Y67" s="6"/>
    </row>
    <row r="68" spans="1:25">
      <c r="A68" s="144"/>
      <c r="B68" s="145"/>
      <c r="C68" s="134"/>
      <c r="D68" s="134"/>
      <c r="E68" s="134"/>
      <c r="F68" s="146"/>
      <c r="G68" s="134"/>
      <c r="H68" s="134"/>
      <c r="I68" s="136"/>
      <c r="J68" s="138"/>
      <c r="K68" s="147"/>
      <c r="L68" s="134"/>
      <c r="M68" s="134"/>
      <c r="N68" s="148"/>
      <c r="O68" s="149"/>
      <c r="P68" s="150"/>
      <c r="Q68" s="137"/>
      <c r="R68" s="133"/>
      <c r="S68" s="157"/>
      <c r="T68" s="6"/>
      <c r="U68" s="6"/>
      <c r="V68" s="6"/>
      <c r="W68" s="6"/>
      <c r="X68" s="6"/>
      <c r="Y68" s="6"/>
    </row>
    <row r="69" spans="1:25">
      <c r="A69" s="144"/>
      <c r="B69" s="145"/>
      <c r="C69" s="134"/>
      <c r="D69" s="134"/>
      <c r="E69" s="134"/>
      <c r="F69" s="146"/>
      <c r="G69" s="134"/>
      <c r="H69" s="134"/>
      <c r="I69" s="136"/>
      <c r="J69" s="138"/>
      <c r="K69" s="147"/>
      <c r="L69" s="134"/>
      <c r="M69" s="134"/>
      <c r="N69" s="148"/>
      <c r="O69" s="149"/>
      <c r="P69" s="150"/>
      <c r="Q69" s="137"/>
      <c r="R69" s="133"/>
      <c r="S69" s="157"/>
      <c r="T69" s="6"/>
      <c r="U69" s="6"/>
      <c r="V69" s="6"/>
      <c r="W69" s="6"/>
      <c r="X69" s="6"/>
      <c r="Y69" s="6"/>
    </row>
    <row r="70" spans="1:25">
      <c r="A70" s="144"/>
      <c r="B70" s="145"/>
      <c r="C70" s="134"/>
      <c r="D70" s="134"/>
      <c r="E70" s="134"/>
      <c r="F70" s="146"/>
      <c r="G70" s="134"/>
      <c r="H70" s="134"/>
      <c r="I70" s="136"/>
      <c r="J70" s="138"/>
      <c r="K70" s="147"/>
      <c r="L70" s="134"/>
      <c r="M70" s="134"/>
      <c r="N70" s="148"/>
      <c r="O70" s="149"/>
      <c r="P70" s="150"/>
      <c r="Q70" s="137"/>
      <c r="R70" s="133"/>
      <c r="S70" s="157"/>
      <c r="T70" s="6"/>
      <c r="U70" s="6"/>
      <c r="V70" s="6"/>
      <c r="W70" s="6"/>
      <c r="X70" s="6"/>
      <c r="Y70" s="6"/>
    </row>
    <row r="71" spans="1:25">
      <c r="A71" s="144"/>
      <c r="B71" s="145"/>
      <c r="C71" s="134"/>
      <c r="D71" s="134"/>
      <c r="E71" s="134"/>
      <c r="F71" s="146"/>
      <c r="G71" s="134"/>
      <c r="H71" s="134"/>
      <c r="I71" s="136"/>
      <c r="J71" s="138"/>
      <c r="K71" s="147"/>
      <c r="L71" s="134"/>
      <c r="M71" s="134"/>
      <c r="N71" s="148"/>
      <c r="O71" s="149"/>
      <c r="P71" s="150"/>
      <c r="Q71" s="137"/>
      <c r="R71" s="133"/>
      <c r="S71" s="157"/>
      <c r="T71" s="6"/>
      <c r="U71" s="6"/>
      <c r="V71" s="6"/>
      <c r="W71" s="6"/>
      <c r="X71" s="6"/>
      <c r="Y71" s="6"/>
    </row>
    <row r="72" spans="1:25">
      <c r="A72" s="144"/>
      <c r="B72" s="145"/>
      <c r="C72" s="134"/>
      <c r="D72" s="134"/>
      <c r="E72" s="134"/>
      <c r="F72" s="146"/>
      <c r="G72" s="134"/>
      <c r="H72" s="134"/>
      <c r="I72" s="136"/>
      <c r="J72" s="138"/>
      <c r="K72" s="147"/>
      <c r="L72" s="134"/>
      <c r="M72" s="134"/>
      <c r="N72" s="148"/>
      <c r="O72" s="149"/>
      <c r="P72" s="150"/>
      <c r="Q72" s="137"/>
      <c r="R72" s="133"/>
      <c r="S72" s="157"/>
      <c r="T72" s="6"/>
      <c r="U72" s="6"/>
      <c r="V72" s="6"/>
      <c r="W72" s="6"/>
      <c r="X72" s="6"/>
      <c r="Y72" s="6"/>
    </row>
    <row r="73" spans="1:25">
      <c r="A73" s="144"/>
      <c r="B73" s="145"/>
      <c r="C73" s="134"/>
      <c r="D73" s="134"/>
      <c r="E73" s="134"/>
      <c r="F73" s="146"/>
      <c r="G73" s="134"/>
      <c r="H73" s="134"/>
      <c r="I73" s="136"/>
      <c r="J73" s="138"/>
      <c r="K73" s="147"/>
      <c r="L73" s="134"/>
      <c r="M73" s="134"/>
      <c r="N73" s="148"/>
      <c r="O73" s="149"/>
      <c r="P73" s="150"/>
      <c r="Q73" s="137"/>
      <c r="R73" s="133"/>
      <c r="S73" s="157"/>
      <c r="T73" s="6"/>
      <c r="U73" s="6"/>
      <c r="V73" s="6"/>
      <c r="W73" s="6"/>
      <c r="X73" s="6"/>
      <c r="Y73" s="6"/>
    </row>
    <row r="74" spans="1:25">
      <c r="A74" s="144"/>
      <c r="B74" s="145"/>
      <c r="C74" s="134"/>
      <c r="D74" s="134"/>
      <c r="E74" s="134"/>
      <c r="F74" s="146"/>
      <c r="G74" s="134"/>
      <c r="H74" s="134"/>
      <c r="I74" s="136"/>
      <c r="J74" s="138"/>
      <c r="K74" s="147"/>
      <c r="L74" s="134"/>
      <c r="M74" s="134"/>
      <c r="N74" s="148"/>
      <c r="O74" s="149"/>
      <c r="P74" s="150"/>
      <c r="Q74" s="137"/>
      <c r="R74" s="133"/>
      <c r="S74" s="157"/>
      <c r="T74" s="6"/>
      <c r="U74" s="6"/>
      <c r="V74" s="6"/>
      <c r="W74" s="6"/>
      <c r="X74" s="6"/>
      <c r="Y74" s="6"/>
    </row>
    <row r="75" spans="1:25">
      <c r="A75" s="144"/>
      <c r="B75" s="145"/>
      <c r="C75" s="134"/>
      <c r="D75" s="134"/>
      <c r="E75" s="134"/>
      <c r="F75" s="146"/>
      <c r="G75" s="134"/>
      <c r="H75" s="134"/>
      <c r="I75" s="136"/>
      <c r="J75" s="138"/>
      <c r="K75" s="147"/>
      <c r="L75" s="134"/>
      <c r="M75" s="134"/>
      <c r="N75" s="148"/>
      <c r="O75" s="149"/>
      <c r="P75" s="150"/>
      <c r="Q75" s="137"/>
      <c r="R75" s="133"/>
      <c r="S75" s="157"/>
      <c r="T75" s="6"/>
      <c r="U75" s="6"/>
      <c r="V75" s="6"/>
      <c r="W75" s="6"/>
      <c r="X75" s="6"/>
      <c r="Y75" s="6"/>
    </row>
    <row r="76" spans="1:25">
      <c r="A76" s="151"/>
      <c r="B76" s="134"/>
      <c r="C76" s="134"/>
      <c r="D76" s="134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52"/>
      <c r="P76" s="146"/>
      <c r="Q76" s="146"/>
      <c r="R76" s="134"/>
      <c r="S76" s="158"/>
      <c r="T76" s="6"/>
      <c r="U76" s="6"/>
      <c r="V76" s="6"/>
      <c r="W76" s="6"/>
      <c r="X76" s="6"/>
      <c r="Y76" s="6"/>
    </row>
    <row r="77" spans="1:25">
      <c r="A77" s="151"/>
      <c r="B77" s="134"/>
      <c r="C77" s="134"/>
      <c r="D77" s="134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52"/>
      <c r="P77" s="146"/>
      <c r="Q77" s="146"/>
      <c r="R77" s="134"/>
      <c r="S77" s="158"/>
      <c r="T77" s="6"/>
      <c r="U77" s="6"/>
      <c r="V77" s="6"/>
      <c r="W77" s="6"/>
      <c r="X77" s="6"/>
      <c r="Y77" s="6"/>
    </row>
    <row r="78" spans="1:25">
      <c r="A78" s="151"/>
      <c r="B78" s="134"/>
      <c r="C78" s="134"/>
      <c r="D78" s="134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52"/>
      <c r="P78" s="146"/>
      <c r="Q78" s="146"/>
      <c r="R78" s="134"/>
      <c r="S78" s="158"/>
      <c r="T78" s="6"/>
      <c r="U78" s="6"/>
      <c r="V78" s="6"/>
      <c r="W78" s="6"/>
      <c r="X78" s="6"/>
      <c r="Y78" s="6"/>
    </row>
    <row r="79" spans="1:25">
      <c r="A79" s="151"/>
      <c r="B79" s="134"/>
      <c r="C79" s="134"/>
      <c r="D79" s="134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52"/>
      <c r="P79" s="146"/>
      <c r="Q79" s="146"/>
      <c r="R79" s="134"/>
      <c r="S79" s="158"/>
      <c r="T79" s="6"/>
      <c r="U79" s="6"/>
      <c r="V79" s="6"/>
      <c r="W79" s="6"/>
      <c r="X79" s="6"/>
      <c r="Y79" s="6"/>
    </row>
    <row r="80" spans="1:25">
      <c r="A80" s="151"/>
      <c r="B80" s="134"/>
      <c r="C80" s="134"/>
      <c r="D80" s="134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52"/>
      <c r="P80" s="146"/>
      <c r="Q80" s="146"/>
      <c r="R80" s="134"/>
      <c r="S80" s="158"/>
      <c r="T80" s="6"/>
      <c r="U80" s="6"/>
      <c r="V80" s="6"/>
      <c r="W80" s="6"/>
      <c r="X80" s="6"/>
      <c r="Y80" s="6"/>
    </row>
    <row r="81" spans="1:25">
      <c r="A81" s="151"/>
      <c r="B81" s="134"/>
      <c r="C81" s="134"/>
      <c r="D81" s="134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52"/>
      <c r="P81" s="146"/>
      <c r="Q81" s="146"/>
      <c r="R81" s="134"/>
      <c r="S81" s="158"/>
      <c r="T81" s="6"/>
      <c r="U81" s="6"/>
      <c r="V81" s="6"/>
      <c r="W81" s="6"/>
      <c r="X81" s="6"/>
      <c r="Y81" s="6"/>
    </row>
    <row r="82" spans="1:25">
      <c r="A82" s="151"/>
      <c r="B82" s="134"/>
      <c r="C82" s="134"/>
      <c r="D82" s="134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52"/>
      <c r="P82" s="146"/>
      <c r="Q82" s="146"/>
      <c r="R82" s="134"/>
      <c r="S82" s="158"/>
      <c r="T82" s="6"/>
      <c r="U82" s="6"/>
      <c r="V82" s="6"/>
      <c r="W82" s="6"/>
      <c r="X82" s="6"/>
      <c r="Y82" s="6"/>
    </row>
    <row r="83" spans="1:25">
      <c r="A83" s="151"/>
      <c r="B83" s="134"/>
      <c r="C83" s="134"/>
      <c r="D83" s="134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52"/>
      <c r="P83" s="146"/>
      <c r="Q83" s="146"/>
      <c r="R83" s="134"/>
      <c r="S83" s="158"/>
      <c r="T83" s="6"/>
      <c r="U83" s="6"/>
      <c r="V83" s="6"/>
      <c r="W83" s="6"/>
      <c r="X83" s="6"/>
      <c r="Y83" s="6"/>
    </row>
    <row r="84" spans="1:25">
      <c r="A84" s="151"/>
      <c r="B84" s="134"/>
      <c r="C84" s="134"/>
      <c r="D84" s="134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52"/>
      <c r="P84" s="146"/>
      <c r="Q84" s="146"/>
      <c r="R84" s="134"/>
      <c r="S84" s="158"/>
      <c r="T84" s="6"/>
      <c r="U84" s="6"/>
      <c r="V84" s="6"/>
      <c r="W84" s="6"/>
      <c r="X84" s="6"/>
      <c r="Y84" s="6"/>
    </row>
    <row r="85" spans="1:25">
      <c r="A85" s="151"/>
      <c r="B85" s="134"/>
      <c r="C85" s="134"/>
      <c r="D85" s="134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52"/>
      <c r="P85" s="146"/>
      <c r="Q85" s="146"/>
      <c r="R85" s="134"/>
      <c r="S85" s="158"/>
      <c r="T85" s="6"/>
      <c r="U85" s="6"/>
      <c r="V85" s="6"/>
      <c r="W85" s="6"/>
      <c r="X85" s="6"/>
      <c r="Y85" s="6"/>
    </row>
    <row r="86" spans="1:25">
      <c r="A86" s="151"/>
      <c r="B86" s="134"/>
      <c r="C86" s="134"/>
      <c r="D86" s="134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52"/>
      <c r="P86" s="146"/>
      <c r="Q86" s="146"/>
      <c r="R86" s="134"/>
      <c r="S86" s="158"/>
      <c r="T86" s="6"/>
      <c r="U86" s="6"/>
      <c r="V86" s="6"/>
      <c r="W86" s="6"/>
      <c r="X86" s="6"/>
      <c r="Y86" s="6"/>
    </row>
    <row r="87" spans="1:25">
      <c r="A87" s="151"/>
      <c r="B87" s="134"/>
      <c r="C87" s="134"/>
      <c r="D87" s="134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52"/>
      <c r="P87" s="146"/>
      <c r="Q87" s="146"/>
      <c r="R87" s="134"/>
      <c r="S87" s="158"/>
      <c r="T87" s="6"/>
      <c r="U87" s="6"/>
      <c r="V87" s="6"/>
      <c r="W87" s="6"/>
      <c r="X87" s="6"/>
      <c r="Y87" s="6"/>
    </row>
    <row r="88" spans="1:25">
      <c r="A88" s="151"/>
      <c r="B88" s="134"/>
      <c r="C88" s="134"/>
      <c r="D88" s="134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52"/>
      <c r="P88" s="146"/>
      <c r="Q88" s="146"/>
      <c r="R88" s="134"/>
      <c r="S88" s="158"/>
      <c r="T88" s="6"/>
      <c r="U88" s="6"/>
      <c r="V88" s="6"/>
      <c r="W88" s="6"/>
      <c r="X88" s="6"/>
      <c r="Y88" s="6"/>
    </row>
    <row r="89" spans="1:25">
      <c r="A89" s="151"/>
      <c r="B89" s="134"/>
      <c r="C89" s="134"/>
      <c r="D89" s="134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52"/>
      <c r="P89" s="146"/>
      <c r="Q89" s="146"/>
      <c r="R89" s="134"/>
      <c r="S89" s="158"/>
      <c r="T89" s="6"/>
      <c r="U89" s="6"/>
      <c r="V89" s="6"/>
      <c r="W89" s="6"/>
      <c r="X89" s="6"/>
      <c r="Y89" s="6"/>
    </row>
    <row r="90" spans="1:25">
      <c r="A90" s="151"/>
      <c r="B90" s="134"/>
      <c r="C90" s="134"/>
      <c r="D90" s="134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52"/>
      <c r="P90" s="146"/>
      <c r="Q90" s="146"/>
      <c r="R90" s="134"/>
      <c r="S90" s="158"/>
      <c r="T90" s="6"/>
      <c r="U90" s="6"/>
      <c r="V90" s="6"/>
      <c r="W90" s="6"/>
      <c r="X90" s="6"/>
      <c r="Y90" s="6"/>
    </row>
    <row r="91" spans="1:25">
      <c r="A91" s="153"/>
      <c r="B91" s="154"/>
      <c r="C91" s="154"/>
      <c r="D91" s="154"/>
      <c r="E91" s="155"/>
      <c r="F91" s="155"/>
      <c r="G91" s="155"/>
      <c r="H91" s="155"/>
      <c r="I91" s="155"/>
      <c r="J91" s="155"/>
      <c r="K91" s="155"/>
      <c r="L91" s="155"/>
      <c r="M91" s="155"/>
      <c r="N91" s="155"/>
      <c r="O91" s="156"/>
      <c r="P91" s="155"/>
      <c r="Q91" s="155"/>
      <c r="R91" s="154"/>
      <c r="S91" s="159"/>
    </row>
  </sheetData>
  <conditionalFormatting sqref="A11:S91">
    <cfRule type="expression" dxfId="22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8"/>
  <sheetViews>
    <sheetView workbookViewId="0">
      <selection activeCell="C3" sqref="C3"/>
    </sheetView>
  </sheetViews>
  <sheetFormatPr defaultRowHeight="14.5"/>
  <cols>
    <col min="1" max="1" width="14.81640625" customWidth="1"/>
    <col min="2" max="2" width="12" customWidth="1"/>
    <col min="3" max="3" width="12.26953125" customWidth="1"/>
    <col min="4" max="4" width="14.81640625" customWidth="1"/>
    <col min="5" max="5" width="11.81640625" customWidth="1"/>
    <col min="6" max="6" width="11" customWidth="1"/>
  </cols>
  <sheetData>
    <row r="1" spans="1:6">
      <c r="A1" s="481" t="s">
        <v>2113</v>
      </c>
      <c r="B1" s="481" t="s">
        <v>2010</v>
      </c>
      <c r="C1" s="481" t="s">
        <v>2013</v>
      </c>
      <c r="D1" s="482" t="s">
        <v>2114</v>
      </c>
      <c r="E1" s="482" t="s">
        <v>2115</v>
      </c>
      <c r="F1" s="482" t="s">
        <v>2148</v>
      </c>
    </row>
    <row r="3" spans="1:6">
      <c r="A3" t="str">
        <f>PosAggregate!A13</f>
        <v>JP3866800000</v>
      </c>
      <c r="B3" s="348">
        <f ca="1">PosAggregate!L13</f>
        <v>192500</v>
      </c>
      <c r="C3" s="348" t="e">
        <f ca="1">PosAggregate!Y13</f>
        <v>#NAME?</v>
      </c>
      <c r="D3" s="534" t="s">
        <v>2116</v>
      </c>
      <c r="E3" s="348">
        <f>VLOOKUP(A3,POSNAV!A:D,3,FALSE)</f>
        <v>173000</v>
      </c>
      <c r="F3" s="348">
        <f t="shared" ref="F3" ca="1" si="0">B3-E3</f>
        <v>19500</v>
      </c>
    </row>
    <row r="4" spans="1:6">
      <c r="A4" t="str">
        <f>PosAggregate!A14</f>
        <v>JP3402600005</v>
      </c>
      <c r="B4" s="348">
        <f ca="1">PosAggregate!L14</f>
        <v>17900</v>
      </c>
      <c r="C4" s="348" t="e">
        <f ca="1">PosAggregate!Y14</f>
        <v>#NAME?</v>
      </c>
      <c r="D4" s="534" t="s">
        <v>12709</v>
      </c>
      <c r="E4" s="348">
        <f>VLOOKUP(A4,POSNAV!A:D,3,FALSE)</f>
        <v>42000</v>
      </c>
      <c r="F4" s="348">
        <f t="shared" ref="F4:F67" ca="1" si="1">B4-E4</f>
        <v>-24100</v>
      </c>
    </row>
    <row r="5" spans="1:6">
      <c r="A5" t="str">
        <f>PosAggregate!A15</f>
        <v>JP3468810001</v>
      </c>
      <c r="B5" s="348">
        <f ca="1">PosAggregate!L15</f>
        <v>16900</v>
      </c>
      <c r="C5" s="348" t="e">
        <f ca="1">PosAggregate!Y15</f>
        <v>#NAME?</v>
      </c>
      <c r="D5" s="534" t="s">
        <v>2117</v>
      </c>
      <c r="E5" s="348">
        <f>VLOOKUP(A5,POSNAV!A:D,3,FALSE)</f>
        <v>16900</v>
      </c>
      <c r="F5" s="348">
        <f t="shared" ca="1" si="1"/>
        <v>0</v>
      </c>
    </row>
    <row r="6" spans="1:6">
      <c r="A6" t="str">
        <f>PosAggregate!A16</f>
        <v>JP3691600005</v>
      </c>
      <c r="B6" s="348">
        <f ca="1">PosAggregate!L16</f>
        <v>12000</v>
      </c>
      <c r="C6" s="348" t="e">
        <f ca="1">PosAggregate!Y16</f>
        <v>#NAME?</v>
      </c>
      <c r="D6" s="534" t="s">
        <v>2118</v>
      </c>
      <c r="E6" s="348">
        <f>VLOOKUP(A6,POSNAV!A:D,3,FALSE)</f>
        <v>17000</v>
      </c>
      <c r="F6" s="348">
        <f t="shared" ca="1" si="1"/>
        <v>-5000</v>
      </c>
    </row>
    <row r="7" spans="1:6">
      <c r="A7" t="str">
        <f>PosAggregate!A17</f>
        <v>JP3627400009</v>
      </c>
      <c r="B7" s="348">
        <f ca="1">PosAggregate!L17</f>
        <v>50000</v>
      </c>
      <c r="C7" s="348" t="e">
        <f ca="1">PosAggregate!Y17</f>
        <v>#NAME?</v>
      </c>
      <c r="D7" s="534" t="s">
        <v>12723</v>
      </c>
      <c r="E7" s="348">
        <f>VLOOKUP(A7,POSNAV!A:D,3,FALSE)</f>
        <v>50000</v>
      </c>
      <c r="F7" s="348">
        <f t="shared" ca="1" si="1"/>
        <v>0</v>
      </c>
    </row>
    <row r="8" spans="1:6">
      <c r="A8" t="str">
        <f>PosAggregate!A18</f>
        <v>JP3368000000</v>
      </c>
      <c r="B8" s="348">
        <f ca="1">PosAggregate!L18</f>
        <v>26700</v>
      </c>
      <c r="C8" s="348" t="e">
        <f ca="1">PosAggregate!Y18</f>
        <v>#NAME?</v>
      </c>
      <c r="D8" s="534" t="s">
        <v>2119</v>
      </c>
      <c r="E8" s="348">
        <f>VLOOKUP(A8,POSNAV!A:D,3,FALSE)</f>
        <v>46200</v>
      </c>
      <c r="F8" s="348">
        <f t="shared" ca="1" si="1"/>
        <v>-19500</v>
      </c>
    </row>
    <row r="9" spans="1:6">
      <c r="A9" t="str">
        <f>PosAggregate!A19</f>
        <v>JP3690400001</v>
      </c>
      <c r="B9" s="348">
        <f ca="1">PosAggregate!L19</f>
        <v>3800</v>
      </c>
      <c r="C9" s="348" t="e">
        <f ca="1">PosAggregate!Y19</f>
        <v>#NAME?</v>
      </c>
      <c r="D9" s="534" t="s">
        <v>13056</v>
      </c>
      <c r="E9" s="348">
        <f>VLOOKUP(A9,POSNAV!A:D,3,FALSE)</f>
        <v>3800</v>
      </c>
      <c r="F9" s="348">
        <f t="shared" ca="1" si="1"/>
        <v>0</v>
      </c>
    </row>
    <row r="10" spans="1:6">
      <c r="A10" t="str">
        <f>PosAggregate!A20</f>
        <v>JP3616000000</v>
      </c>
      <c r="B10" s="348">
        <f ca="1">PosAggregate!L20</f>
        <v>5400</v>
      </c>
      <c r="C10" s="348" t="e">
        <f ca="1">PosAggregate!Y20</f>
        <v>#NAME?</v>
      </c>
      <c r="D10" s="534" t="s">
        <v>2120</v>
      </c>
      <c r="E10" s="348">
        <f>VLOOKUP(A10,POSNAV!A:D,3,FALSE)</f>
        <v>5400</v>
      </c>
      <c r="F10" s="348">
        <f t="shared" ca="1" si="1"/>
        <v>0</v>
      </c>
    </row>
    <row r="11" spans="1:6">
      <c r="A11" t="str">
        <f>PosAggregate!A21</f>
        <v>JP3401400001</v>
      </c>
      <c r="B11" s="348">
        <f ca="1">PosAggregate!L21</f>
        <v>67000</v>
      </c>
      <c r="C11" s="348" t="e">
        <f ca="1">PosAggregate!Y21</f>
        <v>#NAME?</v>
      </c>
      <c r="D11" s="534" t="s">
        <v>2121</v>
      </c>
      <c r="E11" s="348">
        <f>VLOOKUP(A11,POSNAV!A:D,3,FALSE)</f>
        <v>31000</v>
      </c>
      <c r="F11" s="348">
        <f t="shared" ca="1" si="1"/>
        <v>36000</v>
      </c>
    </row>
    <row r="12" spans="1:6">
      <c r="A12" t="str">
        <f>PosAggregate!A22</f>
        <v>JP3544000007</v>
      </c>
      <c r="B12" s="348">
        <f ca="1">PosAggregate!L22</f>
        <v>67000</v>
      </c>
      <c r="C12" s="348" t="e">
        <f ca="1">PosAggregate!Y22</f>
        <v>#NAME?</v>
      </c>
      <c r="D12" s="534" t="s">
        <v>2122</v>
      </c>
      <c r="E12" s="348">
        <f>VLOOKUP(A12,POSNAV!A:D,3,FALSE)</f>
        <v>89000</v>
      </c>
      <c r="F12" s="348">
        <f t="shared" ca="1" si="1"/>
        <v>-22000</v>
      </c>
    </row>
    <row r="13" spans="1:6">
      <c r="A13" t="str">
        <f>PosAggregate!A23</f>
        <v>KR7051911006</v>
      </c>
      <c r="B13" s="348">
        <f ca="1">PosAggregate!L23</f>
        <v>1100</v>
      </c>
      <c r="C13" s="348" t="e">
        <f ca="1">PosAggregate!Y23</f>
        <v>#NAME?</v>
      </c>
      <c r="D13" s="534" t="s">
        <v>2123</v>
      </c>
      <c r="E13" s="348">
        <f>VLOOKUP(A13,POSNAV!A:D,3,FALSE)</f>
        <v>4200</v>
      </c>
      <c r="F13" s="348">
        <f t="shared" ca="1" si="1"/>
        <v>-3100</v>
      </c>
    </row>
    <row r="14" spans="1:6">
      <c r="A14" t="str">
        <f>PosAggregate!A24</f>
        <v>KR7006401004</v>
      </c>
      <c r="B14" s="348">
        <f ca="1">PosAggregate!L24</f>
        <v>690</v>
      </c>
      <c r="C14" s="348" t="e">
        <f ca="1">PosAggregate!Y24</f>
        <v>#NAME?</v>
      </c>
      <c r="D14" s="534" t="s">
        <v>2228</v>
      </c>
      <c r="E14" s="348">
        <f>VLOOKUP(A14,POSNAV!A:D,3,FALSE)</f>
        <v>690</v>
      </c>
      <c r="F14" s="348">
        <f t="shared" ca="1" si="1"/>
        <v>0</v>
      </c>
    </row>
    <row r="15" spans="1:6">
      <c r="A15" t="str">
        <f>PosAggregate!A25</f>
        <v>KR7096771001</v>
      </c>
      <c r="B15" s="348">
        <f ca="1">PosAggregate!L25</f>
        <v>2370</v>
      </c>
      <c r="C15" s="348" t="e">
        <f ca="1">PosAggregate!Y25</f>
        <v>#NAME?</v>
      </c>
      <c r="D15" s="534" t="s">
        <v>2124</v>
      </c>
      <c r="E15" s="348">
        <f>VLOOKUP(A15,POSNAV!A:D,3,FALSE)</f>
        <v>6277</v>
      </c>
      <c r="F15" s="348">
        <f t="shared" ca="1" si="1"/>
        <v>-3907</v>
      </c>
    </row>
    <row r="16" spans="1:6">
      <c r="A16" t="str">
        <f>PosAggregate!A26</f>
        <v>KR7036830008</v>
      </c>
      <c r="B16" s="348">
        <f ca="1">PosAggregate!L26</f>
        <v>6900</v>
      </c>
      <c r="C16" s="348" t="e">
        <f ca="1">PosAggregate!Y26</f>
        <v>#NAME?</v>
      </c>
      <c r="D16" s="534" t="s">
        <v>2125</v>
      </c>
      <c r="E16" s="348">
        <f>VLOOKUP(A16,POSNAV!A:D,3,FALSE)</f>
        <v>11000</v>
      </c>
      <c r="F16" s="348">
        <f t="shared" ca="1" si="1"/>
        <v>-4100</v>
      </c>
    </row>
    <row r="17" spans="1:6">
      <c r="A17" t="str">
        <f>PosAggregate!A27</f>
        <v>FR0000120859</v>
      </c>
      <c r="B17" s="348">
        <f ca="1">PosAggregate!L27</f>
        <v>6975</v>
      </c>
      <c r="C17" s="348" t="e">
        <f ca="1">PosAggregate!Y27</f>
        <v>#NAME?</v>
      </c>
      <c r="D17" s="534" t="s">
        <v>13090</v>
      </c>
      <c r="E17" s="348">
        <f>VLOOKUP(A17,POSNAV!A:D,3,FALSE)</f>
        <v>6975</v>
      </c>
      <c r="F17" s="348">
        <f t="shared" ca="1" si="1"/>
        <v>0</v>
      </c>
    </row>
    <row r="18" spans="1:6">
      <c r="A18" t="str">
        <f>PosAggregate!A28</f>
        <v>FR0000131757</v>
      </c>
      <c r="B18" s="348">
        <f ca="1">PosAggregate!L28</f>
        <v>6610</v>
      </c>
      <c r="C18" s="348" t="e">
        <f ca="1">PosAggregate!Y28</f>
        <v>#NAME?</v>
      </c>
      <c r="D18" s="534" t="s">
        <v>13057</v>
      </c>
      <c r="E18" s="348">
        <f>VLOOKUP(A18,POSNAV!A:D,3,FALSE)</f>
        <v>6610</v>
      </c>
      <c r="F18" s="348">
        <f t="shared" ca="1" si="1"/>
        <v>0</v>
      </c>
    </row>
    <row r="19" spans="1:6">
      <c r="A19" t="str">
        <f>PosAggregate!A29</f>
        <v>FR0013176526</v>
      </c>
      <c r="B19" s="348">
        <f ca="1">PosAggregate!L29</f>
        <v>33000</v>
      </c>
      <c r="C19" s="348" t="e">
        <f ca="1">PosAggregate!Y29</f>
        <v>#NAME?</v>
      </c>
      <c r="D19" s="534" t="s">
        <v>12705</v>
      </c>
      <c r="E19" s="348">
        <f>VLOOKUP(A19,POSNAV!A:D,3,FALSE)</f>
        <v>34000</v>
      </c>
      <c r="F19" s="348">
        <f t="shared" ca="1" si="1"/>
        <v>-1000</v>
      </c>
    </row>
    <row r="20" spans="1:6">
      <c r="A20" t="str">
        <f>PosAggregate!A30</f>
        <v>DE0005439004</v>
      </c>
      <c r="B20" s="348">
        <f ca="1">PosAggregate!L30</f>
        <v>3300</v>
      </c>
      <c r="C20" s="348" t="e">
        <f ca="1">PosAggregate!Y30</f>
        <v>#NAME?</v>
      </c>
      <c r="D20" s="534" t="s">
        <v>12706</v>
      </c>
      <c r="E20" s="348">
        <f>VLOOKUP(A20,POSNAV!A:D,3,FALSE)</f>
        <v>3300</v>
      </c>
      <c r="F20" s="348">
        <f t="shared" ca="1" si="1"/>
        <v>0</v>
      </c>
    </row>
    <row r="21" spans="1:6">
      <c r="A21" t="str">
        <f>PosAggregate!A31</f>
        <v>FR0000131906</v>
      </c>
      <c r="B21" s="348">
        <f ca="1">PosAggregate!L31</f>
        <v>17900</v>
      </c>
      <c r="C21" s="348" t="e">
        <f ca="1">PosAggregate!Y31</f>
        <v>#NAME?</v>
      </c>
      <c r="D21" s="534" t="s">
        <v>2209</v>
      </c>
      <c r="E21" s="348">
        <f>VLOOKUP(A21,POSNAV!A:D,3,FALSE)</f>
        <v>17900</v>
      </c>
      <c r="F21" s="348">
        <f t="shared" ca="1" si="1"/>
        <v>0</v>
      </c>
    </row>
    <row r="22" spans="1:6">
      <c r="A22" t="str">
        <f>PosAggregate!A32</f>
        <v>CA65401N1078</v>
      </c>
      <c r="B22" s="348">
        <f ca="1">PosAggregate!L32</f>
        <v>24000</v>
      </c>
      <c r="C22" s="348" t="e">
        <f ca="1">PosAggregate!Y32</f>
        <v>#NAME?</v>
      </c>
      <c r="D22" s="534" t="s">
        <v>12707</v>
      </c>
      <c r="E22" s="348">
        <f>VLOOKUP(A22,POSNAV!A:D,3,FALSE)</f>
        <v>24000</v>
      </c>
      <c r="F22" s="348">
        <f t="shared" ca="1" si="1"/>
        <v>0</v>
      </c>
    </row>
    <row r="23" spans="1:6">
      <c r="A23" t="str">
        <f>PosAggregate!A33</f>
        <v>AU000000SYR9</v>
      </c>
      <c r="B23" s="348">
        <f ca="1">PosAggregate!L33</f>
        <v>900000</v>
      </c>
      <c r="C23" s="348" t="e">
        <f ca="1">PosAggregate!Y33</f>
        <v>#NAME?</v>
      </c>
      <c r="D23" s="534" t="s">
        <v>2126</v>
      </c>
      <c r="E23" s="348">
        <f>VLOOKUP(A23,POSNAV!A:D,3,FALSE)</f>
        <v>689680</v>
      </c>
      <c r="F23" s="348">
        <f t="shared" ca="1" si="1"/>
        <v>210320</v>
      </c>
    </row>
    <row r="24" spans="1:6">
      <c r="A24" t="str">
        <f>PosAggregate!A34</f>
        <v>SE0008348072</v>
      </c>
      <c r="B24" s="348">
        <f ca="1">PosAggregate!L34</f>
        <v>310265</v>
      </c>
      <c r="C24" s="348" t="e">
        <f ca="1">PosAggregate!Y34</f>
        <v>#NAME?</v>
      </c>
      <c r="D24" s="534" t="s">
        <v>2127</v>
      </c>
      <c r="E24" s="348">
        <f>VLOOKUP(A24,POSNAV!A:D,3,FALSE)</f>
        <v>341291</v>
      </c>
      <c r="F24" s="348">
        <f t="shared" ca="1" si="1"/>
        <v>-31026</v>
      </c>
    </row>
    <row r="25" spans="1:6">
      <c r="A25" t="str">
        <f>PosAggregate!A35</f>
        <v>US3843135084</v>
      </c>
      <c r="B25" s="348">
        <f ca="1">PosAggregate!L35</f>
        <v>14400</v>
      </c>
      <c r="C25" s="348" t="e">
        <f ca="1">PosAggregate!Y35</f>
        <v>#NAME?</v>
      </c>
      <c r="D25" s="534" t="s">
        <v>12710</v>
      </c>
      <c r="E25" s="348">
        <f>VLOOKUP(A25,POSNAV!A:D,3,FALSE)</f>
        <v>14400</v>
      </c>
      <c r="F25" s="348">
        <f t="shared" ca="1" si="1"/>
        <v>0</v>
      </c>
    </row>
    <row r="26" spans="1:6">
      <c r="A26" t="str">
        <f>PosAggregate!A36</f>
        <v>JP3404600003</v>
      </c>
      <c r="B26" s="348">
        <f ca="1">PosAggregate!L36</f>
        <v>6400</v>
      </c>
      <c r="C26" s="348" t="e">
        <f ca="1">PosAggregate!Y36</f>
        <v>#NAME?</v>
      </c>
      <c r="D26" s="534" t="s">
        <v>2128</v>
      </c>
      <c r="E26" s="348">
        <f>VLOOKUP(A26,POSNAV!A:D,3,FALSE)</f>
        <v>6400</v>
      </c>
      <c r="F26" s="348">
        <f t="shared" ca="1" si="1"/>
        <v>0</v>
      </c>
    </row>
    <row r="27" spans="1:6">
      <c r="A27" t="str">
        <f>PosAggregate!A37</f>
        <v>CNE100001TJ4</v>
      </c>
      <c r="B27" s="348">
        <f ca="1">PosAggregate!L37</f>
        <v>2000000</v>
      </c>
      <c r="C27" s="348" t="e">
        <f ca="1">PosAggregate!Y37</f>
        <v>#NAME?</v>
      </c>
      <c r="D27" s="534" t="s">
        <v>2129</v>
      </c>
      <c r="E27" s="348">
        <f>VLOOKUP(A27,POSNAV!A:D,3,FALSE)</f>
        <v>2000000</v>
      </c>
      <c r="F27" s="348">
        <f t="shared" ca="1" si="1"/>
        <v>0</v>
      </c>
    </row>
    <row r="28" spans="1:6">
      <c r="A28" t="str">
        <f>PosAggregate!A38</f>
        <v>JP3692000007</v>
      </c>
      <c r="B28" s="348">
        <f ca="1">PosAggregate!L38</f>
        <v>17000</v>
      </c>
      <c r="C28" s="348" t="e">
        <f ca="1">PosAggregate!Y38</f>
        <v>#NAME?</v>
      </c>
      <c r="D28" s="534" t="s">
        <v>2130</v>
      </c>
      <c r="E28" s="348">
        <f>VLOOKUP(A28,POSNAV!A:D,3,FALSE)</f>
        <v>17000</v>
      </c>
      <c r="F28" s="348">
        <f t="shared" ca="1" si="1"/>
        <v>0</v>
      </c>
    </row>
    <row r="29" spans="1:6">
      <c r="A29" t="str">
        <f>PosAggregate!A39</f>
        <v>US55315J1025</v>
      </c>
      <c r="B29" s="348">
        <f ca="1">PosAggregate!L39</f>
        <v>7170</v>
      </c>
      <c r="C29" s="348" t="e">
        <f ca="1">PosAggregate!Y39</f>
        <v>#NAME?</v>
      </c>
      <c r="D29" s="534" t="s">
        <v>12711</v>
      </c>
      <c r="E29" s="348">
        <f>VLOOKUP(A29,POSNAV!A:D,3,FALSE)</f>
        <v>7170</v>
      </c>
      <c r="F29" s="348">
        <f t="shared" ca="1" si="1"/>
        <v>0</v>
      </c>
    </row>
    <row r="30" spans="1:6">
      <c r="A30" t="str">
        <f>PosAggregate!A40</f>
        <v>JP3399720006</v>
      </c>
      <c r="B30" s="348">
        <f ca="1">PosAggregate!L40</f>
        <v>10950</v>
      </c>
      <c r="C30" s="348" t="e">
        <f ca="1">PosAggregate!Y40</f>
        <v>#NAME?</v>
      </c>
      <c r="D30" s="534" t="s">
        <v>12719</v>
      </c>
      <c r="E30" s="348">
        <f>VLOOKUP(A30,POSNAV!A:D,3,FALSE)</f>
        <v>14200</v>
      </c>
      <c r="F30" s="348">
        <f t="shared" ca="1" si="1"/>
        <v>-3250</v>
      </c>
    </row>
    <row r="31" spans="1:6">
      <c r="A31" t="str">
        <f>PosAggregate!A41</f>
        <v>AU000000WSA9</v>
      </c>
      <c r="B31" s="348">
        <f ca="1">PosAggregate!L41</f>
        <v>670000</v>
      </c>
      <c r="C31" s="348" t="e">
        <f ca="1">PosAggregate!Y41</f>
        <v>#NAME?</v>
      </c>
      <c r="D31" s="534" t="s">
        <v>2131</v>
      </c>
      <c r="E31" s="348">
        <f>VLOOKUP(A31,POSNAV!A:D,3,FALSE)</f>
        <v>110000</v>
      </c>
      <c r="F31" s="348">
        <f t="shared" ca="1" si="1"/>
        <v>560000</v>
      </c>
    </row>
    <row r="32" spans="1:6">
      <c r="A32" t="str">
        <f>PosAggregate!A42</f>
        <v>DE0007664039</v>
      </c>
      <c r="B32" s="348">
        <f ca="1">PosAggregate!L42</f>
        <v>2270</v>
      </c>
      <c r="C32" s="348" t="e">
        <f ca="1">PosAggregate!Y42</f>
        <v>#NAME?</v>
      </c>
      <c r="D32" s="534" t="s">
        <v>13051</v>
      </c>
      <c r="E32" s="348">
        <f>VLOOKUP(A32,POSNAV!A:D,3,FALSE)</f>
        <v>2270</v>
      </c>
      <c r="F32" s="348">
        <f t="shared" ca="1" si="1"/>
        <v>0</v>
      </c>
    </row>
    <row r="33" spans="1:6">
      <c r="A33" t="str">
        <f>PosAggregate!A43</f>
        <v>JE00B4T3BW64</v>
      </c>
      <c r="B33" s="348">
        <f ca="1">PosAggregate!L43</f>
        <v>39000</v>
      </c>
      <c r="C33" s="348" t="e">
        <f ca="1">PosAggregate!Y43</f>
        <v>#NAME?</v>
      </c>
      <c r="D33" s="534" t="s">
        <v>2132</v>
      </c>
      <c r="E33" s="348">
        <f>VLOOKUP(A33,POSNAV!A:D,3,FALSE)</f>
        <v>22000</v>
      </c>
      <c r="F33" s="348">
        <f t="shared" ca="1" si="1"/>
        <v>17000</v>
      </c>
    </row>
    <row r="34" spans="1:6">
      <c r="A34" t="str">
        <f>PosAggregate!A44</f>
        <v>KR7064960008</v>
      </c>
      <c r="B34" s="348">
        <f ca="1">PosAggregate!L44</f>
        <v>4200</v>
      </c>
      <c r="C34" s="348" t="e">
        <f ca="1">PosAggregate!Y44</f>
        <v>#NAME?</v>
      </c>
      <c r="D34" s="534" t="s">
        <v>2203</v>
      </c>
      <c r="E34" s="348">
        <f>VLOOKUP(A34,POSNAV!A:D,3,FALSE)</f>
        <v>11000</v>
      </c>
      <c r="F34" s="348">
        <f t="shared" ca="1" si="1"/>
        <v>-6800</v>
      </c>
    </row>
    <row r="35" spans="1:6">
      <c r="A35" t="str">
        <f>PosAggregate!A45</f>
        <v>KR7005490008</v>
      </c>
      <c r="B35" s="348">
        <f ca="1">PosAggregate!L45</f>
        <v>1090</v>
      </c>
      <c r="C35" s="348" t="e">
        <f ca="1">PosAggregate!Y45</f>
        <v>#NAME?</v>
      </c>
      <c r="D35" s="534" t="s">
        <v>2133</v>
      </c>
      <c r="E35" s="348">
        <f>VLOOKUP(A35,POSNAV!A:D,3,FALSE)</f>
        <v>1090</v>
      </c>
      <c r="F35" s="348">
        <f t="shared" ca="1" si="1"/>
        <v>0</v>
      </c>
    </row>
    <row r="36" spans="1:6">
      <c r="A36" t="str">
        <f>PosAggregate!A46</f>
        <v>KR7056190002</v>
      </c>
      <c r="B36" s="348">
        <f ca="1">PosAggregate!L46</f>
        <v>22070</v>
      </c>
      <c r="C36" s="348" t="e">
        <f ca="1">PosAggregate!Y46</f>
        <v>#NAME?</v>
      </c>
      <c r="D36" s="534" t="s">
        <v>2134</v>
      </c>
      <c r="E36" s="348">
        <f>VLOOKUP(A36,POSNAV!A:D,3,FALSE)</f>
        <v>41715</v>
      </c>
      <c r="F36" s="348">
        <f t="shared" ca="1" si="1"/>
        <v>-19645</v>
      </c>
    </row>
    <row r="37" spans="1:6">
      <c r="A37" t="str">
        <f>PosAggregate!A47</f>
        <v>JP3271600003</v>
      </c>
      <c r="B37" s="348">
        <f ca="1">PosAggregate!L47</f>
        <v>1670</v>
      </c>
      <c r="C37" s="348" t="e">
        <f ca="1">PosAggregate!Y47</f>
        <v>#NAME?</v>
      </c>
      <c r="D37" s="534" t="s">
        <v>2135</v>
      </c>
      <c r="E37" s="348">
        <f>VLOOKUP(A37,POSNAV!A:D,3,FALSE)</f>
        <v>1670</v>
      </c>
      <c r="F37" s="348">
        <f t="shared" ca="1" si="1"/>
        <v>0</v>
      </c>
    </row>
    <row r="38" spans="1:6">
      <c r="A38" t="str">
        <f>PosAggregate!A48</f>
        <v>JP3725400000</v>
      </c>
      <c r="B38" s="348">
        <f ca="1">PosAggregate!L48</f>
        <v>6900</v>
      </c>
      <c r="C38" s="348" t="e">
        <f ca="1">PosAggregate!Y48</f>
        <v>#NAME?</v>
      </c>
      <c r="D38" s="534" t="s">
        <v>2136</v>
      </c>
      <c r="E38" s="348">
        <f>VLOOKUP(A38,POSNAV!A:D,3,FALSE)</f>
        <v>17000</v>
      </c>
      <c r="F38" s="348">
        <f t="shared" ca="1" si="1"/>
        <v>-10100</v>
      </c>
    </row>
    <row r="39" spans="1:6">
      <c r="A39" t="str">
        <f>PosAggregate!A49</f>
        <v>JP3592200004</v>
      </c>
      <c r="B39" s="348">
        <f ca="1">PosAggregate!L49</f>
        <v>33000</v>
      </c>
      <c r="C39" s="348" t="e">
        <f ca="1">PosAggregate!Y49</f>
        <v>#NAME?</v>
      </c>
      <c r="D39" s="534" t="s">
        <v>2137</v>
      </c>
      <c r="E39" s="348">
        <f>VLOOKUP(A39,POSNAV!A:D,3,FALSE)</f>
        <v>6900</v>
      </c>
      <c r="F39" s="348">
        <f t="shared" ca="1" si="1"/>
        <v>26100</v>
      </c>
    </row>
    <row r="40" spans="1:6">
      <c r="A40" t="str">
        <f>PosAggregate!A50</f>
        <v>GG00B4TM3943</v>
      </c>
      <c r="B40" s="348">
        <f ca="1">PosAggregate!L50</f>
        <v>420000</v>
      </c>
      <c r="C40" s="348" t="e">
        <f ca="1">PosAggregate!Y50</f>
        <v>#NAME?</v>
      </c>
      <c r="D40" s="534" t="s">
        <v>2210</v>
      </c>
      <c r="E40" s="348">
        <f>VLOOKUP(A40,POSNAV!A:D,3,FALSE)</f>
        <v>420000</v>
      </c>
      <c r="F40" s="348">
        <f t="shared" ca="1" si="1"/>
        <v>0</v>
      </c>
    </row>
    <row r="41" spans="1:6">
      <c r="A41" t="str">
        <f>PosAggregate!A51</f>
        <v>JP3734600004</v>
      </c>
      <c r="B41" s="348">
        <f ca="1">PosAggregate!L51</f>
        <v>69000</v>
      </c>
      <c r="C41" s="348" t="e">
        <f ca="1">PosAggregate!Y51</f>
        <v>#NAME?</v>
      </c>
      <c r="D41" s="534" t="s">
        <v>12708</v>
      </c>
      <c r="E41" s="348">
        <f>VLOOKUP(A41,POSNAV!A:D,3,FALSE)</f>
        <v>69000</v>
      </c>
      <c r="F41" s="348">
        <f t="shared" ca="1" si="1"/>
        <v>0</v>
      </c>
    </row>
    <row r="42" spans="1:6">
      <c r="A42" t="str">
        <f>PosAggregate!A52</f>
        <v>JP3232600001</v>
      </c>
      <c r="B42" s="348">
        <f ca="1">PosAggregate!L52</f>
        <v>17000</v>
      </c>
      <c r="C42" s="348" t="e">
        <f ca="1">PosAggregate!Y52</f>
        <v>#NAME?</v>
      </c>
      <c r="D42" s="534" t="s">
        <v>2138</v>
      </c>
      <c r="E42" s="348">
        <f>VLOOKUP(A42,POSNAV!A:D,3,FALSE)</f>
        <v>17000</v>
      </c>
      <c r="F42" s="348">
        <f t="shared" ca="1" si="1"/>
        <v>0</v>
      </c>
    </row>
    <row r="43" spans="1:6">
      <c r="A43" t="str">
        <f>PosAggregate!A53</f>
        <v>JP3147200004</v>
      </c>
      <c r="B43" s="348">
        <f ca="1">PosAggregate!L53</f>
        <v>22000</v>
      </c>
      <c r="C43" s="348" t="e">
        <f ca="1">PosAggregate!Y53</f>
        <v>#NAME?</v>
      </c>
      <c r="D43" s="534" t="s">
        <v>2172</v>
      </c>
      <c r="E43" s="348">
        <f>VLOOKUP(A43,POSNAV!A:D,3,FALSE)</f>
        <v>22000</v>
      </c>
      <c r="F43" s="348">
        <f t="shared" ca="1" si="1"/>
        <v>0</v>
      </c>
    </row>
    <row r="44" spans="1:6">
      <c r="A44" t="str">
        <f>PosAggregate!A54</f>
        <v>JP3332600000</v>
      </c>
      <c r="B44" s="348">
        <f ca="1">PosAggregate!L54</f>
        <v>33900</v>
      </c>
      <c r="C44" s="348" t="e">
        <f ca="1">PosAggregate!Y54</f>
        <v>#NAME?</v>
      </c>
      <c r="D44" s="534" t="s">
        <v>2139</v>
      </c>
      <c r="E44" s="348">
        <f>VLOOKUP(A44,POSNAV!A:D,3,FALSE)</f>
        <v>33900</v>
      </c>
      <c r="F44" s="348">
        <f t="shared" ca="1" si="1"/>
        <v>0</v>
      </c>
    </row>
    <row r="45" spans="1:6">
      <c r="A45" t="str">
        <f>PosAggregate!A55</f>
        <v>JP3425000001</v>
      </c>
      <c r="B45" s="348">
        <f ca="1">PosAggregate!L55</f>
        <v>11700</v>
      </c>
      <c r="C45" s="348" t="e">
        <f ca="1">PosAggregate!Y55</f>
        <v>#NAME?</v>
      </c>
      <c r="D45" s="534" t="s">
        <v>2205</v>
      </c>
      <c r="E45" s="348">
        <f>VLOOKUP(A45,POSNAV!A:D,3,FALSE)</f>
        <v>11700</v>
      </c>
      <c r="F45" s="348">
        <f t="shared" ca="1" si="1"/>
        <v>0</v>
      </c>
    </row>
    <row r="46" spans="1:6">
      <c r="A46" t="str">
        <f>PosAggregate!A56</f>
        <v>JP3400900001</v>
      </c>
      <c r="B46" s="348">
        <f ca="1">PosAggregate!L56</f>
        <v>11000</v>
      </c>
      <c r="C46" s="348" t="e">
        <f ca="1">PosAggregate!Y56</f>
        <v>#NAME?</v>
      </c>
      <c r="D46" s="534" t="s">
        <v>2163</v>
      </c>
      <c r="E46" s="348">
        <f>VLOOKUP(A46,POSNAV!A:D,3,FALSE)</f>
        <v>6700</v>
      </c>
      <c r="F46" s="348">
        <f t="shared" ca="1" si="1"/>
        <v>4300</v>
      </c>
    </row>
    <row r="47" spans="1:6">
      <c r="A47" t="str">
        <f>PosAggregate!A57</f>
        <v>AU000000SFR8</v>
      </c>
      <c r="B47" s="348">
        <f ca="1">PosAggregate!L57</f>
        <v>42000</v>
      </c>
      <c r="C47" s="348" t="e">
        <f ca="1">PosAggregate!Y57</f>
        <v>#NAME?</v>
      </c>
      <c r="D47" s="534" t="s">
        <v>2140</v>
      </c>
      <c r="E47" s="348">
        <f>VLOOKUP(A47,POSNAV!A:D,3,FALSE)</f>
        <v>84000</v>
      </c>
      <c r="F47" s="348">
        <f t="shared" ca="1" si="1"/>
        <v>-42000</v>
      </c>
    </row>
    <row r="48" spans="1:6">
      <c r="A48" t="str">
        <f>PosAggregate!A58</f>
        <v>JP3449020001</v>
      </c>
      <c r="B48" s="348">
        <f ca="1">PosAggregate!L58</f>
        <v>22000</v>
      </c>
      <c r="C48" s="348" t="e">
        <f ca="1">PosAggregate!Y58</f>
        <v>#NAME?</v>
      </c>
      <c r="D48" s="534" t="s">
        <v>2141</v>
      </c>
      <c r="E48" s="348">
        <f>VLOOKUP(A48,POSNAV!A:D,3,FALSE)</f>
        <v>22000</v>
      </c>
      <c r="F48" s="348">
        <f t="shared" ca="1" si="1"/>
        <v>0</v>
      </c>
    </row>
    <row r="49" spans="1:6">
      <c r="A49" t="str">
        <f>PosAggregate!A59</f>
        <v>JP3538800008</v>
      </c>
      <c r="B49" s="348">
        <f ca="1">PosAggregate!L59</f>
        <v>0</v>
      </c>
      <c r="C49" s="348" t="e">
        <f ca="1">PosAggregate!Y59</f>
        <v>#NAME?</v>
      </c>
      <c r="D49" s="534" t="s">
        <v>2142</v>
      </c>
      <c r="E49" s="348">
        <f>VLOOKUP(A49,POSNAV!A:D,3,FALSE)</f>
        <v>6700</v>
      </c>
      <c r="F49" s="348">
        <f t="shared" ca="1" si="1"/>
        <v>-6700</v>
      </c>
    </row>
    <row r="50" spans="1:6">
      <c r="A50" t="str">
        <f>PosAggregate!A60</f>
        <v>DE000VTSC017</v>
      </c>
      <c r="B50" s="348">
        <f ca="1">PosAggregate!L60</f>
        <v>0</v>
      </c>
      <c r="C50" s="348" t="e">
        <f ca="1">PosAggregate!Y60</f>
        <v>#NAME?</v>
      </c>
      <c r="D50" s="534" t="s">
        <v>2143</v>
      </c>
      <c r="E50" s="348">
        <f>VLOOKUP(A50,POSNAV!A:D,3,FALSE)</f>
        <v>15200</v>
      </c>
      <c r="F50" s="348">
        <f t="shared" ca="1" si="1"/>
        <v>-15200</v>
      </c>
    </row>
    <row r="51" spans="1:6">
      <c r="A51" t="str">
        <f>PosAggregate!A61</f>
        <v>JP3134800006</v>
      </c>
      <c r="B51" s="348">
        <f ca="1">PosAggregate!L61</f>
        <v>0</v>
      </c>
      <c r="C51" s="348" t="e">
        <f ca="1">PosAggregate!Y61</f>
        <v>#NAME?</v>
      </c>
      <c r="D51" s="534" t="s">
        <v>2144</v>
      </c>
      <c r="E51" s="348">
        <f>VLOOKUP(A51,POSNAV!A:D,3,FALSE)</f>
        <v>28700</v>
      </c>
      <c r="F51" s="348">
        <f t="shared" ca="1" si="1"/>
        <v>-28700</v>
      </c>
    </row>
    <row r="52" spans="1:6">
      <c r="A52" t="str">
        <f>PosAggregate!A62</f>
        <v>JP3111200006</v>
      </c>
      <c r="B52" s="348">
        <f ca="1">PosAggregate!L62</f>
        <v>0</v>
      </c>
      <c r="C52" s="348" t="e">
        <f ca="1">PosAggregate!Y62</f>
        <v>#NAME?</v>
      </c>
      <c r="D52" s="534" t="s">
        <v>2145</v>
      </c>
      <c r="E52" s="348">
        <f>VLOOKUP(A52,POSNAV!A:D,3,FALSE)</f>
        <v>11000</v>
      </c>
      <c r="F52" s="348">
        <f t="shared" ca="1" si="1"/>
        <v>-11000</v>
      </c>
    </row>
    <row r="53" spans="1:6">
      <c r="A53">
        <f>PosAggregate!A63</f>
        <v>0</v>
      </c>
      <c r="B53" s="348">
        <f>PosAggregate!L63</f>
        <v>0</v>
      </c>
      <c r="C53" s="348">
        <f>PosAggregate!Y63</f>
        <v>0</v>
      </c>
      <c r="D53" t="e">
        <f>VLOOKUP(A53,POSNAV!A:D,1,FALSE)</f>
        <v>#N/A</v>
      </c>
      <c r="E53" s="348" t="e">
        <f>VLOOKUP(A53,POSNAV!A:D,3,FALSE)</f>
        <v>#N/A</v>
      </c>
      <c r="F53" s="348" t="e">
        <f t="shared" si="1"/>
        <v>#N/A</v>
      </c>
    </row>
    <row r="54" spans="1:6">
      <c r="A54">
        <f>PosAggregate!A64</f>
        <v>0</v>
      </c>
      <c r="B54" s="348">
        <f>PosAggregate!L64</f>
        <v>0</v>
      </c>
      <c r="C54" s="348">
        <f>PosAggregate!Y64</f>
        <v>0</v>
      </c>
      <c r="D54" t="e">
        <f>VLOOKUP(A54,POSNAV!A:D,1,FALSE)</f>
        <v>#N/A</v>
      </c>
      <c r="E54" s="348" t="e">
        <f>VLOOKUP(A54,POSNAV!A:D,3,FALSE)</f>
        <v>#N/A</v>
      </c>
      <c r="F54" s="348" t="e">
        <f t="shared" si="1"/>
        <v>#N/A</v>
      </c>
    </row>
    <row r="55" spans="1:6">
      <c r="A55">
        <f>PosAggregate!A65</f>
        <v>0</v>
      </c>
      <c r="B55" s="348">
        <f>PosAggregate!L65</f>
        <v>0</v>
      </c>
      <c r="C55" s="348">
        <f>PosAggregate!Y65</f>
        <v>0</v>
      </c>
      <c r="D55" t="e">
        <f>VLOOKUP(A55,POSNAV!A:D,1,FALSE)</f>
        <v>#N/A</v>
      </c>
      <c r="E55" s="348" t="e">
        <f>VLOOKUP(A55,POSNAV!A:D,3,FALSE)</f>
        <v>#N/A</v>
      </c>
      <c r="F55" s="348" t="e">
        <f t="shared" si="1"/>
        <v>#N/A</v>
      </c>
    </row>
    <row r="56" spans="1:6">
      <c r="A56">
        <f>PosAggregate!A66</f>
        <v>0</v>
      </c>
      <c r="B56" s="348">
        <f>PosAggregate!L66</f>
        <v>0</v>
      </c>
      <c r="C56" s="348">
        <f>PosAggregate!Y66</f>
        <v>0</v>
      </c>
      <c r="D56" t="e">
        <f>VLOOKUP(A56,POSNAV!A:D,1,FALSE)</f>
        <v>#N/A</v>
      </c>
      <c r="E56" s="348" t="e">
        <f>VLOOKUP(A56,POSNAV!A:D,3,FALSE)</f>
        <v>#N/A</v>
      </c>
      <c r="F56" s="348" t="e">
        <f t="shared" si="1"/>
        <v>#N/A</v>
      </c>
    </row>
    <row r="57" spans="1:6">
      <c r="A57">
        <f>PosAggregate!A67</f>
        <v>0</v>
      </c>
      <c r="B57" s="348">
        <f>PosAggregate!L67</f>
        <v>0</v>
      </c>
      <c r="C57" s="348">
        <f>PosAggregate!Y67</f>
        <v>0</v>
      </c>
      <c r="D57" t="e">
        <f>VLOOKUP(A57,POSNAV!A:D,1,FALSE)</f>
        <v>#N/A</v>
      </c>
      <c r="E57" s="348" t="e">
        <f>VLOOKUP(A57,POSNAV!A:D,3,FALSE)</f>
        <v>#N/A</v>
      </c>
      <c r="F57" s="348" t="e">
        <f t="shared" si="1"/>
        <v>#N/A</v>
      </c>
    </row>
    <row r="58" spans="1:6">
      <c r="A58">
        <f>PosAggregate!A68</f>
        <v>0</v>
      </c>
      <c r="B58" s="348">
        <f>PosAggregate!L68</f>
        <v>0</v>
      </c>
      <c r="C58" s="348">
        <f>PosAggregate!Y68</f>
        <v>0</v>
      </c>
      <c r="D58" t="e">
        <f>VLOOKUP(A58,POSNAV!A:D,1,FALSE)</f>
        <v>#N/A</v>
      </c>
      <c r="E58" s="348" t="e">
        <f>VLOOKUP(A58,POSNAV!A:D,3,FALSE)</f>
        <v>#N/A</v>
      </c>
      <c r="F58" s="348" t="e">
        <f t="shared" si="1"/>
        <v>#N/A</v>
      </c>
    </row>
    <row r="59" spans="1:6">
      <c r="A59">
        <f>PosAggregate!A69</f>
        <v>0</v>
      </c>
      <c r="B59" s="348">
        <f>PosAggregate!L69</f>
        <v>0</v>
      </c>
      <c r="C59" s="348">
        <f>PosAggregate!Y69</f>
        <v>0</v>
      </c>
      <c r="D59" t="e">
        <f>VLOOKUP(A59,POSNAV!A:D,1,FALSE)</f>
        <v>#N/A</v>
      </c>
      <c r="E59" s="348" t="e">
        <f>VLOOKUP(A59,POSNAV!A:D,3,FALSE)</f>
        <v>#N/A</v>
      </c>
      <c r="F59" s="348" t="e">
        <f t="shared" si="1"/>
        <v>#N/A</v>
      </c>
    </row>
    <row r="60" spans="1:6" ht="12.75" customHeight="1">
      <c r="A60">
        <f>PosAggregate!A70</f>
        <v>0</v>
      </c>
      <c r="B60" s="348">
        <f>PosAggregate!L70</f>
        <v>0</v>
      </c>
      <c r="C60" s="348">
        <f>PosAggregate!Y70</f>
        <v>0</v>
      </c>
      <c r="D60" t="e">
        <f>VLOOKUP(A60,POSNAV!A:D,1,FALSE)</f>
        <v>#N/A</v>
      </c>
      <c r="E60" s="348" t="e">
        <f>VLOOKUP(A60,POSNAV!A:D,3,FALSE)</f>
        <v>#N/A</v>
      </c>
      <c r="F60" s="348" t="e">
        <f t="shared" si="1"/>
        <v>#N/A</v>
      </c>
    </row>
    <row r="61" spans="1:6">
      <c r="A61">
        <f>PosAggregate!A71</f>
        <v>0</v>
      </c>
      <c r="B61" s="348">
        <f>PosAggregate!L71</f>
        <v>0</v>
      </c>
      <c r="C61" s="348">
        <f>PosAggregate!Y71</f>
        <v>0</v>
      </c>
      <c r="D61" t="e">
        <f>VLOOKUP(A61,POSNAV!A:D,1,FALSE)</f>
        <v>#N/A</v>
      </c>
      <c r="E61" s="348" t="e">
        <f>VLOOKUP(A61,POSNAV!A:D,3,FALSE)</f>
        <v>#N/A</v>
      </c>
      <c r="F61" s="348" t="e">
        <f t="shared" si="1"/>
        <v>#N/A</v>
      </c>
    </row>
    <row r="62" spans="1:6">
      <c r="A62">
        <f>PosAggregate!A72</f>
        <v>0</v>
      </c>
      <c r="B62" s="348">
        <f>PosAggregate!L72</f>
        <v>0</v>
      </c>
      <c r="C62" s="348">
        <f>PosAggregate!Y72</f>
        <v>0</v>
      </c>
      <c r="D62" t="e">
        <f>VLOOKUP(A62,POSNAV!A:D,1,FALSE)</f>
        <v>#N/A</v>
      </c>
      <c r="E62" s="348" t="e">
        <f>VLOOKUP(A62,POSNAV!A:D,3,FALSE)</f>
        <v>#N/A</v>
      </c>
      <c r="F62" s="348" t="e">
        <f t="shared" si="1"/>
        <v>#N/A</v>
      </c>
    </row>
    <row r="63" spans="1:6">
      <c r="A63">
        <f>PosAggregate!A73</f>
        <v>0</v>
      </c>
      <c r="B63" s="348">
        <f>PosAggregate!L73</f>
        <v>0</v>
      </c>
      <c r="C63" s="348">
        <f>PosAggregate!Y73</f>
        <v>0</v>
      </c>
      <c r="D63" t="e">
        <f>VLOOKUP(A63,POSNAV!A:D,1,FALSE)</f>
        <v>#N/A</v>
      </c>
      <c r="E63" s="348" t="e">
        <f>VLOOKUP(A63,POSNAV!A:D,3,FALSE)</f>
        <v>#N/A</v>
      </c>
      <c r="F63" s="348" t="e">
        <f t="shared" si="1"/>
        <v>#N/A</v>
      </c>
    </row>
    <row r="64" spans="1:6">
      <c r="A64">
        <f>PosAggregate!A74</f>
        <v>0</v>
      </c>
      <c r="B64" s="348">
        <f>PosAggregate!L74</f>
        <v>0</v>
      </c>
      <c r="C64" s="348">
        <f>PosAggregate!Y74</f>
        <v>0</v>
      </c>
      <c r="D64" t="e">
        <f>VLOOKUP(A64,POSNAV!A:D,1,FALSE)</f>
        <v>#N/A</v>
      </c>
      <c r="E64" s="348" t="e">
        <f>VLOOKUP(A64,POSNAV!A:D,3,FALSE)</f>
        <v>#N/A</v>
      </c>
      <c r="F64" s="348" t="e">
        <f t="shared" si="1"/>
        <v>#N/A</v>
      </c>
    </row>
    <row r="65" spans="1:6">
      <c r="A65">
        <f>PosAggregate!A75</f>
        <v>0</v>
      </c>
      <c r="B65" s="348">
        <f>PosAggregate!L75</f>
        <v>0</v>
      </c>
      <c r="C65" s="348">
        <f>PosAggregate!Y75</f>
        <v>0</v>
      </c>
      <c r="D65" t="e">
        <f>VLOOKUP(A65,POSNAV!A:D,1,FALSE)</f>
        <v>#N/A</v>
      </c>
      <c r="E65" s="348" t="e">
        <f>VLOOKUP(A65,POSNAV!A:D,3,FALSE)</f>
        <v>#N/A</v>
      </c>
      <c r="F65" s="348" t="e">
        <f t="shared" si="1"/>
        <v>#N/A</v>
      </c>
    </row>
    <row r="66" spans="1:6">
      <c r="A66">
        <f>PosAggregate!A76</f>
        <v>0</v>
      </c>
      <c r="B66" s="348">
        <f>PosAggregate!L76</f>
        <v>0</v>
      </c>
      <c r="C66" s="348">
        <f>PosAggregate!Y76</f>
        <v>0</v>
      </c>
      <c r="D66" t="e">
        <f>VLOOKUP(A66,POSNAV!A:D,1,FALSE)</f>
        <v>#N/A</v>
      </c>
      <c r="E66" s="348" t="e">
        <f>VLOOKUP(A66,POSNAV!A:D,3,FALSE)</f>
        <v>#N/A</v>
      </c>
      <c r="F66" s="348" t="e">
        <f t="shared" si="1"/>
        <v>#N/A</v>
      </c>
    </row>
    <row r="67" spans="1:6">
      <c r="A67">
        <f>PosAggregate!A77</f>
        <v>0</v>
      </c>
      <c r="B67" s="348">
        <f>PosAggregate!L77</f>
        <v>0</v>
      </c>
      <c r="C67" s="348">
        <f>PosAggregate!Y77</f>
        <v>0</v>
      </c>
      <c r="D67" t="e">
        <f>VLOOKUP(A67,POSNAV!A:D,1,FALSE)</f>
        <v>#N/A</v>
      </c>
      <c r="E67" s="348" t="e">
        <f>VLOOKUP(A67,POSNAV!A:D,3,FALSE)</f>
        <v>#N/A</v>
      </c>
      <c r="F67" s="348" t="e">
        <f t="shared" si="1"/>
        <v>#N/A</v>
      </c>
    </row>
    <row r="68" spans="1:6">
      <c r="A68">
        <f>PosAggregate!A78</f>
        <v>0</v>
      </c>
      <c r="B68" s="348">
        <f>PosAggregate!L78</f>
        <v>0</v>
      </c>
      <c r="C68" s="348">
        <f>PosAggregate!Y78</f>
        <v>0</v>
      </c>
      <c r="D68" t="e">
        <f>VLOOKUP(A68,POSNAV!A:D,1,FALSE)</f>
        <v>#N/A</v>
      </c>
      <c r="E68" s="348" t="e">
        <f>VLOOKUP(A68,POSNAV!A:D,3,FALSE)</f>
        <v>#N/A</v>
      </c>
      <c r="F68" s="348" t="e">
        <f t="shared" ref="F68:F131" si="2">B68-E68</f>
        <v>#N/A</v>
      </c>
    </row>
    <row r="69" spans="1:6">
      <c r="A69">
        <f>PosAggregate!A79</f>
        <v>0</v>
      </c>
      <c r="B69" s="348">
        <f>PosAggregate!L79</f>
        <v>0</v>
      </c>
      <c r="C69" s="348">
        <f>PosAggregate!Y79</f>
        <v>0</v>
      </c>
      <c r="D69" t="e">
        <f>VLOOKUP(A69,POSNAV!A:D,1,FALSE)</f>
        <v>#N/A</v>
      </c>
      <c r="E69" s="348" t="e">
        <f>VLOOKUP(A69,POSNAV!A:D,3,FALSE)</f>
        <v>#N/A</v>
      </c>
      <c r="F69" s="348" t="e">
        <f t="shared" si="2"/>
        <v>#N/A</v>
      </c>
    </row>
    <row r="70" spans="1:6">
      <c r="A70">
        <f>PosAggregate!A80</f>
        <v>0</v>
      </c>
      <c r="B70" s="348">
        <f>PosAggregate!L80</f>
        <v>0</v>
      </c>
      <c r="C70" s="348">
        <f>PosAggregate!Y80</f>
        <v>0</v>
      </c>
      <c r="D70" t="e">
        <f>VLOOKUP(A70,POSNAV!A:D,1,FALSE)</f>
        <v>#N/A</v>
      </c>
      <c r="E70" s="348" t="e">
        <f>VLOOKUP(A70,POSNAV!A:D,3,FALSE)</f>
        <v>#N/A</v>
      </c>
      <c r="F70" s="348" t="e">
        <f t="shared" si="2"/>
        <v>#N/A</v>
      </c>
    </row>
    <row r="71" spans="1:6">
      <c r="A71">
        <f>PosAggregate!A81</f>
        <v>0</v>
      </c>
      <c r="B71" s="348">
        <f>PosAggregate!L81</f>
        <v>0</v>
      </c>
      <c r="C71" s="348">
        <f>PosAggregate!Y81</f>
        <v>0</v>
      </c>
      <c r="D71" t="e">
        <f>VLOOKUP(A71,POSNAV!A:D,1,FALSE)</f>
        <v>#N/A</v>
      </c>
      <c r="E71" s="348" t="e">
        <f>VLOOKUP(A71,POSNAV!A:D,3,FALSE)</f>
        <v>#N/A</v>
      </c>
      <c r="F71" s="348" t="e">
        <f t="shared" si="2"/>
        <v>#N/A</v>
      </c>
    </row>
    <row r="72" spans="1:6">
      <c r="A72">
        <f>PosAggregate!A82</f>
        <v>0</v>
      </c>
      <c r="B72" s="348">
        <f>PosAggregate!L82</f>
        <v>0</v>
      </c>
      <c r="C72" s="348">
        <f>PosAggregate!Y82</f>
        <v>0</v>
      </c>
      <c r="D72" t="e">
        <f>VLOOKUP(A72,POSNAV!A:D,1,FALSE)</f>
        <v>#N/A</v>
      </c>
      <c r="E72" s="348" t="e">
        <f>VLOOKUP(A72,POSNAV!A:D,3,FALSE)</f>
        <v>#N/A</v>
      </c>
      <c r="F72" s="348" t="e">
        <f t="shared" si="2"/>
        <v>#N/A</v>
      </c>
    </row>
    <row r="73" spans="1:6">
      <c r="A73">
        <f>PosAggregate!A83</f>
        <v>0</v>
      </c>
      <c r="B73" s="348">
        <f>PosAggregate!L83</f>
        <v>0</v>
      </c>
      <c r="C73" s="348">
        <f>PosAggregate!Y83</f>
        <v>0</v>
      </c>
      <c r="D73" t="e">
        <f>VLOOKUP(A73,POSNAV!A:D,1,FALSE)</f>
        <v>#N/A</v>
      </c>
      <c r="E73" s="348" t="e">
        <f>VLOOKUP(A73,POSNAV!A:D,3,FALSE)</f>
        <v>#N/A</v>
      </c>
      <c r="F73" s="348" t="e">
        <f t="shared" si="2"/>
        <v>#N/A</v>
      </c>
    </row>
    <row r="74" spans="1:6">
      <c r="A74">
        <f>PosAggregate!A84</f>
        <v>0</v>
      </c>
      <c r="B74" s="348">
        <f>PosAggregate!L84</f>
        <v>0</v>
      </c>
      <c r="C74" s="348">
        <f>PosAggregate!Y84</f>
        <v>0</v>
      </c>
      <c r="D74" t="e">
        <f>VLOOKUP(A74,POSNAV!A:D,1,FALSE)</f>
        <v>#N/A</v>
      </c>
      <c r="E74" s="348" t="e">
        <f>VLOOKUP(A74,POSNAV!A:D,3,FALSE)</f>
        <v>#N/A</v>
      </c>
      <c r="F74" s="348" t="e">
        <f t="shared" si="2"/>
        <v>#N/A</v>
      </c>
    </row>
    <row r="75" spans="1:6">
      <c r="A75">
        <f>PosAggregate!A85</f>
        <v>0</v>
      </c>
      <c r="B75" s="348">
        <f>PosAggregate!L85</f>
        <v>0</v>
      </c>
      <c r="C75" s="348">
        <f>PosAggregate!Y85</f>
        <v>0</v>
      </c>
      <c r="D75" t="e">
        <f>VLOOKUP(A75,POSNAV!A:D,1,FALSE)</f>
        <v>#N/A</v>
      </c>
      <c r="E75" s="348" t="e">
        <f>VLOOKUP(A75,POSNAV!A:D,3,FALSE)</f>
        <v>#N/A</v>
      </c>
      <c r="F75" s="348" t="e">
        <f t="shared" si="2"/>
        <v>#N/A</v>
      </c>
    </row>
    <row r="76" spans="1:6">
      <c r="A76">
        <f>PosAggregate!A86</f>
        <v>0</v>
      </c>
      <c r="B76" s="348">
        <f>PosAggregate!L86</f>
        <v>0</v>
      </c>
      <c r="C76" s="348">
        <f>PosAggregate!Y86</f>
        <v>0</v>
      </c>
      <c r="D76" t="e">
        <f>VLOOKUP(A76,POSNAV!A:D,1,FALSE)</f>
        <v>#N/A</v>
      </c>
      <c r="E76" s="348" t="e">
        <f>VLOOKUP(A76,POSNAV!A:D,3,FALSE)</f>
        <v>#N/A</v>
      </c>
      <c r="F76" s="348" t="e">
        <f t="shared" si="2"/>
        <v>#N/A</v>
      </c>
    </row>
    <row r="77" spans="1:6">
      <c r="A77">
        <f>PosAggregate!A87</f>
        <v>0</v>
      </c>
      <c r="B77" s="348">
        <f>PosAggregate!L87</f>
        <v>0</v>
      </c>
      <c r="C77" s="348">
        <f>PosAggregate!Y87</f>
        <v>0</v>
      </c>
      <c r="D77" t="e">
        <f>VLOOKUP(A77,POSNAV!A:D,1,FALSE)</f>
        <v>#N/A</v>
      </c>
      <c r="E77" s="348" t="e">
        <f>VLOOKUP(A77,POSNAV!A:D,3,FALSE)</f>
        <v>#N/A</v>
      </c>
      <c r="F77" s="348" t="e">
        <f t="shared" si="2"/>
        <v>#N/A</v>
      </c>
    </row>
    <row r="78" spans="1:6">
      <c r="A78">
        <f>PosAggregate!A88</f>
        <v>0</v>
      </c>
      <c r="B78" s="348">
        <f>PosAggregate!L88</f>
        <v>0</v>
      </c>
      <c r="C78" s="348">
        <f>PosAggregate!Y88</f>
        <v>0</v>
      </c>
      <c r="D78" t="e">
        <f>VLOOKUP(A78,POSNAV!A:D,1,FALSE)</f>
        <v>#N/A</v>
      </c>
      <c r="E78" s="348" t="e">
        <f>VLOOKUP(A78,POSNAV!A:D,3,FALSE)</f>
        <v>#N/A</v>
      </c>
      <c r="F78" s="348" t="e">
        <f t="shared" si="2"/>
        <v>#N/A</v>
      </c>
    </row>
    <row r="79" spans="1:6">
      <c r="A79">
        <f>PosAggregate!A89</f>
        <v>0</v>
      </c>
      <c r="B79" s="348">
        <f>PosAggregate!L89</f>
        <v>0</v>
      </c>
      <c r="C79" s="348">
        <f>PosAggregate!Y89</f>
        <v>0</v>
      </c>
      <c r="D79" t="e">
        <f>VLOOKUP(A79,POSNAV!A:D,1,FALSE)</f>
        <v>#N/A</v>
      </c>
      <c r="E79" s="348" t="e">
        <f>VLOOKUP(A79,POSNAV!A:D,3,FALSE)</f>
        <v>#N/A</v>
      </c>
      <c r="F79" s="348" t="e">
        <f t="shared" si="2"/>
        <v>#N/A</v>
      </c>
    </row>
    <row r="80" spans="1:6">
      <c r="A80" t="str">
        <f>PosAggregate!A90</f>
        <v>FR0013461274</v>
      </c>
      <c r="B80" s="348">
        <f>PosAggregate!L90</f>
        <v>0</v>
      </c>
      <c r="C80" s="348" t="e">
        <f ca="1">PosAggregate!Y90</f>
        <v>#NAME?</v>
      </c>
      <c r="D80" t="e">
        <f>VLOOKUP(A80,POSNAV!A:D,1,FALSE)</f>
        <v>#N/A</v>
      </c>
      <c r="E80" s="348" t="e">
        <f>VLOOKUP(A80,POSNAV!A:D,3,FALSE)</f>
        <v>#N/A</v>
      </c>
      <c r="F80" s="348" t="e">
        <f t="shared" si="2"/>
        <v>#N/A</v>
      </c>
    </row>
    <row r="81" spans="1:6">
      <c r="A81" t="str">
        <f>PosAggregate!A91</f>
        <v>US345370CW84</v>
      </c>
      <c r="B81" s="348">
        <f>PosAggregate!L91</f>
        <v>0</v>
      </c>
      <c r="C81" s="348" t="e">
        <f ca="1">PosAggregate!Y91</f>
        <v>#NAME?</v>
      </c>
      <c r="D81" t="e">
        <f>VLOOKUP(A81,POSNAV!A:D,1,FALSE)</f>
        <v>#N/A</v>
      </c>
      <c r="E81" s="348" t="e">
        <f>VLOOKUP(A81,POSNAV!A:D,3,FALSE)</f>
        <v>#N/A</v>
      </c>
      <c r="F81" s="348" t="e">
        <f t="shared" si="2"/>
        <v>#N/A</v>
      </c>
    </row>
    <row r="82" spans="1:6">
      <c r="A82">
        <f>PosAggregate!A92</f>
        <v>0</v>
      </c>
      <c r="B82" s="348">
        <f>PosAggregate!L92</f>
        <v>0</v>
      </c>
      <c r="C82" s="348">
        <f>PosAggregate!Y92</f>
        <v>0</v>
      </c>
      <c r="D82" t="e">
        <f>VLOOKUP(A82,POSNAV!A:D,1,FALSE)</f>
        <v>#N/A</v>
      </c>
      <c r="E82" s="348" t="e">
        <f>VLOOKUP(A82,POSNAV!A:D,3,FALSE)</f>
        <v>#N/A</v>
      </c>
      <c r="F82" s="348" t="e">
        <f t="shared" si="2"/>
        <v>#N/A</v>
      </c>
    </row>
    <row r="83" spans="1:6">
      <c r="A83">
        <f>PosAggregate!A93</f>
        <v>0</v>
      </c>
      <c r="B83" s="348">
        <f>PosAggregate!L93</f>
        <v>0</v>
      </c>
      <c r="C83" s="348">
        <f>PosAggregate!Y93</f>
        <v>0</v>
      </c>
      <c r="D83" t="e">
        <f>VLOOKUP(A83,POSNAV!A:D,1,FALSE)</f>
        <v>#N/A</v>
      </c>
      <c r="E83" s="348" t="e">
        <f>VLOOKUP(A83,POSNAV!A:D,3,FALSE)</f>
        <v>#N/A</v>
      </c>
      <c r="F83" s="348" t="e">
        <f t="shared" si="2"/>
        <v>#N/A</v>
      </c>
    </row>
    <row r="84" spans="1:6">
      <c r="A84">
        <f>PosAggregate!A94</f>
        <v>0</v>
      </c>
      <c r="B84" s="348">
        <f>PosAggregate!L94</f>
        <v>0</v>
      </c>
      <c r="C84" s="348">
        <f>PosAggregate!Y94</f>
        <v>0</v>
      </c>
      <c r="D84" t="e">
        <f>VLOOKUP(A84,POSNAV!A:D,1,FALSE)</f>
        <v>#N/A</v>
      </c>
      <c r="E84" s="348" t="e">
        <f>VLOOKUP(A84,POSNAV!A:D,3,FALSE)</f>
        <v>#N/A</v>
      </c>
      <c r="F84" s="348" t="e">
        <f t="shared" si="2"/>
        <v>#N/A</v>
      </c>
    </row>
    <row r="85" spans="1:6">
      <c r="A85">
        <f>PosAggregate!A95</f>
        <v>0</v>
      </c>
      <c r="B85" s="348">
        <f>PosAggregate!L95</f>
        <v>0</v>
      </c>
      <c r="C85" s="348">
        <f>PosAggregate!Y95</f>
        <v>0</v>
      </c>
      <c r="D85" t="e">
        <f>VLOOKUP(A85,POSNAV!A:D,1,FALSE)</f>
        <v>#N/A</v>
      </c>
      <c r="E85" s="348" t="e">
        <f>VLOOKUP(A85,POSNAV!A:D,3,FALSE)</f>
        <v>#N/A</v>
      </c>
      <c r="F85" s="348" t="e">
        <f t="shared" si="2"/>
        <v>#N/A</v>
      </c>
    </row>
    <row r="86" spans="1:6">
      <c r="A86">
        <f>PosAggregate!A96</f>
        <v>0</v>
      </c>
      <c r="B86" s="348">
        <f>PosAggregate!L96</f>
        <v>0</v>
      </c>
      <c r="C86" s="348">
        <f>PosAggregate!Y96</f>
        <v>0</v>
      </c>
      <c r="D86" t="e">
        <f>VLOOKUP(A86,POSNAV!A:D,1,FALSE)</f>
        <v>#N/A</v>
      </c>
      <c r="E86" s="348" t="e">
        <f>VLOOKUP(A86,POSNAV!A:D,3,FALSE)</f>
        <v>#N/A</v>
      </c>
      <c r="F86" s="348" t="e">
        <f t="shared" si="2"/>
        <v>#N/A</v>
      </c>
    </row>
    <row r="87" spans="1:6">
      <c r="A87">
        <f>PosAggregate!A97</f>
        <v>0</v>
      </c>
      <c r="B87" s="348">
        <f>PosAggregate!L97</f>
        <v>0</v>
      </c>
      <c r="C87" s="348">
        <f>PosAggregate!Y97</f>
        <v>0</v>
      </c>
      <c r="D87" t="e">
        <f>VLOOKUP(A87,POSNAV!A:D,1,FALSE)</f>
        <v>#N/A</v>
      </c>
      <c r="E87" s="348" t="e">
        <f>VLOOKUP(A87,POSNAV!A:D,3,FALSE)</f>
        <v>#N/A</v>
      </c>
      <c r="F87" s="348" t="e">
        <f t="shared" si="2"/>
        <v>#N/A</v>
      </c>
    </row>
    <row r="88" spans="1:6">
      <c r="A88">
        <f>PosAggregate!A98</f>
        <v>0</v>
      </c>
      <c r="B88" s="348">
        <f>PosAggregate!L98</f>
        <v>0</v>
      </c>
      <c r="C88" s="348">
        <f>PosAggregate!Y98</f>
        <v>0</v>
      </c>
      <c r="D88" t="e">
        <f>VLOOKUP(A88,POSNAV!A:D,1,FALSE)</f>
        <v>#N/A</v>
      </c>
      <c r="E88" s="348" t="e">
        <f>VLOOKUP(A88,POSNAV!A:D,3,FALSE)</f>
        <v>#N/A</v>
      </c>
      <c r="F88" s="348" t="e">
        <f t="shared" si="2"/>
        <v>#N/A</v>
      </c>
    </row>
    <row r="89" spans="1:6">
      <c r="A89">
        <f>PosAggregate!A99</f>
        <v>0</v>
      </c>
      <c r="B89" s="348">
        <f>PosAggregate!L99</f>
        <v>0</v>
      </c>
      <c r="C89" s="348">
        <f>PosAggregate!Y99</f>
        <v>0</v>
      </c>
      <c r="D89" t="e">
        <f>VLOOKUP(A89,POSNAV!A:D,1,FALSE)</f>
        <v>#N/A</v>
      </c>
      <c r="E89" s="348" t="e">
        <f>VLOOKUP(A89,POSNAV!A:D,3,FALSE)</f>
        <v>#N/A</v>
      </c>
      <c r="F89" s="348" t="e">
        <f t="shared" si="2"/>
        <v>#N/A</v>
      </c>
    </row>
    <row r="90" spans="1:6">
      <c r="A90">
        <f>PosAggregate!A100</f>
        <v>0</v>
      </c>
      <c r="B90" s="348">
        <f>PosAggregate!L100</f>
        <v>0</v>
      </c>
      <c r="C90" s="348">
        <f>PosAggregate!Y100</f>
        <v>0</v>
      </c>
      <c r="D90" t="e">
        <f>VLOOKUP(A90,POSNAV!A:D,1,FALSE)</f>
        <v>#N/A</v>
      </c>
      <c r="E90" s="348" t="e">
        <f>VLOOKUP(A90,POSNAV!A:D,3,FALSE)</f>
        <v>#N/A</v>
      </c>
      <c r="F90" s="348" t="e">
        <f t="shared" si="2"/>
        <v>#N/A</v>
      </c>
    </row>
    <row r="91" spans="1:6">
      <c r="A91">
        <f>PosAggregate!A101</f>
        <v>0</v>
      </c>
      <c r="B91" s="348">
        <f>PosAggregate!L101</f>
        <v>0</v>
      </c>
      <c r="C91" s="348">
        <f>PosAggregate!Y101</f>
        <v>0</v>
      </c>
      <c r="D91" t="e">
        <f>VLOOKUP(A91,POSNAV!A:D,1,FALSE)</f>
        <v>#N/A</v>
      </c>
      <c r="E91" s="348" t="e">
        <f>VLOOKUP(A91,POSNAV!A:D,3,FALSE)</f>
        <v>#N/A</v>
      </c>
      <c r="F91" s="348" t="e">
        <f t="shared" si="2"/>
        <v>#N/A</v>
      </c>
    </row>
    <row r="92" spans="1:6">
      <c r="A92">
        <f>PosAggregate!A102</f>
        <v>0</v>
      </c>
      <c r="B92" s="348">
        <f>PosAggregate!L102</f>
        <v>0</v>
      </c>
      <c r="C92" s="348">
        <f>PosAggregate!Y102</f>
        <v>0</v>
      </c>
      <c r="D92" t="e">
        <f>VLOOKUP(A92,POSNAV!A:D,1,FALSE)</f>
        <v>#N/A</v>
      </c>
      <c r="E92" s="348" t="e">
        <f>VLOOKUP(A92,POSNAV!A:D,3,FALSE)</f>
        <v>#N/A</v>
      </c>
      <c r="F92" s="348" t="e">
        <f t="shared" si="2"/>
        <v>#N/A</v>
      </c>
    </row>
    <row r="93" spans="1:6">
      <c r="A93">
        <f>PosAggregate!A103</f>
        <v>0</v>
      </c>
      <c r="B93" s="348">
        <f>PosAggregate!L103</f>
        <v>0</v>
      </c>
      <c r="C93" s="348">
        <f>PosAggregate!Y103</f>
        <v>0</v>
      </c>
      <c r="D93" t="e">
        <f>VLOOKUP(A93,POSNAV!A:D,1,FALSE)</f>
        <v>#N/A</v>
      </c>
      <c r="E93" s="348" t="e">
        <f>VLOOKUP(A93,POSNAV!A:D,3,FALSE)</f>
        <v>#N/A</v>
      </c>
      <c r="F93" s="348" t="e">
        <f t="shared" si="2"/>
        <v>#N/A</v>
      </c>
    </row>
    <row r="94" spans="1:6">
      <c r="A94">
        <f>PosAggregate!A104</f>
        <v>0</v>
      </c>
      <c r="B94" s="348">
        <f>PosAggregate!L104</f>
        <v>0</v>
      </c>
      <c r="C94" s="348">
        <f>PosAggregate!Y104</f>
        <v>0</v>
      </c>
      <c r="D94" t="e">
        <f>VLOOKUP(A94,POSNAV!A:D,1,FALSE)</f>
        <v>#N/A</v>
      </c>
      <c r="E94" s="348" t="e">
        <f>VLOOKUP(A94,POSNAV!A:D,3,FALSE)</f>
        <v>#N/A</v>
      </c>
      <c r="F94" s="348" t="e">
        <f t="shared" si="2"/>
        <v>#N/A</v>
      </c>
    </row>
    <row r="95" spans="1:6">
      <c r="A95">
        <f>PosAggregate!A105</f>
        <v>0</v>
      </c>
      <c r="B95" s="348">
        <f>PosAggregate!L105</f>
        <v>0</v>
      </c>
      <c r="C95" s="348">
        <f>PosAggregate!Y105</f>
        <v>0</v>
      </c>
      <c r="D95" t="e">
        <f>VLOOKUP(A95,POSNAV!A:D,1,FALSE)</f>
        <v>#N/A</v>
      </c>
      <c r="E95" s="348" t="e">
        <f>VLOOKUP(A95,POSNAV!A:D,3,FALSE)</f>
        <v>#N/A</v>
      </c>
      <c r="F95" s="348" t="e">
        <f t="shared" si="2"/>
        <v>#N/A</v>
      </c>
    </row>
    <row r="96" spans="1:6">
      <c r="A96">
        <f>PosAggregate!A106</f>
        <v>0</v>
      </c>
      <c r="B96" s="348">
        <f>PosAggregate!L106</f>
        <v>0</v>
      </c>
      <c r="C96" s="348">
        <f>PosAggregate!Y106</f>
        <v>0</v>
      </c>
      <c r="D96" t="e">
        <f>VLOOKUP(A96,POSNAV!A:D,1,FALSE)</f>
        <v>#N/A</v>
      </c>
      <c r="E96" s="348" t="e">
        <f>VLOOKUP(A96,POSNAV!A:D,3,FALSE)</f>
        <v>#N/A</v>
      </c>
      <c r="F96" s="348" t="e">
        <f t="shared" si="2"/>
        <v>#N/A</v>
      </c>
    </row>
    <row r="97" spans="1:6">
      <c r="A97">
        <f>PosAggregate!A107</f>
        <v>0</v>
      </c>
      <c r="B97" s="348">
        <f>PosAggregate!L107</f>
        <v>0</v>
      </c>
      <c r="C97" s="348">
        <f>PosAggregate!Y107</f>
        <v>0</v>
      </c>
      <c r="D97" t="e">
        <f>VLOOKUP(A97,POSNAV!A:D,1,FALSE)</f>
        <v>#N/A</v>
      </c>
      <c r="E97" s="348" t="e">
        <f>VLOOKUP(A97,POSNAV!A:D,3,FALSE)</f>
        <v>#N/A</v>
      </c>
      <c r="F97" s="348" t="e">
        <f t="shared" si="2"/>
        <v>#N/A</v>
      </c>
    </row>
    <row r="98" spans="1:6">
      <c r="A98">
        <f>PosAggregate!A108</f>
        <v>0</v>
      </c>
      <c r="B98" s="348">
        <f>PosAggregate!L108</f>
        <v>0</v>
      </c>
      <c r="C98" s="348">
        <f>PosAggregate!Y108</f>
        <v>0</v>
      </c>
      <c r="D98" t="e">
        <f>VLOOKUP(A98,POSNAV!A:D,1,FALSE)</f>
        <v>#N/A</v>
      </c>
      <c r="E98" s="348" t="e">
        <f>VLOOKUP(A98,POSNAV!A:D,3,FALSE)</f>
        <v>#N/A</v>
      </c>
      <c r="F98" s="348" t="e">
        <f t="shared" si="2"/>
        <v>#N/A</v>
      </c>
    </row>
    <row r="99" spans="1:6">
      <c r="A99">
        <f>PosAggregate!A109</f>
        <v>0</v>
      </c>
      <c r="B99" s="348">
        <f>PosAggregate!L109</f>
        <v>0</v>
      </c>
      <c r="C99" s="348">
        <f>PosAggregate!Y109</f>
        <v>0</v>
      </c>
      <c r="D99" t="e">
        <f>VLOOKUP(A99,POSNAV!A:D,1,FALSE)</f>
        <v>#N/A</v>
      </c>
      <c r="E99" s="348" t="e">
        <f>VLOOKUP(A99,POSNAV!A:D,3,FALSE)</f>
        <v>#N/A</v>
      </c>
      <c r="F99" s="348" t="e">
        <f t="shared" si="2"/>
        <v>#N/A</v>
      </c>
    </row>
    <row r="100" spans="1:6">
      <c r="A100">
        <f>PosAggregate!A110</f>
        <v>0</v>
      </c>
      <c r="B100" s="348">
        <f>PosAggregate!L110</f>
        <v>0</v>
      </c>
      <c r="C100" s="348">
        <f>PosAggregate!Y110</f>
        <v>0</v>
      </c>
      <c r="D100" t="e">
        <f>VLOOKUP(A100,POSNAV!A:D,1,FALSE)</f>
        <v>#N/A</v>
      </c>
      <c r="E100" s="348" t="e">
        <f>VLOOKUP(A100,POSNAV!A:D,3,FALSE)</f>
        <v>#N/A</v>
      </c>
      <c r="F100" s="348" t="e">
        <f t="shared" si="2"/>
        <v>#N/A</v>
      </c>
    </row>
    <row r="101" spans="1:6">
      <c r="A101">
        <f>PosAggregate!A111</f>
        <v>0</v>
      </c>
      <c r="B101" s="348">
        <f>PosAggregate!L111</f>
        <v>0</v>
      </c>
      <c r="C101" s="348">
        <f>PosAggregate!Y111</f>
        <v>0</v>
      </c>
      <c r="D101" t="e">
        <f>VLOOKUP(A101,POSNAV!A:D,1,FALSE)</f>
        <v>#N/A</v>
      </c>
      <c r="E101" s="348" t="e">
        <f>VLOOKUP(A101,POSNAV!A:D,3,FALSE)</f>
        <v>#N/A</v>
      </c>
      <c r="F101" s="348" t="e">
        <f t="shared" si="2"/>
        <v>#N/A</v>
      </c>
    </row>
    <row r="102" spans="1:6">
      <c r="A102">
        <f>PosAggregate!A112</f>
        <v>0</v>
      </c>
      <c r="B102" s="348">
        <f>PosAggregate!L112</f>
        <v>0</v>
      </c>
      <c r="C102" s="348">
        <f>PosAggregate!Y112</f>
        <v>0</v>
      </c>
      <c r="D102" t="e">
        <f>VLOOKUP(A102,POSNAV!A:D,1,FALSE)</f>
        <v>#N/A</v>
      </c>
      <c r="E102" s="348" t="e">
        <f>VLOOKUP(A102,POSNAV!A:D,3,FALSE)</f>
        <v>#N/A</v>
      </c>
      <c r="F102" s="348" t="e">
        <f t="shared" si="2"/>
        <v>#N/A</v>
      </c>
    </row>
    <row r="103" spans="1:6">
      <c r="A103">
        <f>PosAggregate!A113</f>
        <v>0</v>
      </c>
      <c r="B103" s="348">
        <f>PosAggregate!L113</f>
        <v>0</v>
      </c>
      <c r="C103" s="348">
        <f>PosAggregate!Y113</f>
        <v>0</v>
      </c>
      <c r="D103" t="e">
        <f>VLOOKUP(A103,POSNAV!A:D,1,FALSE)</f>
        <v>#N/A</v>
      </c>
      <c r="E103" s="348" t="e">
        <f>VLOOKUP(A103,POSNAV!A:D,3,FALSE)</f>
        <v>#N/A</v>
      </c>
      <c r="F103" s="348" t="e">
        <f t="shared" si="2"/>
        <v>#N/A</v>
      </c>
    </row>
    <row r="104" spans="1:6">
      <c r="A104">
        <f>PosAggregate!A114</f>
        <v>0</v>
      </c>
      <c r="B104" s="348">
        <f>PosAggregate!L114</f>
        <v>0</v>
      </c>
      <c r="C104" s="348">
        <f>PosAggregate!Y114</f>
        <v>0</v>
      </c>
      <c r="D104" t="e">
        <f>VLOOKUP(A104,POSNAV!A:D,1,FALSE)</f>
        <v>#N/A</v>
      </c>
      <c r="E104" s="348" t="e">
        <f>VLOOKUP(A104,POSNAV!A:D,3,FALSE)</f>
        <v>#N/A</v>
      </c>
      <c r="F104" s="348" t="e">
        <f t="shared" si="2"/>
        <v>#N/A</v>
      </c>
    </row>
    <row r="105" spans="1:6">
      <c r="A105">
        <f>PosAggregate!A115</f>
        <v>0</v>
      </c>
      <c r="B105" s="348">
        <f>PosAggregate!L115</f>
        <v>0</v>
      </c>
      <c r="C105" s="348">
        <f>PosAggregate!Y115</f>
        <v>0</v>
      </c>
      <c r="D105" t="e">
        <f>VLOOKUP(A105,POSNAV!A:D,1,FALSE)</f>
        <v>#N/A</v>
      </c>
      <c r="E105" s="348" t="e">
        <f>VLOOKUP(A105,POSNAV!A:D,3,FALSE)</f>
        <v>#N/A</v>
      </c>
      <c r="F105" s="348" t="e">
        <f t="shared" si="2"/>
        <v>#N/A</v>
      </c>
    </row>
    <row r="106" spans="1:6">
      <c r="A106">
        <f>PosAggregate!A116</f>
        <v>0</v>
      </c>
      <c r="B106" s="348">
        <f>PosAggregate!L116</f>
        <v>0</v>
      </c>
      <c r="C106" s="348">
        <f>PosAggregate!Y116</f>
        <v>0</v>
      </c>
      <c r="D106" t="e">
        <f>VLOOKUP(A106,POSNAV!A:D,1,FALSE)</f>
        <v>#N/A</v>
      </c>
      <c r="E106" s="348" t="e">
        <f>VLOOKUP(A106,POSNAV!A:D,3,FALSE)</f>
        <v>#N/A</v>
      </c>
      <c r="F106" s="348" t="e">
        <f t="shared" si="2"/>
        <v>#N/A</v>
      </c>
    </row>
    <row r="107" spans="1:6">
      <c r="A107">
        <f>PosAggregate!A117</f>
        <v>0</v>
      </c>
      <c r="B107" s="348">
        <f>PosAggregate!L117</f>
        <v>0</v>
      </c>
      <c r="C107" s="348">
        <f>PosAggregate!Y117</f>
        <v>0</v>
      </c>
      <c r="D107" t="e">
        <f>VLOOKUP(A107,POSNAV!A:D,1,FALSE)</f>
        <v>#N/A</v>
      </c>
      <c r="E107" s="348" t="e">
        <f>VLOOKUP(A107,POSNAV!A:D,3,FALSE)</f>
        <v>#N/A</v>
      </c>
      <c r="F107" s="348" t="e">
        <f t="shared" si="2"/>
        <v>#N/A</v>
      </c>
    </row>
    <row r="108" spans="1:6">
      <c r="A108">
        <f>PosAggregate!A118</f>
        <v>0</v>
      </c>
      <c r="B108" s="348">
        <f>PosAggregate!L118</f>
        <v>0</v>
      </c>
      <c r="C108" s="348">
        <f>PosAggregate!Y118</f>
        <v>0</v>
      </c>
      <c r="D108" t="e">
        <f>VLOOKUP(A108,POSNAV!A:D,1,FALSE)</f>
        <v>#N/A</v>
      </c>
      <c r="E108" s="348" t="e">
        <f>VLOOKUP(A108,POSNAV!A:D,3,FALSE)</f>
        <v>#N/A</v>
      </c>
      <c r="F108" s="348" t="e">
        <f t="shared" si="2"/>
        <v>#N/A</v>
      </c>
    </row>
    <row r="109" spans="1:6">
      <c r="A109">
        <f>PosAggregate!A119</f>
        <v>0</v>
      </c>
      <c r="B109" s="348">
        <f>PosAggregate!L119</f>
        <v>0</v>
      </c>
      <c r="C109" s="348">
        <f>PosAggregate!Y119</f>
        <v>0</v>
      </c>
      <c r="D109" t="e">
        <f>VLOOKUP(A109,POSNAV!A:D,1,FALSE)</f>
        <v>#N/A</v>
      </c>
      <c r="E109" s="348" t="e">
        <f>VLOOKUP(A109,POSNAV!A:D,3,FALSE)</f>
        <v>#N/A</v>
      </c>
      <c r="F109" s="348" t="e">
        <f t="shared" si="2"/>
        <v>#N/A</v>
      </c>
    </row>
    <row r="110" spans="1:6">
      <c r="A110">
        <f>PosAggregate!A120</f>
        <v>0</v>
      </c>
      <c r="B110" s="348">
        <f>PosAggregate!L120</f>
        <v>0</v>
      </c>
      <c r="C110" s="348">
        <f>PosAggregate!Y120</f>
        <v>0</v>
      </c>
      <c r="D110" t="e">
        <f>VLOOKUP(A110,POSNAV!A:D,1,FALSE)</f>
        <v>#N/A</v>
      </c>
      <c r="E110" s="348" t="e">
        <f>VLOOKUP(A110,POSNAV!A:D,3,FALSE)</f>
        <v>#N/A</v>
      </c>
      <c r="F110" s="348" t="e">
        <f t="shared" si="2"/>
        <v>#N/A</v>
      </c>
    </row>
    <row r="111" spans="1:6">
      <c r="A111">
        <f>PosAggregate!A121</f>
        <v>0</v>
      </c>
      <c r="B111" s="348">
        <f>PosAggregate!L121</f>
        <v>0</v>
      </c>
      <c r="C111" s="348">
        <f>PosAggregate!Y121</f>
        <v>0</v>
      </c>
      <c r="D111" t="e">
        <f>VLOOKUP(A111,POSNAV!A:D,1,FALSE)</f>
        <v>#N/A</v>
      </c>
      <c r="E111" s="348" t="e">
        <f>VLOOKUP(A111,POSNAV!A:D,3,FALSE)</f>
        <v>#N/A</v>
      </c>
      <c r="F111" s="348" t="e">
        <f t="shared" si="2"/>
        <v>#N/A</v>
      </c>
    </row>
    <row r="112" spans="1:6">
      <c r="A112">
        <f>PosAggregate!A122</f>
        <v>0</v>
      </c>
      <c r="B112" s="348">
        <f>PosAggregate!L122</f>
        <v>0</v>
      </c>
      <c r="C112" s="348">
        <f>PosAggregate!Y122</f>
        <v>0</v>
      </c>
      <c r="D112" t="e">
        <f>VLOOKUP(A112,POSNAV!A:D,1,FALSE)</f>
        <v>#N/A</v>
      </c>
      <c r="E112" s="348" t="e">
        <f>VLOOKUP(A112,POSNAV!A:D,3,FALSE)</f>
        <v>#N/A</v>
      </c>
      <c r="F112" s="348" t="e">
        <f t="shared" si="2"/>
        <v>#N/A</v>
      </c>
    </row>
    <row r="113" spans="1:6">
      <c r="A113">
        <f>PosAggregate!A123</f>
        <v>0</v>
      </c>
      <c r="B113" s="348">
        <f>PosAggregate!L123</f>
        <v>0</v>
      </c>
      <c r="C113" s="348">
        <f>PosAggregate!Y123</f>
        <v>0</v>
      </c>
      <c r="D113" t="e">
        <f>VLOOKUP(A113,POSNAV!A:D,1,FALSE)</f>
        <v>#N/A</v>
      </c>
      <c r="E113" s="348" t="e">
        <f>VLOOKUP(A113,POSNAV!A:D,3,FALSE)</f>
        <v>#N/A</v>
      </c>
      <c r="F113" s="348" t="e">
        <f t="shared" si="2"/>
        <v>#N/A</v>
      </c>
    </row>
    <row r="114" spans="1:6">
      <c r="A114">
        <f>PosAggregate!A124</f>
        <v>0</v>
      </c>
      <c r="B114" s="348">
        <f>PosAggregate!L124</f>
        <v>0</v>
      </c>
      <c r="C114" s="348">
        <f>PosAggregate!Y124</f>
        <v>0</v>
      </c>
      <c r="D114" t="e">
        <f>VLOOKUP(A114,POSNAV!A:D,1,FALSE)</f>
        <v>#N/A</v>
      </c>
      <c r="E114" s="348" t="e">
        <f>VLOOKUP(A114,POSNAV!A:D,3,FALSE)</f>
        <v>#N/A</v>
      </c>
      <c r="F114" s="348" t="e">
        <f t="shared" si="2"/>
        <v>#N/A</v>
      </c>
    </row>
    <row r="115" spans="1:6">
      <c r="A115">
        <f>PosAggregate!A125</f>
        <v>0</v>
      </c>
      <c r="B115" s="348">
        <f>PosAggregate!L125</f>
        <v>0</v>
      </c>
      <c r="C115" s="348">
        <f>PosAggregate!Y125</f>
        <v>0</v>
      </c>
      <c r="D115" t="e">
        <f>VLOOKUP(A115,POSNAV!A:D,1,FALSE)</f>
        <v>#N/A</v>
      </c>
      <c r="E115" s="348" t="e">
        <f>VLOOKUP(A115,POSNAV!A:D,3,FALSE)</f>
        <v>#N/A</v>
      </c>
      <c r="F115" s="348" t="e">
        <f t="shared" si="2"/>
        <v>#N/A</v>
      </c>
    </row>
    <row r="116" spans="1:6">
      <c r="A116">
        <f>PosAggregate!A126</f>
        <v>0</v>
      </c>
      <c r="B116" s="348">
        <f>PosAggregate!L126</f>
        <v>0</v>
      </c>
      <c r="C116" s="348">
        <f>PosAggregate!Y126</f>
        <v>0</v>
      </c>
      <c r="D116" t="e">
        <f>VLOOKUP(A116,POSNAV!A:D,1,FALSE)</f>
        <v>#N/A</v>
      </c>
      <c r="E116" s="348" t="e">
        <f>VLOOKUP(A116,POSNAV!A:D,3,FALSE)</f>
        <v>#N/A</v>
      </c>
      <c r="F116" s="348" t="e">
        <f t="shared" si="2"/>
        <v>#N/A</v>
      </c>
    </row>
    <row r="117" spans="1:6">
      <c r="A117">
        <f>PosAggregate!A127</f>
        <v>0</v>
      </c>
      <c r="B117" s="348">
        <f>PosAggregate!L127</f>
        <v>0</v>
      </c>
      <c r="C117" s="348">
        <f>PosAggregate!Y127</f>
        <v>0</v>
      </c>
      <c r="D117" t="e">
        <f>VLOOKUP(A117,POSNAV!A:D,1,FALSE)</f>
        <v>#N/A</v>
      </c>
      <c r="E117" s="348" t="e">
        <f>VLOOKUP(A117,POSNAV!A:D,3,FALSE)</f>
        <v>#N/A</v>
      </c>
      <c r="F117" s="348" t="e">
        <f t="shared" si="2"/>
        <v>#N/A</v>
      </c>
    </row>
    <row r="118" spans="1:6">
      <c r="A118">
        <f>PosAggregate!A128</f>
        <v>0</v>
      </c>
      <c r="B118" s="348">
        <f>PosAggregate!L128</f>
        <v>0</v>
      </c>
      <c r="C118" s="348">
        <f>PosAggregate!Y128</f>
        <v>0</v>
      </c>
      <c r="D118" t="e">
        <f>VLOOKUP(A118,POSNAV!A:D,1,FALSE)</f>
        <v>#N/A</v>
      </c>
      <c r="E118" s="348" t="e">
        <f>VLOOKUP(A118,POSNAV!A:D,3,FALSE)</f>
        <v>#N/A</v>
      </c>
      <c r="F118" s="348" t="e">
        <f t="shared" si="2"/>
        <v>#N/A</v>
      </c>
    </row>
    <row r="119" spans="1:6">
      <c r="A119">
        <f>PosAggregate!A129</f>
        <v>0</v>
      </c>
      <c r="B119" s="348">
        <f>PosAggregate!L129</f>
        <v>0</v>
      </c>
      <c r="C119" s="348">
        <f>PosAggregate!Y129</f>
        <v>0</v>
      </c>
      <c r="D119" t="e">
        <f>VLOOKUP(A119,POSNAV!A:D,1,FALSE)</f>
        <v>#N/A</v>
      </c>
      <c r="E119" s="348" t="e">
        <f>VLOOKUP(A119,POSNAV!A:D,3,FALSE)</f>
        <v>#N/A</v>
      </c>
      <c r="F119" s="348" t="e">
        <f t="shared" si="2"/>
        <v>#N/A</v>
      </c>
    </row>
    <row r="120" spans="1:6">
      <c r="A120">
        <f>PosAggregate!A130</f>
        <v>0</v>
      </c>
      <c r="B120" s="348">
        <f>PosAggregate!L130</f>
        <v>0</v>
      </c>
      <c r="C120" s="348">
        <f>PosAggregate!Y130</f>
        <v>0</v>
      </c>
      <c r="D120" t="e">
        <f>VLOOKUP(A120,POSNAV!A:D,1,FALSE)</f>
        <v>#N/A</v>
      </c>
      <c r="E120" s="348" t="e">
        <f>VLOOKUP(A120,POSNAV!A:D,3,FALSE)</f>
        <v>#N/A</v>
      </c>
      <c r="F120" s="348" t="e">
        <f t="shared" si="2"/>
        <v>#N/A</v>
      </c>
    </row>
    <row r="121" spans="1:6">
      <c r="A121">
        <f>PosAggregate!A131</f>
        <v>0</v>
      </c>
      <c r="B121" s="348">
        <f>PosAggregate!L131</f>
        <v>0</v>
      </c>
      <c r="C121" s="348">
        <f>PosAggregate!Y131</f>
        <v>0</v>
      </c>
      <c r="D121" t="e">
        <f>VLOOKUP(A121,POSNAV!A:D,1,FALSE)</f>
        <v>#N/A</v>
      </c>
      <c r="E121" s="348" t="e">
        <f>VLOOKUP(A121,POSNAV!A:D,3,FALSE)</f>
        <v>#N/A</v>
      </c>
      <c r="F121" s="348" t="e">
        <f t="shared" si="2"/>
        <v>#N/A</v>
      </c>
    </row>
    <row r="122" spans="1:6">
      <c r="A122">
        <f>PosAggregate!A132</f>
        <v>0</v>
      </c>
      <c r="B122" s="348">
        <f>PosAggregate!L132</f>
        <v>0</v>
      </c>
      <c r="C122" s="348">
        <f>PosAggregate!Y132</f>
        <v>0</v>
      </c>
      <c r="D122" t="e">
        <f>VLOOKUP(A122,POSNAV!A:D,1,FALSE)</f>
        <v>#N/A</v>
      </c>
      <c r="E122" s="348" t="e">
        <f>VLOOKUP(A122,POSNAV!A:D,3,FALSE)</f>
        <v>#N/A</v>
      </c>
      <c r="F122" s="348" t="e">
        <f t="shared" si="2"/>
        <v>#N/A</v>
      </c>
    </row>
    <row r="123" spans="1:6">
      <c r="A123">
        <f>PosAggregate!A133</f>
        <v>0</v>
      </c>
      <c r="B123" s="348">
        <f>PosAggregate!L133</f>
        <v>0</v>
      </c>
      <c r="C123" s="348">
        <f>PosAggregate!Y133</f>
        <v>0</v>
      </c>
      <c r="D123" t="e">
        <f>VLOOKUP(A123,POSNAV!A:D,1,FALSE)</f>
        <v>#N/A</v>
      </c>
      <c r="E123" s="348" t="e">
        <f>VLOOKUP(A123,POSNAV!A:D,3,FALSE)</f>
        <v>#N/A</v>
      </c>
      <c r="F123" s="348" t="e">
        <f t="shared" si="2"/>
        <v>#N/A</v>
      </c>
    </row>
    <row r="124" spans="1:6">
      <c r="A124">
        <f>PosAggregate!A134</f>
        <v>0</v>
      </c>
      <c r="B124" s="348">
        <f>PosAggregate!L134</f>
        <v>0</v>
      </c>
      <c r="C124" s="348">
        <f>PosAggregate!Y134</f>
        <v>0</v>
      </c>
      <c r="D124" t="e">
        <f>VLOOKUP(A124,POSNAV!A:D,1,FALSE)</f>
        <v>#N/A</v>
      </c>
      <c r="E124" s="348" t="e">
        <f>VLOOKUP(A124,POSNAV!A:D,3,FALSE)</f>
        <v>#N/A</v>
      </c>
      <c r="F124" s="348" t="e">
        <f t="shared" si="2"/>
        <v>#N/A</v>
      </c>
    </row>
    <row r="125" spans="1:6">
      <c r="A125">
        <f>PosAggregate!A135</f>
        <v>0</v>
      </c>
      <c r="B125" s="348">
        <f>PosAggregate!L135</f>
        <v>0</v>
      </c>
      <c r="C125" s="348">
        <f>PosAggregate!Y135</f>
        <v>0</v>
      </c>
      <c r="D125" t="e">
        <f>VLOOKUP(A125,POSNAV!A:D,1,FALSE)</f>
        <v>#N/A</v>
      </c>
      <c r="E125" s="348" t="e">
        <f>VLOOKUP(A125,POSNAV!A:D,3,FALSE)</f>
        <v>#N/A</v>
      </c>
      <c r="F125" s="348" t="e">
        <f t="shared" si="2"/>
        <v>#N/A</v>
      </c>
    </row>
    <row r="126" spans="1:6">
      <c r="A126">
        <f>PosAggregate!A136</f>
        <v>0</v>
      </c>
      <c r="B126" s="348">
        <f>PosAggregate!L136</f>
        <v>0</v>
      </c>
      <c r="C126" s="348">
        <f>PosAggregate!Y136</f>
        <v>0</v>
      </c>
      <c r="D126" t="e">
        <f>VLOOKUP(A126,POSNAV!A:D,1,FALSE)</f>
        <v>#N/A</v>
      </c>
      <c r="E126" s="348" t="e">
        <f>VLOOKUP(A126,POSNAV!A:D,3,FALSE)</f>
        <v>#N/A</v>
      </c>
      <c r="F126" s="348" t="e">
        <f t="shared" si="2"/>
        <v>#N/A</v>
      </c>
    </row>
    <row r="127" spans="1:6">
      <c r="A127">
        <f>PosAggregate!A137</f>
        <v>0</v>
      </c>
      <c r="B127" s="348">
        <f>PosAggregate!L137</f>
        <v>0</v>
      </c>
      <c r="C127" s="348">
        <f>PosAggregate!Y137</f>
        <v>0</v>
      </c>
      <c r="D127" t="e">
        <f>VLOOKUP(A127,POSNAV!A:D,1,FALSE)</f>
        <v>#N/A</v>
      </c>
      <c r="E127" s="348" t="e">
        <f>VLOOKUP(A127,POSNAV!A:D,3,FALSE)</f>
        <v>#N/A</v>
      </c>
      <c r="F127" s="348" t="e">
        <f t="shared" si="2"/>
        <v>#N/A</v>
      </c>
    </row>
    <row r="128" spans="1:6">
      <c r="A128">
        <f>PosAggregate!A138</f>
        <v>0</v>
      </c>
      <c r="B128" s="348">
        <f>PosAggregate!L138</f>
        <v>0</v>
      </c>
      <c r="C128" s="348">
        <f>PosAggregate!Y138</f>
        <v>0</v>
      </c>
      <c r="D128" t="e">
        <f>VLOOKUP(A128,POSNAV!A:D,1,FALSE)</f>
        <v>#N/A</v>
      </c>
      <c r="E128" s="348" t="e">
        <f>VLOOKUP(A128,POSNAV!A:D,3,FALSE)</f>
        <v>#N/A</v>
      </c>
      <c r="F128" s="348" t="e">
        <f t="shared" si="2"/>
        <v>#N/A</v>
      </c>
    </row>
    <row r="129" spans="1:6">
      <c r="A129">
        <f>PosAggregate!A139</f>
        <v>0</v>
      </c>
      <c r="B129" s="348">
        <f>PosAggregate!L139</f>
        <v>0</v>
      </c>
      <c r="C129" s="348">
        <f>PosAggregate!Y139</f>
        <v>0</v>
      </c>
      <c r="D129" t="e">
        <f>VLOOKUP(A129,POSNAV!A:D,1,FALSE)</f>
        <v>#N/A</v>
      </c>
      <c r="E129" s="348" t="e">
        <f>VLOOKUP(A129,POSNAV!A:D,3,FALSE)</f>
        <v>#N/A</v>
      </c>
      <c r="F129" s="348" t="e">
        <f t="shared" si="2"/>
        <v>#N/A</v>
      </c>
    </row>
    <row r="130" spans="1:6">
      <c r="A130">
        <f>PosAggregate!A140</f>
        <v>0</v>
      </c>
      <c r="B130" s="348">
        <f>PosAggregate!L140</f>
        <v>0</v>
      </c>
      <c r="C130" s="348">
        <f>PosAggregate!Y140</f>
        <v>0</v>
      </c>
      <c r="D130" t="e">
        <f>VLOOKUP(A130,POSNAV!A:D,1,FALSE)</f>
        <v>#N/A</v>
      </c>
      <c r="E130" s="348" t="e">
        <f>VLOOKUP(A130,POSNAV!A:D,3,FALSE)</f>
        <v>#N/A</v>
      </c>
      <c r="F130" s="348" t="e">
        <f t="shared" si="2"/>
        <v>#N/A</v>
      </c>
    </row>
    <row r="131" spans="1:6">
      <c r="A131">
        <f>PosAggregate!A141</f>
        <v>0</v>
      </c>
      <c r="B131" s="348">
        <f>PosAggregate!L141</f>
        <v>0</v>
      </c>
      <c r="C131" s="348">
        <f>PosAggregate!Y141</f>
        <v>0</v>
      </c>
      <c r="D131" t="e">
        <f>VLOOKUP(A131,POSNAV!A:D,1,FALSE)</f>
        <v>#N/A</v>
      </c>
      <c r="E131" s="348" t="e">
        <f>VLOOKUP(A131,POSNAV!A:D,3,FALSE)</f>
        <v>#N/A</v>
      </c>
      <c r="F131" s="348" t="e">
        <f t="shared" si="2"/>
        <v>#N/A</v>
      </c>
    </row>
    <row r="132" spans="1:6">
      <c r="A132" t="str">
        <f>PosAggregate!A142</f>
        <v>IE00B4613386</v>
      </c>
      <c r="B132" s="348">
        <f>PosAggregate!L142</f>
        <v>0</v>
      </c>
      <c r="C132" s="348" t="e">
        <f ca="1">PosAggregate!Y142</f>
        <v>#NAME?</v>
      </c>
      <c r="D132" t="e">
        <f>VLOOKUP(A132,POSNAV!A:D,1,FALSE)</f>
        <v>#N/A</v>
      </c>
      <c r="E132" s="348" t="e">
        <f>VLOOKUP(A132,POSNAV!A:D,3,FALSE)</f>
        <v>#N/A</v>
      </c>
      <c r="F132" s="348" t="e">
        <f t="shared" ref="F132:F147" si="3">B132-E132</f>
        <v>#N/A</v>
      </c>
    </row>
    <row r="133" spans="1:6">
      <c r="A133">
        <f>PosAggregate!A143</f>
        <v>0</v>
      </c>
      <c r="B133" s="348">
        <f>PosAggregate!L143</f>
        <v>0</v>
      </c>
      <c r="C133" s="348">
        <f>PosAggregate!Y143</f>
        <v>0</v>
      </c>
      <c r="D133" t="e">
        <f>VLOOKUP(A133,POSNAV!A:D,1,FALSE)</f>
        <v>#N/A</v>
      </c>
      <c r="E133" s="348" t="e">
        <f>VLOOKUP(A133,POSNAV!A:D,3,FALSE)</f>
        <v>#N/A</v>
      </c>
      <c r="F133" s="348" t="e">
        <f t="shared" si="3"/>
        <v>#N/A</v>
      </c>
    </row>
    <row r="134" spans="1:6">
      <c r="A134">
        <f>PosAggregate!A144</f>
        <v>0</v>
      </c>
      <c r="B134" s="348">
        <f>PosAggregate!L144</f>
        <v>0</v>
      </c>
      <c r="C134" s="348">
        <f>PosAggregate!Y144</f>
        <v>0</v>
      </c>
      <c r="D134" t="e">
        <f>VLOOKUP(A134,POSNAV!A:D,1,FALSE)</f>
        <v>#N/A</v>
      </c>
      <c r="E134" s="348" t="e">
        <f>VLOOKUP(A134,POSNAV!A:D,3,FALSE)</f>
        <v>#N/A</v>
      </c>
      <c r="F134" s="348" t="e">
        <f t="shared" si="3"/>
        <v>#N/A</v>
      </c>
    </row>
    <row r="135" spans="1:6">
      <c r="A135">
        <f>PosAggregate!A145</f>
        <v>0</v>
      </c>
      <c r="B135" s="348">
        <f>PosAggregate!L145</f>
        <v>0</v>
      </c>
      <c r="C135" s="348">
        <f>PosAggregate!Y145</f>
        <v>0</v>
      </c>
      <c r="D135" t="e">
        <f>VLOOKUP(A135,POSNAV!A:D,1,FALSE)</f>
        <v>#N/A</v>
      </c>
      <c r="E135" s="348" t="e">
        <f>VLOOKUP(A135,POSNAV!A:D,3,FALSE)</f>
        <v>#N/A</v>
      </c>
      <c r="F135" s="348" t="e">
        <f t="shared" si="3"/>
        <v>#N/A</v>
      </c>
    </row>
    <row r="136" spans="1:6">
      <c r="A136">
        <f>PosAggregate!A146</f>
        <v>0</v>
      </c>
      <c r="B136" s="348">
        <f>PosAggregate!L146</f>
        <v>0</v>
      </c>
      <c r="C136" s="348">
        <f>PosAggregate!Y146</f>
        <v>0</v>
      </c>
      <c r="D136" t="e">
        <f>VLOOKUP(A136,POSNAV!A:D,1,FALSE)</f>
        <v>#N/A</v>
      </c>
      <c r="E136" s="348" t="e">
        <f>VLOOKUP(A136,POSNAV!A:D,3,FALSE)</f>
        <v>#N/A</v>
      </c>
      <c r="F136" s="348" t="e">
        <f t="shared" si="3"/>
        <v>#N/A</v>
      </c>
    </row>
    <row r="137" spans="1:6">
      <c r="A137">
        <f>PosAggregate!A147</f>
        <v>0</v>
      </c>
      <c r="B137" s="348">
        <f>PosAggregate!L147</f>
        <v>0</v>
      </c>
      <c r="C137" s="348">
        <f>PosAggregate!Y147</f>
        <v>0</v>
      </c>
      <c r="D137" t="e">
        <f>VLOOKUP(A137,POSNAV!A:D,1,FALSE)</f>
        <v>#N/A</v>
      </c>
      <c r="E137" s="348" t="e">
        <f>VLOOKUP(A137,POSNAV!A:D,3,FALSE)</f>
        <v>#N/A</v>
      </c>
      <c r="F137" s="348" t="e">
        <f t="shared" si="3"/>
        <v>#N/A</v>
      </c>
    </row>
    <row r="138" spans="1:6">
      <c r="A138">
        <f>PosAggregate!A148</f>
        <v>0</v>
      </c>
      <c r="B138" s="348">
        <f>PosAggregate!L148</f>
        <v>0</v>
      </c>
      <c r="C138" s="348">
        <f>PosAggregate!Y148</f>
        <v>0</v>
      </c>
      <c r="D138" t="e">
        <f>VLOOKUP(A138,POSNAV!A:D,1,FALSE)</f>
        <v>#N/A</v>
      </c>
      <c r="E138" s="348" t="e">
        <f>VLOOKUP(A138,POSNAV!A:D,3,FALSE)</f>
        <v>#N/A</v>
      </c>
      <c r="F138" s="348" t="e">
        <f t="shared" si="3"/>
        <v>#N/A</v>
      </c>
    </row>
    <row r="139" spans="1:6">
      <c r="A139">
        <f>PosAggregate!A149</f>
        <v>0</v>
      </c>
      <c r="B139" s="348">
        <f>PosAggregate!L149</f>
        <v>0</v>
      </c>
      <c r="C139" s="348">
        <f>PosAggregate!Y149</f>
        <v>0</v>
      </c>
      <c r="D139" t="e">
        <f>VLOOKUP(A139,POSNAV!A:D,1,FALSE)</f>
        <v>#N/A</v>
      </c>
      <c r="E139" s="348" t="e">
        <f>VLOOKUP(A139,POSNAV!A:D,3,FALSE)</f>
        <v>#N/A</v>
      </c>
      <c r="F139" s="348" t="e">
        <f t="shared" si="3"/>
        <v>#N/A</v>
      </c>
    </row>
    <row r="140" spans="1:6">
      <c r="A140">
        <f>PosAggregate!A150</f>
        <v>0</v>
      </c>
      <c r="B140" s="348">
        <f>PosAggregate!L150</f>
        <v>0</v>
      </c>
      <c r="C140" s="348">
        <f>PosAggregate!Y150</f>
        <v>0</v>
      </c>
      <c r="D140" t="e">
        <f>VLOOKUP(A140,POSNAV!A:D,1,FALSE)</f>
        <v>#N/A</v>
      </c>
      <c r="E140" s="348" t="e">
        <f>VLOOKUP(A140,POSNAV!A:D,3,FALSE)</f>
        <v>#N/A</v>
      </c>
      <c r="F140" s="348" t="e">
        <f t="shared" si="3"/>
        <v>#N/A</v>
      </c>
    </row>
    <row r="141" spans="1:6">
      <c r="A141">
        <f>PosAggregate!A151</f>
        <v>0</v>
      </c>
      <c r="B141" s="348">
        <f>PosAggregate!L151</f>
        <v>0</v>
      </c>
      <c r="C141" s="348">
        <f>PosAggregate!Y151</f>
        <v>0</v>
      </c>
      <c r="D141" t="e">
        <f>VLOOKUP(A141,POSNAV!A:D,1,FALSE)</f>
        <v>#N/A</v>
      </c>
      <c r="E141" s="348" t="e">
        <f>VLOOKUP(A141,POSNAV!A:D,3,FALSE)</f>
        <v>#N/A</v>
      </c>
      <c r="F141" s="348" t="e">
        <f t="shared" si="3"/>
        <v>#N/A</v>
      </c>
    </row>
    <row r="142" spans="1:6">
      <c r="A142">
        <f>PosAggregate!A152</f>
        <v>0</v>
      </c>
      <c r="B142" s="348">
        <f>PosAggregate!L152</f>
        <v>0</v>
      </c>
      <c r="C142" s="348">
        <f>PosAggregate!Y152</f>
        <v>0</v>
      </c>
      <c r="D142" t="e">
        <f>VLOOKUP(A142,POSNAV!A:D,1,FALSE)</f>
        <v>#N/A</v>
      </c>
      <c r="E142" s="348" t="e">
        <f>VLOOKUP(A142,POSNAV!A:D,3,FALSE)</f>
        <v>#N/A</v>
      </c>
      <c r="F142" s="348" t="e">
        <f t="shared" si="3"/>
        <v>#N/A</v>
      </c>
    </row>
    <row r="143" spans="1:6">
      <c r="A143">
        <f>PosAggregate!A153</f>
        <v>0</v>
      </c>
      <c r="B143" s="348">
        <f>PosAggregate!L153</f>
        <v>0</v>
      </c>
      <c r="C143" s="348">
        <f>PosAggregate!Y153</f>
        <v>0</v>
      </c>
      <c r="D143" t="e">
        <f>VLOOKUP(A143,POSNAV!A:D,1,FALSE)</f>
        <v>#N/A</v>
      </c>
      <c r="E143" s="348" t="e">
        <f>VLOOKUP(A143,POSNAV!A:D,3,FALSE)</f>
        <v>#N/A</v>
      </c>
      <c r="F143" s="348" t="e">
        <f t="shared" si="3"/>
        <v>#N/A</v>
      </c>
    </row>
    <row r="144" spans="1:6">
      <c r="A144">
        <f>PosAggregate!A154</f>
        <v>0</v>
      </c>
      <c r="B144" s="348">
        <f>PosAggregate!L154</f>
        <v>0</v>
      </c>
      <c r="C144" s="348">
        <f>PosAggregate!Y154</f>
        <v>0</v>
      </c>
      <c r="D144" t="e">
        <f>VLOOKUP(A144,POSNAV!A:D,1,FALSE)</f>
        <v>#N/A</v>
      </c>
      <c r="E144" s="348" t="e">
        <f>VLOOKUP(A144,POSNAV!A:D,3,FALSE)</f>
        <v>#N/A</v>
      </c>
      <c r="F144" s="348" t="e">
        <f t="shared" si="3"/>
        <v>#N/A</v>
      </c>
    </row>
    <row r="145" spans="1:6">
      <c r="A145" t="str">
        <f>PosAggregate!A155</f>
        <v>› Cash &amp; Trades to settle</v>
      </c>
      <c r="B145" s="348">
        <f>PosAggregate!L155</f>
        <v>0</v>
      </c>
      <c r="C145" s="348">
        <f>PosAggregate!Y155</f>
        <v>0</v>
      </c>
      <c r="D145" t="e">
        <f>VLOOKUP(A145,POSNAV!A:D,1,FALSE)</f>
        <v>#N/A</v>
      </c>
      <c r="E145" s="348" t="e">
        <f>VLOOKUP(A145,POSNAV!A:D,3,FALSE)</f>
        <v>#N/A</v>
      </c>
      <c r="F145" s="348" t="e">
        <f t="shared" si="3"/>
        <v>#N/A</v>
      </c>
    </row>
    <row r="146" spans="1:6">
      <c r="A146">
        <f>PosAggregate!A156</f>
        <v>0</v>
      </c>
      <c r="B146" s="348">
        <f>PosAggregate!L156</f>
        <v>0</v>
      </c>
      <c r="C146" s="348">
        <f>PosAggregate!Y156</f>
        <v>0</v>
      </c>
      <c r="D146" t="e">
        <f>VLOOKUP(A146,POSNAV!A:D,1,FALSE)</f>
        <v>#N/A</v>
      </c>
      <c r="E146" s="348" t="e">
        <f>VLOOKUP(A146,POSNAV!A:D,3,FALSE)</f>
        <v>#N/A</v>
      </c>
      <c r="F146" s="348" t="e">
        <f t="shared" si="3"/>
        <v>#N/A</v>
      </c>
    </row>
    <row r="147" spans="1:6">
      <c r="A147">
        <f>PosAggregate!A157</f>
        <v>0</v>
      </c>
      <c r="B147" s="348">
        <f>PosAggregate!L157</f>
        <v>0</v>
      </c>
      <c r="C147" s="348">
        <f>PosAggregate!Y157</f>
        <v>0</v>
      </c>
      <c r="D147" t="e">
        <f>VLOOKUP(A147,POSNAV!A:D,1,FALSE)</f>
        <v>#N/A</v>
      </c>
      <c r="E147" s="348" t="e">
        <f>VLOOKUP(A147,POSNAV!A:D,3,FALSE)</f>
        <v>#N/A</v>
      </c>
      <c r="F147" s="348" t="e">
        <f t="shared" si="3"/>
        <v>#N/A</v>
      </c>
    </row>
    <row r="218" spans="1:1">
      <c r="A218" t="s">
        <v>2214</v>
      </c>
    </row>
  </sheetData>
  <phoneticPr fontId="83" type="noConversion"/>
  <conditionalFormatting sqref="A2:A147">
    <cfRule type="duplicateValues" dxfId="21" priority="2"/>
  </conditionalFormatting>
  <conditionalFormatting sqref="A1:A1048576">
    <cfRule type="duplicateValues" dxfId="20" priority="1"/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P76"/>
  <sheetViews>
    <sheetView zoomScale="84" zoomScaleNormal="84" workbookViewId="0">
      <selection sqref="A1:XFD1048576"/>
    </sheetView>
  </sheetViews>
  <sheetFormatPr defaultColWidth="8.7265625" defaultRowHeight="14.5"/>
  <cols>
    <col min="1" max="1" width="14.26953125" style="529" bestFit="1" customWidth="1"/>
    <col min="2" max="2" width="16.26953125" style="532" customWidth="1"/>
    <col min="3" max="3" width="18.54296875" style="532" customWidth="1"/>
    <col min="4" max="4" width="17.36328125" style="532" customWidth="1"/>
    <col min="5" max="5" width="17" style="529" customWidth="1"/>
    <col min="6" max="6" width="16.26953125" style="529" customWidth="1"/>
    <col min="7" max="7" width="20" style="529" customWidth="1"/>
    <col min="8" max="8" width="11.54296875" style="529" bestFit="1" customWidth="1"/>
    <col min="9" max="9" width="13.81640625" style="529" customWidth="1"/>
    <col min="10" max="10" width="14.1796875" style="529" customWidth="1"/>
    <col min="11" max="15" width="8.7265625" style="529"/>
    <col min="16" max="16" width="21.54296875" style="529" customWidth="1"/>
    <col min="17" max="16384" width="8.7265625" style="529"/>
  </cols>
  <sheetData>
    <row r="1" spans="1:16" ht="26.5">
      <c r="A1" s="527" t="s">
        <v>19</v>
      </c>
      <c r="B1" s="1225" t="s">
        <v>19</v>
      </c>
      <c r="C1" s="1226" t="s">
        <v>13106</v>
      </c>
      <c r="D1" s="1225" t="s">
        <v>13107</v>
      </c>
      <c r="E1" s="528" t="s">
        <v>2146</v>
      </c>
      <c r="F1" s="528" t="s">
        <v>2115</v>
      </c>
      <c r="G1" s="528" t="s">
        <v>2147</v>
      </c>
      <c r="H1" s="528" t="s">
        <v>2148</v>
      </c>
      <c r="I1" s="528" t="s">
        <v>2149</v>
      </c>
    </row>
    <row r="2" spans="1:16">
      <c r="A2" s="529" t="str">
        <f>LEFT(B2,12)</f>
        <v>US55315J1025</v>
      </c>
      <c r="B2" s="534" t="s">
        <v>2116</v>
      </c>
      <c r="C2" s="1227">
        <v>7170</v>
      </c>
      <c r="D2" s="535">
        <v>32.06</v>
      </c>
      <c r="E2" s="530" t="str">
        <f>VLOOKUP(A2,POSIMS!A:C,1,FALSE)</f>
        <v>US55315J1025</v>
      </c>
      <c r="F2" s="531">
        <f ca="1">VLOOKUP(A2,POSIMS!A:C,2,FALSE)</f>
        <v>7170</v>
      </c>
      <c r="G2" s="531" t="e">
        <f ca="1">VLOOKUP(A2,POSIMS!A:C,3,FALSE)</f>
        <v>#NAME?</v>
      </c>
      <c r="H2" s="531">
        <f ca="1">C2-F2</f>
        <v>0</v>
      </c>
      <c r="I2" s="531" t="e">
        <f ca="1">D2-G2</f>
        <v>#NAME?</v>
      </c>
      <c r="L2" s="531"/>
      <c r="M2" s="531"/>
      <c r="O2" s="531"/>
      <c r="P2" s="531"/>
    </row>
    <row r="3" spans="1:16">
      <c r="A3" s="529" t="str">
        <f t="shared" ref="A3:A51" si="0">LEFT(B3,12)</f>
        <v>AU000000SFR8</v>
      </c>
      <c r="B3" s="534" t="s">
        <v>12709</v>
      </c>
      <c r="C3" s="1227">
        <v>84000</v>
      </c>
      <c r="D3" s="535">
        <v>6.94</v>
      </c>
      <c r="E3" s="530" t="str">
        <f>VLOOKUP(A3,POSIMS!A:C,1,FALSE)</f>
        <v>AU000000SFR8</v>
      </c>
      <c r="F3" s="531">
        <f ca="1">VLOOKUP(A3,POSIMS!A:C,2,FALSE)</f>
        <v>42000</v>
      </c>
      <c r="G3" s="531" t="e">
        <f ca="1">VLOOKUP(A3,POSIMS!A:C,3,FALSE)</f>
        <v>#NAME?</v>
      </c>
      <c r="H3" s="531">
        <f t="shared" ref="H3:H50" ca="1" si="1">C3-F3</f>
        <v>42000</v>
      </c>
      <c r="I3" s="531" t="e">
        <f t="shared" ref="I3:I50" ca="1" si="2">D3-G3</f>
        <v>#NAME?</v>
      </c>
      <c r="L3" s="531"/>
      <c r="M3" s="531"/>
      <c r="O3" s="531"/>
      <c r="P3" s="531"/>
    </row>
    <row r="4" spans="1:16">
      <c r="A4" s="529" t="str">
        <f t="shared" si="0"/>
        <v>AU000000SYR9</v>
      </c>
      <c r="B4" s="534" t="s">
        <v>2117</v>
      </c>
      <c r="C4" s="1227">
        <v>689680</v>
      </c>
      <c r="D4" s="535">
        <v>2.0299999999999998</v>
      </c>
      <c r="E4" s="530" t="str">
        <f>VLOOKUP(A4,POSIMS!A:C,1,FALSE)</f>
        <v>AU000000SYR9</v>
      </c>
      <c r="F4" s="531">
        <f ca="1">VLOOKUP(A4,POSIMS!A:C,2,FALSE)</f>
        <v>900000</v>
      </c>
      <c r="G4" s="531" t="e">
        <f ca="1">VLOOKUP(A4,POSIMS!A:C,3,FALSE)</f>
        <v>#NAME?</v>
      </c>
      <c r="H4" s="531">
        <f t="shared" ca="1" si="1"/>
        <v>-210320</v>
      </c>
      <c r="I4" s="531" t="e">
        <f t="shared" ca="1" si="2"/>
        <v>#NAME?</v>
      </c>
    </row>
    <row r="5" spans="1:16">
      <c r="A5" s="529" t="str">
        <f t="shared" si="0"/>
        <v>AU000000WSA9</v>
      </c>
      <c r="B5" s="534" t="s">
        <v>2118</v>
      </c>
      <c r="C5" s="1227">
        <v>110000</v>
      </c>
      <c r="D5" s="535">
        <v>3.39</v>
      </c>
      <c r="E5" s="530" t="str">
        <f>VLOOKUP(A5,POSIMS!A:C,1,FALSE)</f>
        <v>AU000000WSA9</v>
      </c>
      <c r="F5" s="531">
        <f ca="1">VLOOKUP(A5,POSIMS!A:C,2,FALSE)</f>
        <v>670000</v>
      </c>
      <c r="G5" s="531" t="e">
        <f ca="1">VLOOKUP(A5,POSIMS!A:C,3,FALSE)</f>
        <v>#NAME?</v>
      </c>
      <c r="H5" s="531">
        <f t="shared" ca="1" si="1"/>
        <v>-560000</v>
      </c>
      <c r="I5" s="531" t="e">
        <f t="shared" ca="1" si="2"/>
        <v>#NAME?</v>
      </c>
    </row>
    <row r="6" spans="1:16">
      <c r="A6" s="529" t="str">
        <f t="shared" si="0"/>
        <v>CA65401N1078</v>
      </c>
      <c r="B6" s="534" t="s">
        <v>12723</v>
      </c>
      <c r="C6" s="1227">
        <v>24000</v>
      </c>
      <c r="D6" s="535">
        <v>1.19</v>
      </c>
      <c r="E6" s="530" t="str">
        <f>VLOOKUP(A6,POSIMS!A:C,1,FALSE)</f>
        <v>CA65401N1078</v>
      </c>
      <c r="F6" s="531">
        <f ca="1">VLOOKUP(A6,POSIMS!A:C,2,FALSE)</f>
        <v>24000</v>
      </c>
      <c r="G6" s="531" t="e">
        <f ca="1">VLOOKUP(A6,POSIMS!A:C,3,FALSE)</f>
        <v>#NAME?</v>
      </c>
      <c r="H6" s="531">
        <f t="shared" ca="1" si="1"/>
        <v>0</v>
      </c>
      <c r="I6" s="531" t="e">
        <f t="shared" ca="1" si="2"/>
        <v>#NAME?</v>
      </c>
    </row>
    <row r="7" spans="1:16">
      <c r="A7" s="529" t="str">
        <f t="shared" si="0"/>
        <v>DE0005439004</v>
      </c>
      <c r="B7" s="534" t="s">
        <v>2119</v>
      </c>
      <c r="C7" s="1227">
        <v>3300</v>
      </c>
      <c r="D7" s="535">
        <v>95.58</v>
      </c>
      <c r="E7" s="530" t="str">
        <f>VLOOKUP(A7,POSIMS!A:C,1,FALSE)</f>
        <v>DE0005439004</v>
      </c>
      <c r="F7" s="531">
        <f ca="1">VLOOKUP(A7,POSIMS!A:C,2,FALSE)</f>
        <v>3300</v>
      </c>
      <c r="G7" s="531" t="e">
        <f ca="1">VLOOKUP(A7,POSIMS!A:C,3,FALSE)</f>
        <v>#NAME?</v>
      </c>
      <c r="H7" s="531">
        <f t="shared" ca="1" si="1"/>
        <v>0</v>
      </c>
      <c r="I7" s="531" t="e">
        <f t="shared" ca="1" si="2"/>
        <v>#NAME?</v>
      </c>
      <c r="J7" s="498"/>
    </row>
    <row r="8" spans="1:16">
      <c r="A8" s="529" t="str">
        <f t="shared" si="0"/>
        <v>DE000VTSC017</v>
      </c>
      <c r="B8" s="534" t="s">
        <v>13056</v>
      </c>
      <c r="C8" s="1227">
        <v>15200</v>
      </c>
      <c r="D8" s="535">
        <v>49</v>
      </c>
      <c r="E8" s="530" t="str">
        <f>VLOOKUP(A8,POSIMS!A:C,1,FALSE)</f>
        <v>DE000VTSC017</v>
      </c>
      <c r="F8" s="531">
        <f ca="1">VLOOKUP(A8,POSIMS!A:C,2,FALSE)</f>
        <v>0</v>
      </c>
      <c r="G8" s="531" t="e">
        <f ca="1">VLOOKUP(A8,POSIMS!A:C,3,FALSE)</f>
        <v>#NAME?</v>
      </c>
      <c r="H8" s="531">
        <f t="shared" ca="1" si="1"/>
        <v>15200</v>
      </c>
      <c r="I8" s="531" t="e">
        <f t="shared" ca="1" si="2"/>
        <v>#NAME?</v>
      </c>
    </row>
    <row r="9" spans="1:16">
      <c r="A9" s="529" t="str">
        <f t="shared" si="0"/>
        <v>FR0000120859</v>
      </c>
      <c r="B9" s="534" t="s">
        <v>2120</v>
      </c>
      <c r="C9" s="1227">
        <v>6975</v>
      </c>
      <c r="D9" s="535">
        <v>37.4</v>
      </c>
      <c r="E9" s="530" t="str">
        <f>VLOOKUP(A9,POSIMS!A:C,1,FALSE)</f>
        <v>FR0000120859</v>
      </c>
      <c r="F9" s="531">
        <f ca="1">VLOOKUP(A9,POSIMS!A:C,2,FALSE)</f>
        <v>6975</v>
      </c>
      <c r="G9" s="531" t="e">
        <f ca="1">VLOOKUP(A9,POSIMS!A:C,3,FALSE)</f>
        <v>#NAME?</v>
      </c>
      <c r="H9" s="531">
        <f t="shared" ca="1" si="1"/>
        <v>0</v>
      </c>
      <c r="I9" s="531" t="e">
        <f t="shared" ca="1" si="2"/>
        <v>#NAME?</v>
      </c>
    </row>
    <row r="10" spans="1:16">
      <c r="A10" s="529" t="str">
        <f t="shared" si="0"/>
        <v>FR0000131757</v>
      </c>
      <c r="B10" s="534" t="s">
        <v>2121</v>
      </c>
      <c r="C10" s="1227">
        <v>6610</v>
      </c>
      <c r="D10" s="535">
        <v>76.599999999999994</v>
      </c>
      <c r="E10" s="530" t="str">
        <f>VLOOKUP(A10,POSIMS!A:C,1,FALSE)</f>
        <v>FR0000131757</v>
      </c>
      <c r="F10" s="531">
        <f ca="1">VLOOKUP(A10,POSIMS!A:C,2,FALSE)</f>
        <v>6610</v>
      </c>
      <c r="G10" s="531" t="e">
        <f ca="1">VLOOKUP(A10,POSIMS!A:C,3,FALSE)</f>
        <v>#NAME?</v>
      </c>
      <c r="H10" s="531">
        <f t="shared" ca="1" si="1"/>
        <v>0</v>
      </c>
      <c r="I10" s="531" t="e">
        <f t="shared" ca="1" si="2"/>
        <v>#NAME?</v>
      </c>
    </row>
    <row r="11" spans="1:16">
      <c r="A11" s="529" t="str">
        <f t="shared" si="0"/>
        <v>FR0000131906</v>
      </c>
      <c r="B11" s="534" t="s">
        <v>2122</v>
      </c>
      <c r="C11" s="1227">
        <v>17900</v>
      </c>
      <c r="D11" s="535">
        <v>33.594999999999999</v>
      </c>
      <c r="E11" s="530" t="str">
        <f>VLOOKUP(A11,POSIMS!A:C,1,FALSE)</f>
        <v>FR0000131906</v>
      </c>
      <c r="F11" s="531">
        <f ca="1">VLOOKUP(A11,POSIMS!A:C,2,FALSE)</f>
        <v>17900</v>
      </c>
      <c r="G11" s="531" t="e">
        <f ca="1">VLOOKUP(A11,POSIMS!A:C,3,FALSE)</f>
        <v>#NAME?</v>
      </c>
      <c r="H11" s="531">
        <f t="shared" ca="1" si="1"/>
        <v>0</v>
      </c>
      <c r="I11" s="531" t="e">
        <f t="shared" ca="1" si="2"/>
        <v>#NAME?</v>
      </c>
    </row>
    <row r="12" spans="1:16">
      <c r="A12" s="529" t="str">
        <f t="shared" si="0"/>
        <v>FR0013176526</v>
      </c>
      <c r="B12" s="534" t="s">
        <v>2123</v>
      </c>
      <c r="C12" s="1227">
        <v>34000</v>
      </c>
      <c r="D12" s="535">
        <v>26.84</v>
      </c>
      <c r="E12" s="530" t="str">
        <f>VLOOKUP(A12,POSIMS!A:C,1,FALSE)</f>
        <v>FR0013176526</v>
      </c>
      <c r="F12" s="531">
        <f ca="1">VLOOKUP(A12,POSIMS!A:C,2,FALSE)</f>
        <v>33000</v>
      </c>
      <c r="G12" s="531" t="e">
        <f ca="1">VLOOKUP(A12,POSIMS!A:C,3,FALSE)</f>
        <v>#NAME?</v>
      </c>
      <c r="H12" s="531">
        <f t="shared" ca="1" si="1"/>
        <v>1000</v>
      </c>
      <c r="I12" s="531" t="e">
        <f t="shared" ca="1" si="2"/>
        <v>#NAME?</v>
      </c>
    </row>
    <row r="13" spans="1:16">
      <c r="A13" s="529" t="str">
        <f t="shared" si="0"/>
        <v>GG00B4TM3943</v>
      </c>
      <c r="B13" s="534" t="s">
        <v>2228</v>
      </c>
      <c r="C13" s="1227">
        <v>420000</v>
      </c>
      <c r="D13" s="535">
        <v>9.1999999999999998E-2</v>
      </c>
      <c r="E13" s="530" t="str">
        <f>VLOOKUP(A13,POSIMS!A:C,1,FALSE)</f>
        <v>GG00B4TM3943</v>
      </c>
      <c r="F13" s="531">
        <f ca="1">VLOOKUP(A13,POSIMS!A:C,2,FALSE)</f>
        <v>420000</v>
      </c>
      <c r="G13" s="531" t="e">
        <f ca="1">VLOOKUP(A13,POSIMS!A:C,3,FALSE)/100</f>
        <v>#NAME?</v>
      </c>
      <c r="H13" s="531">
        <f t="shared" ca="1" si="1"/>
        <v>0</v>
      </c>
      <c r="I13" s="531" t="e">
        <f t="shared" ca="1" si="2"/>
        <v>#NAME?</v>
      </c>
      <c r="L13" s="534"/>
    </row>
    <row r="14" spans="1:16">
      <c r="A14" s="529" t="str">
        <f t="shared" si="0"/>
        <v>JE00B4T3BW64</v>
      </c>
      <c r="B14" s="534" t="s">
        <v>2124</v>
      </c>
      <c r="C14" s="1227">
        <v>22000</v>
      </c>
      <c r="D14" s="535">
        <v>3.8780000000000001</v>
      </c>
      <c r="E14" s="530" t="str">
        <f>VLOOKUP(A14,POSIMS!A:C,1,FALSE)</f>
        <v>JE00B4T3BW64</v>
      </c>
      <c r="F14" s="531">
        <f ca="1">VLOOKUP(A14,POSIMS!A:C,2,FALSE)</f>
        <v>39000</v>
      </c>
      <c r="G14" s="531" t="e">
        <f ca="1">VLOOKUP(A14,POSIMS!A:C,3,FALSE)/100</f>
        <v>#NAME?</v>
      </c>
      <c r="H14" s="531">
        <f t="shared" ca="1" si="1"/>
        <v>-17000</v>
      </c>
      <c r="I14" s="531" t="e">
        <f t="shared" ca="1" si="2"/>
        <v>#NAME?</v>
      </c>
    </row>
    <row r="15" spans="1:16">
      <c r="A15" s="529" t="str">
        <f t="shared" si="0"/>
        <v>CNE100001TJ4</v>
      </c>
      <c r="B15" s="534" t="s">
        <v>2125</v>
      </c>
      <c r="C15" s="1227">
        <v>2000000</v>
      </c>
      <c r="D15" s="535">
        <v>3.18</v>
      </c>
      <c r="E15" s="530" t="str">
        <f>VLOOKUP(A15,POSIMS!A:C,1,FALSE)</f>
        <v>CNE100001TJ4</v>
      </c>
      <c r="F15" s="531">
        <f ca="1">VLOOKUP(A15,POSIMS!A:C,2,FALSE)</f>
        <v>2000000</v>
      </c>
      <c r="G15" s="531" t="e">
        <f ca="1">VLOOKUP(A15,POSIMS!A:C,3,FALSE)</f>
        <v>#NAME?</v>
      </c>
      <c r="H15" s="531">
        <f t="shared" ca="1" si="1"/>
        <v>0</v>
      </c>
      <c r="I15" s="531" t="e">
        <f t="shared" ca="1" si="2"/>
        <v>#NAME?</v>
      </c>
    </row>
    <row r="16" spans="1:16">
      <c r="A16" s="529" t="str">
        <f t="shared" si="0"/>
        <v>JP3111200006</v>
      </c>
      <c r="B16" s="534" t="s">
        <v>13090</v>
      </c>
      <c r="C16" s="1227">
        <v>11000</v>
      </c>
      <c r="D16" s="535">
        <v>1123</v>
      </c>
      <c r="E16" s="530" t="str">
        <f>VLOOKUP(A16,POSIMS!A:C,1,FALSE)</f>
        <v>JP3111200006</v>
      </c>
      <c r="F16" s="531">
        <f ca="1">VLOOKUP(A16,POSIMS!A:C,2,FALSE)</f>
        <v>0</v>
      </c>
      <c r="G16" s="531" t="e">
        <f ca="1">VLOOKUP(A16,POSIMS!A:C,3,FALSE)</f>
        <v>#NAME?</v>
      </c>
      <c r="H16" s="531">
        <f t="shared" ca="1" si="1"/>
        <v>11000</v>
      </c>
      <c r="I16" s="531" t="e">
        <f t="shared" ca="1" si="2"/>
        <v>#NAME?</v>
      </c>
    </row>
    <row r="17" spans="1:16">
      <c r="A17" s="529" t="str">
        <f t="shared" si="0"/>
        <v>JP3134800006</v>
      </c>
      <c r="B17" s="534" t="s">
        <v>13057</v>
      </c>
      <c r="C17" s="1227">
        <v>28700</v>
      </c>
      <c r="D17" s="535">
        <v>2452</v>
      </c>
      <c r="E17" s="530" t="str">
        <f>VLOOKUP(A17,POSIMS!A:C,1,FALSE)</f>
        <v>JP3134800006</v>
      </c>
      <c r="F17" s="531">
        <f ca="1">VLOOKUP(A17,POSIMS!A:C,2,FALSE)</f>
        <v>0</v>
      </c>
      <c r="G17" s="531" t="e">
        <f ca="1">VLOOKUP(A17,POSIMS!A:C,3,FALSE)</f>
        <v>#NAME?</v>
      </c>
      <c r="H17" s="531">
        <f t="shared" ca="1" si="1"/>
        <v>28700</v>
      </c>
      <c r="I17" s="531" t="e">
        <f t="shared" ca="1" si="2"/>
        <v>#NAME?</v>
      </c>
    </row>
    <row r="18" spans="1:16">
      <c r="A18" s="529" t="str">
        <f t="shared" si="0"/>
        <v>JP3147200004</v>
      </c>
      <c r="B18" s="534" t="s">
        <v>12705</v>
      </c>
      <c r="C18" s="1227">
        <v>22000</v>
      </c>
      <c r="D18" s="535">
        <v>1390</v>
      </c>
      <c r="E18" s="530" t="str">
        <f>VLOOKUP(A18,POSIMS!A:C,1,FALSE)</f>
        <v>JP3147200004</v>
      </c>
      <c r="F18" s="531">
        <f ca="1">VLOOKUP(A18,POSIMS!A:C,2,FALSE)</f>
        <v>22000</v>
      </c>
      <c r="G18" s="531" t="e">
        <f ca="1">VLOOKUP(A18,POSIMS!A:C,3,FALSE)</f>
        <v>#NAME?</v>
      </c>
      <c r="H18" s="531">
        <f t="shared" ca="1" si="1"/>
        <v>0</v>
      </c>
      <c r="I18" s="531" t="e">
        <f t="shared" ca="1" si="2"/>
        <v>#NAME?</v>
      </c>
    </row>
    <row r="19" spans="1:16">
      <c r="A19" s="529" t="str">
        <f t="shared" si="0"/>
        <v>JP3232600001</v>
      </c>
      <c r="B19" s="534" t="s">
        <v>12706</v>
      </c>
      <c r="C19" s="1227">
        <v>17000</v>
      </c>
      <c r="D19" s="535">
        <v>1117</v>
      </c>
      <c r="E19" s="530" t="str">
        <f>VLOOKUP(A19,POSIMS!A:C,1,FALSE)</f>
        <v>JP3232600001</v>
      </c>
      <c r="F19" s="531">
        <f ca="1">VLOOKUP(A19,POSIMS!A:C,2,FALSE)</f>
        <v>17000</v>
      </c>
      <c r="G19" s="531" t="e">
        <f ca="1">VLOOKUP(A19,POSIMS!A:C,3,FALSE)</f>
        <v>#NAME?</v>
      </c>
      <c r="H19" s="531">
        <f t="shared" ca="1" si="1"/>
        <v>0</v>
      </c>
      <c r="I19" s="531" t="e">
        <f t="shared" ca="1" si="2"/>
        <v>#NAME?</v>
      </c>
    </row>
    <row r="20" spans="1:16">
      <c r="A20" s="529" t="str">
        <f t="shared" si="0"/>
        <v>JP3271600003</v>
      </c>
      <c r="B20" s="534" t="s">
        <v>2209</v>
      </c>
      <c r="C20" s="1227">
        <v>1670</v>
      </c>
      <c r="D20" s="535">
        <v>8710</v>
      </c>
      <c r="E20" s="530" t="str">
        <f>VLOOKUP(A20,POSIMS!A:C,1,FALSE)</f>
        <v>JP3271600003</v>
      </c>
      <c r="F20" s="531">
        <f ca="1">VLOOKUP(A20,POSIMS!A:C,2,FALSE)</f>
        <v>1670</v>
      </c>
      <c r="G20" s="531" t="e">
        <f ca="1">VLOOKUP(A20,POSIMS!A:C,3,FALSE)</f>
        <v>#NAME?</v>
      </c>
      <c r="H20" s="531">
        <f t="shared" ca="1" si="1"/>
        <v>0</v>
      </c>
      <c r="I20" s="531" t="e">
        <f t="shared" ca="1" si="2"/>
        <v>#NAME?</v>
      </c>
      <c r="P20" s="554"/>
    </row>
    <row r="21" spans="1:16">
      <c r="A21" s="529" t="str">
        <f t="shared" si="0"/>
        <v>JP3332600000</v>
      </c>
      <c r="B21" s="534" t="s">
        <v>12707</v>
      </c>
      <c r="C21" s="1227">
        <v>33900</v>
      </c>
      <c r="D21" s="535">
        <v>954</v>
      </c>
      <c r="E21" s="530" t="str">
        <f>VLOOKUP(A21,POSIMS!A:C,1,FALSE)</f>
        <v>JP3332600000</v>
      </c>
      <c r="F21" s="531">
        <f ca="1">VLOOKUP(A21,POSIMS!A:C,2,FALSE)</f>
        <v>33900</v>
      </c>
      <c r="G21" s="531" t="e">
        <f ca="1">VLOOKUP(A21,POSIMS!A:C,3,FALSE)</f>
        <v>#NAME?</v>
      </c>
      <c r="H21" s="531">
        <f t="shared" ca="1" si="1"/>
        <v>0</v>
      </c>
      <c r="I21" s="531" t="e">
        <f t="shared" ca="1" si="2"/>
        <v>#NAME?</v>
      </c>
    </row>
    <row r="22" spans="1:16" ht="17.25" customHeight="1">
      <c r="A22" s="529" t="str">
        <f t="shared" si="0"/>
        <v>JP3368000000</v>
      </c>
      <c r="B22" s="534" t="s">
        <v>2126</v>
      </c>
      <c r="C22" s="1227">
        <v>46200</v>
      </c>
      <c r="D22" s="535">
        <v>2582</v>
      </c>
      <c r="E22" s="530" t="str">
        <f>VLOOKUP(A22,POSIMS!A:C,1,FALSE)</f>
        <v>JP3368000000</v>
      </c>
      <c r="F22" s="531">
        <f ca="1">VLOOKUP(A22,POSIMS!A:C,2,FALSE)</f>
        <v>26700</v>
      </c>
      <c r="G22" s="531" t="e">
        <f ca="1">VLOOKUP(A22,POSIMS!A:C,3,FALSE)</f>
        <v>#NAME?</v>
      </c>
      <c r="H22" s="531">
        <f t="shared" ca="1" si="1"/>
        <v>19500</v>
      </c>
      <c r="I22" s="531" t="e">
        <f t="shared" ca="1" si="2"/>
        <v>#NAME?</v>
      </c>
    </row>
    <row r="23" spans="1:16">
      <c r="A23" s="529" t="str">
        <f t="shared" si="0"/>
        <v>JP3399720006</v>
      </c>
      <c r="B23" s="534" t="s">
        <v>2127</v>
      </c>
      <c r="C23" s="1227">
        <v>14200</v>
      </c>
      <c r="D23" s="535">
        <v>2633</v>
      </c>
      <c r="E23" s="530" t="str">
        <f>VLOOKUP(A23,POSIMS!A:C,1,FALSE)</f>
        <v>JP3399720006</v>
      </c>
      <c r="F23" s="531">
        <f ca="1">VLOOKUP(A23,POSIMS!A:C,2,FALSE)</f>
        <v>10950</v>
      </c>
      <c r="G23" s="531" t="e">
        <f ca="1">VLOOKUP(A23,POSIMS!A:C,3,FALSE)</f>
        <v>#NAME?</v>
      </c>
      <c r="H23" s="531">
        <f t="shared" ca="1" si="1"/>
        <v>3250</v>
      </c>
      <c r="I23" s="531" t="e">
        <f t="shared" ca="1" si="2"/>
        <v>#NAME?</v>
      </c>
    </row>
    <row r="24" spans="1:16">
      <c r="A24" s="529" t="str">
        <f t="shared" si="0"/>
        <v>JP3400900001</v>
      </c>
      <c r="B24" s="534" t="s">
        <v>12710</v>
      </c>
      <c r="C24" s="1227">
        <v>6700</v>
      </c>
      <c r="D24" s="535">
        <v>3640</v>
      </c>
      <c r="E24" s="530" t="str">
        <f>VLOOKUP(A24,POSIMS!A:C,1,FALSE)</f>
        <v>JP3400900001</v>
      </c>
      <c r="F24" s="531">
        <f ca="1">VLOOKUP(A24,POSIMS!A:C,2,FALSE)</f>
        <v>11000</v>
      </c>
      <c r="G24" s="531" t="e">
        <f ca="1">VLOOKUP(A24,POSIMS!A:C,3,FALSE)</f>
        <v>#NAME?</v>
      </c>
      <c r="H24" s="531">
        <f t="shared" ca="1" si="1"/>
        <v>-4300</v>
      </c>
      <c r="I24" s="531" t="e">
        <f t="shared" ca="1" si="2"/>
        <v>#NAME?</v>
      </c>
      <c r="L24" s="531"/>
    </row>
    <row r="25" spans="1:16">
      <c r="A25" s="529" t="str">
        <f t="shared" si="0"/>
        <v>JP3401400001</v>
      </c>
      <c r="B25" s="534" t="s">
        <v>2128</v>
      </c>
      <c r="C25" s="1227">
        <v>31000</v>
      </c>
      <c r="D25" s="535">
        <v>570</v>
      </c>
      <c r="E25" s="530" t="str">
        <f>VLOOKUP(A25,POSIMS!A:C,1,FALSE)</f>
        <v>JP3401400001</v>
      </c>
      <c r="F25" s="531">
        <f ca="1">VLOOKUP(A25,POSIMS!A:C,2,FALSE)</f>
        <v>67000</v>
      </c>
      <c r="G25" s="531" t="e">
        <f ca="1">VLOOKUP(A25,POSIMS!A:C,3,FALSE)</f>
        <v>#NAME?</v>
      </c>
      <c r="H25" s="531">
        <f t="shared" ca="1" si="1"/>
        <v>-36000</v>
      </c>
      <c r="I25" s="531" t="e">
        <f t="shared" ca="1" si="2"/>
        <v>#NAME?</v>
      </c>
      <c r="J25" s="498"/>
    </row>
    <row r="26" spans="1:16">
      <c r="A26" s="529" t="str">
        <f t="shared" si="0"/>
        <v>JP3402600005</v>
      </c>
      <c r="B26" s="534" t="s">
        <v>2129</v>
      </c>
      <c r="C26" s="1227">
        <v>42000</v>
      </c>
      <c r="D26" s="535">
        <v>4716</v>
      </c>
      <c r="E26" s="530" t="str">
        <f>VLOOKUP(A26,POSIMS!A:C,1,FALSE)</f>
        <v>JP3402600005</v>
      </c>
      <c r="F26" s="531">
        <f ca="1">VLOOKUP(A26,POSIMS!A:C,2,FALSE)</f>
        <v>17900</v>
      </c>
      <c r="G26" s="531" t="e">
        <f ca="1">VLOOKUP(A26,POSIMS!A:C,3,FALSE)</f>
        <v>#NAME?</v>
      </c>
      <c r="H26" s="531">
        <f t="shared" ca="1" si="1"/>
        <v>24100</v>
      </c>
      <c r="I26" s="531" t="e">
        <f t="shared" ca="1" si="2"/>
        <v>#NAME?</v>
      </c>
    </row>
    <row r="27" spans="1:16">
      <c r="A27" s="529" t="str">
        <f t="shared" si="0"/>
        <v>JP3404600003</v>
      </c>
      <c r="B27" s="534" t="s">
        <v>2130</v>
      </c>
      <c r="C27" s="1227">
        <v>6400</v>
      </c>
      <c r="D27" s="535">
        <v>1709</v>
      </c>
      <c r="E27" s="530" t="str">
        <f>VLOOKUP(A27,POSIMS!A:C,1,FALSE)</f>
        <v>JP3404600003</v>
      </c>
      <c r="F27" s="531">
        <f ca="1">VLOOKUP(A27,POSIMS!A:C,2,FALSE)</f>
        <v>6400</v>
      </c>
      <c r="G27" s="531" t="e">
        <f ca="1">VLOOKUP(A27,POSIMS!A:C,3,FALSE)</f>
        <v>#NAME?</v>
      </c>
      <c r="H27" s="531">
        <f t="shared" ca="1" si="1"/>
        <v>0</v>
      </c>
      <c r="I27" s="531" t="e">
        <f t="shared" ca="1" si="2"/>
        <v>#NAME?</v>
      </c>
    </row>
    <row r="28" spans="1:16">
      <c r="A28" s="529" t="str">
        <f t="shared" si="0"/>
        <v>JP3425000001</v>
      </c>
      <c r="B28" s="534" t="s">
        <v>12711</v>
      </c>
      <c r="C28" s="1227">
        <v>11700</v>
      </c>
      <c r="D28" s="535">
        <v>2127</v>
      </c>
      <c r="E28" s="530" t="str">
        <f>VLOOKUP(A28,POSIMS!A:C,1,FALSE)</f>
        <v>JP3425000001</v>
      </c>
      <c r="F28" s="531">
        <f ca="1">VLOOKUP(A28,POSIMS!A:C,2,FALSE)</f>
        <v>11700</v>
      </c>
      <c r="G28" s="531" t="e">
        <f ca="1">VLOOKUP(A28,POSIMS!A:C,3,FALSE)</f>
        <v>#NAME?</v>
      </c>
      <c r="H28" s="531">
        <f t="shared" ca="1" si="1"/>
        <v>0</v>
      </c>
      <c r="I28" s="531" t="e">
        <f t="shared" ca="1" si="2"/>
        <v>#NAME?</v>
      </c>
    </row>
    <row r="29" spans="1:16">
      <c r="A29" s="529" t="str">
        <f t="shared" si="0"/>
        <v>JP3449020001</v>
      </c>
      <c r="B29" s="534" t="s">
        <v>12719</v>
      </c>
      <c r="C29" s="1227">
        <v>22000</v>
      </c>
      <c r="D29" s="535">
        <v>2351</v>
      </c>
      <c r="E29" s="530" t="str">
        <f>VLOOKUP(A29,POSIMS!A:C,1,FALSE)</f>
        <v>JP3449020001</v>
      </c>
      <c r="F29" s="531">
        <f ca="1">VLOOKUP(A29,POSIMS!A:C,2,FALSE)</f>
        <v>22000</v>
      </c>
      <c r="G29" s="531" t="e">
        <f ca="1">VLOOKUP(A29,POSIMS!A:C,3,FALSE)</f>
        <v>#NAME?</v>
      </c>
      <c r="H29" s="531">
        <f t="shared" ca="1" si="1"/>
        <v>0</v>
      </c>
      <c r="I29" s="531" t="e">
        <f t="shared" ca="1" si="2"/>
        <v>#NAME?</v>
      </c>
    </row>
    <row r="30" spans="1:16">
      <c r="A30" s="529" t="str">
        <f t="shared" si="0"/>
        <v>JP3468810001</v>
      </c>
      <c r="B30" s="534" t="s">
        <v>2131</v>
      </c>
      <c r="C30" s="1227">
        <v>16900</v>
      </c>
      <c r="D30" s="535">
        <v>2019</v>
      </c>
      <c r="E30" s="530" t="str">
        <f>VLOOKUP(A30,POSIMS!A:C,1,FALSE)</f>
        <v>JP3468810001</v>
      </c>
      <c r="F30" s="531">
        <f ca="1">VLOOKUP(A30,POSIMS!A:C,2,FALSE)</f>
        <v>16900</v>
      </c>
      <c r="G30" s="531" t="e">
        <f ca="1">VLOOKUP(A30,POSIMS!A:C,3,FALSE)</f>
        <v>#NAME?</v>
      </c>
      <c r="H30" s="531">
        <f t="shared" ca="1" si="1"/>
        <v>0</v>
      </c>
      <c r="I30" s="531" t="e">
        <f t="shared" ca="1" si="2"/>
        <v>#NAME?</v>
      </c>
    </row>
    <row r="31" spans="1:16">
      <c r="A31" s="529" t="str">
        <f t="shared" si="0"/>
        <v>JP3538800008</v>
      </c>
      <c r="B31" s="534" t="s">
        <v>13051</v>
      </c>
      <c r="C31" s="1227">
        <v>6700</v>
      </c>
      <c r="D31" s="535">
        <v>4405</v>
      </c>
      <c r="E31" s="530" t="str">
        <f>VLOOKUP(A31,POSIMS!A:C,1,FALSE)</f>
        <v>JP3538800008</v>
      </c>
      <c r="F31" s="531">
        <f ca="1">VLOOKUP(A31,POSIMS!A:C,2,FALSE)</f>
        <v>0</v>
      </c>
      <c r="G31" s="531" t="e">
        <f ca="1">VLOOKUP(A31,POSIMS!A:C,3,FALSE)</f>
        <v>#NAME?</v>
      </c>
      <c r="H31" s="531">
        <f t="shared" ca="1" si="1"/>
        <v>6700</v>
      </c>
      <c r="I31" s="531" t="e">
        <f t="shared" ca="1" si="2"/>
        <v>#NAME?</v>
      </c>
    </row>
    <row r="32" spans="1:16">
      <c r="A32" s="529" t="str">
        <f t="shared" si="0"/>
        <v>JP3544000007</v>
      </c>
      <c r="B32" s="534" t="s">
        <v>2132</v>
      </c>
      <c r="C32" s="1227">
        <v>89000</v>
      </c>
      <c r="D32" s="535">
        <v>1457</v>
      </c>
      <c r="E32" s="530" t="str">
        <f>VLOOKUP(A32,POSIMS!A:C,1,FALSE)</f>
        <v>JP3544000007</v>
      </c>
      <c r="F32" s="531">
        <f ca="1">VLOOKUP(A32,POSIMS!A:C,2,FALSE)</f>
        <v>67000</v>
      </c>
      <c r="G32" s="531" t="e">
        <f ca="1">VLOOKUP(A32,POSIMS!A:C,3,FALSE)</f>
        <v>#NAME?</v>
      </c>
      <c r="H32" s="531">
        <f t="shared" ca="1" si="1"/>
        <v>22000</v>
      </c>
      <c r="I32" s="531" t="e">
        <f t="shared" ca="1" si="2"/>
        <v>#NAME?</v>
      </c>
    </row>
    <row r="33" spans="1:11">
      <c r="A33" s="529" t="str">
        <f t="shared" si="0"/>
        <v>JP3592200004</v>
      </c>
      <c r="B33" s="534" t="s">
        <v>2203</v>
      </c>
      <c r="C33" s="1227">
        <v>6900</v>
      </c>
      <c r="D33" s="535">
        <v>4866</v>
      </c>
      <c r="E33" s="530" t="str">
        <f>VLOOKUP(A33,POSIMS!A:C,1,FALSE)</f>
        <v>JP3592200004</v>
      </c>
      <c r="F33" s="531">
        <f ca="1">VLOOKUP(A33,POSIMS!A:C,2,FALSE)</f>
        <v>33000</v>
      </c>
      <c r="G33" s="531" t="e">
        <f ca="1">VLOOKUP(A33,POSIMS!A:C,3,FALSE)</f>
        <v>#NAME?</v>
      </c>
      <c r="H33" s="531">
        <f t="shared" ca="1" si="1"/>
        <v>-26100</v>
      </c>
      <c r="I33" s="531" t="e">
        <f t="shared" ca="1" si="2"/>
        <v>#NAME?</v>
      </c>
    </row>
    <row r="34" spans="1:11">
      <c r="A34" s="529" t="str">
        <f t="shared" si="0"/>
        <v>JP3616000000</v>
      </c>
      <c r="B34" s="534" t="s">
        <v>2133</v>
      </c>
      <c r="C34" s="1227">
        <v>5400</v>
      </c>
      <c r="D34" s="535">
        <v>3065</v>
      </c>
      <c r="E34" s="530" t="str">
        <f>VLOOKUP(A34,POSIMS!A:C,1,FALSE)</f>
        <v>JP3616000000</v>
      </c>
      <c r="F34" s="531">
        <f ca="1">VLOOKUP(A34,POSIMS!A:C,2,FALSE)</f>
        <v>5400</v>
      </c>
      <c r="G34" s="531" t="e">
        <f ca="1">VLOOKUP(A34,POSIMS!A:C,3,FALSE)</f>
        <v>#NAME?</v>
      </c>
      <c r="H34" s="531">
        <f t="shared" ca="1" si="1"/>
        <v>0</v>
      </c>
      <c r="I34" s="531" t="e">
        <f t="shared" ca="1" si="2"/>
        <v>#NAME?</v>
      </c>
    </row>
    <row r="35" spans="1:11">
      <c r="A35" s="529" t="str">
        <f t="shared" si="0"/>
        <v>JP3627400009</v>
      </c>
      <c r="B35" s="534" t="s">
        <v>2134</v>
      </c>
      <c r="C35" s="1227">
        <v>50000</v>
      </c>
      <c r="D35" s="535">
        <v>3840</v>
      </c>
      <c r="E35" s="530" t="str">
        <f>VLOOKUP(A35,POSIMS!A:C,1,FALSE)</f>
        <v>JP3627400009</v>
      </c>
      <c r="F35" s="531">
        <f ca="1">VLOOKUP(A35,POSIMS!A:C,2,FALSE)</f>
        <v>50000</v>
      </c>
      <c r="G35" s="531" t="e">
        <f ca="1">VLOOKUP(A35,POSIMS!A:C,3,FALSE)</f>
        <v>#NAME?</v>
      </c>
      <c r="H35" s="531">
        <f t="shared" ca="1" si="1"/>
        <v>0</v>
      </c>
      <c r="I35" s="531" t="e">
        <f t="shared" ca="1" si="2"/>
        <v>#NAME?</v>
      </c>
    </row>
    <row r="36" spans="1:11">
      <c r="A36" s="529" t="str">
        <f t="shared" si="0"/>
        <v>JP3690400001</v>
      </c>
      <c r="B36" s="534" t="s">
        <v>2135</v>
      </c>
      <c r="C36" s="1227">
        <v>3800</v>
      </c>
      <c r="D36" s="535">
        <v>4205</v>
      </c>
      <c r="E36" s="530" t="str">
        <f>VLOOKUP(A36,POSIMS!A:C,1,FALSE)</f>
        <v>JP3690400001</v>
      </c>
      <c r="F36" s="531">
        <f ca="1">VLOOKUP(A36,POSIMS!A:C,2,FALSE)</f>
        <v>3800</v>
      </c>
      <c r="G36" s="531" t="e">
        <f ca="1">VLOOKUP(A36,POSIMS!A:C,3,FALSE)</f>
        <v>#NAME?</v>
      </c>
      <c r="H36" s="531">
        <f t="shared" ca="1" si="1"/>
        <v>0</v>
      </c>
      <c r="I36" s="531" t="e">
        <f t="shared" ca="1" si="2"/>
        <v>#NAME?</v>
      </c>
    </row>
    <row r="37" spans="1:11">
      <c r="A37" s="529" t="str">
        <f t="shared" si="0"/>
        <v>JP3691600005</v>
      </c>
      <c r="B37" s="534" t="s">
        <v>2136</v>
      </c>
      <c r="C37" s="1227">
        <v>17000</v>
      </c>
      <c r="D37" s="535">
        <v>2760</v>
      </c>
      <c r="E37" s="530" t="str">
        <f>VLOOKUP(A37,POSIMS!A:C,1,FALSE)</f>
        <v>JP3691600005</v>
      </c>
      <c r="F37" s="531">
        <f ca="1">VLOOKUP(A37,POSIMS!A:C,2,FALSE)</f>
        <v>12000</v>
      </c>
      <c r="G37" s="531" t="e">
        <f ca="1">VLOOKUP(A37,POSIMS!A:C,3,FALSE)</f>
        <v>#NAME?</v>
      </c>
      <c r="H37" s="531">
        <f t="shared" ca="1" si="1"/>
        <v>5000</v>
      </c>
      <c r="I37" s="531" t="e">
        <f t="shared" ca="1" si="2"/>
        <v>#NAME?</v>
      </c>
    </row>
    <row r="38" spans="1:11">
      <c r="A38" s="529" t="str">
        <f t="shared" si="0"/>
        <v>JP3692000007</v>
      </c>
      <c r="B38" s="534" t="s">
        <v>2137</v>
      </c>
      <c r="C38" s="1227">
        <v>17000</v>
      </c>
      <c r="D38" s="535">
        <v>1472</v>
      </c>
      <c r="E38" s="530" t="str">
        <f>VLOOKUP(A38,POSIMS!A:C,1,FALSE)</f>
        <v>JP3692000007</v>
      </c>
      <c r="F38" s="531">
        <f ca="1">VLOOKUP(A38,POSIMS!A:C,2,FALSE)</f>
        <v>17000</v>
      </c>
      <c r="G38" s="531" t="e">
        <f ca="1">VLOOKUP(A38,POSIMS!A:C,3,FALSE)</f>
        <v>#NAME?</v>
      </c>
      <c r="H38" s="531">
        <f t="shared" ca="1" si="1"/>
        <v>0</v>
      </c>
      <c r="I38" s="531" t="e">
        <f t="shared" ca="1" si="2"/>
        <v>#NAME?</v>
      </c>
    </row>
    <row r="39" spans="1:11">
      <c r="A39" s="529" t="str">
        <f t="shared" si="0"/>
        <v>JP3725400000</v>
      </c>
      <c r="B39" s="534" t="s">
        <v>2210</v>
      </c>
      <c r="C39" s="1227">
        <v>17000</v>
      </c>
      <c r="D39" s="535">
        <v>1390</v>
      </c>
      <c r="E39" s="530" t="str">
        <f>VLOOKUP(A39,POSIMS!A:C,1,FALSE)</f>
        <v>JP3725400000</v>
      </c>
      <c r="F39" s="531">
        <f ca="1">VLOOKUP(A39,POSIMS!A:C,2,FALSE)</f>
        <v>6900</v>
      </c>
      <c r="G39" s="531" t="e">
        <f ca="1">VLOOKUP(A39,POSIMS!A:C,3,FALSE)</f>
        <v>#NAME?</v>
      </c>
      <c r="H39" s="531">
        <f t="shared" ca="1" si="1"/>
        <v>10100</v>
      </c>
      <c r="I39" s="531" t="e">
        <f t="shared" ca="1" si="2"/>
        <v>#NAME?</v>
      </c>
    </row>
    <row r="40" spans="1:11">
      <c r="A40" s="529" t="str">
        <f t="shared" si="0"/>
        <v>JP3734600004</v>
      </c>
      <c r="B40" s="534" t="s">
        <v>12708</v>
      </c>
      <c r="C40" s="1227">
        <v>69000</v>
      </c>
      <c r="D40" s="535">
        <v>303</v>
      </c>
      <c r="E40" s="530" t="str">
        <f>VLOOKUP(A40,POSIMS!A:C,1,FALSE)</f>
        <v>JP3734600004</v>
      </c>
      <c r="F40" s="531">
        <f ca="1">VLOOKUP(A40,POSIMS!A:C,2,FALSE)</f>
        <v>69000</v>
      </c>
      <c r="G40" s="531" t="e">
        <f ca="1">VLOOKUP(A40,POSIMS!A:C,3,FALSE)</f>
        <v>#NAME?</v>
      </c>
      <c r="H40" s="531">
        <f t="shared" ca="1" si="1"/>
        <v>0</v>
      </c>
      <c r="I40" s="531" t="e">
        <f t="shared" ca="1" si="2"/>
        <v>#NAME?</v>
      </c>
    </row>
    <row r="41" spans="1:11" s="498" customFormat="1">
      <c r="A41" s="529" t="str">
        <f t="shared" si="0"/>
        <v>JP3866800000</v>
      </c>
      <c r="B41" s="534" t="s">
        <v>2138</v>
      </c>
      <c r="C41" s="1227">
        <v>173000</v>
      </c>
      <c r="D41" s="535">
        <v>1299.5</v>
      </c>
      <c r="E41" s="530" t="str">
        <f>VLOOKUP(A41,POSIMS!A:C,1,FALSE)</f>
        <v>JP3866800000</v>
      </c>
      <c r="F41" s="531">
        <f ca="1">VLOOKUP(A41,POSIMS!A:C,2,FALSE)</f>
        <v>192500</v>
      </c>
      <c r="G41" s="531" t="e">
        <f ca="1">VLOOKUP(A41,POSIMS!A:C,3,FALSE)</f>
        <v>#NAME?</v>
      </c>
      <c r="H41" s="531">
        <f t="shared" ca="1" si="1"/>
        <v>-19500</v>
      </c>
      <c r="I41" s="531" t="e">
        <f t="shared" ca="1" si="2"/>
        <v>#NAME?</v>
      </c>
      <c r="J41" s="529"/>
      <c r="K41" s="499"/>
    </row>
    <row r="42" spans="1:11">
      <c r="A42" s="529" t="str">
        <f t="shared" si="0"/>
        <v>KR7005490008</v>
      </c>
      <c r="B42" s="534" t="s">
        <v>2172</v>
      </c>
      <c r="C42" s="1227">
        <v>1090</v>
      </c>
      <c r="D42" s="535">
        <v>300000</v>
      </c>
      <c r="E42" s="530" t="str">
        <f>VLOOKUP(A42,POSIMS!A:C,1,FALSE)</f>
        <v>KR7005490008</v>
      </c>
      <c r="F42" s="531">
        <f ca="1">VLOOKUP(A42,POSIMS!A:C,2,FALSE)</f>
        <v>1090</v>
      </c>
      <c r="G42" s="531" t="e">
        <f ca="1">VLOOKUP(A42,POSIMS!A:C,3,FALSE)</f>
        <v>#NAME?</v>
      </c>
      <c r="H42" s="531">
        <f t="shared" ca="1" si="1"/>
        <v>0</v>
      </c>
      <c r="I42" s="531" t="e">
        <f t="shared" ca="1" si="2"/>
        <v>#NAME?</v>
      </c>
      <c r="J42" s="498"/>
    </row>
    <row r="43" spans="1:11">
      <c r="A43" s="529" t="str">
        <f t="shared" si="0"/>
        <v>KR7036830008</v>
      </c>
      <c r="B43" s="534" t="s">
        <v>2139</v>
      </c>
      <c r="C43" s="1227">
        <v>11000</v>
      </c>
      <c r="D43" s="535">
        <v>32300</v>
      </c>
      <c r="E43" s="530" t="str">
        <f>VLOOKUP(A43,POSIMS!A:C,1,FALSE)</f>
        <v>KR7036830008</v>
      </c>
      <c r="F43" s="531">
        <f ca="1">VLOOKUP(A43,POSIMS!A:C,2,FALSE)</f>
        <v>6900</v>
      </c>
      <c r="G43" s="531" t="e">
        <f ca="1">VLOOKUP(A43,POSIMS!A:C,3,FALSE)</f>
        <v>#NAME?</v>
      </c>
      <c r="H43" s="531">
        <f t="shared" ca="1" si="1"/>
        <v>4100</v>
      </c>
      <c r="I43" s="531" t="e">
        <f t="shared" ca="1" si="2"/>
        <v>#NAME?</v>
      </c>
    </row>
    <row r="44" spans="1:11">
      <c r="A44" s="529" t="str">
        <f t="shared" si="0"/>
        <v>KR7056190002</v>
      </c>
      <c r="B44" s="534" t="s">
        <v>2205</v>
      </c>
      <c r="C44" s="1227">
        <v>41715</v>
      </c>
      <c r="D44" s="535">
        <v>35150</v>
      </c>
      <c r="E44" s="530" t="str">
        <f>VLOOKUP(A44,POSIMS!A:C,1,FALSE)</f>
        <v>KR7056190002</v>
      </c>
      <c r="F44" s="531">
        <f ca="1">VLOOKUP(A44,POSIMS!A:C,2,FALSE)</f>
        <v>22070</v>
      </c>
      <c r="G44" s="531" t="e">
        <f ca="1">VLOOKUP(A44,POSIMS!A:C,3,FALSE)</f>
        <v>#NAME?</v>
      </c>
      <c r="H44" s="531">
        <f t="shared" ca="1" si="1"/>
        <v>19645</v>
      </c>
      <c r="I44" s="531" t="e">
        <f t="shared" ca="1" si="2"/>
        <v>#NAME?</v>
      </c>
    </row>
    <row r="45" spans="1:11">
      <c r="A45" s="529" t="str">
        <f t="shared" si="0"/>
        <v>KR7064960008</v>
      </c>
      <c r="B45" s="534" t="s">
        <v>2163</v>
      </c>
      <c r="C45" s="1227">
        <v>11000</v>
      </c>
      <c r="D45" s="535">
        <v>46300</v>
      </c>
      <c r="E45" s="530" t="str">
        <f>VLOOKUP(A45,POSIMS!A:C,1,FALSE)</f>
        <v>KR7064960008</v>
      </c>
      <c r="F45" s="531">
        <f ca="1">VLOOKUP(A45,POSIMS!A:C,2,FALSE)</f>
        <v>4200</v>
      </c>
      <c r="G45" s="531" t="e">
        <f ca="1">VLOOKUP(A45,POSIMS!A:C,3,FALSE)</f>
        <v>#NAME?</v>
      </c>
      <c r="H45" s="531">
        <f t="shared" ca="1" si="1"/>
        <v>6800</v>
      </c>
      <c r="I45" s="531" t="e">
        <f t="shared" ca="1" si="2"/>
        <v>#NAME?</v>
      </c>
      <c r="J45" s="498"/>
    </row>
    <row r="46" spans="1:11" s="498" customFormat="1">
      <c r="A46" s="529" t="str">
        <f t="shared" si="0"/>
        <v>KR7096771001</v>
      </c>
      <c r="B46" s="534" t="s">
        <v>2140</v>
      </c>
      <c r="C46" s="1227">
        <v>6277</v>
      </c>
      <c r="D46" s="535">
        <v>143000</v>
      </c>
      <c r="E46" s="530" t="str">
        <f>VLOOKUP(A46,POSIMS!A:C,1,FALSE)</f>
        <v>KR7096771001</v>
      </c>
      <c r="F46" s="531">
        <f ca="1">VLOOKUP(A46,POSIMS!A:C,2,FALSE)</f>
        <v>2370</v>
      </c>
      <c r="G46" s="531" t="e">
        <f ca="1">VLOOKUP(A46,POSIMS!A:C,3,FALSE)</f>
        <v>#NAME?</v>
      </c>
      <c r="H46" s="531">
        <f t="shared" ca="1" si="1"/>
        <v>3907</v>
      </c>
      <c r="I46" s="531" t="e">
        <f t="shared" ca="1" si="2"/>
        <v>#NAME?</v>
      </c>
      <c r="J46" s="529"/>
    </row>
    <row r="47" spans="1:11">
      <c r="A47" s="529" t="str">
        <f t="shared" si="0"/>
        <v>SE0008348072</v>
      </c>
      <c r="B47" s="534" t="s">
        <v>2141</v>
      </c>
      <c r="C47" s="1227">
        <v>341291</v>
      </c>
      <c r="D47" s="535">
        <v>1.236</v>
      </c>
      <c r="E47" s="530" t="str">
        <f>VLOOKUP(A47,POSIMS!A:C,1,FALSE)</f>
        <v>SE0008348072</v>
      </c>
      <c r="F47" s="531">
        <f ca="1">VLOOKUP(A47,POSIMS!A:C,2,FALSE)</f>
        <v>310265</v>
      </c>
      <c r="G47" s="531" t="e">
        <f ca="1">VLOOKUP(A47,POSIMS!A:C,3,FALSE)</f>
        <v>#NAME?</v>
      </c>
      <c r="H47" s="531">
        <f t="shared" ca="1" si="1"/>
        <v>31026</v>
      </c>
      <c r="I47" s="531" t="e">
        <f t="shared" ca="1" si="2"/>
        <v>#NAME?</v>
      </c>
    </row>
    <row r="48" spans="1:11">
      <c r="A48" s="529" t="str">
        <f t="shared" si="0"/>
        <v>US3843135084</v>
      </c>
      <c r="B48" s="534" t="s">
        <v>2142</v>
      </c>
      <c r="C48" s="1227">
        <v>14400</v>
      </c>
      <c r="D48" s="535">
        <v>11.83</v>
      </c>
      <c r="E48" s="530" t="str">
        <f>VLOOKUP(A48,POSIMS!A:C,1,FALSE)</f>
        <v>US3843135084</v>
      </c>
      <c r="F48" s="531">
        <f ca="1">VLOOKUP(A48,POSIMS!A:C,2,FALSE)</f>
        <v>14400</v>
      </c>
      <c r="G48" s="531" t="e">
        <f ca="1">VLOOKUP(A48,POSIMS!A:C,3,FALSE)</f>
        <v>#NAME?</v>
      </c>
      <c r="H48" s="531">
        <f t="shared" ca="1" si="1"/>
        <v>0</v>
      </c>
      <c r="I48" s="531" t="e">
        <f t="shared" ca="1" si="2"/>
        <v>#NAME?</v>
      </c>
    </row>
    <row r="49" spans="1:10">
      <c r="A49" s="529" t="str">
        <f t="shared" si="0"/>
        <v>DE0007664039</v>
      </c>
      <c r="B49" s="534" t="s">
        <v>2143</v>
      </c>
      <c r="C49" s="1227">
        <v>2270</v>
      </c>
      <c r="D49" s="535">
        <v>188.38</v>
      </c>
      <c r="E49" s="530" t="str">
        <f>VLOOKUP(A49,POSIMS!A:C,1,FALSE)</f>
        <v>DE0007664039</v>
      </c>
      <c r="F49" s="531">
        <f ca="1">VLOOKUP(A49,POSIMS!A:C,2,FALSE)</f>
        <v>2270</v>
      </c>
      <c r="G49" s="531" t="e">
        <f ca="1">VLOOKUP(A49,POSIMS!A:C,3,FALSE)</f>
        <v>#NAME?</v>
      </c>
      <c r="H49" s="531">
        <f t="shared" ca="1" si="1"/>
        <v>0</v>
      </c>
      <c r="I49" s="531" t="e">
        <f t="shared" ca="1" si="2"/>
        <v>#NAME?</v>
      </c>
    </row>
    <row r="50" spans="1:10">
      <c r="A50" s="529" t="str">
        <f t="shared" si="0"/>
        <v>KR7006401004</v>
      </c>
      <c r="B50" s="534" t="s">
        <v>2144</v>
      </c>
      <c r="C50" s="1227">
        <v>690</v>
      </c>
      <c r="D50" s="535">
        <v>320000</v>
      </c>
      <c r="E50" s="530" t="str">
        <f>VLOOKUP(A50,POSIMS!A:C,1,FALSE)</f>
        <v>KR7006401004</v>
      </c>
      <c r="F50" s="531">
        <f ca="1">VLOOKUP(A50,POSIMS!A:C,2,FALSE)</f>
        <v>690</v>
      </c>
      <c r="G50" s="531" t="e">
        <f ca="1">VLOOKUP(A50,POSIMS!A:C,3,FALSE)</f>
        <v>#NAME?</v>
      </c>
      <c r="H50" s="531">
        <f t="shared" ca="1" si="1"/>
        <v>0</v>
      </c>
      <c r="I50" s="531" t="e">
        <f t="shared" ca="1" si="2"/>
        <v>#NAME?</v>
      </c>
      <c r="J50" s="498"/>
    </row>
    <row r="51" spans="1:10">
      <c r="A51" s="529" t="str">
        <f t="shared" si="0"/>
        <v>KR7051911006</v>
      </c>
      <c r="B51" s="534" t="s">
        <v>2145</v>
      </c>
      <c r="C51" s="1227">
        <v>4200</v>
      </c>
      <c r="D51" s="535">
        <v>322500</v>
      </c>
      <c r="E51" s="530" t="str">
        <f>VLOOKUP(A51,POSIMS!A:C,1,FALSE)</f>
        <v>KR7051911006</v>
      </c>
      <c r="F51" s="531">
        <f ca="1">VLOOKUP(A51,POSIMS!A:C,2,FALSE)</f>
        <v>1100</v>
      </c>
      <c r="G51" s="531" t="e">
        <f ca="1">VLOOKUP(A51,POSIMS!A:C,3,FALSE)</f>
        <v>#NAME?</v>
      </c>
      <c r="H51" s="531">
        <f t="shared" ref="H51" ca="1" si="3">C51-F51</f>
        <v>3100</v>
      </c>
      <c r="I51" s="531" t="e">
        <f t="shared" ref="I51" ca="1" si="4">D51-G51</f>
        <v>#NAME?</v>
      </c>
    </row>
    <row r="52" spans="1:10">
      <c r="B52" s="534"/>
      <c r="C52" s="535"/>
      <c r="D52" s="535"/>
      <c r="E52" s="530"/>
      <c r="F52" s="531"/>
      <c r="G52" s="531"/>
      <c r="H52" s="531"/>
      <c r="I52" s="531"/>
    </row>
    <row r="53" spans="1:10">
      <c r="B53" s="534"/>
      <c r="C53" s="535"/>
      <c r="D53" s="535"/>
      <c r="E53" s="530"/>
      <c r="F53" s="531"/>
      <c r="G53" s="531"/>
      <c r="H53" s="531"/>
      <c r="I53" s="531"/>
      <c r="J53" s="498"/>
    </row>
    <row r="54" spans="1:10">
      <c r="B54" s="534"/>
      <c r="C54" s="535"/>
      <c r="D54" s="535"/>
      <c r="E54" s="530"/>
      <c r="F54" s="531"/>
      <c r="G54" s="531"/>
      <c r="H54" s="531"/>
      <c r="I54" s="531"/>
    </row>
    <row r="55" spans="1:10">
      <c r="B55" s="534"/>
      <c r="C55" s="535"/>
      <c r="D55" s="535"/>
      <c r="E55" s="530"/>
      <c r="F55" s="531"/>
      <c r="G55" s="531"/>
      <c r="H55" s="531"/>
      <c r="I55" s="531"/>
      <c r="J55" s="531"/>
    </row>
    <row r="56" spans="1:10">
      <c r="B56" s="558"/>
      <c r="C56" s="559"/>
      <c r="H56" s="531"/>
      <c r="I56" s="531"/>
    </row>
    <row r="57" spans="1:10">
      <c r="B57" s="558"/>
      <c r="C57" s="559"/>
    </row>
    <row r="58" spans="1:10">
      <c r="B58" s="558"/>
      <c r="C58" s="559"/>
    </row>
    <row r="59" spans="1:10">
      <c r="B59" s="558"/>
      <c r="C59" s="559"/>
    </row>
    <row r="60" spans="1:10">
      <c r="B60" s="558"/>
      <c r="C60" s="559"/>
    </row>
    <row r="61" spans="1:10">
      <c r="B61" s="558"/>
      <c r="C61" s="559"/>
    </row>
    <row r="62" spans="1:10">
      <c r="B62" s="558"/>
      <c r="C62" s="559"/>
    </row>
    <row r="63" spans="1:10">
      <c r="B63" s="558"/>
      <c r="C63" s="559"/>
    </row>
    <row r="64" spans="1:10">
      <c r="B64" s="558"/>
      <c r="C64" s="559"/>
    </row>
    <row r="65" spans="2:3">
      <c r="B65" s="558"/>
      <c r="C65" s="559"/>
    </row>
    <row r="66" spans="2:3">
      <c r="B66" s="558"/>
      <c r="C66" s="559"/>
    </row>
    <row r="67" spans="2:3">
      <c r="B67" s="558"/>
      <c r="C67" s="559"/>
    </row>
    <row r="68" spans="2:3">
      <c r="B68" s="558"/>
      <c r="C68" s="559"/>
    </row>
    <row r="69" spans="2:3">
      <c r="B69" s="558"/>
      <c r="C69" s="559"/>
    </row>
    <row r="70" spans="2:3">
      <c r="B70" s="558"/>
      <c r="C70" s="559"/>
    </row>
    <row r="71" spans="2:3">
      <c r="B71" s="558"/>
      <c r="C71" s="559"/>
    </row>
    <row r="72" spans="2:3">
      <c r="B72" s="558"/>
      <c r="C72" s="559"/>
    </row>
    <row r="73" spans="2:3">
      <c r="B73" s="558"/>
      <c r="C73" s="559"/>
    </row>
    <row r="74" spans="2:3">
      <c r="B74" s="558"/>
      <c r="C74" s="559"/>
    </row>
    <row r="75" spans="2:3">
      <c r="B75" s="558"/>
      <c r="C75" s="559"/>
    </row>
    <row r="76" spans="2:3">
      <c r="B76" s="558"/>
    </row>
  </sheetData>
  <phoneticPr fontId="83" type="noConversion"/>
  <conditionalFormatting sqref="K2:K3">
    <cfRule type="duplicateValues" dxfId="19" priority="5"/>
  </conditionalFormatting>
  <conditionalFormatting sqref="K2:K3">
    <cfRule type="duplicateValues" dxfId="18" priority="4"/>
  </conditionalFormatting>
  <conditionalFormatting sqref="P20">
    <cfRule type="expression" dxfId="17" priority="1">
      <formula>$C20="SELL"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1"/>
  <sheetViews>
    <sheetView workbookViewId="0">
      <selection activeCell="B11" sqref="B11"/>
    </sheetView>
  </sheetViews>
  <sheetFormatPr defaultRowHeight="14.5"/>
  <cols>
    <col min="1" max="1" width="15.54296875" bestFit="1" customWidth="1"/>
    <col min="2" max="2" width="13.81640625" bestFit="1" customWidth="1"/>
  </cols>
  <sheetData>
    <row r="4" spans="1:2">
      <c r="A4" t="s">
        <v>1229</v>
      </c>
      <c r="B4" s="417" t="s">
        <v>1761</v>
      </c>
    </row>
    <row r="5" spans="1:2">
      <c r="A5" t="s">
        <v>1695</v>
      </c>
      <c r="B5" s="417" t="s">
        <v>1762</v>
      </c>
    </row>
    <row r="6" spans="1:2">
      <c r="A6" t="s">
        <v>1113</v>
      </c>
      <c r="B6" s="417" t="s">
        <v>1763</v>
      </c>
    </row>
    <row r="7" spans="1:2">
      <c r="A7" t="s">
        <v>1669</v>
      </c>
      <c r="B7" s="417" t="s">
        <v>1764</v>
      </c>
    </row>
    <row r="8" spans="1:2">
      <c r="A8" t="s">
        <v>1156</v>
      </c>
      <c r="B8" s="417" t="s">
        <v>1765</v>
      </c>
    </row>
    <row r="9" spans="1:2">
      <c r="A9" t="s">
        <v>1725</v>
      </c>
      <c r="B9" s="417" t="s">
        <v>1762</v>
      </c>
    </row>
    <row r="10" spans="1:2">
      <c r="A10" t="s">
        <v>2173</v>
      </c>
      <c r="B10" s="417" t="s">
        <v>2174</v>
      </c>
    </row>
    <row r="11" spans="1:2">
      <c r="A11" t="s">
        <v>12852</v>
      </c>
      <c r="B11" s="570" t="s">
        <v>1870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B2" sqref="B2"/>
    </sheetView>
  </sheetViews>
  <sheetFormatPr defaultRowHeight="14.5"/>
  <cols>
    <col min="1" max="1" width="7.36328125" customWidth="1"/>
    <col min="2" max="2" width="13.81640625" bestFit="1" customWidth="1"/>
    <col min="3" max="3" width="10" bestFit="1" customWidth="1"/>
  </cols>
  <sheetData>
    <row r="1" spans="1:3">
      <c r="A1" s="417" t="s">
        <v>1766</v>
      </c>
      <c r="B1" s="418" t="s">
        <v>1767</v>
      </c>
      <c r="C1" s="418" t="s">
        <v>1768</v>
      </c>
    </row>
    <row r="2" spans="1:3">
      <c r="A2" s="417" t="s">
        <v>1769</v>
      </c>
      <c r="B2" s="419" t="s">
        <v>1770</v>
      </c>
      <c r="C2" s="417" t="s">
        <v>1771</v>
      </c>
    </row>
    <row r="3" spans="1:3">
      <c r="A3" s="417" t="s">
        <v>1772</v>
      </c>
      <c r="B3" s="417" t="s">
        <v>1773</v>
      </c>
      <c r="C3" s="417" t="s">
        <v>1312</v>
      </c>
    </row>
    <row r="4" spans="1:3">
      <c r="A4" s="417" t="s">
        <v>1774</v>
      </c>
      <c r="B4" s="417" t="s">
        <v>1775</v>
      </c>
      <c r="C4" s="417" t="s">
        <v>1776</v>
      </c>
    </row>
    <row r="5" spans="1:3">
      <c r="A5" s="417" t="s">
        <v>1777</v>
      </c>
      <c r="B5" s="417" t="s">
        <v>1778</v>
      </c>
      <c r="C5" s="417" t="s">
        <v>1779</v>
      </c>
    </row>
    <row r="6" spans="1:3">
      <c r="A6" s="417" t="s">
        <v>1780</v>
      </c>
      <c r="B6" s="417" t="s">
        <v>1781</v>
      </c>
      <c r="C6" s="417" t="s">
        <v>1782</v>
      </c>
    </row>
    <row r="7" spans="1:3">
      <c r="A7" s="417" t="s">
        <v>1783</v>
      </c>
      <c r="B7" s="417" t="s">
        <v>1784</v>
      </c>
      <c r="C7" s="417" t="s">
        <v>1785</v>
      </c>
    </row>
    <row r="8" spans="1:3">
      <c r="A8" s="417" t="s">
        <v>1786</v>
      </c>
      <c r="B8" s="417" t="s">
        <v>1784</v>
      </c>
      <c r="C8" s="417" t="s">
        <v>1787</v>
      </c>
    </row>
    <row r="9" spans="1:3">
      <c r="A9" s="420" t="s">
        <v>1786</v>
      </c>
      <c r="B9" s="417" t="s">
        <v>1784</v>
      </c>
      <c r="C9" s="417" t="s">
        <v>1788</v>
      </c>
    </row>
    <row r="10" spans="1:3">
      <c r="A10" s="417" t="s">
        <v>1789</v>
      </c>
      <c r="B10" s="419" t="s">
        <v>1790</v>
      </c>
      <c r="C10" s="417" t="s">
        <v>1791</v>
      </c>
    </row>
    <row r="11" spans="1:3">
      <c r="A11" s="417" t="s">
        <v>1606</v>
      </c>
      <c r="B11" s="419" t="s">
        <v>1792</v>
      </c>
      <c r="C11" s="417" t="s">
        <v>1793</v>
      </c>
    </row>
    <row r="12" spans="1:3">
      <c r="A12" s="417" t="s">
        <v>1794</v>
      </c>
      <c r="B12" s="417" t="s">
        <v>1795</v>
      </c>
      <c r="C12" s="417" t="s">
        <v>1796</v>
      </c>
    </row>
    <row r="13" spans="1:3">
      <c r="A13" s="417" t="s">
        <v>1797</v>
      </c>
      <c r="B13" s="417" t="s">
        <v>1798</v>
      </c>
      <c r="C13" s="417" t="s">
        <v>1799</v>
      </c>
    </row>
    <row r="14" spans="1:3">
      <c r="A14" s="417" t="s">
        <v>1800</v>
      </c>
      <c r="B14" s="419" t="s">
        <v>1801</v>
      </c>
      <c r="C14" s="417" t="s">
        <v>1802</v>
      </c>
    </row>
    <row r="15" spans="1:3">
      <c r="A15" s="417" t="s">
        <v>1516</v>
      </c>
      <c r="B15" s="417" t="s">
        <v>1803</v>
      </c>
      <c r="C15" s="417" t="s">
        <v>1804</v>
      </c>
    </row>
    <row r="16" spans="1:3">
      <c r="A16" s="417" t="s">
        <v>1805</v>
      </c>
      <c r="B16" s="419" t="s">
        <v>1806</v>
      </c>
      <c r="C16" s="420" t="s">
        <v>1310</v>
      </c>
    </row>
    <row r="17" spans="1:3">
      <c r="A17" s="417" t="s">
        <v>1807</v>
      </c>
      <c r="B17" s="417" t="s">
        <v>1808</v>
      </c>
      <c r="C17" s="417" t="s">
        <v>1809</v>
      </c>
    </row>
    <row r="18" spans="1:3">
      <c r="A18" s="417" t="s">
        <v>1810</v>
      </c>
      <c r="B18" s="417" t="s">
        <v>1811</v>
      </c>
      <c r="C18" s="417" t="s">
        <v>1812</v>
      </c>
    </row>
    <row r="19" spans="1:3">
      <c r="A19" s="417" t="s">
        <v>1813</v>
      </c>
      <c r="B19" s="419" t="s">
        <v>1814</v>
      </c>
      <c r="C19" s="417" t="s">
        <v>1815</v>
      </c>
    </row>
    <row r="20" spans="1:3">
      <c r="A20" s="417" t="s">
        <v>1816</v>
      </c>
      <c r="B20" s="417" t="s">
        <v>1817</v>
      </c>
      <c r="C20" s="417" t="s">
        <v>1818</v>
      </c>
    </row>
    <row r="21" spans="1:3">
      <c r="A21" s="417" t="s">
        <v>1819</v>
      </c>
      <c r="B21" s="417" t="s">
        <v>1820</v>
      </c>
      <c r="C21" s="417" t="s">
        <v>1821</v>
      </c>
    </row>
    <row r="22" spans="1:3">
      <c r="A22" s="417" t="s">
        <v>1822</v>
      </c>
      <c r="B22" s="417" t="s">
        <v>1823</v>
      </c>
      <c r="C22" s="417" t="s">
        <v>1824</v>
      </c>
    </row>
    <row r="23" spans="1:3">
      <c r="A23" s="417" t="s">
        <v>1825</v>
      </c>
      <c r="B23" s="419" t="s">
        <v>1826</v>
      </c>
      <c r="C23" s="417" t="s">
        <v>1827</v>
      </c>
    </row>
    <row r="24" spans="1:3">
      <c r="A24" s="420" t="s">
        <v>1828</v>
      </c>
      <c r="B24" s="417" t="s">
        <v>1829</v>
      </c>
      <c r="C24" s="417" t="s">
        <v>1830</v>
      </c>
    </row>
    <row r="25" spans="1:3">
      <c r="A25" s="420" t="s">
        <v>1335</v>
      </c>
      <c r="B25" s="419" t="s">
        <v>1831</v>
      </c>
      <c r="C25" s="420" t="s">
        <v>1336</v>
      </c>
    </row>
    <row r="26" spans="1:3">
      <c r="A26" s="417" t="s">
        <v>1832</v>
      </c>
      <c r="B26" s="417" t="s">
        <v>1833</v>
      </c>
      <c r="C26" s="417" t="s">
        <v>1580</v>
      </c>
    </row>
    <row r="27" spans="1:3">
      <c r="A27" s="417" t="s">
        <v>1834</v>
      </c>
      <c r="B27" s="419" t="s">
        <v>1835</v>
      </c>
      <c r="C27" s="420" t="s">
        <v>1836</v>
      </c>
    </row>
    <row r="28" spans="1:3">
      <c r="A28" s="417" t="s">
        <v>1093</v>
      </c>
      <c r="B28" s="417" t="s">
        <v>1837</v>
      </c>
      <c r="C28" s="417" t="s">
        <v>1838</v>
      </c>
    </row>
    <row r="29" spans="1:3">
      <c r="A29" s="417" t="s">
        <v>1839</v>
      </c>
      <c r="B29" s="417" t="s">
        <v>1840</v>
      </c>
      <c r="C29" s="417" t="s">
        <v>1841</v>
      </c>
    </row>
    <row r="30" spans="1:3">
      <c r="A30" s="417" t="s">
        <v>1842</v>
      </c>
      <c r="B30" s="417"/>
      <c r="C30" s="417" t="s">
        <v>1843</v>
      </c>
    </row>
    <row r="31" spans="1:3">
      <c r="A31" s="417" t="s">
        <v>1844</v>
      </c>
      <c r="B31" s="417"/>
      <c r="C31" s="417" t="s">
        <v>1845</v>
      </c>
    </row>
    <row r="32" spans="1:3">
      <c r="A32" s="417"/>
      <c r="B32" s="417"/>
      <c r="C32" s="417" t="s">
        <v>1846</v>
      </c>
    </row>
    <row r="33" spans="1:3">
      <c r="A33" s="417"/>
      <c r="B33" s="417"/>
      <c r="C33" s="417" t="s">
        <v>1847</v>
      </c>
    </row>
    <row r="34" spans="1:3">
      <c r="A34" s="417" t="s">
        <v>1848</v>
      </c>
      <c r="B34" s="417" t="s">
        <v>1840</v>
      </c>
      <c r="C34" s="417" t="s">
        <v>1841</v>
      </c>
    </row>
    <row r="35" spans="1:3">
      <c r="A35" s="417" t="s">
        <v>2099</v>
      </c>
      <c r="B35" s="417" t="s">
        <v>1784</v>
      </c>
      <c r="C35" s="41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workbookViewId="0">
      <selection activeCell="A2" sqref="A2:BM16"/>
    </sheetView>
  </sheetViews>
  <sheetFormatPr defaultRowHeight="14.5"/>
  <cols>
    <col min="1" max="1" width="1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9" max="9" width="9.17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36328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36328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36328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36328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36328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36328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430" t="s">
        <v>1978</v>
      </c>
      <c r="B1" s="418" t="s">
        <v>1979</v>
      </c>
      <c r="C1" s="418" t="s">
        <v>1980</v>
      </c>
      <c r="D1" s="464" t="s">
        <v>1981</v>
      </c>
      <c r="E1" s="418" t="s">
        <v>1982</v>
      </c>
      <c r="F1" s="429" t="s">
        <v>1983</v>
      </c>
      <c r="G1" s="418" t="s">
        <v>1984</v>
      </c>
      <c r="H1" s="429" t="s">
        <v>1985</v>
      </c>
      <c r="I1" s="430" t="s">
        <v>1986</v>
      </c>
      <c r="J1" s="430" t="s">
        <v>1987</v>
      </c>
      <c r="K1" s="464" t="s">
        <v>1988</v>
      </c>
      <c r="L1" s="464" t="s">
        <v>1989</v>
      </c>
      <c r="M1" s="418" t="s">
        <v>1767</v>
      </c>
      <c r="N1" s="418" t="s">
        <v>1990</v>
      </c>
      <c r="O1" s="418" t="s">
        <v>1991</v>
      </c>
      <c r="P1" s="418" t="s">
        <v>1992</v>
      </c>
      <c r="Q1" s="418" t="s">
        <v>1993</v>
      </c>
      <c r="R1" s="418" t="s">
        <v>1994</v>
      </c>
      <c r="S1" s="418" t="s">
        <v>1995</v>
      </c>
      <c r="T1" s="418" t="s">
        <v>1996</v>
      </c>
      <c r="U1" s="418" t="s">
        <v>1997</v>
      </c>
      <c r="V1" s="418" t="s">
        <v>1998</v>
      </c>
      <c r="W1" s="418" t="s">
        <v>1999</v>
      </c>
      <c r="X1" s="418" t="s">
        <v>2000</v>
      </c>
      <c r="Y1" s="418" t="s">
        <v>2001</v>
      </c>
      <c r="Z1" s="418" t="s">
        <v>205</v>
      </c>
      <c r="AA1" s="418" t="s">
        <v>2002</v>
      </c>
      <c r="AB1" s="418" t="s">
        <v>2003</v>
      </c>
      <c r="AC1" s="418" t="s">
        <v>2004</v>
      </c>
      <c r="AD1" s="418" t="s">
        <v>2005</v>
      </c>
      <c r="AE1" s="430" t="s">
        <v>2006</v>
      </c>
      <c r="AF1" s="430" t="s">
        <v>2007</v>
      </c>
      <c r="AG1" s="430" t="s">
        <v>2008</v>
      </c>
      <c r="AH1" s="430" t="s">
        <v>2009</v>
      </c>
      <c r="AI1" s="430" t="s">
        <v>2010</v>
      </c>
      <c r="AJ1" s="464" t="s">
        <v>2011</v>
      </c>
      <c r="AK1" s="464" t="s">
        <v>2012</v>
      </c>
      <c r="AL1" s="430" t="s">
        <v>2013</v>
      </c>
      <c r="AM1" s="464" t="s">
        <v>2014</v>
      </c>
      <c r="AN1" s="430" t="s">
        <v>2015</v>
      </c>
      <c r="AO1" s="430" t="s">
        <v>2016</v>
      </c>
      <c r="AP1" s="430" t="s">
        <v>2017</v>
      </c>
      <c r="AQ1" s="418" t="s">
        <v>2018</v>
      </c>
      <c r="AR1" s="418" t="s">
        <v>2019</v>
      </c>
      <c r="AS1" s="418" t="s">
        <v>2020</v>
      </c>
      <c r="AT1" s="418" t="s">
        <v>2021</v>
      </c>
      <c r="AU1" s="418" t="s">
        <v>2022</v>
      </c>
      <c r="AV1" s="430" t="s">
        <v>2023</v>
      </c>
      <c r="AW1" s="431" t="s">
        <v>2024</v>
      </c>
      <c r="AX1" s="431" t="s">
        <v>2025</v>
      </c>
      <c r="AY1" s="431" t="s">
        <v>2026</v>
      </c>
      <c r="AZ1" s="418" t="s">
        <v>1849</v>
      </c>
      <c r="BA1" s="418" t="s">
        <v>1767</v>
      </c>
      <c r="BB1" s="418" t="s">
        <v>1850</v>
      </c>
      <c r="BC1" s="418" t="s">
        <v>1851</v>
      </c>
      <c r="BD1" s="418" t="s">
        <v>1852</v>
      </c>
      <c r="BE1" s="418" t="s">
        <v>1853</v>
      </c>
      <c r="BF1" s="418" t="s">
        <v>1854</v>
      </c>
      <c r="BG1" s="418" t="s">
        <v>1855</v>
      </c>
      <c r="BH1" s="418" t="s">
        <v>1856</v>
      </c>
      <c r="BI1" s="418" t="s">
        <v>1857</v>
      </c>
      <c r="BJ1" s="418" t="s">
        <v>1858</v>
      </c>
      <c r="BK1" s="418" t="s">
        <v>1859</v>
      </c>
      <c r="BL1" s="418" t="s">
        <v>1860</v>
      </c>
      <c r="BM1" s="418" t="s">
        <v>1861</v>
      </c>
    </row>
    <row r="2" spans="1:65" s="417" customFormat="1">
      <c r="A2"/>
      <c r="D2" t="str">
        <f>$D$19</f>
        <v>NEW</v>
      </c>
      <c r="F2" s="433" t="e">
        <f>VLOOKUP(A2,TradesEquity!$1:$1048576,2,FALSE)</f>
        <v>#N/A</v>
      </c>
      <c r="H2" s="433" t="e">
        <f>VLOOKUP(A2,TradesEquity!$1:$1048576,21,FALSE)</f>
        <v>#N/A</v>
      </c>
      <c r="I2" s="434" t="e">
        <f>IF(VLOOKUP(A2,TradesEquity!$1:$1048576,3,FALSE)="BUY","B","S")</f>
        <v>#N/A</v>
      </c>
      <c r="J2" s="434" t="e">
        <f>VLOOKUP(A2,TradesEquity!$1:$1048576,5,FALSE)</f>
        <v>#N/A</v>
      </c>
      <c r="K2" t="str">
        <f>$K$19</f>
        <v>ISIN</v>
      </c>
      <c r="L2" t="str">
        <f>$L$19</f>
        <v>EQT</v>
      </c>
      <c r="AE2" s="436" t="e">
        <f>VLOOKUP(A2,TradesEquity!$1:$1048576,10,FALSE)</f>
        <v>#N/A</v>
      </c>
      <c r="AF2" s="436" t="e">
        <f>AE2</f>
        <v>#N/A</v>
      </c>
      <c r="AG2" s="436" t="e">
        <f t="shared" ref="AG2:AH12" si="0">AF2</f>
        <v>#N/A</v>
      </c>
      <c r="AH2" s="436" t="e">
        <f t="shared" si="0"/>
        <v>#N/A</v>
      </c>
      <c r="AI2" s="436" t="e">
        <f>ABS(VLOOKUP(A2,TradesEquity!$1:$1048576,13,FALSE))</f>
        <v>#N/A</v>
      </c>
      <c r="AJ2" s="106">
        <f>$AJ$19</f>
        <v>0</v>
      </c>
      <c r="AK2" s="106">
        <f>$AK$19</f>
        <v>1</v>
      </c>
      <c r="AL2" s="436" t="e">
        <f>VLOOKUP(A2,TradesEquity!$1:$1048576,11,FALSE)</f>
        <v>#N/A</v>
      </c>
      <c r="AM2" s="106">
        <f t="shared" ref="AM2:AM16" si="1">$AM$19</f>
        <v>1</v>
      </c>
      <c r="AN2" s="436" t="e">
        <f>ABS(VLOOKUP(A2,TradesEquity!$1:$1048576,14,FALSE))</f>
        <v>#N/A</v>
      </c>
      <c r="AO2" s="436" t="e">
        <f>ABS(VLOOKUP(A2,TradesEquity!$1:$1048576,15,FALSE))</f>
        <v>#N/A</v>
      </c>
      <c r="AP2" s="438" t="e">
        <f>ABS(VLOOKUP(A2,TradesEquity!$1:$1048576,16,FALSE))</f>
        <v>#N/A</v>
      </c>
      <c r="AQ2"/>
      <c r="AR2"/>
      <c r="AS2"/>
      <c r="AT2"/>
      <c r="AU2"/>
      <c r="AV2" s="438" t="e">
        <f>ABS(VLOOKUP(A2,TradesEquity!$1:$1048576,18,FALSE))</f>
        <v>#N/A</v>
      </c>
      <c r="AW2" s="106">
        <f>$AW$19</f>
        <v>0</v>
      </c>
      <c r="AX2" s="440">
        <f>$AX$19</f>
        <v>4542</v>
      </c>
      <c r="AY2" s="441" t="str">
        <f>$AY$19</f>
        <v>TIFA</v>
      </c>
      <c r="AZ2" s="442" t="e">
        <f>(VLOOKUP(A2,TradesEquity!$1:$1048576,29,FALSE))</f>
        <v>#N/A</v>
      </c>
      <c r="BA2" s="442" t="e">
        <f>(VLOOKUP(A2,TradesEquity!$1:$1048576,30,FALSE))</f>
        <v>#N/A</v>
      </c>
      <c r="BB2" s="442" t="e">
        <f>(VLOOKUP(A2,TradesEquity!$1:$1048576,31,FALSE))</f>
        <v>#N/A</v>
      </c>
      <c r="BC2" s="442" t="e">
        <f>(VLOOKUP(A2,TradesEquity!$1:$1048576,32,FALSE))</f>
        <v>#N/A</v>
      </c>
      <c r="BD2" s="442"/>
      <c r="BE2" s="442"/>
      <c r="BF2" s="442"/>
      <c r="BG2" s="442"/>
      <c r="BH2" s="442"/>
      <c r="BI2" s="465" t="e">
        <f>(VLOOKUP(A2,TradesEquity!$1:$1048576,38,FALSE))</f>
        <v>#N/A</v>
      </c>
      <c r="BJ2" s="465" t="e">
        <f>(VLOOKUP(A2,TradesEquity!$1:$1048576,39,FALSE))</f>
        <v>#N/A</v>
      </c>
      <c r="BK2" s="442" t="e">
        <f>(VLOOKUP(A2,TradesEquity!$1:$1048576,40,FALSE))</f>
        <v>#N/A</v>
      </c>
      <c r="BL2" s="442"/>
      <c r="BM2" s="442"/>
    </row>
    <row r="3" spans="1:65">
      <c r="D3" t="str">
        <f t="shared" ref="D3:D16" si="2">$D$19</f>
        <v>NEW</v>
      </c>
      <c r="F3" s="433" t="e">
        <f>VLOOKUP(A3,TradesEquity!$1:$1048576,2,FALSE)</f>
        <v>#N/A</v>
      </c>
      <c r="H3" s="433" t="e">
        <f>VLOOKUP(A3,TradesEquity!$1:$1048576,21,FALSE)</f>
        <v>#N/A</v>
      </c>
      <c r="I3" s="434" t="e">
        <f>IF(VLOOKUP(A3,TradesEquity!$1:$1048576,3,FALSE)="BUY","B","S")</f>
        <v>#N/A</v>
      </c>
      <c r="J3" s="434" t="e">
        <f>VLOOKUP(A3,TradesEquity!$1:$1048576,5,FALSE)</f>
        <v>#N/A</v>
      </c>
      <c r="K3" t="str">
        <f t="shared" ref="K3:K16" si="3">$K$19</f>
        <v>ISIN</v>
      </c>
      <c r="L3" t="str">
        <f t="shared" ref="L3:L16" si="4">$L$19</f>
        <v>EQT</v>
      </c>
      <c r="AE3" s="436" t="e">
        <f>VLOOKUP(A3,TradesEquity!$1:$1048576,10,FALSE)</f>
        <v>#N/A</v>
      </c>
      <c r="AF3" s="436" t="e">
        <f t="shared" ref="AF3:AH16" si="5">AE3</f>
        <v>#N/A</v>
      </c>
      <c r="AG3" s="436" t="e">
        <f t="shared" si="0"/>
        <v>#N/A</v>
      </c>
      <c r="AH3" s="436" t="e">
        <f t="shared" si="0"/>
        <v>#N/A</v>
      </c>
      <c r="AI3" s="436" t="e">
        <f>ABS(VLOOKUP(A3,TradesEquity!$1:$1048576,13,FALSE))</f>
        <v>#N/A</v>
      </c>
      <c r="AJ3" s="106">
        <f t="shared" ref="AJ3:AJ16" si="6">$AJ$19</f>
        <v>0</v>
      </c>
      <c r="AK3" s="106">
        <f t="shared" ref="AK3:AK16" si="7">$AK$19</f>
        <v>1</v>
      </c>
      <c r="AL3" s="436" t="e">
        <f>VLOOKUP(A3,TradesEquity!$1:$1048576,11,FALSE)</f>
        <v>#N/A</v>
      </c>
      <c r="AM3" s="106">
        <f t="shared" si="1"/>
        <v>1</v>
      </c>
      <c r="AN3" s="436" t="e">
        <f>ABS(VLOOKUP(A3,TradesEquity!$1:$1048576,14,FALSE))</f>
        <v>#N/A</v>
      </c>
      <c r="AO3" s="436" t="e">
        <f>ABS(VLOOKUP(A3,TradesEquity!$1:$1048576,15,FALSE))</f>
        <v>#N/A</v>
      </c>
      <c r="AP3" s="438" t="e">
        <f>ABS(VLOOKUP(A3,TradesEquity!$1:$1048576,16,FALSE))</f>
        <v>#N/A</v>
      </c>
      <c r="AV3" s="438" t="e">
        <f>ABS(VLOOKUP(A3,TradesEquity!$1:$1048576,18,FALSE))</f>
        <v>#N/A</v>
      </c>
      <c r="AW3" s="106">
        <f t="shared" ref="AW3:AW16" si="8">$AW$19</f>
        <v>0</v>
      </c>
      <c r="AX3" s="440">
        <f t="shared" ref="AX3:AX16" si="9">$AX$19</f>
        <v>4542</v>
      </c>
      <c r="AY3" s="441" t="str">
        <f t="shared" ref="AY3:AY16" si="10">$AY$19</f>
        <v>TIFA</v>
      </c>
      <c r="AZ3" s="442" t="e">
        <f>(VLOOKUP(A3,TradesEquity!$1:$1048576,29,FALSE))</f>
        <v>#N/A</v>
      </c>
      <c r="BA3" s="442" t="e">
        <f>(VLOOKUP(A3,TradesEquity!$1:$1048576,30,FALSE))</f>
        <v>#N/A</v>
      </c>
      <c r="BB3" s="442" t="e">
        <f>(VLOOKUP(A3,TradesEquity!$1:$1048576,31,FALSE))</f>
        <v>#N/A</v>
      </c>
      <c r="BC3" s="442" t="e">
        <f>(VLOOKUP(A3,TradesEquity!$1:$1048576,32,FALSE))</f>
        <v>#N/A</v>
      </c>
      <c r="BI3" s="465" t="e">
        <f>(VLOOKUP(A3,TradesEquity!$1:$1048576,38,FALSE))</f>
        <v>#N/A</v>
      </c>
      <c r="BJ3" s="465" t="e">
        <f>(VLOOKUP(A3,TradesEquity!$1:$1048576,39,FALSE))</f>
        <v>#N/A</v>
      </c>
      <c r="BK3" s="442" t="e">
        <f>(VLOOKUP(A3,TradesEquity!$1:$1048576,40,FALSE))</f>
        <v>#N/A</v>
      </c>
    </row>
    <row r="4" spans="1:65">
      <c r="A4" s="1026"/>
      <c r="D4" t="str">
        <f t="shared" si="2"/>
        <v>NEW</v>
      </c>
      <c r="F4" s="433" t="e">
        <f>VLOOKUP(A4,TradesEquity!$1:$1048576,2,FALSE)</f>
        <v>#N/A</v>
      </c>
      <c r="H4" s="433" t="e">
        <f>VLOOKUP(A4,TradesEquity!$1:$1048576,21,FALSE)</f>
        <v>#N/A</v>
      </c>
      <c r="I4" s="434" t="e">
        <f>IF(VLOOKUP(A4,TradesEquity!$1:$1048576,3,FALSE)="BUY","B","S")</f>
        <v>#N/A</v>
      </c>
      <c r="J4" s="434" t="e">
        <f>VLOOKUP(A4,TradesEquity!$1:$1048576,5,FALSE)</f>
        <v>#N/A</v>
      </c>
      <c r="K4" t="str">
        <f t="shared" si="3"/>
        <v>ISIN</v>
      </c>
      <c r="L4" t="str">
        <f t="shared" si="4"/>
        <v>EQT</v>
      </c>
      <c r="AE4" s="436" t="e">
        <f>VLOOKUP(A4,TradesEquity!$1:$1048576,10,FALSE)</f>
        <v>#N/A</v>
      </c>
      <c r="AF4" s="436" t="e">
        <f t="shared" si="5"/>
        <v>#N/A</v>
      </c>
      <c r="AG4" s="436" t="e">
        <f t="shared" si="0"/>
        <v>#N/A</v>
      </c>
      <c r="AH4" s="436" t="e">
        <f t="shared" si="0"/>
        <v>#N/A</v>
      </c>
      <c r="AI4" s="436" t="e">
        <f>ABS(VLOOKUP(A4,TradesEquity!$1:$1048576,13,FALSE))</f>
        <v>#N/A</v>
      </c>
      <c r="AJ4" s="106">
        <f t="shared" si="6"/>
        <v>0</v>
      </c>
      <c r="AK4" s="106">
        <f t="shared" si="7"/>
        <v>1</v>
      </c>
      <c r="AL4" s="436" t="e">
        <f>VLOOKUP(A4,TradesEquity!$1:$1048576,11,FALSE)</f>
        <v>#N/A</v>
      </c>
      <c r="AM4" s="106">
        <f t="shared" si="1"/>
        <v>1</v>
      </c>
      <c r="AN4" s="436" t="e">
        <f>ABS(VLOOKUP(A4,TradesEquity!$1:$1048576,14,FALSE))</f>
        <v>#N/A</v>
      </c>
      <c r="AO4" s="436" t="e">
        <f>ABS(VLOOKUP(A4,TradesEquity!$1:$1048576,15,FALSE))</f>
        <v>#N/A</v>
      </c>
      <c r="AP4" s="438" t="e">
        <f>ABS(VLOOKUP(A4,TradesEquity!$1:$1048576,16,FALSE))</f>
        <v>#N/A</v>
      </c>
      <c r="AV4" s="438" t="e">
        <f>ABS(VLOOKUP(A4,TradesEquity!$1:$1048576,18,FALSE))</f>
        <v>#N/A</v>
      </c>
      <c r="AW4" s="106">
        <f t="shared" si="8"/>
        <v>0</v>
      </c>
      <c r="AX4" s="440">
        <f t="shared" si="9"/>
        <v>4542</v>
      </c>
      <c r="AY4" s="441" t="str">
        <f t="shared" si="10"/>
        <v>TIFA</v>
      </c>
      <c r="AZ4" s="442" t="e">
        <f>(VLOOKUP(A4,TradesEquity!$1:$1048576,29,FALSE))</f>
        <v>#N/A</v>
      </c>
      <c r="BA4" s="442" t="e">
        <f>(VLOOKUP(A4,TradesEquity!$1:$1048576,30,FALSE))</f>
        <v>#N/A</v>
      </c>
      <c r="BB4" s="442" t="e">
        <f>(VLOOKUP(A4,TradesEquity!$1:$1048576,31,FALSE))</f>
        <v>#N/A</v>
      </c>
      <c r="BC4" s="442" t="e">
        <f>(VLOOKUP(A4,TradesEquity!$1:$1048576,32,FALSE))</f>
        <v>#N/A</v>
      </c>
      <c r="BI4" s="465" t="e">
        <f>(VLOOKUP(A4,TradesEquity!$1:$1048576,38,FALSE))</f>
        <v>#N/A</v>
      </c>
      <c r="BJ4" s="465" t="e">
        <f>(VLOOKUP(A4,TradesEquity!$1:$1048576,39,FALSE))</f>
        <v>#N/A</v>
      </c>
      <c r="BK4" s="442" t="e">
        <f>(VLOOKUP(A4,TradesEquity!$1:$1048576,40,FALSE))</f>
        <v>#N/A</v>
      </c>
    </row>
    <row r="5" spans="1:65">
      <c r="D5" t="str">
        <f t="shared" si="2"/>
        <v>NEW</v>
      </c>
      <c r="F5" s="433" t="e">
        <f>VLOOKUP(A5,TradesEquity!$1:$1048576,2,FALSE)</f>
        <v>#N/A</v>
      </c>
      <c r="H5" s="433" t="e">
        <f>VLOOKUP(A5,TradesEquity!$1:$1048576,21,FALSE)</f>
        <v>#N/A</v>
      </c>
      <c r="I5" s="434" t="e">
        <f>IF(VLOOKUP(A5,TradesEquity!$1:$1048576,3,FALSE)="BUY","B","S")</f>
        <v>#N/A</v>
      </c>
      <c r="J5" s="43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436" t="e">
        <f>VLOOKUP(A5,TradesEquity!$1:$1048576,10,FALSE)</f>
        <v>#N/A</v>
      </c>
      <c r="AF5" s="436" t="e">
        <f t="shared" si="5"/>
        <v>#N/A</v>
      </c>
      <c r="AG5" s="436" t="e">
        <f t="shared" si="0"/>
        <v>#N/A</v>
      </c>
      <c r="AH5" s="436" t="e">
        <f t="shared" si="0"/>
        <v>#N/A</v>
      </c>
      <c r="AI5" s="436" t="e">
        <f>ABS(VLOOKUP(A5,TradesEquity!$1:$1048576,13,FALSE))</f>
        <v>#N/A</v>
      </c>
      <c r="AJ5" s="106">
        <f t="shared" si="6"/>
        <v>0</v>
      </c>
      <c r="AK5" s="106">
        <f t="shared" si="7"/>
        <v>1</v>
      </c>
      <c r="AL5" s="436" t="e">
        <f>VLOOKUP(A5,TradesEquity!$1:$1048576,11,FALSE)</f>
        <v>#N/A</v>
      </c>
      <c r="AM5" s="106">
        <f t="shared" si="1"/>
        <v>1</v>
      </c>
      <c r="AN5" s="436" t="e">
        <f>ABS(VLOOKUP(A5,TradesEquity!$1:$1048576,14,FALSE))</f>
        <v>#N/A</v>
      </c>
      <c r="AO5" s="436" t="e">
        <f>ABS(VLOOKUP(A5,TradesEquity!$1:$1048576,15,FALSE))</f>
        <v>#N/A</v>
      </c>
      <c r="AP5" s="438" t="e">
        <f>ABS(VLOOKUP(A5,TradesEquity!$1:$1048576,16,FALSE))</f>
        <v>#N/A</v>
      </c>
      <c r="AV5" s="438" t="e">
        <f>ABS(VLOOKUP(A5,TradesEquity!$1:$1048576,18,FALSE))</f>
        <v>#N/A</v>
      </c>
      <c r="AW5" s="106">
        <f t="shared" si="8"/>
        <v>0</v>
      </c>
      <c r="AX5" s="440">
        <f t="shared" si="9"/>
        <v>4542</v>
      </c>
      <c r="AY5" s="441" t="str">
        <f t="shared" si="10"/>
        <v>TIFA</v>
      </c>
      <c r="AZ5" s="442" t="e">
        <f>(VLOOKUP(A5,TradesEquity!$1:$1048576,29,FALSE))</f>
        <v>#N/A</v>
      </c>
      <c r="BA5" s="442" t="e">
        <f>(VLOOKUP(A5,TradesEquity!$1:$1048576,30,FALSE))</f>
        <v>#N/A</v>
      </c>
      <c r="BB5" s="442" t="e">
        <f>(VLOOKUP(A5,TradesEquity!$1:$1048576,31,FALSE))</f>
        <v>#N/A</v>
      </c>
      <c r="BC5" s="442" t="e">
        <f>(VLOOKUP(A5,TradesEquity!$1:$1048576,32,FALSE))</f>
        <v>#N/A</v>
      </c>
      <c r="BI5" s="465" t="e">
        <f>(VLOOKUP(A5,TradesEquity!$1:$1048576,38,FALSE))</f>
        <v>#N/A</v>
      </c>
      <c r="BJ5" s="465" t="e">
        <f>(VLOOKUP(A5,TradesEquity!$1:$1048576,39,FALSE))</f>
        <v>#N/A</v>
      </c>
      <c r="BK5" s="442" t="e">
        <f>(VLOOKUP(A5,TradesEquity!$1:$1048576,40,FALSE))</f>
        <v>#N/A</v>
      </c>
    </row>
    <row r="6" spans="1:65">
      <c r="D6" t="str">
        <f t="shared" si="2"/>
        <v>NEW</v>
      </c>
      <c r="F6" s="433" t="e">
        <f>VLOOKUP(A6,TradesEquity!$1:$1048576,2,FALSE)</f>
        <v>#N/A</v>
      </c>
      <c r="H6" s="433" t="e">
        <f>VLOOKUP(A6,TradesEquity!$1:$1048576,21,FALSE)</f>
        <v>#N/A</v>
      </c>
      <c r="I6" s="434" t="e">
        <f>IF(VLOOKUP(A6,TradesEquity!$1:$1048576,3,FALSE)="BUY","B","S")</f>
        <v>#N/A</v>
      </c>
      <c r="J6" s="43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436" t="e">
        <f>VLOOKUP(A6,TradesEquity!$1:$1048576,10,FALSE)</f>
        <v>#N/A</v>
      </c>
      <c r="AF6" s="436" t="e">
        <f t="shared" si="5"/>
        <v>#N/A</v>
      </c>
      <c r="AG6" s="436" t="e">
        <f t="shared" si="0"/>
        <v>#N/A</v>
      </c>
      <c r="AH6" s="436" t="e">
        <f t="shared" si="0"/>
        <v>#N/A</v>
      </c>
      <c r="AI6" s="436" t="e">
        <f>ABS(VLOOKUP(A6,TradesEquity!$1:$1048576,13,FALSE))</f>
        <v>#N/A</v>
      </c>
      <c r="AJ6" s="106">
        <f t="shared" si="6"/>
        <v>0</v>
      </c>
      <c r="AK6" s="106">
        <f t="shared" si="7"/>
        <v>1</v>
      </c>
      <c r="AL6" s="436" t="e">
        <f>VLOOKUP(A6,TradesEquity!$1:$1048576,11,FALSE)</f>
        <v>#N/A</v>
      </c>
      <c r="AM6" s="106">
        <f t="shared" si="1"/>
        <v>1</v>
      </c>
      <c r="AN6" s="436" t="e">
        <f>ABS(VLOOKUP(A6,TradesEquity!$1:$1048576,14,FALSE))</f>
        <v>#N/A</v>
      </c>
      <c r="AO6" s="436" t="e">
        <f>ABS(VLOOKUP(A6,TradesEquity!$1:$1048576,15,FALSE))</f>
        <v>#N/A</v>
      </c>
      <c r="AP6" s="438" t="e">
        <f>ABS(VLOOKUP(A6,TradesEquity!$1:$1048576,16,FALSE))</f>
        <v>#N/A</v>
      </c>
      <c r="AV6" s="438" t="e">
        <f>ABS(VLOOKUP(A6,TradesEquity!$1:$1048576,18,FALSE))</f>
        <v>#N/A</v>
      </c>
      <c r="AW6" s="106">
        <f t="shared" si="8"/>
        <v>0</v>
      </c>
      <c r="AX6" s="440">
        <f t="shared" si="9"/>
        <v>4542</v>
      </c>
      <c r="AY6" s="441" t="str">
        <f t="shared" si="10"/>
        <v>TIFA</v>
      </c>
      <c r="AZ6" s="442" t="e">
        <f>(VLOOKUP(A6,TradesEquity!$1:$1048576,29,FALSE))</f>
        <v>#N/A</v>
      </c>
      <c r="BA6" s="442" t="e">
        <f>(VLOOKUP(A6,TradesEquity!$1:$1048576,30,FALSE))</f>
        <v>#N/A</v>
      </c>
      <c r="BB6" s="442" t="e">
        <f>(VLOOKUP(A6,TradesEquity!$1:$1048576,31,FALSE))</f>
        <v>#N/A</v>
      </c>
      <c r="BC6" s="442" t="e">
        <f>(VLOOKUP(A6,TradesEquity!$1:$1048576,32,FALSE))</f>
        <v>#N/A</v>
      </c>
      <c r="BI6" s="465" t="e">
        <f>(VLOOKUP(A6,TradesEquity!$1:$1048576,38,FALSE))</f>
        <v>#N/A</v>
      </c>
      <c r="BJ6" s="465" t="e">
        <f>(VLOOKUP(A6,TradesEquity!$1:$1048576,39,FALSE))</f>
        <v>#N/A</v>
      </c>
      <c r="BK6" s="442" t="e">
        <f>(VLOOKUP(A6,TradesEquity!$1:$1048576,40,FALSE))</f>
        <v>#N/A</v>
      </c>
    </row>
    <row r="7" spans="1:65">
      <c r="D7" t="str">
        <f t="shared" si="2"/>
        <v>NEW</v>
      </c>
      <c r="F7" s="433" t="e">
        <f>VLOOKUP(A7,TradesEquity!$1:$1048576,2,FALSE)</f>
        <v>#N/A</v>
      </c>
      <c r="H7" s="433" t="e">
        <f>VLOOKUP(A7,TradesEquity!$1:$1048576,21,FALSE)</f>
        <v>#N/A</v>
      </c>
      <c r="I7" s="434" t="e">
        <f>IF(VLOOKUP(A7,TradesEquity!$1:$1048576,3,FALSE)="BUY","B","S")</f>
        <v>#N/A</v>
      </c>
      <c r="J7" s="43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436" t="e">
        <f>VLOOKUP(A7,TradesEquity!$1:$1048576,10,FALSE)</f>
        <v>#N/A</v>
      </c>
      <c r="AF7" s="436" t="e">
        <f t="shared" si="5"/>
        <v>#N/A</v>
      </c>
      <c r="AG7" s="436" t="e">
        <f t="shared" si="0"/>
        <v>#N/A</v>
      </c>
      <c r="AH7" s="436" t="e">
        <f t="shared" si="0"/>
        <v>#N/A</v>
      </c>
      <c r="AI7" s="436" t="e">
        <f>ABS(VLOOKUP(A7,TradesEquity!$1:$1048576,13,FALSE))</f>
        <v>#N/A</v>
      </c>
      <c r="AJ7" s="106">
        <f t="shared" si="6"/>
        <v>0</v>
      </c>
      <c r="AK7" s="106">
        <f t="shared" si="7"/>
        <v>1</v>
      </c>
      <c r="AL7" s="436" t="e">
        <f>VLOOKUP(A7,TradesEquity!$1:$1048576,11,FALSE)</f>
        <v>#N/A</v>
      </c>
      <c r="AM7" s="106">
        <f t="shared" si="1"/>
        <v>1</v>
      </c>
      <c r="AN7" s="436" t="e">
        <f>ABS(VLOOKUP(A7,TradesEquity!$1:$1048576,14,FALSE))</f>
        <v>#N/A</v>
      </c>
      <c r="AO7" s="436" t="e">
        <f>ABS(VLOOKUP(A7,TradesEquity!$1:$1048576,15,FALSE))</f>
        <v>#N/A</v>
      </c>
      <c r="AP7" s="438" t="e">
        <f>ABS(VLOOKUP(A7,TradesEquity!$1:$1048576,16,FALSE))</f>
        <v>#N/A</v>
      </c>
      <c r="AV7" s="438" t="e">
        <f>ABS(VLOOKUP(A7,TradesEquity!$1:$1048576,18,FALSE))</f>
        <v>#N/A</v>
      </c>
      <c r="AW7" s="106">
        <f t="shared" si="8"/>
        <v>0</v>
      </c>
      <c r="AX7" s="440">
        <f t="shared" si="9"/>
        <v>4542</v>
      </c>
      <c r="AY7" s="441" t="str">
        <f t="shared" si="10"/>
        <v>TIFA</v>
      </c>
      <c r="AZ7" s="442" t="e">
        <f>(VLOOKUP(A7,TradesEquity!$1:$1048576,29,FALSE))</f>
        <v>#N/A</v>
      </c>
      <c r="BA7" s="442" t="e">
        <f>(VLOOKUP(A7,TradesEquity!$1:$1048576,30,FALSE))</f>
        <v>#N/A</v>
      </c>
      <c r="BB7" s="442" t="e">
        <f>(VLOOKUP(A7,TradesEquity!$1:$1048576,31,FALSE))</f>
        <v>#N/A</v>
      </c>
      <c r="BC7" s="442" t="e">
        <f>(VLOOKUP(A7,TradesEquity!$1:$1048576,32,FALSE))</f>
        <v>#N/A</v>
      </c>
      <c r="BI7" s="465" t="e">
        <f>(VLOOKUP(A7,TradesEquity!$1:$1048576,38,FALSE))</f>
        <v>#N/A</v>
      </c>
      <c r="BJ7" s="465" t="e">
        <f>(VLOOKUP(A7,TradesEquity!$1:$1048576,39,FALSE))</f>
        <v>#N/A</v>
      </c>
      <c r="BK7" s="442" t="e">
        <f>(VLOOKUP(A7,TradesEquity!$1:$1048576,40,FALSE))</f>
        <v>#N/A</v>
      </c>
    </row>
    <row r="8" spans="1:65">
      <c r="A8" s="1141"/>
      <c r="D8" t="str">
        <f t="shared" si="2"/>
        <v>NEW</v>
      </c>
      <c r="F8" s="433" t="e">
        <f>VLOOKUP(A8,TradesEquity!$1:$1048576,2,FALSE)</f>
        <v>#N/A</v>
      </c>
      <c r="H8" s="433" t="e">
        <f>VLOOKUP(A8,TradesEquity!$1:$1048576,21,FALSE)</f>
        <v>#N/A</v>
      </c>
      <c r="I8" s="434" t="e">
        <f>IF(VLOOKUP(A8,TradesEquity!$1:$1048576,3,FALSE)="BUY","B","S")</f>
        <v>#N/A</v>
      </c>
      <c r="J8" s="43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436" t="e">
        <f>VLOOKUP(A8,TradesEquity!$1:$1048576,10,FALSE)</f>
        <v>#N/A</v>
      </c>
      <c r="AF8" s="436" t="e">
        <f t="shared" si="5"/>
        <v>#N/A</v>
      </c>
      <c r="AG8" s="436" t="e">
        <f t="shared" si="0"/>
        <v>#N/A</v>
      </c>
      <c r="AH8" s="436" t="e">
        <f t="shared" si="0"/>
        <v>#N/A</v>
      </c>
      <c r="AI8" s="436" t="e">
        <f>ABS(VLOOKUP(A8,TradesEquity!$1:$1048576,13,FALSE))</f>
        <v>#N/A</v>
      </c>
      <c r="AJ8" s="106">
        <f t="shared" si="6"/>
        <v>0</v>
      </c>
      <c r="AK8" s="106">
        <f t="shared" si="7"/>
        <v>1</v>
      </c>
      <c r="AL8" s="436" t="e">
        <f>VLOOKUP(A8,TradesEquity!$1:$1048576,11,FALSE)</f>
        <v>#N/A</v>
      </c>
      <c r="AM8" s="106">
        <f t="shared" si="1"/>
        <v>1</v>
      </c>
      <c r="AN8" s="436" t="e">
        <f>ABS(VLOOKUP(A8,TradesEquity!$1:$1048576,14,FALSE))</f>
        <v>#N/A</v>
      </c>
      <c r="AO8" s="436" t="e">
        <f>ABS(VLOOKUP(A8,TradesEquity!$1:$1048576,15,FALSE))</f>
        <v>#N/A</v>
      </c>
      <c r="AP8" s="438" t="e">
        <f>ABS(VLOOKUP(A8,TradesEquity!$1:$1048576,16,FALSE))</f>
        <v>#N/A</v>
      </c>
      <c r="AV8" s="438" t="e">
        <f>ABS(VLOOKUP(A8,TradesEquity!$1:$1048576,18,FALSE))</f>
        <v>#N/A</v>
      </c>
      <c r="AW8" s="106">
        <f t="shared" si="8"/>
        <v>0</v>
      </c>
      <c r="AX8" s="440">
        <f t="shared" si="9"/>
        <v>4542</v>
      </c>
      <c r="AY8" s="441" t="str">
        <f t="shared" si="10"/>
        <v>TIFA</v>
      </c>
      <c r="AZ8" s="442" t="e">
        <f>(VLOOKUP(A8,TradesEquity!$1:$1048576,29,FALSE))</f>
        <v>#N/A</v>
      </c>
      <c r="BA8" s="442" t="e">
        <f>(VLOOKUP(A8,TradesEquity!$1:$1048576,30,FALSE))</f>
        <v>#N/A</v>
      </c>
      <c r="BB8" s="442" t="e">
        <f>(VLOOKUP(A8,TradesEquity!$1:$1048576,31,FALSE))</f>
        <v>#N/A</v>
      </c>
      <c r="BC8" s="442" t="e">
        <f>(VLOOKUP(A8,TradesEquity!$1:$1048576,32,FALSE))</f>
        <v>#N/A</v>
      </c>
      <c r="BI8" s="465" t="e">
        <f>(VLOOKUP(A8,TradesEquity!$1:$1048576,38,FALSE))</f>
        <v>#N/A</v>
      </c>
      <c r="BJ8" s="465" t="e">
        <f>(VLOOKUP(A8,TradesEquity!$1:$1048576,39,FALSE))</f>
        <v>#N/A</v>
      </c>
      <c r="BK8" s="442" t="e">
        <f>(VLOOKUP(A8,TradesEquity!$1:$1048576,40,FALSE))</f>
        <v>#N/A</v>
      </c>
    </row>
    <row r="9" spans="1:65" ht="16.5">
      <c r="A9" s="1141"/>
      <c r="D9" t="str">
        <f t="shared" si="2"/>
        <v>NEW</v>
      </c>
      <c r="F9" s="433" t="e">
        <f>VLOOKUP(A9,TradesEquity!$1:$1048576,2,FALSE)</f>
        <v>#N/A</v>
      </c>
      <c r="H9" s="433" t="e">
        <f>VLOOKUP(A9,TradesEquity!$1:$1048576,21,FALSE)</f>
        <v>#N/A</v>
      </c>
      <c r="I9" s="434" t="e">
        <f>IF(VLOOKUP(A9,TradesEquity!$1:$1048576,3,FALSE)="BUY","B","S")</f>
        <v>#N/A</v>
      </c>
      <c r="J9" s="43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436" t="e">
        <f>VLOOKUP(A9,TradesEquity!$1:$1048576,10,FALSE)</f>
        <v>#N/A</v>
      </c>
      <c r="AF9" s="436" t="e">
        <f t="shared" si="5"/>
        <v>#N/A</v>
      </c>
      <c r="AG9" s="436" t="e">
        <f t="shared" si="0"/>
        <v>#N/A</v>
      </c>
      <c r="AH9" s="436" t="e">
        <f t="shared" si="0"/>
        <v>#N/A</v>
      </c>
      <c r="AI9" s="436" t="e">
        <f>ABS(VLOOKUP(A9,TradesEquity!$1:$1048576,13,FALSE))</f>
        <v>#N/A</v>
      </c>
      <c r="AJ9" s="106">
        <f t="shared" si="6"/>
        <v>0</v>
      </c>
      <c r="AK9" s="106">
        <f t="shared" si="7"/>
        <v>1</v>
      </c>
      <c r="AL9" s="436" t="e">
        <f>VLOOKUP(A9,TradesEquity!$1:$1048576,11,FALSE)</f>
        <v>#N/A</v>
      </c>
      <c r="AM9" s="106">
        <f t="shared" si="1"/>
        <v>1</v>
      </c>
      <c r="AN9" s="436" t="e">
        <f>ABS(VLOOKUP(A9,TradesEquity!$1:$1048576,14,FALSE))</f>
        <v>#N/A</v>
      </c>
      <c r="AO9" s="436" t="e">
        <f>ABS(VLOOKUP(A9,TradesEquity!$1:$1048576,15,FALSE))</f>
        <v>#N/A</v>
      </c>
      <c r="AP9" s="438" t="e">
        <f>ABS(VLOOKUP(A9,TradesEquity!$1:$1048576,16,FALSE))</f>
        <v>#N/A</v>
      </c>
      <c r="AV9" s="438" t="e">
        <f>ABS(VLOOKUP(A9,TradesEquity!$1:$1048576,18,FALSE))</f>
        <v>#N/A</v>
      </c>
      <c r="AW9" s="106">
        <f t="shared" si="8"/>
        <v>0</v>
      </c>
      <c r="AX9" s="440">
        <f t="shared" si="9"/>
        <v>4542</v>
      </c>
      <c r="AY9" s="441" t="str">
        <f t="shared" si="10"/>
        <v>TIFA</v>
      </c>
      <c r="AZ9" s="442" t="e">
        <f>(VLOOKUP(A9,TradesEquity!$1:$1048576,29,FALSE))</f>
        <v>#N/A</v>
      </c>
      <c r="BA9" s="442" t="e">
        <f>(VLOOKUP(A9,TradesEquity!$1:$1048576,30,FALSE))</f>
        <v>#N/A</v>
      </c>
      <c r="BB9" s="442" t="e">
        <f>(VLOOKUP(A9,TradesEquity!$1:$1048576,31,FALSE))</f>
        <v>#N/A</v>
      </c>
      <c r="BC9" s="442" t="e">
        <f>(VLOOKUP(A9,TradesEquity!$1:$1048576,32,FALSE))</f>
        <v>#N/A</v>
      </c>
      <c r="BF9" s="469"/>
      <c r="BI9" s="465" t="e">
        <f>(VLOOKUP(A9,TradesEquity!$1:$1048576,38,FALSE))</f>
        <v>#N/A</v>
      </c>
      <c r="BJ9" s="465" t="e">
        <f>(VLOOKUP(A9,TradesEquity!$1:$1048576,39,FALSE))</f>
        <v>#N/A</v>
      </c>
      <c r="BK9" s="442" t="e">
        <f>(VLOOKUP(A9,TradesEquity!$1:$1048576,40,FALSE))</f>
        <v>#N/A</v>
      </c>
    </row>
    <row r="10" spans="1:65">
      <c r="A10" s="1141"/>
      <c r="D10" t="str">
        <f t="shared" si="2"/>
        <v>NEW</v>
      </c>
      <c r="F10" s="433" t="e">
        <f>VLOOKUP(A10,TradesEquity!$1:$1048576,2,FALSE)</f>
        <v>#N/A</v>
      </c>
      <c r="H10" s="433" t="e">
        <f>VLOOKUP(A10,TradesEquity!$1:$1048576,21,FALSE)</f>
        <v>#N/A</v>
      </c>
      <c r="I10" s="434" t="e">
        <f>IF(VLOOKUP(A10,TradesEquity!$1:$1048576,3,FALSE)="BUY","B","S")</f>
        <v>#N/A</v>
      </c>
      <c r="J10" s="43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436" t="e">
        <f>VLOOKUP(A10,TradesEquity!$1:$1048576,10,FALSE)</f>
        <v>#N/A</v>
      </c>
      <c r="AF10" s="436" t="e">
        <f t="shared" si="5"/>
        <v>#N/A</v>
      </c>
      <c r="AG10" s="436" t="e">
        <f t="shared" si="0"/>
        <v>#N/A</v>
      </c>
      <c r="AH10" s="436" t="e">
        <f t="shared" si="0"/>
        <v>#N/A</v>
      </c>
      <c r="AI10" s="436" t="e">
        <f>ABS(VLOOKUP(A10,TradesEquity!$1:$1048576,13,FALSE))</f>
        <v>#N/A</v>
      </c>
      <c r="AJ10" s="106">
        <f t="shared" si="6"/>
        <v>0</v>
      </c>
      <c r="AK10" s="106">
        <f t="shared" si="7"/>
        <v>1</v>
      </c>
      <c r="AL10" s="436" t="e">
        <f>VLOOKUP(A10,TradesEquity!$1:$1048576,11,FALSE)</f>
        <v>#N/A</v>
      </c>
      <c r="AM10" s="106">
        <f t="shared" si="1"/>
        <v>1</v>
      </c>
      <c r="AN10" s="436" t="e">
        <f>ABS(VLOOKUP(A10,TradesEquity!$1:$1048576,14,FALSE))</f>
        <v>#N/A</v>
      </c>
      <c r="AO10" s="436" t="e">
        <f>ABS(VLOOKUP(A10,TradesEquity!$1:$1048576,15,FALSE))</f>
        <v>#N/A</v>
      </c>
      <c r="AP10" s="438" t="e">
        <f>ABS(VLOOKUP(A10,TradesEquity!$1:$1048576,16,FALSE))</f>
        <v>#N/A</v>
      </c>
      <c r="AV10" s="438" t="e">
        <f>ABS(VLOOKUP(A10,TradesEquity!$1:$1048576,18,FALSE))</f>
        <v>#N/A</v>
      </c>
      <c r="AW10" s="106">
        <f t="shared" si="8"/>
        <v>0</v>
      </c>
      <c r="AX10" s="440">
        <f t="shared" si="9"/>
        <v>4542</v>
      </c>
      <c r="AY10" s="441" t="str">
        <f t="shared" si="10"/>
        <v>TIFA</v>
      </c>
      <c r="AZ10" s="442" t="e">
        <f>(VLOOKUP(A10,TradesEquity!$1:$1048576,29,FALSE))</f>
        <v>#N/A</v>
      </c>
      <c r="BA10" s="442" t="e">
        <f>(VLOOKUP(A10,TradesEquity!$1:$1048576,30,FALSE))</f>
        <v>#N/A</v>
      </c>
      <c r="BB10" s="442" t="e">
        <f>(VLOOKUP(A10,TradesEquity!$1:$1048576,31,FALSE))</f>
        <v>#N/A</v>
      </c>
      <c r="BC10" s="442" t="e">
        <f>(VLOOKUP(A10,TradesEquity!$1:$1048576,32,FALSE))</f>
        <v>#N/A</v>
      </c>
      <c r="BI10" s="465" t="e">
        <f>(VLOOKUP(A10,TradesEquity!$1:$1048576,38,FALSE))</f>
        <v>#N/A</v>
      </c>
      <c r="BJ10" s="465" t="e">
        <f>(VLOOKUP(A10,TradesEquity!$1:$1048576,39,FALSE))</f>
        <v>#N/A</v>
      </c>
      <c r="BK10" s="442" t="e">
        <f>(VLOOKUP(A10,TradesEquity!$1:$1048576,40,FALSE))</f>
        <v>#N/A</v>
      </c>
    </row>
    <row r="11" spans="1:65">
      <c r="A11" s="1141"/>
      <c r="D11" t="str">
        <f t="shared" si="2"/>
        <v>NEW</v>
      </c>
      <c r="F11" s="433" t="e">
        <f>VLOOKUP(A11,TradesEquity!$1:$1048576,2,FALSE)</f>
        <v>#N/A</v>
      </c>
      <c r="H11" s="433" t="e">
        <f>VLOOKUP(A11,TradesEquity!$1:$1048576,21,FALSE)</f>
        <v>#N/A</v>
      </c>
      <c r="I11" s="434" t="e">
        <f>IF(VLOOKUP(A11,TradesEquity!$1:$1048576,3,FALSE)="BUY","B","S")</f>
        <v>#N/A</v>
      </c>
      <c r="J11" s="43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436" t="e">
        <f>VLOOKUP(A11,TradesEquity!$1:$1048576,10,FALSE)</f>
        <v>#N/A</v>
      </c>
      <c r="AF11" s="436" t="e">
        <f t="shared" si="5"/>
        <v>#N/A</v>
      </c>
      <c r="AG11" s="436" t="e">
        <f t="shared" si="0"/>
        <v>#N/A</v>
      </c>
      <c r="AH11" s="436" t="e">
        <f t="shared" si="0"/>
        <v>#N/A</v>
      </c>
      <c r="AI11" s="436" t="e">
        <f>ABS(VLOOKUP(A11,TradesEquity!$1:$1048576,13,FALSE))</f>
        <v>#N/A</v>
      </c>
      <c r="AJ11" s="106">
        <f t="shared" si="6"/>
        <v>0</v>
      </c>
      <c r="AK11" s="106">
        <f t="shared" si="7"/>
        <v>1</v>
      </c>
      <c r="AL11" s="436" t="e">
        <f>VLOOKUP(A11,TradesEquity!$1:$1048576,11,FALSE)</f>
        <v>#N/A</v>
      </c>
      <c r="AM11" s="106">
        <f t="shared" si="1"/>
        <v>1</v>
      </c>
      <c r="AN11" s="436" t="e">
        <f>ABS(VLOOKUP(A11,TradesEquity!$1:$1048576,14,FALSE))</f>
        <v>#N/A</v>
      </c>
      <c r="AO11" s="436" t="e">
        <f>ABS(VLOOKUP(A11,TradesEquity!$1:$1048576,15,FALSE))</f>
        <v>#N/A</v>
      </c>
      <c r="AP11" s="438" t="e">
        <f>ABS(VLOOKUP(A11,TradesEquity!$1:$1048576,16,FALSE))</f>
        <v>#N/A</v>
      </c>
      <c r="AV11" s="438" t="e">
        <f>ABS(VLOOKUP(A11,TradesEquity!$1:$1048576,18,FALSE))</f>
        <v>#N/A</v>
      </c>
      <c r="AW11" s="106">
        <f t="shared" si="8"/>
        <v>0</v>
      </c>
      <c r="AX11" s="440">
        <f t="shared" si="9"/>
        <v>4542</v>
      </c>
      <c r="AY11" s="441" t="str">
        <f t="shared" si="10"/>
        <v>TIFA</v>
      </c>
      <c r="AZ11" s="442" t="e">
        <f>(VLOOKUP(A11,TradesEquity!$1:$1048576,29,FALSE))</f>
        <v>#N/A</v>
      </c>
      <c r="BA11" s="442" t="e">
        <f>(VLOOKUP(A11,TradesEquity!$1:$1048576,30,FALSE))</f>
        <v>#N/A</v>
      </c>
      <c r="BB11" s="442" t="e">
        <f>(VLOOKUP(A11,TradesEquity!$1:$1048576,31,FALSE))</f>
        <v>#N/A</v>
      </c>
      <c r="BC11" s="442" t="e">
        <f>(VLOOKUP(A11,TradesEquity!$1:$1048576,32,FALSE))</f>
        <v>#N/A</v>
      </c>
      <c r="BI11" s="465" t="e">
        <f>(VLOOKUP(A11,TradesEquity!$1:$1048576,38,FALSE))</f>
        <v>#N/A</v>
      </c>
      <c r="BJ11" s="465" t="e">
        <f>(VLOOKUP(A11,TradesEquity!$1:$1048576,39,FALSE))</f>
        <v>#N/A</v>
      </c>
      <c r="BK11" s="442" t="e">
        <f>(VLOOKUP(A11,TradesEquity!$1:$1048576,40,FALSE))</f>
        <v>#N/A</v>
      </c>
    </row>
    <row r="12" spans="1:65">
      <c r="A12" s="1141"/>
      <c r="D12" t="str">
        <f t="shared" si="2"/>
        <v>NEW</v>
      </c>
      <c r="F12" s="433" t="e">
        <f>VLOOKUP(A12,TradesEquity!$1:$1048576,2,FALSE)</f>
        <v>#N/A</v>
      </c>
      <c r="H12" s="433" t="e">
        <f>VLOOKUP(A12,TradesEquity!$1:$1048576,21,FALSE)</f>
        <v>#N/A</v>
      </c>
      <c r="I12" s="434" t="e">
        <f>IF(VLOOKUP(A12,TradesEquity!$1:$1048576,3,FALSE)="BUY","B","S")</f>
        <v>#N/A</v>
      </c>
      <c r="J12" s="43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436" t="e">
        <f>VLOOKUP(A12,TradesEquity!$1:$1048576,10,FALSE)</f>
        <v>#N/A</v>
      </c>
      <c r="AF12" s="436" t="e">
        <f t="shared" si="5"/>
        <v>#N/A</v>
      </c>
      <c r="AG12" s="436" t="e">
        <f t="shared" si="0"/>
        <v>#N/A</v>
      </c>
      <c r="AH12" s="436" t="e">
        <f t="shared" si="0"/>
        <v>#N/A</v>
      </c>
      <c r="AI12" s="436" t="e">
        <f>ABS(VLOOKUP(A12,TradesEquity!$1:$1048576,13,FALSE))</f>
        <v>#N/A</v>
      </c>
      <c r="AJ12" s="106">
        <f t="shared" si="6"/>
        <v>0</v>
      </c>
      <c r="AK12" s="106">
        <f t="shared" si="7"/>
        <v>1</v>
      </c>
      <c r="AL12" s="436" t="e">
        <f>VLOOKUP(A12,TradesEquity!$1:$1048576,11,FALSE)</f>
        <v>#N/A</v>
      </c>
      <c r="AM12" s="106">
        <f t="shared" si="1"/>
        <v>1</v>
      </c>
      <c r="AN12" s="436" t="e">
        <f>ABS(VLOOKUP(A12,TradesEquity!$1:$1048576,14,FALSE))</f>
        <v>#N/A</v>
      </c>
      <c r="AO12" s="436" t="e">
        <f>ABS(VLOOKUP(A12,TradesEquity!$1:$1048576,15,FALSE))</f>
        <v>#N/A</v>
      </c>
      <c r="AP12" s="438" t="e">
        <f>ABS(VLOOKUP(A12,TradesEquity!$1:$1048576,16,FALSE))</f>
        <v>#N/A</v>
      </c>
      <c r="AV12" s="438" t="e">
        <f>ABS(VLOOKUP(A12,TradesEquity!$1:$1048576,18,FALSE))</f>
        <v>#N/A</v>
      </c>
      <c r="AW12" s="106">
        <f t="shared" si="8"/>
        <v>0</v>
      </c>
      <c r="AX12" s="440">
        <f t="shared" si="9"/>
        <v>4542</v>
      </c>
      <c r="AY12" s="441" t="str">
        <f t="shared" si="10"/>
        <v>TIFA</v>
      </c>
      <c r="AZ12" s="442" t="e">
        <f>(VLOOKUP(A12,TradesEquity!$1:$1048576,29,FALSE))</f>
        <v>#N/A</v>
      </c>
      <c r="BA12" s="442" t="e">
        <f>(VLOOKUP(A12,TradesEquity!$1:$1048576,30,FALSE))</f>
        <v>#N/A</v>
      </c>
      <c r="BB12" s="442" t="e">
        <f>(VLOOKUP(A12,TradesEquity!$1:$1048576,31,FALSE))</f>
        <v>#N/A</v>
      </c>
      <c r="BC12" s="442" t="e">
        <f>(VLOOKUP(A12,TradesEquity!$1:$1048576,32,FALSE))</f>
        <v>#N/A</v>
      </c>
      <c r="BI12" s="465" t="e">
        <f>(VLOOKUP(A12,TradesEquity!$1:$1048576,38,FALSE))</f>
        <v>#N/A</v>
      </c>
      <c r="BJ12" s="465" t="e">
        <f>(VLOOKUP(A12,TradesEquity!$1:$1048576,39,FALSE))</f>
        <v>#N/A</v>
      </c>
      <c r="BK12" s="442" t="e">
        <f>(VLOOKUP(A12,TradesEquity!$1:$1048576,40,FALSE))</f>
        <v>#N/A</v>
      </c>
    </row>
    <row r="13" spans="1:65">
      <c r="A13" s="1141"/>
      <c r="D13" t="str">
        <f t="shared" si="2"/>
        <v>NEW</v>
      </c>
      <c r="F13" s="433" t="e">
        <f>VLOOKUP(A13,TradesEquity!$1:$1048576,2,FALSE)</f>
        <v>#N/A</v>
      </c>
      <c r="H13" s="433" t="e">
        <f>VLOOKUP(A13,TradesEquity!$1:$1048576,21,FALSE)</f>
        <v>#N/A</v>
      </c>
      <c r="I13" s="434" t="e">
        <f>IF(VLOOKUP(A13,TradesEquity!$1:$1048576,3,FALSE)="BUY","B","S")</f>
        <v>#N/A</v>
      </c>
      <c r="J13" s="43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436" t="e">
        <f>VLOOKUP(A13,TradesEquity!$1:$1048576,10,FALSE)</f>
        <v>#N/A</v>
      </c>
      <c r="AF13" s="436" t="e">
        <f t="shared" si="5"/>
        <v>#N/A</v>
      </c>
      <c r="AG13" s="436" t="e">
        <f t="shared" si="5"/>
        <v>#N/A</v>
      </c>
      <c r="AH13" s="436" t="e">
        <f t="shared" si="5"/>
        <v>#N/A</v>
      </c>
      <c r="AI13" s="436" t="e">
        <f>ABS(VLOOKUP(A13,TradesEquity!$1:$1048576,13,FALSE))</f>
        <v>#N/A</v>
      </c>
      <c r="AJ13" s="106">
        <f t="shared" si="6"/>
        <v>0</v>
      </c>
      <c r="AK13" s="106">
        <f t="shared" si="7"/>
        <v>1</v>
      </c>
      <c r="AL13" s="436" t="e">
        <f>VLOOKUP(A13,TradesEquity!$1:$1048576,11,FALSE)</f>
        <v>#N/A</v>
      </c>
      <c r="AM13" s="106">
        <f t="shared" si="1"/>
        <v>1</v>
      </c>
      <c r="AN13" s="436" t="e">
        <f>ABS(VLOOKUP(A13,TradesEquity!$1:$1048576,14,FALSE))</f>
        <v>#N/A</v>
      </c>
      <c r="AO13" s="436" t="e">
        <f>ABS(VLOOKUP(A13,TradesEquity!$1:$1048576,15,FALSE))</f>
        <v>#N/A</v>
      </c>
      <c r="AP13" s="438" t="e">
        <f>ABS(VLOOKUP(A13,TradesEquity!$1:$1048576,16,FALSE))</f>
        <v>#N/A</v>
      </c>
      <c r="AV13" s="438" t="e">
        <f>ABS(VLOOKUP(A13,TradesEquity!$1:$1048576,18,FALSE))</f>
        <v>#N/A</v>
      </c>
      <c r="AW13" s="106">
        <f t="shared" si="8"/>
        <v>0</v>
      </c>
      <c r="AX13" s="440">
        <f t="shared" si="9"/>
        <v>4542</v>
      </c>
      <c r="AY13" s="441" t="str">
        <f t="shared" si="10"/>
        <v>TIFA</v>
      </c>
      <c r="AZ13" s="442" t="e">
        <f>(VLOOKUP(A13,TradesEquity!$1:$1048576,29,FALSE))</f>
        <v>#N/A</v>
      </c>
      <c r="BA13" s="442" t="e">
        <f>(VLOOKUP(A13,TradesEquity!$1:$1048576,30,FALSE))</f>
        <v>#N/A</v>
      </c>
      <c r="BB13" s="442" t="e">
        <f>(VLOOKUP(A13,TradesEquity!$1:$1048576,31,FALSE))</f>
        <v>#N/A</v>
      </c>
      <c r="BC13" s="442" t="e">
        <f>(VLOOKUP(A13,TradesEquity!$1:$1048576,32,FALSE))</f>
        <v>#N/A</v>
      </c>
      <c r="BI13" s="465" t="e">
        <f>(VLOOKUP(A13,TradesEquity!$1:$1048576,38,FALSE))</f>
        <v>#N/A</v>
      </c>
      <c r="BJ13" s="465" t="e">
        <f>(VLOOKUP(A13,TradesEquity!$1:$1048576,39,FALSE))</f>
        <v>#N/A</v>
      </c>
      <c r="BK13" s="442" t="e">
        <f>(VLOOKUP(A13,TradesEquity!$1:$1048576,40,FALSE))</f>
        <v>#N/A</v>
      </c>
    </row>
    <row r="14" spans="1:65">
      <c r="A14" s="1141"/>
      <c r="D14" t="str">
        <f t="shared" si="2"/>
        <v>NEW</v>
      </c>
      <c r="F14" s="433" t="e">
        <f>VLOOKUP(A14,TradesEquity!$1:$1048576,2,FALSE)</f>
        <v>#N/A</v>
      </c>
      <c r="H14" s="433" t="e">
        <f>VLOOKUP(A14,TradesEquity!$1:$1048576,21,FALSE)</f>
        <v>#N/A</v>
      </c>
      <c r="I14" s="434" t="e">
        <f>IF(VLOOKUP(A14,TradesEquity!$1:$1048576,3,FALSE)="BUY","B","S")</f>
        <v>#N/A</v>
      </c>
      <c r="J14" s="43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436" t="e">
        <f>VLOOKUP(A14,TradesEquity!$1:$1048576,10,FALSE)</f>
        <v>#N/A</v>
      </c>
      <c r="AF14" s="436" t="e">
        <f t="shared" si="5"/>
        <v>#N/A</v>
      </c>
      <c r="AG14" s="436" t="e">
        <f t="shared" si="5"/>
        <v>#N/A</v>
      </c>
      <c r="AH14" s="436" t="e">
        <f t="shared" si="5"/>
        <v>#N/A</v>
      </c>
      <c r="AI14" s="436" t="e">
        <f>ABS(VLOOKUP(A14,TradesEquity!$1:$1048576,13,FALSE))</f>
        <v>#N/A</v>
      </c>
      <c r="AJ14" s="106">
        <f t="shared" si="6"/>
        <v>0</v>
      </c>
      <c r="AK14" s="106">
        <f t="shared" si="7"/>
        <v>1</v>
      </c>
      <c r="AL14" s="436" t="e">
        <f>VLOOKUP(A14,TradesEquity!$1:$1048576,11,FALSE)</f>
        <v>#N/A</v>
      </c>
      <c r="AM14" s="106">
        <f t="shared" si="1"/>
        <v>1</v>
      </c>
      <c r="AN14" s="436" t="e">
        <f>ABS(VLOOKUP(A14,TradesEquity!$1:$1048576,14,FALSE))</f>
        <v>#N/A</v>
      </c>
      <c r="AO14" s="436" t="e">
        <f>ABS(VLOOKUP(A14,TradesEquity!$1:$1048576,15,FALSE))</f>
        <v>#N/A</v>
      </c>
      <c r="AP14" s="438" t="e">
        <f>ABS(VLOOKUP(A14,TradesEquity!$1:$1048576,16,FALSE))</f>
        <v>#N/A</v>
      </c>
      <c r="AV14" s="438" t="e">
        <f>ABS(VLOOKUP(A14,TradesEquity!$1:$1048576,18,FALSE))</f>
        <v>#N/A</v>
      </c>
      <c r="AW14" s="106">
        <f t="shared" si="8"/>
        <v>0</v>
      </c>
      <c r="AX14" s="440">
        <f t="shared" si="9"/>
        <v>4542</v>
      </c>
      <c r="AY14" s="441" t="str">
        <f t="shared" si="10"/>
        <v>TIFA</v>
      </c>
      <c r="AZ14" s="442" t="e">
        <f>(VLOOKUP(A14,TradesEquity!$1:$1048576,29,FALSE))</f>
        <v>#N/A</v>
      </c>
      <c r="BA14" s="442" t="e">
        <f>(VLOOKUP(A14,TradesEquity!$1:$1048576,30,FALSE))</f>
        <v>#N/A</v>
      </c>
      <c r="BB14" s="442" t="e">
        <f>(VLOOKUP(A14,TradesEquity!$1:$1048576,31,FALSE))</f>
        <v>#N/A</v>
      </c>
      <c r="BC14" s="442" t="e">
        <f>(VLOOKUP(A14,TradesEquity!$1:$1048576,32,FALSE))</f>
        <v>#N/A</v>
      </c>
      <c r="BI14" s="465" t="e">
        <f>(VLOOKUP(A14,TradesEquity!$1:$1048576,38,FALSE))</f>
        <v>#N/A</v>
      </c>
      <c r="BJ14" s="465" t="e">
        <f>(VLOOKUP(A14,TradesEquity!$1:$1048576,39,FALSE))</f>
        <v>#N/A</v>
      </c>
      <c r="BK14" s="442" t="e">
        <f>(VLOOKUP(A14,TradesEquity!$1:$1048576,40,FALSE))</f>
        <v>#N/A</v>
      </c>
    </row>
    <row r="15" spans="1:65">
      <c r="D15" t="str">
        <f t="shared" si="2"/>
        <v>NEW</v>
      </c>
      <c r="F15" s="433" t="e">
        <f>VLOOKUP(A15,TradesEquity!$1:$1048576,2,FALSE)</f>
        <v>#N/A</v>
      </c>
      <c r="H15" s="433" t="e">
        <f>VLOOKUP(A15,TradesEquity!$1:$1048576,21,FALSE)</f>
        <v>#N/A</v>
      </c>
      <c r="I15" s="434" t="e">
        <f>IF(VLOOKUP(A15,TradesEquity!$1:$1048576,3,FALSE)="BUY","B","S")</f>
        <v>#N/A</v>
      </c>
      <c r="J15" s="43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436" t="e">
        <f>VLOOKUP(A15,TradesEquity!$1:$1048576,10,FALSE)</f>
        <v>#N/A</v>
      </c>
      <c r="AF15" s="436" t="e">
        <f t="shared" si="5"/>
        <v>#N/A</v>
      </c>
      <c r="AG15" s="436" t="e">
        <f t="shared" si="5"/>
        <v>#N/A</v>
      </c>
      <c r="AH15" s="436" t="e">
        <f t="shared" si="5"/>
        <v>#N/A</v>
      </c>
      <c r="AI15" s="436" t="e">
        <f>ABS(VLOOKUP(A15,TradesEquity!$1:$1048576,13,FALSE))</f>
        <v>#N/A</v>
      </c>
      <c r="AJ15" s="106">
        <f t="shared" si="6"/>
        <v>0</v>
      </c>
      <c r="AK15" s="106">
        <f t="shared" si="7"/>
        <v>1</v>
      </c>
      <c r="AL15" s="436" t="e">
        <f>VLOOKUP(A15,TradesEquity!$1:$1048576,11,FALSE)</f>
        <v>#N/A</v>
      </c>
      <c r="AM15" s="106">
        <f t="shared" si="1"/>
        <v>1</v>
      </c>
      <c r="AN15" s="436" t="e">
        <f>ABS(VLOOKUP(A15,TradesEquity!$1:$1048576,14,FALSE))</f>
        <v>#N/A</v>
      </c>
      <c r="AO15" s="436" t="e">
        <f>ABS(VLOOKUP(A15,TradesEquity!$1:$1048576,15,FALSE))</f>
        <v>#N/A</v>
      </c>
      <c r="AP15" s="438" t="e">
        <f>ABS(VLOOKUP(A15,TradesEquity!$1:$1048576,16,FALSE))</f>
        <v>#N/A</v>
      </c>
      <c r="AV15" s="438" t="e">
        <f>ABS(VLOOKUP(A15,TradesEquity!$1:$1048576,18,FALSE))</f>
        <v>#N/A</v>
      </c>
      <c r="AW15" s="106">
        <f t="shared" si="8"/>
        <v>0</v>
      </c>
      <c r="AX15" s="440">
        <f t="shared" si="9"/>
        <v>4542</v>
      </c>
      <c r="AY15" s="441" t="str">
        <f t="shared" si="10"/>
        <v>TIFA</v>
      </c>
      <c r="AZ15" s="442" t="e">
        <f>(VLOOKUP(A15,TradesEquity!$1:$1048576,29,FALSE))</f>
        <v>#N/A</v>
      </c>
      <c r="BA15" s="442" t="e">
        <f>(VLOOKUP(A15,TradesEquity!$1:$1048576,30,FALSE))</f>
        <v>#N/A</v>
      </c>
      <c r="BB15" s="442" t="e">
        <f>(VLOOKUP(A15,TradesEquity!$1:$1048576,31,FALSE))</f>
        <v>#N/A</v>
      </c>
      <c r="BC15" s="442" t="e">
        <f>(VLOOKUP(A15,TradesEquity!$1:$1048576,32,FALSE))</f>
        <v>#N/A</v>
      </c>
      <c r="BI15" s="465" t="e">
        <f>(VLOOKUP(A15,TradesEquity!$1:$1048576,38,FALSE))</f>
        <v>#N/A</v>
      </c>
      <c r="BJ15" s="465" t="e">
        <f>(VLOOKUP(A15,TradesEquity!$1:$1048576,39,FALSE))</f>
        <v>#N/A</v>
      </c>
      <c r="BK15" s="442" t="e">
        <f>(VLOOKUP(A15,TradesEquity!$1:$1048576,40,FALSE))</f>
        <v>#N/A</v>
      </c>
    </row>
    <row r="16" spans="1:65">
      <c r="D16" t="str">
        <f t="shared" si="2"/>
        <v>NEW</v>
      </c>
      <c r="F16" s="433" t="e">
        <f>VLOOKUP(A16,TradesEquity!$1:$1048576,2,FALSE)</f>
        <v>#N/A</v>
      </c>
      <c r="H16" s="433" t="e">
        <f>VLOOKUP(A16,TradesEquity!$1:$1048576,21,FALSE)</f>
        <v>#N/A</v>
      </c>
      <c r="I16" s="434" t="e">
        <f>IF(VLOOKUP(A16,TradesEquity!$1:$1048576,3,FALSE)="BUY","B","S")</f>
        <v>#N/A</v>
      </c>
      <c r="J16" s="43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436" t="e">
        <f>VLOOKUP(A16,TradesEquity!$1:$1048576,10,FALSE)</f>
        <v>#N/A</v>
      </c>
      <c r="AF16" s="436" t="e">
        <f t="shared" si="5"/>
        <v>#N/A</v>
      </c>
      <c r="AG16" s="436" t="e">
        <f t="shared" si="5"/>
        <v>#N/A</v>
      </c>
      <c r="AH16" s="436" t="e">
        <f t="shared" si="5"/>
        <v>#N/A</v>
      </c>
      <c r="AI16" s="436" t="e">
        <f>ABS(VLOOKUP(A16,TradesEquity!$1:$1048576,13,FALSE))</f>
        <v>#N/A</v>
      </c>
      <c r="AJ16" s="106">
        <f t="shared" si="6"/>
        <v>0</v>
      </c>
      <c r="AK16" s="106">
        <f t="shared" si="7"/>
        <v>1</v>
      </c>
      <c r="AL16" s="436" t="e">
        <f>VLOOKUP(A16,TradesEquity!$1:$1048576,11,FALSE)</f>
        <v>#N/A</v>
      </c>
      <c r="AM16" s="106">
        <f t="shared" si="1"/>
        <v>1</v>
      </c>
      <c r="AN16" s="436" t="e">
        <f>ABS(VLOOKUP(A16,TradesEquity!$1:$1048576,14,FALSE))</f>
        <v>#N/A</v>
      </c>
      <c r="AO16" s="436" t="e">
        <f>ABS(VLOOKUP(A16,TradesEquity!$1:$1048576,15,FALSE))</f>
        <v>#N/A</v>
      </c>
      <c r="AP16" s="438" t="e">
        <f>ABS(VLOOKUP(A16,TradesEquity!$1:$1048576,16,FALSE))</f>
        <v>#N/A</v>
      </c>
      <c r="AV16" s="438" t="e">
        <f>ABS(VLOOKUP(A16,TradesEquity!$1:$1048576,18,FALSE))</f>
        <v>#N/A</v>
      </c>
      <c r="AW16" s="106">
        <f t="shared" si="8"/>
        <v>0</v>
      </c>
      <c r="AX16" s="440">
        <f t="shared" si="9"/>
        <v>4542</v>
      </c>
      <c r="AY16" s="441" t="str">
        <f t="shared" si="10"/>
        <v>TIFA</v>
      </c>
      <c r="AZ16" s="442" t="e">
        <f>(VLOOKUP(A16,TradesEquity!$1:$1048576,29,FALSE))</f>
        <v>#N/A</v>
      </c>
      <c r="BA16" s="442" t="e">
        <f>(VLOOKUP(A16,TradesEquity!$1:$1048576,30,FALSE))</f>
        <v>#N/A</v>
      </c>
      <c r="BB16" s="442" t="e">
        <f>(VLOOKUP(A16,TradesEquity!$1:$1048576,31,FALSE))</f>
        <v>#N/A</v>
      </c>
      <c r="BC16" s="442" t="e">
        <f>(VLOOKUP(A16,TradesEquity!$1:$1048576,32,FALSE))</f>
        <v>#N/A</v>
      </c>
      <c r="BI16" s="465" t="e">
        <f>(VLOOKUP(A16,TradesEquity!$1:$1048576,38,FALSE))</f>
        <v>#N/A</v>
      </c>
      <c r="BJ16" s="465" t="e">
        <f>(VLOOKUP(A16,TradesEquity!$1:$1048576,39,FALSE))</f>
        <v>#N/A</v>
      </c>
      <c r="BK16" s="442" t="e">
        <f>(VLOOKUP(A16,TradesEquity!$1:$1048576,40,FALSE))</f>
        <v>#N/A</v>
      </c>
    </row>
    <row r="19" spans="1:63">
      <c r="A19" s="468"/>
      <c r="D19" s="432" t="s">
        <v>2027</v>
      </c>
      <c r="K19" s="432" t="s">
        <v>19</v>
      </c>
      <c r="L19" s="435" t="s">
        <v>2028</v>
      </c>
      <c r="AE19" s="436"/>
      <c r="AF19" s="436"/>
      <c r="AG19" s="436"/>
      <c r="AH19" s="436"/>
      <c r="AI19" s="436"/>
      <c r="AJ19" s="437">
        <v>0</v>
      </c>
      <c r="AK19" s="437">
        <v>1</v>
      </c>
      <c r="AL19" s="436"/>
      <c r="AM19" s="437">
        <v>1</v>
      </c>
      <c r="AN19" s="436"/>
      <c r="AO19" s="436"/>
      <c r="AP19" s="438"/>
      <c r="AQ19" s="367">
        <v>0</v>
      </c>
      <c r="AR19" s="367">
        <v>0</v>
      </c>
      <c r="AS19" s="367">
        <v>0</v>
      </c>
      <c r="AT19" s="367">
        <v>0</v>
      </c>
      <c r="AU19" s="367">
        <v>0</v>
      </c>
      <c r="AV19" s="438" t="e">
        <f>ABS(VLOOKUP(A19,TradesEquity!$1:$1048576,18,FALSE))</f>
        <v>#N/A</v>
      </c>
      <c r="AW19" s="439">
        <v>0</v>
      </c>
      <c r="AX19" s="440">
        <v>4542</v>
      </c>
      <c r="AY19" s="441" t="s">
        <v>2029</v>
      </c>
      <c r="AZ19" s="442"/>
      <c r="BA19" s="442"/>
      <c r="BB19" s="442"/>
      <c r="BC19" s="442"/>
      <c r="BI19" s="465"/>
      <c r="BJ19" s="465"/>
      <c r="BK19" s="442"/>
    </row>
    <row r="20" spans="1:63">
      <c r="N20" s="556" t="s">
        <v>1748</v>
      </c>
      <c r="O20" s="556" t="s">
        <v>1749</v>
      </c>
    </row>
    <row r="21" spans="1:63">
      <c r="N21" s="408" t="s">
        <v>148</v>
      </c>
      <c r="O21" s="22" t="s">
        <v>148</v>
      </c>
    </row>
    <row r="22" spans="1:63">
      <c r="N22" s="408" t="s">
        <v>147</v>
      </c>
      <c r="O22" s="22" t="s">
        <v>147</v>
      </c>
    </row>
    <row r="23" spans="1:63">
      <c r="N23" s="408" t="s">
        <v>1751</v>
      </c>
      <c r="O23" s="22" t="s">
        <v>1752</v>
      </c>
    </row>
    <row r="24" spans="1:63">
      <c r="N24" s="408" t="s">
        <v>1753</v>
      </c>
      <c r="O24" s="22" t="s">
        <v>1754</v>
      </c>
    </row>
    <row r="25" spans="1:63">
      <c r="N25" s="408" t="s">
        <v>1755</v>
      </c>
      <c r="O25" s="409" t="s">
        <v>1756</v>
      </c>
    </row>
    <row r="26" spans="1:63">
      <c r="N26" s="408" t="s">
        <v>1757</v>
      </c>
      <c r="O26" s="22"/>
    </row>
    <row r="27" spans="1:63">
      <c r="N27" s="407" t="s">
        <v>1750</v>
      </c>
      <c r="O27" s="407" t="s">
        <v>1758</v>
      </c>
    </row>
    <row r="28" spans="1:63">
      <c r="N28" s="407" t="s">
        <v>2096</v>
      </c>
      <c r="O28" s="407" t="s">
        <v>2097</v>
      </c>
    </row>
    <row r="29" spans="1:63">
      <c r="N29" s="407" t="s">
        <v>12912</v>
      </c>
      <c r="O29" s="407" t="s">
        <v>12913</v>
      </c>
    </row>
    <row r="199" spans="4:63">
      <c r="D199" s="432" t="s">
        <v>2027</v>
      </c>
      <c r="F199" s="433" t="e">
        <f>VLOOKUP(A199,TradesEquity!$1:$1048576,2,FALSE)</f>
        <v>#N/A</v>
      </c>
      <c r="H199" s="433" t="e">
        <f>VLOOKUP(A199,TradesEquity!$1:$1048576,21,FALSE)</f>
        <v>#N/A</v>
      </c>
      <c r="I199" s="434" t="e">
        <f>IF(VLOOKUP(A199,TradesEquity!$1:$1048576,3,FALSE)="BUY","B","S")</f>
        <v>#N/A</v>
      </c>
      <c r="J199" s="434" t="e">
        <f>VLOOKUP(A199,TradesEquity!$1:$1048576,5,FALSE)</f>
        <v>#N/A</v>
      </c>
      <c r="K199" s="432" t="s">
        <v>19</v>
      </c>
      <c r="L199" s="435" t="s">
        <v>2028</v>
      </c>
      <c r="AE199" s="436" t="e">
        <f>VLOOKUP(A199,TradesEquity!$1:$1048576,10,FALSE)</f>
        <v>#N/A</v>
      </c>
      <c r="AF199" s="436" t="e">
        <f t="shared" ref="AF199:AF232" si="11">AE199</f>
        <v>#N/A</v>
      </c>
      <c r="AG199" s="436" t="e">
        <f t="shared" ref="AG199:AG232" si="12">AF199</f>
        <v>#N/A</v>
      </c>
      <c r="AH199" s="436" t="e">
        <f t="shared" ref="AH199:AH232" si="13">AG199</f>
        <v>#N/A</v>
      </c>
      <c r="AI199" s="436" t="e">
        <f>ABS(VLOOKUP(A199,TradesEquity!$1:$1048576,13,FALSE))</f>
        <v>#N/A</v>
      </c>
      <c r="AJ199" s="437">
        <v>0</v>
      </c>
      <c r="AK199" s="437">
        <v>1</v>
      </c>
      <c r="AL199" s="436" t="e">
        <f>VLOOKUP(A199,TradesEquity!$1:$1048576,11,FALSE)</f>
        <v>#N/A</v>
      </c>
      <c r="AM199" s="437">
        <v>1</v>
      </c>
      <c r="AN199" s="436" t="e">
        <f>ABS(VLOOKUP(A199,TradesEquity!$1:$1048576,14,FALSE))</f>
        <v>#N/A</v>
      </c>
      <c r="AO199" s="436" t="e">
        <f>ABS(VLOOKUP(A199,TradesEquity!$1:$1048576,15,FALSE))</f>
        <v>#N/A</v>
      </c>
      <c r="AP199" s="438" t="e">
        <f>ABS(VLOOKUP(A199,TradesEquity!$1:$1048576,16,FALSE))</f>
        <v>#N/A</v>
      </c>
      <c r="AQ199" s="367">
        <v>0</v>
      </c>
      <c r="AR199" s="367">
        <v>0</v>
      </c>
      <c r="AS199" s="367">
        <v>0</v>
      </c>
      <c r="AT199" s="367">
        <v>0</v>
      </c>
      <c r="AU199" s="367">
        <v>0</v>
      </c>
      <c r="AV199" s="438" t="e">
        <f>ABS(VLOOKUP(A199,TradesEquity!$1:$1048576,18,FALSE))</f>
        <v>#N/A</v>
      </c>
      <c r="AW199" s="439">
        <v>0</v>
      </c>
      <c r="AX199" s="440">
        <v>4542</v>
      </c>
      <c r="AY199" s="441" t="s">
        <v>2029</v>
      </c>
      <c r="AZ199" s="442" t="e">
        <f>(VLOOKUP(A199,TradesEquity!$1:$1048576,29,FALSE))</f>
        <v>#N/A</v>
      </c>
      <c r="BA199" s="442" t="e">
        <f>(VLOOKUP(A199,TradesEquity!$1:$1048576,30,FALSE))</f>
        <v>#N/A</v>
      </c>
      <c r="BB199" s="442" t="e">
        <f>(VLOOKUP(A199,TradesEquity!$1:$1048576,31,FALSE))</f>
        <v>#N/A</v>
      </c>
      <c r="BC199" s="442" t="e">
        <f>(VLOOKUP(A199,TradesEquity!$1:$1048576,32,FALSE))</f>
        <v>#N/A</v>
      </c>
      <c r="BI199" s="442" t="e">
        <f>(VLOOKUP(A199,TradesEquity!$1:$1048576,38,FALSE))</f>
        <v>#N/A</v>
      </c>
      <c r="BJ199" s="442" t="e">
        <f>(VLOOKUP(A199,TradesEquity!$1:$1048576,39,FALSE))</f>
        <v>#N/A</v>
      </c>
      <c r="BK199" s="442" t="e">
        <f>(VLOOKUP(A199,TradesEquity!$1:$1048576,40,FALSE))</f>
        <v>#N/A</v>
      </c>
    </row>
    <row r="200" spans="4:63">
      <c r="D200" s="432" t="s">
        <v>2027</v>
      </c>
      <c r="F200" s="433" t="e">
        <f>VLOOKUP(A200,TradesEquity!$1:$1048576,2,FALSE)</f>
        <v>#N/A</v>
      </c>
      <c r="H200" s="433" t="e">
        <f>VLOOKUP(A200,TradesEquity!$1:$1048576,21,FALSE)</f>
        <v>#N/A</v>
      </c>
      <c r="I200" s="434" t="e">
        <f>IF(VLOOKUP(A200,TradesEquity!$1:$1048576,3,FALSE)="BUY","B","S")</f>
        <v>#N/A</v>
      </c>
      <c r="J200" s="434" t="e">
        <f>VLOOKUP(A200,TradesEquity!$1:$1048576,5,FALSE)</f>
        <v>#N/A</v>
      </c>
      <c r="K200" s="432" t="s">
        <v>19</v>
      </c>
      <c r="L200" s="435" t="s">
        <v>2028</v>
      </c>
      <c r="AE200" s="436" t="e">
        <f>VLOOKUP(A200,TradesEquity!$1:$1048576,10,FALSE)</f>
        <v>#N/A</v>
      </c>
      <c r="AF200" s="436" t="e">
        <f t="shared" si="11"/>
        <v>#N/A</v>
      </c>
      <c r="AG200" s="436" t="e">
        <f t="shared" si="12"/>
        <v>#N/A</v>
      </c>
      <c r="AH200" s="436" t="e">
        <f t="shared" si="13"/>
        <v>#N/A</v>
      </c>
      <c r="AI200" s="436" t="e">
        <f>ABS(VLOOKUP(A200,TradesEquity!$1:$1048576,13,FALSE))</f>
        <v>#N/A</v>
      </c>
      <c r="AJ200" s="437">
        <v>0</v>
      </c>
      <c r="AK200" s="437">
        <v>1</v>
      </c>
      <c r="AL200" s="436" t="e">
        <f>VLOOKUP(A200,TradesEquity!$1:$1048576,11,FALSE)</f>
        <v>#N/A</v>
      </c>
      <c r="AM200" s="437">
        <v>1</v>
      </c>
      <c r="AN200" s="436" t="e">
        <f>ABS(VLOOKUP(A200,TradesEquity!$1:$1048576,14,FALSE))</f>
        <v>#N/A</v>
      </c>
      <c r="AO200" s="436" t="e">
        <f>ABS(VLOOKUP(A200,TradesEquity!$1:$1048576,15,FALSE))</f>
        <v>#N/A</v>
      </c>
      <c r="AP200" s="438" t="e">
        <f>ABS(VLOOKUP(A200,TradesEquity!$1:$1048576,16,FALSE))</f>
        <v>#N/A</v>
      </c>
      <c r="AQ200" s="367">
        <v>0</v>
      </c>
      <c r="AR200" s="367">
        <v>0</v>
      </c>
      <c r="AS200" s="367">
        <v>0</v>
      </c>
      <c r="AT200" s="367">
        <v>0</v>
      </c>
      <c r="AU200" s="367">
        <v>0</v>
      </c>
      <c r="AV200" s="438" t="e">
        <f>ABS(VLOOKUP(A200,TradesEquity!$1:$1048576,18,FALSE))</f>
        <v>#N/A</v>
      </c>
      <c r="AW200" s="439">
        <v>0</v>
      </c>
      <c r="AX200" s="440">
        <v>4542</v>
      </c>
      <c r="AY200" s="441" t="s">
        <v>2029</v>
      </c>
      <c r="AZ200" s="442" t="e">
        <f>(VLOOKUP(A200,TradesEquity!$1:$1048576,29,FALSE))</f>
        <v>#N/A</v>
      </c>
      <c r="BA200" s="442" t="e">
        <f>(VLOOKUP(A200,TradesEquity!$1:$1048576,30,FALSE))</f>
        <v>#N/A</v>
      </c>
      <c r="BB200" s="442" t="e">
        <f>(VLOOKUP(A200,TradesEquity!$1:$1048576,31,FALSE))</f>
        <v>#N/A</v>
      </c>
      <c r="BC200" s="442" t="e">
        <f>(VLOOKUP(A200,TradesEquity!$1:$1048576,32,FALSE))</f>
        <v>#N/A</v>
      </c>
      <c r="BI200" s="442" t="e">
        <f>(VLOOKUP(A200,TradesEquity!$1:$1048576,38,FALSE))</f>
        <v>#N/A</v>
      </c>
      <c r="BJ200" s="442" t="e">
        <f>(VLOOKUP(A200,TradesEquity!$1:$1048576,39,FALSE))</f>
        <v>#N/A</v>
      </c>
      <c r="BK200" s="442" t="e">
        <f>(VLOOKUP(A200,TradesEquity!$1:$1048576,40,FALSE))</f>
        <v>#N/A</v>
      </c>
    </row>
    <row r="201" spans="4:63">
      <c r="D201" s="432" t="s">
        <v>2027</v>
      </c>
      <c r="F201" s="433" t="e">
        <f>VLOOKUP(A201,TradesEquity!$1:$1048576,2,FALSE)</f>
        <v>#N/A</v>
      </c>
      <c r="H201" s="433" t="e">
        <f>VLOOKUP(A201,TradesEquity!$1:$1048576,21,FALSE)</f>
        <v>#N/A</v>
      </c>
      <c r="I201" s="434" t="e">
        <f>IF(VLOOKUP(A201,TradesEquity!$1:$1048576,3,FALSE)="BUY","B","S")</f>
        <v>#N/A</v>
      </c>
      <c r="J201" s="434" t="e">
        <f>VLOOKUP(A201,TradesEquity!$1:$1048576,5,FALSE)</f>
        <v>#N/A</v>
      </c>
      <c r="K201" s="432" t="s">
        <v>19</v>
      </c>
      <c r="L201" s="435" t="s">
        <v>2028</v>
      </c>
      <c r="AE201" s="436" t="e">
        <f>VLOOKUP(A201,TradesEquity!$1:$1048576,10,FALSE)</f>
        <v>#N/A</v>
      </c>
      <c r="AF201" s="436" t="e">
        <f t="shared" si="11"/>
        <v>#N/A</v>
      </c>
      <c r="AG201" s="436" t="e">
        <f t="shared" si="12"/>
        <v>#N/A</v>
      </c>
      <c r="AH201" s="436" t="e">
        <f t="shared" si="13"/>
        <v>#N/A</v>
      </c>
      <c r="AI201" s="436" t="e">
        <f>ABS(VLOOKUP(A201,TradesEquity!$1:$1048576,13,FALSE))</f>
        <v>#N/A</v>
      </c>
      <c r="AJ201" s="437">
        <v>0</v>
      </c>
      <c r="AK201" s="437">
        <v>1</v>
      </c>
      <c r="AL201" s="436" t="e">
        <f>VLOOKUP(A201,TradesEquity!$1:$1048576,11,FALSE)</f>
        <v>#N/A</v>
      </c>
      <c r="AM201" s="437">
        <v>1</v>
      </c>
      <c r="AN201" s="436" t="e">
        <f>ABS(VLOOKUP(A201,TradesEquity!$1:$1048576,14,FALSE))</f>
        <v>#N/A</v>
      </c>
      <c r="AO201" s="436" t="e">
        <f>ABS(VLOOKUP(A201,TradesEquity!$1:$1048576,15,FALSE))</f>
        <v>#N/A</v>
      </c>
      <c r="AP201" s="438" t="e">
        <f>ABS(VLOOKUP(A201,TradesEquity!$1:$1048576,16,FALSE))</f>
        <v>#N/A</v>
      </c>
      <c r="AQ201" s="367">
        <v>0</v>
      </c>
      <c r="AR201" s="367">
        <v>0</v>
      </c>
      <c r="AS201" s="367">
        <v>0</v>
      </c>
      <c r="AT201" s="367">
        <v>0</v>
      </c>
      <c r="AU201" s="367">
        <v>0</v>
      </c>
      <c r="AV201" s="438" t="e">
        <f>ABS(VLOOKUP(A201,TradesEquity!$1:$1048576,18,FALSE))</f>
        <v>#N/A</v>
      </c>
      <c r="AW201" s="439">
        <v>0</v>
      </c>
      <c r="AX201" s="440">
        <v>4542</v>
      </c>
      <c r="AY201" s="441" t="s">
        <v>2029</v>
      </c>
      <c r="AZ201" s="442" t="e">
        <f>(VLOOKUP(A201,TradesEquity!$1:$1048576,29,FALSE))</f>
        <v>#N/A</v>
      </c>
      <c r="BA201" s="442" t="e">
        <f>(VLOOKUP(A201,TradesEquity!$1:$1048576,30,FALSE))</f>
        <v>#N/A</v>
      </c>
      <c r="BB201" s="442" t="e">
        <f>(VLOOKUP(A201,TradesEquity!$1:$1048576,31,FALSE))</f>
        <v>#N/A</v>
      </c>
      <c r="BC201" s="442" t="e">
        <f>(VLOOKUP(A201,TradesEquity!$1:$1048576,32,FALSE))</f>
        <v>#N/A</v>
      </c>
      <c r="BI201" s="442" t="e">
        <f>(VLOOKUP(A201,TradesEquity!$1:$1048576,38,FALSE))</f>
        <v>#N/A</v>
      </c>
      <c r="BJ201" s="442" t="e">
        <f>(VLOOKUP(A201,TradesEquity!$1:$1048576,39,FALSE))</f>
        <v>#N/A</v>
      </c>
      <c r="BK201" s="442" t="e">
        <f>(VLOOKUP(A201,TradesEquity!$1:$1048576,40,FALSE))</f>
        <v>#N/A</v>
      </c>
    </row>
    <row r="202" spans="4:63">
      <c r="D202" s="432" t="s">
        <v>2027</v>
      </c>
      <c r="F202" s="433" t="e">
        <f>VLOOKUP(A202,TradesEquity!$1:$1048576,2,FALSE)</f>
        <v>#N/A</v>
      </c>
      <c r="H202" s="433" t="e">
        <f>VLOOKUP(A202,TradesEquity!$1:$1048576,21,FALSE)</f>
        <v>#N/A</v>
      </c>
      <c r="I202" s="434" t="e">
        <f>IF(VLOOKUP(A202,TradesEquity!$1:$1048576,3,FALSE)="BUY","B","S")</f>
        <v>#N/A</v>
      </c>
      <c r="J202" s="434" t="e">
        <f>VLOOKUP(A202,TradesEquity!$1:$1048576,5,FALSE)</f>
        <v>#N/A</v>
      </c>
      <c r="K202" s="432" t="s">
        <v>19</v>
      </c>
      <c r="L202" s="435" t="s">
        <v>2028</v>
      </c>
      <c r="AE202" s="436" t="e">
        <f>VLOOKUP(A202,TradesEquity!$1:$1048576,10,FALSE)</f>
        <v>#N/A</v>
      </c>
      <c r="AF202" s="436" t="e">
        <f t="shared" si="11"/>
        <v>#N/A</v>
      </c>
      <c r="AG202" s="436" t="e">
        <f t="shared" si="12"/>
        <v>#N/A</v>
      </c>
      <c r="AH202" s="436" t="e">
        <f t="shared" si="13"/>
        <v>#N/A</v>
      </c>
      <c r="AI202" s="436" t="e">
        <f>ABS(VLOOKUP(A202,TradesEquity!$1:$1048576,13,FALSE))</f>
        <v>#N/A</v>
      </c>
      <c r="AJ202" s="437">
        <v>0</v>
      </c>
      <c r="AK202" s="437">
        <v>1</v>
      </c>
      <c r="AL202" s="436" t="e">
        <f>VLOOKUP(A202,TradesEquity!$1:$1048576,11,FALSE)</f>
        <v>#N/A</v>
      </c>
      <c r="AM202" s="437">
        <v>1</v>
      </c>
      <c r="AN202" s="436" t="e">
        <f>ABS(VLOOKUP(A202,TradesEquity!$1:$1048576,14,FALSE))</f>
        <v>#N/A</v>
      </c>
      <c r="AO202" s="436" t="e">
        <f>ABS(VLOOKUP(A202,TradesEquity!$1:$1048576,15,FALSE))</f>
        <v>#N/A</v>
      </c>
      <c r="AP202" s="438" t="e">
        <f>ABS(VLOOKUP(A202,TradesEquity!$1:$1048576,16,FALSE))</f>
        <v>#N/A</v>
      </c>
      <c r="AQ202" s="367">
        <v>0</v>
      </c>
      <c r="AR202" s="367">
        <v>0</v>
      </c>
      <c r="AS202" s="367">
        <v>0</v>
      </c>
      <c r="AT202" s="367">
        <v>0</v>
      </c>
      <c r="AU202" s="367">
        <v>0</v>
      </c>
      <c r="AV202" s="438" t="e">
        <f>ABS(VLOOKUP(A202,TradesEquity!$1:$1048576,18,FALSE))</f>
        <v>#N/A</v>
      </c>
      <c r="AW202" s="439">
        <v>0</v>
      </c>
      <c r="AX202" s="440">
        <v>4542</v>
      </c>
      <c r="AY202" s="441" t="s">
        <v>2029</v>
      </c>
      <c r="AZ202" s="442" t="e">
        <f>(VLOOKUP(A202,TradesEquity!$1:$1048576,29,FALSE))</f>
        <v>#N/A</v>
      </c>
      <c r="BA202" s="442" t="e">
        <f>(VLOOKUP(A202,TradesEquity!$1:$1048576,30,FALSE))</f>
        <v>#N/A</v>
      </c>
      <c r="BB202" s="442" t="e">
        <f>(VLOOKUP(A202,TradesEquity!$1:$1048576,31,FALSE))</f>
        <v>#N/A</v>
      </c>
      <c r="BC202" s="442" t="e">
        <f>(VLOOKUP(A202,TradesEquity!$1:$1048576,32,FALSE))</f>
        <v>#N/A</v>
      </c>
      <c r="BI202" s="442" t="e">
        <f>(VLOOKUP(A202,TradesEquity!$1:$1048576,38,FALSE))</f>
        <v>#N/A</v>
      </c>
      <c r="BJ202" s="442" t="e">
        <f>(VLOOKUP(A202,TradesEquity!$1:$1048576,39,FALSE))</f>
        <v>#N/A</v>
      </c>
      <c r="BK202" s="442" t="e">
        <f>(VLOOKUP(A202,TradesEquity!$1:$1048576,40,FALSE))</f>
        <v>#N/A</v>
      </c>
    </row>
    <row r="203" spans="4:63">
      <c r="D203" s="432" t="s">
        <v>2027</v>
      </c>
      <c r="F203" s="433" t="e">
        <f>VLOOKUP(A203,TradesEquity!$1:$1048576,2,FALSE)</f>
        <v>#N/A</v>
      </c>
      <c r="H203" s="433" t="e">
        <f>VLOOKUP(A203,TradesEquity!$1:$1048576,21,FALSE)</f>
        <v>#N/A</v>
      </c>
      <c r="I203" s="434" t="e">
        <f>IF(VLOOKUP(A203,TradesEquity!$1:$1048576,3,FALSE)="BUY","B","S")</f>
        <v>#N/A</v>
      </c>
      <c r="J203" s="434" t="e">
        <f>VLOOKUP(A203,TradesEquity!$1:$1048576,5,FALSE)</f>
        <v>#N/A</v>
      </c>
      <c r="K203" s="432" t="s">
        <v>19</v>
      </c>
      <c r="L203" s="435" t="s">
        <v>2028</v>
      </c>
      <c r="AE203" s="436" t="e">
        <f>VLOOKUP(A203,TradesEquity!$1:$1048576,10,FALSE)</f>
        <v>#N/A</v>
      </c>
      <c r="AF203" s="436" t="e">
        <f t="shared" si="11"/>
        <v>#N/A</v>
      </c>
      <c r="AG203" s="436" t="e">
        <f t="shared" si="12"/>
        <v>#N/A</v>
      </c>
      <c r="AH203" s="436" t="e">
        <f t="shared" si="13"/>
        <v>#N/A</v>
      </c>
      <c r="AI203" s="436" t="e">
        <f>ABS(VLOOKUP(A203,TradesEquity!$1:$1048576,13,FALSE))</f>
        <v>#N/A</v>
      </c>
      <c r="AJ203" s="437">
        <v>0</v>
      </c>
      <c r="AK203" s="437">
        <v>1</v>
      </c>
      <c r="AL203" s="436" t="e">
        <f>VLOOKUP(A203,TradesEquity!$1:$1048576,11,FALSE)</f>
        <v>#N/A</v>
      </c>
      <c r="AM203" s="437">
        <v>1</v>
      </c>
      <c r="AN203" s="436" t="e">
        <f>ABS(VLOOKUP(A203,TradesEquity!$1:$1048576,14,FALSE))</f>
        <v>#N/A</v>
      </c>
      <c r="AO203" s="436" t="e">
        <f>ABS(VLOOKUP(A203,TradesEquity!$1:$1048576,15,FALSE))</f>
        <v>#N/A</v>
      </c>
      <c r="AP203" s="438" t="e">
        <f>ABS(VLOOKUP(A203,TradesEquity!$1:$1048576,16,FALSE))</f>
        <v>#N/A</v>
      </c>
      <c r="AQ203" s="367">
        <v>0</v>
      </c>
      <c r="AR203" s="367">
        <v>0</v>
      </c>
      <c r="AS203" s="367">
        <v>0</v>
      </c>
      <c r="AT203" s="367">
        <v>0</v>
      </c>
      <c r="AU203" s="367">
        <v>0</v>
      </c>
      <c r="AV203" s="438" t="e">
        <f>ABS(VLOOKUP(A203,TradesEquity!$1:$1048576,18,FALSE))</f>
        <v>#N/A</v>
      </c>
      <c r="AW203" s="439">
        <v>0</v>
      </c>
      <c r="AX203" s="440">
        <v>4542</v>
      </c>
      <c r="AY203" s="441" t="s">
        <v>2029</v>
      </c>
      <c r="AZ203" s="442" t="e">
        <f>(VLOOKUP(A203,TradesEquity!$1:$1048576,29,FALSE))</f>
        <v>#N/A</v>
      </c>
      <c r="BA203" s="442" t="e">
        <f>(VLOOKUP(A203,TradesEquity!$1:$1048576,30,FALSE))</f>
        <v>#N/A</v>
      </c>
      <c r="BB203" s="442" t="e">
        <f>(VLOOKUP(A203,TradesEquity!$1:$1048576,31,FALSE))</f>
        <v>#N/A</v>
      </c>
      <c r="BC203" s="442" t="e">
        <f>(VLOOKUP(A203,TradesEquity!$1:$1048576,32,FALSE))</f>
        <v>#N/A</v>
      </c>
      <c r="BI203" s="442" t="e">
        <f>(VLOOKUP(A203,TradesEquity!$1:$1048576,38,FALSE))</f>
        <v>#N/A</v>
      </c>
      <c r="BJ203" s="442" t="e">
        <f>(VLOOKUP(A203,TradesEquity!$1:$1048576,39,FALSE))</f>
        <v>#N/A</v>
      </c>
      <c r="BK203" s="442" t="e">
        <f>(VLOOKUP(A203,TradesEquity!$1:$1048576,40,FALSE))</f>
        <v>#N/A</v>
      </c>
    </row>
    <row r="204" spans="4:63">
      <c r="D204" s="432" t="s">
        <v>2027</v>
      </c>
      <c r="F204" s="433" t="e">
        <f>VLOOKUP(A204,TradesEquity!$1:$1048576,2,FALSE)</f>
        <v>#N/A</v>
      </c>
      <c r="H204" s="433" t="e">
        <f>VLOOKUP(A204,TradesEquity!$1:$1048576,21,FALSE)</f>
        <v>#N/A</v>
      </c>
      <c r="I204" s="434" t="e">
        <f>IF(VLOOKUP(A204,TradesEquity!$1:$1048576,3,FALSE)="BUY","B","S")</f>
        <v>#N/A</v>
      </c>
      <c r="J204" s="434" t="e">
        <f>VLOOKUP(A204,TradesEquity!$1:$1048576,5,FALSE)</f>
        <v>#N/A</v>
      </c>
      <c r="K204" s="432" t="s">
        <v>19</v>
      </c>
      <c r="L204" s="435" t="s">
        <v>2028</v>
      </c>
      <c r="AE204" s="436" t="e">
        <f>VLOOKUP(A204,TradesEquity!$1:$1048576,10,FALSE)</f>
        <v>#N/A</v>
      </c>
      <c r="AF204" s="436" t="e">
        <f t="shared" si="11"/>
        <v>#N/A</v>
      </c>
      <c r="AG204" s="436" t="e">
        <f t="shared" si="12"/>
        <v>#N/A</v>
      </c>
      <c r="AH204" s="436" t="e">
        <f t="shared" si="13"/>
        <v>#N/A</v>
      </c>
      <c r="AI204" s="436" t="e">
        <f>ABS(VLOOKUP(A204,TradesEquity!$1:$1048576,13,FALSE))</f>
        <v>#N/A</v>
      </c>
      <c r="AJ204" s="437">
        <v>0</v>
      </c>
      <c r="AK204" s="437">
        <v>1</v>
      </c>
      <c r="AL204" s="436" t="e">
        <f>VLOOKUP(A204,TradesEquity!$1:$1048576,11,FALSE)</f>
        <v>#N/A</v>
      </c>
      <c r="AM204" s="437">
        <v>1</v>
      </c>
      <c r="AN204" s="436" t="e">
        <f>ABS(VLOOKUP(A204,TradesEquity!$1:$1048576,14,FALSE))</f>
        <v>#N/A</v>
      </c>
      <c r="AO204" s="436" t="e">
        <f>ABS(VLOOKUP(A204,TradesEquity!$1:$1048576,15,FALSE))</f>
        <v>#N/A</v>
      </c>
      <c r="AP204" s="438" t="e">
        <f>ABS(VLOOKUP(A204,TradesEquity!$1:$1048576,16,FALSE))</f>
        <v>#N/A</v>
      </c>
      <c r="AQ204" s="367">
        <v>0</v>
      </c>
      <c r="AR204" s="367">
        <v>0</v>
      </c>
      <c r="AS204" s="367">
        <v>0</v>
      </c>
      <c r="AT204" s="367">
        <v>0</v>
      </c>
      <c r="AU204" s="367">
        <v>0</v>
      </c>
      <c r="AV204" s="438" t="e">
        <f>ABS(VLOOKUP(A204,TradesEquity!$1:$1048576,18,FALSE))</f>
        <v>#N/A</v>
      </c>
      <c r="AW204" s="439">
        <v>0</v>
      </c>
      <c r="AX204" s="440">
        <v>4542</v>
      </c>
      <c r="AY204" s="441" t="s">
        <v>2029</v>
      </c>
      <c r="AZ204" s="442" t="e">
        <f>(VLOOKUP(A204,TradesEquity!$1:$1048576,29,FALSE))</f>
        <v>#N/A</v>
      </c>
      <c r="BA204" s="442" t="e">
        <f>(VLOOKUP(A204,TradesEquity!$1:$1048576,30,FALSE))</f>
        <v>#N/A</v>
      </c>
      <c r="BB204" s="442" t="e">
        <f>(VLOOKUP(A204,TradesEquity!$1:$1048576,31,FALSE))</f>
        <v>#N/A</v>
      </c>
      <c r="BC204" s="442" t="e">
        <f>(VLOOKUP(A204,TradesEquity!$1:$1048576,32,FALSE))</f>
        <v>#N/A</v>
      </c>
      <c r="BI204" s="442" t="e">
        <f>(VLOOKUP(A204,TradesEquity!$1:$1048576,38,FALSE))</f>
        <v>#N/A</v>
      </c>
      <c r="BJ204" s="442" t="e">
        <f>(VLOOKUP(A204,TradesEquity!$1:$1048576,39,FALSE))</f>
        <v>#N/A</v>
      </c>
      <c r="BK204" s="442" t="e">
        <f>(VLOOKUP(A204,TradesEquity!$1:$1048576,40,FALSE))</f>
        <v>#N/A</v>
      </c>
    </row>
    <row r="205" spans="4:63">
      <c r="D205" s="432" t="s">
        <v>2027</v>
      </c>
      <c r="F205" s="433" t="e">
        <f>VLOOKUP(A205,TradesEquity!$1:$1048576,2,FALSE)</f>
        <v>#N/A</v>
      </c>
      <c r="H205" s="433" t="e">
        <f>VLOOKUP(A205,TradesEquity!$1:$1048576,21,FALSE)</f>
        <v>#N/A</v>
      </c>
      <c r="I205" s="434" t="e">
        <f>IF(VLOOKUP(A205,TradesEquity!$1:$1048576,3,FALSE)="BUY","B","S")</f>
        <v>#N/A</v>
      </c>
      <c r="J205" s="434" t="e">
        <f>VLOOKUP(A205,TradesEquity!$1:$1048576,5,FALSE)</f>
        <v>#N/A</v>
      </c>
      <c r="K205" s="432" t="s">
        <v>19</v>
      </c>
      <c r="L205" s="435" t="s">
        <v>2028</v>
      </c>
      <c r="AE205" s="436" t="e">
        <f>VLOOKUP(A205,TradesEquity!$1:$1048576,10,FALSE)</f>
        <v>#N/A</v>
      </c>
      <c r="AF205" s="436" t="e">
        <f t="shared" si="11"/>
        <v>#N/A</v>
      </c>
      <c r="AG205" s="436" t="e">
        <f t="shared" si="12"/>
        <v>#N/A</v>
      </c>
      <c r="AH205" s="436" t="e">
        <f t="shared" si="13"/>
        <v>#N/A</v>
      </c>
      <c r="AI205" s="436" t="e">
        <f>ABS(VLOOKUP(A205,TradesEquity!$1:$1048576,13,FALSE))</f>
        <v>#N/A</v>
      </c>
      <c r="AJ205" s="437">
        <v>0</v>
      </c>
      <c r="AK205" s="437">
        <v>1</v>
      </c>
      <c r="AL205" s="436" t="e">
        <f>VLOOKUP(A205,TradesEquity!$1:$1048576,11,FALSE)</f>
        <v>#N/A</v>
      </c>
      <c r="AM205" s="437">
        <v>1</v>
      </c>
      <c r="AN205" s="436" t="e">
        <f>ABS(VLOOKUP(A205,TradesEquity!$1:$1048576,14,FALSE))</f>
        <v>#N/A</v>
      </c>
      <c r="AO205" s="436" t="e">
        <f>ABS(VLOOKUP(A205,TradesEquity!$1:$1048576,15,FALSE))</f>
        <v>#N/A</v>
      </c>
      <c r="AP205" s="438" t="e">
        <f>ABS(VLOOKUP(A205,TradesEquity!$1:$1048576,16,FALSE))</f>
        <v>#N/A</v>
      </c>
      <c r="AQ205" s="367">
        <v>0</v>
      </c>
      <c r="AR205" s="367">
        <v>0</v>
      </c>
      <c r="AS205" s="367">
        <v>0</v>
      </c>
      <c r="AT205" s="367">
        <v>0</v>
      </c>
      <c r="AU205" s="367">
        <v>0</v>
      </c>
      <c r="AV205" s="438" t="e">
        <f>ABS(VLOOKUP(A205,TradesEquity!$1:$1048576,18,FALSE))</f>
        <v>#N/A</v>
      </c>
      <c r="AW205" s="439">
        <v>0</v>
      </c>
      <c r="AX205" s="440">
        <v>4542</v>
      </c>
      <c r="AY205" s="441" t="s">
        <v>2029</v>
      </c>
      <c r="AZ205" s="442" t="e">
        <f>(VLOOKUP(A205,TradesEquity!$1:$1048576,29,FALSE))</f>
        <v>#N/A</v>
      </c>
      <c r="BA205" s="442" t="e">
        <f>(VLOOKUP(A205,TradesEquity!$1:$1048576,30,FALSE))</f>
        <v>#N/A</v>
      </c>
      <c r="BB205" s="442" t="e">
        <f>(VLOOKUP(A205,TradesEquity!$1:$1048576,31,FALSE))</f>
        <v>#N/A</v>
      </c>
      <c r="BC205" s="442" t="e">
        <f>(VLOOKUP(A205,TradesEquity!$1:$1048576,32,FALSE))</f>
        <v>#N/A</v>
      </c>
      <c r="BI205" s="442" t="e">
        <f>(VLOOKUP(A205,TradesEquity!$1:$1048576,38,FALSE))</f>
        <v>#N/A</v>
      </c>
      <c r="BJ205" s="442" t="e">
        <f>(VLOOKUP(A205,TradesEquity!$1:$1048576,39,FALSE))</f>
        <v>#N/A</v>
      </c>
      <c r="BK205" s="442" t="e">
        <f>(VLOOKUP(A205,TradesEquity!$1:$1048576,40,FALSE))</f>
        <v>#N/A</v>
      </c>
    </row>
    <row r="206" spans="4:63">
      <c r="D206" s="432" t="s">
        <v>2027</v>
      </c>
      <c r="F206" s="433" t="e">
        <f>VLOOKUP(A206,TradesEquity!$1:$1048576,2,FALSE)</f>
        <v>#N/A</v>
      </c>
      <c r="H206" s="433" t="e">
        <f>VLOOKUP(A206,TradesEquity!$1:$1048576,21,FALSE)</f>
        <v>#N/A</v>
      </c>
      <c r="I206" s="434" t="e">
        <f>IF(VLOOKUP(A206,TradesEquity!$1:$1048576,3,FALSE)="BUY","B","S")</f>
        <v>#N/A</v>
      </c>
      <c r="J206" s="434" t="e">
        <f>VLOOKUP(A206,TradesEquity!$1:$1048576,5,FALSE)</f>
        <v>#N/A</v>
      </c>
      <c r="K206" s="432" t="s">
        <v>19</v>
      </c>
      <c r="L206" s="435" t="s">
        <v>2028</v>
      </c>
      <c r="AE206" s="436" t="e">
        <f>VLOOKUP(A206,TradesEquity!$1:$1048576,10,FALSE)</f>
        <v>#N/A</v>
      </c>
      <c r="AF206" s="436" t="e">
        <f t="shared" si="11"/>
        <v>#N/A</v>
      </c>
      <c r="AG206" s="436" t="e">
        <f t="shared" si="12"/>
        <v>#N/A</v>
      </c>
      <c r="AH206" s="436" t="e">
        <f t="shared" si="13"/>
        <v>#N/A</v>
      </c>
      <c r="AI206" s="436" t="e">
        <f>ABS(VLOOKUP(A206,TradesEquity!$1:$1048576,13,FALSE))</f>
        <v>#N/A</v>
      </c>
      <c r="AJ206" s="437">
        <v>0</v>
      </c>
      <c r="AK206" s="437">
        <v>1</v>
      </c>
      <c r="AL206" s="436" t="e">
        <f>VLOOKUP(A206,TradesEquity!$1:$1048576,11,FALSE)</f>
        <v>#N/A</v>
      </c>
      <c r="AM206" s="437">
        <v>1</v>
      </c>
      <c r="AN206" s="436" t="e">
        <f>ABS(VLOOKUP(A206,TradesEquity!$1:$1048576,14,FALSE))</f>
        <v>#N/A</v>
      </c>
      <c r="AO206" s="436" t="e">
        <f>ABS(VLOOKUP(A206,TradesEquity!$1:$1048576,15,FALSE))</f>
        <v>#N/A</v>
      </c>
      <c r="AP206" s="438" t="e">
        <f>ABS(VLOOKUP(A206,TradesEquity!$1:$1048576,16,FALSE))</f>
        <v>#N/A</v>
      </c>
      <c r="AQ206" s="367">
        <v>0</v>
      </c>
      <c r="AR206" s="367">
        <v>0</v>
      </c>
      <c r="AS206" s="367">
        <v>0</v>
      </c>
      <c r="AT206" s="367">
        <v>0</v>
      </c>
      <c r="AU206" s="367">
        <v>0</v>
      </c>
      <c r="AV206" s="438" t="e">
        <f>ABS(VLOOKUP(A206,TradesEquity!$1:$1048576,18,FALSE))</f>
        <v>#N/A</v>
      </c>
      <c r="AW206" s="439">
        <v>0</v>
      </c>
      <c r="AX206" s="440">
        <v>4542</v>
      </c>
      <c r="AY206" s="441" t="s">
        <v>2029</v>
      </c>
      <c r="AZ206" s="442" t="e">
        <f>(VLOOKUP(A206,TradesEquity!$1:$1048576,29,FALSE))</f>
        <v>#N/A</v>
      </c>
      <c r="BA206" s="442" t="e">
        <f>(VLOOKUP(A206,TradesEquity!$1:$1048576,30,FALSE))</f>
        <v>#N/A</v>
      </c>
      <c r="BB206" s="442" t="e">
        <f>(VLOOKUP(A206,TradesEquity!$1:$1048576,31,FALSE))</f>
        <v>#N/A</v>
      </c>
      <c r="BC206" s="442" t="e">
        <f>(VLOOKUP(A206,TradesEquity!$1:$1048576,32,FALSE))</f>
        <v>#N/A</v>
      </c>
      <c r="BI206" s="442" t="e">
        <f>(VLOOKUP(A206,TradesEquity!$1:$1048576,38,FALSE))</f>
        <v>#N/A</v>
      </c>
      <c r="BJ206" s="442" t="e">
        <f>(VLOOKUP(A206,TradesEquity!$1:$1048576,39,FALSE))</f>
        <v>#N/A</v>
      </c>
      <c r="BK206" s="442" t="e">
        <f>(VLOOKUP(A206,TradesEquity!$1:$1048576,40,FALSE))</f>
        <v>#N/A</v>
      </c>
    </row>
    <row r="207" spans="4:63">
      <c r="D207" s="432" t="s">
        <v>2027</v>
      </c>
      <c r="F207" s="433" t="e">
        <f>VLOOKUP(A207,TradesEquity!$1:$1048576,2,FALSE)</f>
        <v>#N/A</v>
      </c>
      <c r="H207" s="433" t="e">
        <f>VLOOKUP(A207,TradesEquity!$1:$1048576,21,FALSE)</f>
        <v>#N/A</v>
      </c>
      <c r="I207" s="434" t="e">
        <f>IF(VLOOKUP(A207,TradesEquity!$1:$1048576,3,FALSE)="BUY","B","S")</f>
        <v>#N/A</v>
      </c>
      <c r="J207" s="434" t="e">
        <f>VLOOKUP(A207,TradesEquity!$1:$1048576,5,FALSE)</f>
        <v>#N/A</v>
      </c>
      <c r="K207" s="432" t="s">
        <v>19</v>
      </c>
      <c r="L207" s="435" t="s">
        <v>2028</v>
      </c>
      <c r="AE207" s="436" t="e">
        <f>VLOOKUP(A207,TradesEquity!$1:$1048576,10,FALSE)</f>
        <v>#N/A</v>
      </c>
      <c r="AF207" s="436" t="e">
        <f t="shared" si="11"/>
        <v>#N/A</v>
      </c>
      <c r="AG207" s="436" t="e">
        <f t="shared" si="12"/>
        <v>#N/A</v>
      </c>
      <c r="AH207" s="436" t="e">
        <f t="shared" si="13"/>
        <v>#N/A</v>
      </c>
      <c r="AI207" s="436" t="e">
        <f>ABS(VLOOKUP(A207,TradesEquity!$1:$1048576,13,FALSE))</f>
        <v>#N/A</v>
      </c>
      <c r="AJ207" s="437">
        <v>0</v>
      </c>
      <c r="AK207" s="437">
        <v>1</v>
      </c>
      <c r="AL207" s="436" t="e">
        <f>VLOOKUP(A207,TradesEquity!$1:$1048576,11,FALSE)</f>
        <v>#N/A</v>
      </c>
      <c r="AM207" s="437">
        <v>1</v>
      </c>
      <c r="AN207" s="436" t="e">
        <f>ABS(VLOOKUP(A207,TradesEquity!$1:$1048576,14,FALSE))</f>
        <v>#N/A</v>
      </c>
      <c r="AO207" s="436" t="e">
        <f>ABS(VLOOKUP(A207,TradesEquity!$1:$1048576,15,FALSE))</f>
        <v>#N/A</v>
      </c>
      <c r="AP207" s="438" t="e">
        <f>ABS(VLOOKUP(A207,TradesEquity!$1:$1048576,16,FALSE))</f>
        <v>#N/A</v>
      </c>
      <c r="AQ207" s="367">
        <v>0</v>
      </c>
      <c r="AR207" s="367">
        <v>0</v>
      </c>
      <c r="AS207" s="367">
        <v>0</v>
      </c>
      <c r="AT207" s="367">
        <v>0</v>
      </c>
      <c r="AU207" s="367">
        <v>0</v>
      </c>
      <c r="AV207" s="438" t="e">
        <f>ABS(VLOOKUP(A207,TradesEquity!$1:$1048576,18,FALSE))</f>
        <v>#N/A</v>
      </c>
      <c r="AW207" s="439">
        <v>0</v>
      </c>
      <c r="AX207" s="440">
        <v>4542</v>
      </c>
      <c r="AY207" s="441" t="s">
        <v>2029</v>
      </c>
      <c r="AZ207" s="442" t="e">
        <f>(VLOOKUP(A207,TradesEquity!$1:$1048576,29,FALSE))</f>
        <v>#N/A</v>
      </c>
      <c r="BA207" s="442" t="e">
        <f>(VLOOKUP(A207,TradesEquity!$1:$1048576,30,FALSE))</f>
        <v>#N/A</v>
      </c>
      <c r="BB207" s="442" t="e">
        <f>(VLOOKUP(A207,TradesEquity!$1:$1048576,31,FALSE))</f>
        <v>#N/A</v>
      </c>
      <c r="BC207" s="442" t="e">
        <f>(VLOOKUP(A207,TradesEquity!$1:$1048576,32,FALSE))</f>
        <v>#N/A</v>
      </c>
      <c r="BI207" s="442" t="e">
        <f>(VLOOKUP(A207,TradesEquity!$1:$1048576,38,FALSE))</f>
        <v>#N/A</v>
      </c>
      <c r="BJ207" s="442" t="e">
        <f>(VLOOKUP(A207,TradesEquity!$1:$1048576,39,FALSE))</f>
        <v>#N/A</v>
      </c>
      <c r="BK207" s="442" t="e">
        <f>(VLOOKUP(A207,TradesEquity!$1:$1048576,40,FALSE))</f>
        <v>#N/A</v>
      </c>
    </row>
    <row r="208" spans="4:63">
      <c r="D208" s="432" t="s">
        <v>2027</v>
      </c>
      <c r="F208" s="433" t="e">
        <f>VLOOKUP(A208,TradesEquity!$1:$1048576,2,FALSE)</f>
        <v>#N/A</v>
      </c>
      <c r="H208" s="433" t="e">
        <f>VLOOKUP(A208,TradesEquity!$1:$1048576,21,FALSE)</f>
        <v>#N/A</v>
      </c>
      <c r="I208" s="434" t="e">
        <f>IF(VLOOKUP(A208,TradesEquity!$1:$1048576,3,FALSE)="BUY","B","S")</f>
        <v>#N/A</v>
      </c>
      <c r="J208" s="434" t="e">
        <f>VLOOKUP(A208,TradesEquity!$1:$1048576,5,FALSE)</f>
        <v>#N/A</v>
      </c>
      <c r="K208" s="432" t="s">
        <v>19</v>
      </c>
      <c r="L208" s="435" t="s">
        <v>2028</v>
      </c>
      <c r="AE208" s="436" t="e">
        <f>VLOOKUP(A208,TradesEquity!$1:$1048576,10,FALSE)</f>
        <v>#N/A</v>
      </c>
      <c r="AF208" s="436" t="e">
        <f t="shared" si="11"/>
        <v>#N/A</v>
      </c>
      <c r="AG208" s="436" t="e">
        <f t="shared" si="12"/>
        <v>#N/A</v>
      </c>
      <c r="AH208" s="436" t="e">
        <f t="shared" si="13"/>
        <v>#N/A</v>
      </c>
      <c r="AI208" s="436" t="e">
        <f>ABS(VLOOKUP(A208,TradesEquity!$1:$1048576,13,FALSE))</f>
        <v>#N/A</v>
      </c>
      <c r="AJ208" s="437">
        <v>0</v>
      </c>
      <c r="AK208" s="437">
        <v>1</v>
      </c>
      <c r="AL208" s="436" t="e">
        <f>VLOOKUP(A208,TradesEquity!$1:$1048576,11,FALSE)</f>
        <v>#N/A</v>
      </c>
      <c r="AM208" s="437">
        <v>1</v>
      </c>
      <c r="AN208" s="436" t="e">
        <f>ABS(VLOOKUP(A208,TradesEquity!$1:$1048576,14,FALSE))</f>
        <v>#N/A</v>
      </c>
      <c r="AO208" s="436" t="e">
        <f>ABS(VLOOKUP(A208,TradesEquity!$1:$1048576,15,FALSE))</f>
        <v>#N/A</v>
      </c>
      <c r="AP208" s="438" t="e">
        <f>ABS(VLOOKUP(A208,TradesEquity!$1:$1048576,16,FALSE))</f>
        <v>#N/A</v>
      </c>
      <c r="AQ208" s="367">
        <v>0</v>
      </c>
      <c r="AR208" s="367">
        <v>0</v>
      </c>
      <c r="AS208" s="367">
        <v>0</v>
      </c>
      <c r="AT208" s="367">
        <v>0</v>
      </c>
      <c r="AU208" s="367">
        <v>0</v>
      </c>
      <c r="AV208" s="438" t="e">
        <f>ABS(VLOOKUP(A208,TradesEquity!$1:$1048576,18,FALSE))</f>
        <v>#N/A</v>
      </c>
      <c r="AW208" s="439">
        <v>0</v>
      </c>
      <c r="AX208" s="440">
        <v>4542</v>
      </c>
      <c r="AY208" s="441" t="s">
        <v>2029</v>
      </c>
      <c r="AZ208" s="442" t="e">
        <f>(VLOOKUP(A208,TradesEquity!$1:$1048576,29,FALSE))</f>
        <v>#N/A</v>
      </c>
      <c r="BA208" s="442" t="e">
        <f>(VLOOKUP(A208,TradesEquity!$1:$1048576,30,FALSE))</f>
        <v>#N/A</v>
      </c>
      <c r="BB208" s="442" t="e">
        <f>(VLOOKUP(A208,TradesEquity!$1:$1048576,31,FALSE))</f>
        <v>#N/A</v>
      </c>
      <c r="BC208" s="442" t="e">
        <f>(VLOOKUP(A208,TradesEquity!$1:$1048576,32,FALSE))</f>
        <v>#N/A</v>
      </c>
      <c r="BI208" s="442" t="e">
        <f>(VLOOKUP(A208,TradesEquity!$1:$1048576,38,FALSE))</f>
        <v>#N/A</v>
      </c>
      <c r="BJ208" s="442" t="e">
        <f>(VLOOKUP(A208,TradesEquity!$1:$1048576,39,FALSE))</f>
        <v>#N/A</v>
      </c>
      <c r="BK208" s="442" t="e">
        <f>(VLOOKUP(A208,TradesEquity!$1:$1048576,40,FALSE))</f>
        <v>#N/A</v>
      </c>
    </row>
    <row r="209" spans="4:63">
      <c r="D209" s="432" t="s">
        <v>2027</v>
      </c>
      <c r="F209" s="433" t="e">
        <f>VLOOKUP(A209,TradesEquity!$1:$1048576,2,FALSE)</f>
        <v>#N/A</v>
      </c>
      <c r="H209" s="433" t="e">
        <f>VLOOKUP(A209,TradesEquity!$1:$1048576,21,FALSE)</f>
        <v>#N/A</v>
      </c>
      <c r="I209" s="434" t="e">
        <f>IF(VLOOKUP(A209,TradesEquity!$1:$1048576,3,FALSE)="BUY","B","S")</f>
        <v>#N/A</v>
      </c>
      <c r="J209" s="434" t="e">
        <f>VLOOKUP(A209,TradesEquity!$1:$1048576,5,FALSE)</f>
        <v>#N/A</v>
      </c>
      <c r="K209" s="432" t="s">
        <v>19</v>
      </c>
      <c r="L209" s="435" t="s">
        <v>2028</v>
      </c>
      <c r="AE209" s="436" t="e">
        <f>VLOOKUP(A209,TradesEquity!$1:$1048576,10,FALSE)</f>
        <v>#N/A</v>
      </c>
      <c r="AF209" s="436" t="e">
        <f t="shared" si="11"/>
        <v>#N/A</v>
      </c>
      <c r="AG209" s="436" t="e">
        <f t="shared" si="12"/>
        <v>#N/A</v>
      </c>
      <c r="AH209" s="436" t="e">
        <f t="shared" si="13"/>
        <v>#N/A</v>
      </c>
      <c r="AI209" s="436" t="e">
        <f>ABS(VLOOKUP(A209,TradesEquity!$1:$1048576,13,FALSE))</f>
        <v>#N/A</v>
      </c>
      <c r="AJ209" s="437">
        <v>0</v>
      </c>
      <c r="AK209" s="437">
        <v>1</v>
      </c>
      <c r="AL209" s="436" t="e">
        <f>VLOOKUP(A209,TradesEquity!$1:$1048576,11,FALSE)</f>
        <v>#N/A</v>
      </c>
      <c r="AM209" s="437">
        <v>1</v>
      </c>
      <c r="AN209" s="436" t="e">
        <f>ABS(VLOOKUP(A209,TradesEquity!$1:$1048576,14,FALSE))</f>
        <v>#N/A</v>
      </c>
      <c r="AO209" s="436" t="e">
        <f>ABS(VLOOKUP(A209,TradesEquity!$1:$1048576,15,FALSE))</f>
        <v>#N/A</v>
      </c>
      <c r="AP209" s="438" t="e">
        <f>ABS(VLOOKUP(A209,TradesEquity!$1:$1048576,16,FALSE))</f>
        <v>#N/A</v>
      </c>
      <c r="AQ209" s="367">
        <v>0</v>
      </c>
      <c r="AR209" s="367">
        <v>0</v>
      </c>
      <c r="AS209" s="367">
        <v>0</v>
      </c>
      <c r="AT209" s="367">
        <v>0</v>
      </c>
      <c r="AU209" s="367">
        <v>0</v>
      </c>
      <c r="AV209" s="438" t="e">
        <f>ABS(VLOOKUP(A209,TradesEquity!$1:$1048576,18,FALSE))</f>
        <v>#N/A</v>
      </c>
      <c r="AW209" s="439">
        <v>0</v>
      </c>
      <c r="AX209" s="440">
        <v>4542</v>
      </c>
      <c r="AY209" s="441" t="s">
        <v>2029</v>
      </c>
      <c r="AZ209" s="442" t="e">
        <f>(VLOOKUP(A209,TradesEquity!$1:$1048576,29,FALSE))</f>
        <v>#N/A</v>
      </c>
      <c r="BA209" s="442" t="e">
        <f>(VLOOKUP(A209,TradesEquity!$1:$1048576,30,FALSE))</f>
        <v>#N/A</v>
      </c>
      <c r="BB209" s="442" t="e">
        <f>(VLOOKUP(A209,TradesEquity!$1:$1048576,31,FALSE))</f>
        <v>#N/A</v>
      </c>
      <c r="BC209" s="442" t="e">
        <f>(VLOOKUP(A209,TradesEquity!$1:$1048576,32,FALSE))</f>
        <v>#N/A</v>
      </c>
      <c r="BI209" s="442" t="e">
        <f>(VLOOKUP(A209,TradesEquity!$1:$1048576,38,FALSE))</f>
        <v>#N/A</v>
      </c>
      <c r="BJ209" s="442" t="e">
        <f>(VLOOKUP(A209,TradesEquity!$1:$1048576,39,FALSE))</f>
        <v>#N/A</v>
      </c>
      <c r="BK209" s="442" t="e">
        <f>(VLOOKUP(A209,TradesEquity!$1:$1048576,40,FALSE))</f>
        <v>#N/A</v>
      </c>
    </row>
    <row r="210" spans="4:63">
      <c r="D210" s="432" t="s">
        <v>2027</v>
      </c>
      <c r="F210" s="433" t="e">
        <f>VLOOKUP(A210,TradesEquity!$1:$1048576,2,FALSE)</f>
        <v>#N/A</v>
      </c>
      <c r="H210" s="433" t="e">
        <f>VLOOKUP(A210,TradesEquity!$1:$1048576,21,FALSE)</f>
        <v>#N/A</v>
      </c>
      <c r="I210" s="434" t="e">
        <f>IF(VLOOKUP(A210,TradesEquity!$1:$1048576,3,FALSE)="BUY","B","S")</f>
        <v>#N/A</v>
      </c>
      <c r="J210" s="434" t="e">
        <f>VLOOKUP(A210,TradesEquity!$1:$1048576,5,FALSE)</f>
        <v>#N/A</v>
      </c>
      <c r="K210" s="432" t="s">
        <v>19</v>
      </c>
      <c r="L210" s="435" t="s">
        <v>2028</v>
      </c>
      <c r="AE210" s="436" t="e">
        <f>VLOOKUP(A210,TradesEquity!$1:$1048576,10,FALSE)</f>
        <v>#N/A</v>
      </c>
      <c r="AF210" s="436" t="e">
        <f t="shared" si="11"/>
        <v>#N/A</v>
      </c>
      <c r="AG210" s="436" t="e">
        <f t="shared" si="12"/>
        <v>#N/A</v>
      </c>
      <c r="AH210" s="436" t="e">
        <f t="shared" si="13"/>
        <v>#N/A</v>
      </c>
      <c r="AI210" s="436" t="e">
        <f>ABS(VLOOKUP(A210,TradesEquity!$1:$1048576,13,FALSE))</f>
        <v>#N/A</v>
      </c>
      <c r="AJ210" s="437">
        <v>0</v>
      </c>
      <c r="AK210" s="437">
        <v>1</v>
      </c>
      <c r="AL210" s="436" t="e">
        <f>VLOOKUP(A210,TradesEquity!$1:$1048576,11,FALSE)</f>
        <v>#N/A</v>
      </c>
      <c r="AM210" s="437">
        <v>1</v>
      </c>
      <c r="AN210" s="436" t="e">
        <f>ABS(VLOOKUP(A210,TradesEquity!$1:$1048576,14,FALSE))</f>
        <v>#N/A</v>
      </c>
      <c r="AO210" s="436" t="e">
        <f>ABS(VLOOKUP(A210,TradesEquity!$1:$1048576,15,FALSE))</f>
        <v>#N/A</v>
      </c>
      <c r="AP210" s="438" t="e">
        <f>ABS(VLOOKUP(A210,TradesEquity!$1:$1048576,16,FALSE))</f>
        <v>#N/A</v>
      </c>
      <c r="AQ210" s="367">
        <v>0</v>
      </c>
      <c r="AR210" s="367">
        <v>0</v>
      </c>
      <c r="AS210" s="367">
        <v>0</v>
      </c>
      <c r="AT210" s="367">
        <v>0</v>
      </c>
      <c r="AU210" s="367">
        <v>0</v>
      </c>
      <c r="AV210" s="438" t="e">
        <f>ABS(VLOOKUP(A210,TradesEquity!$1:$1048576,18,FALSE))</f>
        <v>#N/A</v>
      </c>
      <c r="AW210" s="439">
        <v>0</v>
      </c>
      <c r="AX210" s="440">
        <v>4542</v>
      </c>
      <c r="AY210" s="441" t="s">
        <v>2029</v>
      </c>
      <c r="AZ210" s="442" t="e">
        <f>(VLOOKUP(A210,TradesEquity!$1:$1048576,29,FALSE))</f>
        <v>#N/A</v>
      </c>
      <c r="BA210" s="442" t="e">
        <f>(VLOOKUP(A210,TradesEquity!$1:$1048576,30,FALSE))</f>
        <v>#N/A</v>
      </c>
      <c r="BB210" s="442" t="e">
        <f>(VLOOKUP(A210,TradesEquity!$1:$1048576,31,FALSE))</f>
        <v>#N/A</v>
      </c>
      <c r="BC210" s="442" t="e">
        <f>(VLOOKUP(A210,TradesEquity!$1:$1048576,32,FALSE))</f>
        <v>#N/A</v>
      </c>
      <c r="BI210" s="442" t="e">
        <f>(VLOOKUP(A210,TradesEquity!$1:$1048576,38,FALSE))</f>
        <v>#N/A</v>
      </c>
      <c r="BJ210" s="442" t="e">
        <f>(VLOOKUP(A210,TradesEquity!$1:$1048576,39,FALSE))</f>
        <v>#N/A</v>
      </c>
      <c r="BK210" s="442" t="e">
        <f>(VLOOKUP(A210,TradesEquity!$1:$1048576,40,FALSE))</f>
        <v>#N/A</v>
      </c>
    </row>
    <row r="211" spans="4:63">
      <c r="D211" s="432" t="s">
        <v>2027</v>
      </c>
      <c r="F211" s="433" t="e">
        <f>VLOOKUP(A211,TradesEquity!$1:$1048576,2,FALSE)</f>
        <v>#N/A</v>
      </c>
      <c r="H211" s="433" t="e">
        <f>VLOOKUP(A211,TradesEquity!$1:$1048576,21,FALSE)</f>
        <v>#N/A</v>
      </c>
      <c r="I211" s="434" t="e">
        <f>IF(VLOOKUP(A211,TradesEquity!$1:$1048576,3,FALSE)="BUY","B","S")</f>
        <v>#N/A</v>
      </c>
      <c r="J211" s="434" t="e">
        <f>VLOOKUP(A211,TradesEquity!$1:$1048576,5,FALSE)</f>
        <v>#N/A</v>
      </c>
      <c r="K211" s="432" t="s">
        <v>19</v>
      </c>
      <c r="L211" s="435" t="s">
        <v>2028</v>
      </c>
      <c r="AE211" s="436" t="e">
        <f>VLOOKUP(A211,TradesEquity!$1:$1048576,10,FALSE)</f>
        <v>#N/A</v>
      </c>
      <c r="AF211" s="436" t="e">
        <f t="shared" si="11"/>
        <v>#N/A</v>
      </c>
      <c r="AG211" s="436" t="e">
        <f t="shared" si="12"/>
        <v>#N/A</v>
      </c>
      <c r="AH211" s="436" t="e">
        <f t="shared" si="13"/>
        <v>#N/A</v>
      </c>
      <c r="AI211" s="436" t="e">
        <f>ABS(VLOOKUP(A211,TradesEquity!$1:$1048576,13,FALSE))</f>
        <v>#N/A</v>
      </c>
      <c r="AJ211" s="437">
        <v>0</v>
      </c>
      <c r="AK211" s="437">
        <v>1</v>
      </c>
      <c r="AL211" s="436" t="e">
        <f>VLOOKUP(A211,TradesEquity!$1:$1048576,11,FALSE)</f>
        <v>#N/A</v>
      </c>
      <c r="AM211" s="437">
        <v>1</v>
      </c>
      <c r="AN211" s="436" t="e">
        <f>ABS(VLOOKUP(A211,TradesEquity!$1:$1048576,14,FALSE))</f>
        <v>#N/A</v>
      </c>
      <c r="AO211" s="436" t="e">
        <f>ABS(VLOOKUP(A211,TradesEquity!$1:$1048576,15,FALSE))</f>
        <v>#N/A</v>
      </c>
      <c r="AP211" s="438" t="e">
        <f>ABS(VLOOKUP(A211,TradesEquity!$1:$1048576,16,FALSE))</f>
        <v>#N/A</v>
      </c>
      <c r="AQ211" s="367">
        <v>0</v>
      </c>
      <c r="AR211" s="367">
        <v>0</v>
      </c>
      <c r="AS211" s="367">
        <v>0</v>
      </c>
      <c r="AT211" s="367">
        <v>0</v>
      </c>
      <c r="AU211" s="367">
        <v>0</v>
      </c>
      <c r="AV211" s="438" t="e">
        <f>ABS(VLOOKUP(A211,TradesEquity!$1:$1048576,18,FALSE))</f>
        <v>#N/A</v>
      </c>
      <c r="AW211" s="439">
        <v>0</v>
      </c>
      <c r="AX211" s="440">
        <v>4542</v>
      </c>
      <c r="AY211" s="441" t="s">
        <v>2029</v>
      </c>
      <c r="AZ211" s="442" t="e">
        <f>(VLOOKUP(A211,TradesEquity!$1:$1048576,29,FALSE))</f>
        <v>#N/A</v>
      </c>
      <c r="BA211" s="442" t="e">
        <f>(VLOOKUP(A211,TradesEquity!$1:$1048576,30,FALSE))</f>
        <v>#N/A</v>
      </c>
      <c r="BB211" s="442" t="e">
        <f>(VLOOKUP(A211,TradesEquity!$1:$1048576,31,FALSE))</f>
        <v>#N/A</v>
      </c>
      <c r="BC211" s="442" t="e">
        <f>(VLOOKUP(A211,TradesEquity!$1:$1048576,32,FALSE))</f>
        <v>#N/A</v>
      </c>
      <c r="BI211" s="442" t="e">
        <f>(VLOOKUP(A211,TradesEquity!$1:$1048576,38,FALSE))</f>
        <v>#N/A</v>
      </c>
      <c r="BJ211" s="442" t="e">
        <f>(VLOOKUP(A211,TradesEquity!$1:$1048576,39,FALSE))</f>
        <v>#N/A</v>
      </c>
      <c r="BK211" s="442" t="e">
        <f>(VLOOKUP(A211,TradesEquity!$1:$1048576,40,FALSE))</f>
        <v>#N/A</v>
      </c>
    </row>
    <row r="212" spans="4:63">
      <c r="D212" s="432" t="s">
        <v>2027</v>
      </c>
      <c r="F212" s="433" t="e">
        <f>VLOOKUP(A212,TradesEquity!$1:$1048576,2,FALSE)</f>
        <v>#N/A</v>
      </c>
      <c r="H212" s="433" t="e">
        <f>VLOOKUP(A212,TradesEquity!$1:$1048576,21,FALSE)</f>
        <v>#N/A</v>
      </c>
      <c r="I212" s="434" t="e">
        <f>IF(VLOOKUP(A212,TradesEquity!$1:$1048576,3,FALSE)="BUY","B","S")</f>
        <v>#N/A</v>
      </c>
      <c r="J212" s="434" t="e">
        <f>VLOOKUP(A212,TradesEquity!$1:$1048576,5,FALSE)</f>
        <v>#N/A</v>
      </c>
      <c r="K212" s="432" t="s">
        <v>19</v>
      </c>
      <c r="L212" s="435" t="s">
        <v>2028</v>
      </c>
      <c r="AE212" s="436" t="e">
        <f>VLOOKUP(A212,TradesEquity!$1:$1048576,10,FALSE)</f>
        <v>#N/A</v>
      </c>
      <c r="AF212" s="436" t="e">
        <f t="shared" si="11"/>
        <v>#N/A</v>
      </c>
      <c r="AG212" s="436" t="e">
        <f t="shared" si="12"/>
        <v>#N/A</v>
      </c>
      <c r="AH212" s="436" t="e">
        <f t="shared" si="13"/>
        <v>#N/A</v>
      </c>
      <c r="AI212" s="436" t="e">
        <f>ABS(VLOOKUP(A212,TradesEquity!$1:$1048576,13,FALSE))</f>
        <v>#N/A</v>
      </c>
      <c r="AJ212" s="437">
        <v>0</v>
      </c>
      <c r="AK212" s="437">
        <v>1</v>
      </c>
      <c r="AL212" s="436" t="e">
        <f>VLOOKUP(A212,TradesEquity!$1:$1048576,11,FALSE)</f>
        <v>#N/A</v>
      </c>
      <c r="AM212" s="437">
        <v>1</v>
      </c>
      <c r="AN212" s="436" t="e">
        <f>ABS(VLOOKUP(A212,TradesEquity!$1:$1048576,14,FALSE))</f>
        <v>#N/A</v>
      </c>
      <c r="AO212" s="436" t="e">
        <f>ABS(VLOOKUP(A212,TradesEquity!$1:$1048576,15,FALSE))</f>
        <v>#N/A</v>
      </c>
      <c r="AP212" s="438" t="e">
        <f>ABS(VLOOKUP(A212,TradesEquity!$1:$1048576,16,FALSE))</f>
        <v>#N/A</v>
      </c>
      <c r="AQ212" s="367">
        <v>0</v>
      </c>
      <c r="AR212" s="367">
        <v>0</v>
      </c>
      <c r="AS212" s="367">
        <v>0</v>
      </c>
      <c r="AT212" s="367">
        <v>0</v>
      </c>
      <c r="AU212" s="367">
        <v>0</v>
      </c>
      <c r="AV212" s="438" t="e">
        <f>ABS(VLOOKUP(A212,TradesEquity!$1:$1048576,18,FALSE))</f>
        <v>#N/A</v>
      </c>
      <c r="AW212" s="439">
        <v>0</v>
      </c>
      <c r="AX212" s="440">
        <v>4542</v>
      </c>
      <c r="AY212" s="441" t="s">
        <v>2029</v>
      </c>
      <c r="AZ212" s="442" t="e">
        <f>(VLOOKUP(A212,TradesEquity!$1:$1048576,29,FALSE))</f>
        <v>#N/A</v>
      </c>
      <c r="BA212" s="442" t="e">
        <f>(VLOOKUP(A212,TradesEquity!$1:$1048576,30,FALSE))</f>
        <v>#N/A</v>
      </c>
      <c r="BB212" s="442" t="e">
        <f>(VLOOKUP(A212,TradesEquity!$1:$1048576,31,FALSE))</f>
        <v>#N/A</v>
      </c>
      <c r="BC212" s="442" t="e">
        <f>(VLOOKUP(A212,TradesEquity!$1:$1048576,32,FALSE))</f>
        <v>#N/A</v>
      </c>
      <c r="BI212" s="442" t="e">
        <f>(VLOOKUP(A212,TradesEquity!$1:$1048576,38,FALSE))</f>
        <v>#N/A</v>
      </c>
      <c r="BJ212" s="442" t="e">
        <f>(VLOOKUP(A212,TradesEquity!$1:$1048576,39,FALSE))</f>
        <v>#N/A</v>
      </c>
      <c r="BK212" s="442" t="e">
        <f>(VLOOKUP(A212,TradesEquity!$1:$1048576,40,FALSE))</f>
        <v>#N/A</v>
      </c>
    </row>
    <row r="213" spans="4:63">
      <c r="D213" s="432" t="s">
        <v>2027</v>
      </c>
      <c r="F213" s="433" t="e">
        <f>VLOOKUP(A213,TradesEquity!$1:$1048576,2,FALSE)</f>
        <v>#N/A</v>
      </c>
      <c r="H213" s="433" t="e">
        <f>VLOOKUP(A213,TradesEquity!$1:$1048576,21,FALSE)</f>
        <v>#N/A</v>
      </c>
      <c r="I213" s="434" t="e">
        <f>IF(VLOOKUP(A213,TradesEquity!$1:$1048576,3,FALSE)="BUY","B","S")</f>
        <v>#N/A</v>
      </c>
      <c r="J213" s="434" t="e">
        <f>VLOOKUP(A213,TradesEquity!$1:$1048576,5,FALSE)</f>
        <v>#N/A</v>
      </c>
      <c r="K213" s="432" t="s">
        <v>19</v>
      </c>
      <c r="L213" s="435" t="s">
        <v>2028</v>
      </c>
      <c r="AE213" s="436" t="e">
        <f>VLOOKUP(A213,TradesEquity!$1:$1048576,10,FALSE)</f>
        <v>#N/A</v>
      </c>
      <c r="AF213" s="436" t="e">
        <f t="shared" si="11"/>
        <v>#N/A</v>
      </c>
      <c r="AG213" s="436" t="e">
        <f t="shared" si="12"/>
        <v>#N/A</v>
      </c>
      <c r="AH213" s="436" t="e">
        <f t="shared" si="13"/>
        <v>#N/A</v>
      </c>
      <c r="AI213" s="436" t="e">
        <f>ABS(VLOOKUP(A213,TradesEquity!$1:$1048576,13,FALSE))</f>
        <v>#N/A</v>
      </c>
      <c r="AJ213" s="437">
        <v>0</v>
      </c>
      <c r="AK213" s="437">
        <v>1</v>
      </c>
      <c r="AL213" s="436" t="e">
        <f>VLOOKUP(A213,TradesEquity!$1:$1048576,11,FALSE)</f>
        <v>#N/A</v>
      </c>
      <c r="AM213" s="437">
        <v>1</v>
      </c>
      <c r="AN213" s="436" t="e">
        <f>ABS(VLOOKUP(A213,TradesEquity!$1:$1048576,14,FALSE))</f>
        <v>#N/A</v>
      </c>
      <c r="AO213" s="436" t="e">
        <f>ABS(VLOOKUP(A213,TradesEquity!$1:$1048576,15,FALSE))</f>
        <v>#N/A</v>
      </c>
      <c r="AP213" s="438" t="e">
        <f>ABS(VLOOKUP(A213,TradesEquity!$1:$1048576,16,FALSE))</f>
        <v>#N/A</v>
      </c>
      <c r="AQ213" s="367">
        <v>0</v>
      </c>
      <c r="AR213" s="367">
        <v>0</v>
      </c>
      <c r="AS213" s="367">
        <v>0</v>
      </c>
      <c r="AT213" s="367">
        <v>0</v>
      </c>
      <c r="AU213" s="367">
        <v>0</v>
      </c>
      <c r="AV213" s="438" t="e">
        <f>ABS(VLOOKUP(A213,TradesEquity!$1:$1048576,18,FALSE))</f>
        <v>#N/A</v>
      </c>
      <c r="AW213" s="439">
        <v>0</v>
      </c>
      <c r="AX213" s="440">
        <v>4542</v>
      </c>
      <c r="AY213" s="441" t="s">
        <v>2029</v>
      </c>
      <c r="AZ213" s="442" t="e">
        <f>(VLOOKUP(A213,TradesEquity!$1:$1048576,29,FALSE))</f>
        <v>#N/A</v>
      </c>
      <c r="BA213" s="442" t="e">
        <f>(VLOOKUP(A213,TradesEquity!$1:$1048576,30,FALSE))</f>
        <v>#N/A</v>
      </c>
      <c r="BB213" s="442" t="e">
        <f>(VLOOKUP(A213,TradesEquity!$1:$1048576,31,FALSE))</f>
        <v>#N/A</v>
      </c>
      <c r="BC213" s="442" t="e">
        <f>(VLOOKUP(A213,TradesEquity!$1:$1048576,32,FALSE))</f>
        <v>#N/A</v>
      </c>
      <c r="BI213" s="442" t="e">
        <f>(VLOOKUP(A213,TradesEquity!$1:$1048576,38,FALSE))</f>
        <v>#N/A</v>
      </c>
      <c r="BJ213" s="442" t="e">
        <f>(VLOOKUP(A213,TradesEquity!$1:$1048576,39,FALSE))</f>
        <v>#N/A</v>
      </c>
      <c r="BK213" s="442" t="e">
        <f>(VLOOKUP(A213,TradesEquity!$1:$1048576,40,FALSE))</f>
        <v>#N/A</v>
      </c>
    </row>
    <row r="214" spans="4:63">
      <c r="D214" s="432" t="s">
        <v>2027</v>
      </c>
      <c r="F214" s="433" t="e">
        <f>VLOOKUP(A214,TradesEquity!$1:$1048576,2,FALSE)</f>
        <v>#N/A</v>
      </c>
      <c r="H214" s="433" t="e">
        <f>VLOOKUP(A214,TradesEquity!$1:$1048576,21,FALSE)</f>
        <v>#N/A</v>
      </c>
      <c r="I214" s="434" t="e">
        <f>IF(VLOOKUP(A214,TradesEquity!$1:$1048576,3,FALSE)="BUY","B","S")</f>
        <v>#N/A</v>
      </c>
      <c r="J214" s="434" t="e">
        <f>VLOOKUP(A214,TradesEquity!$1:$1048576,5,FALSE)</f>
        <v>#N/A</v>
      </c>
      <c r="K214" s="432" t="s">
        <v>19</v>
      </c>
      <c r="L214" s="435" t="s">
        <v>2028</v>
      </c>
      <c r="AE214" s="436" t="e">
        <f>VLOOKUP(A214,TradesEquity!$1:$1048576,10,FALSE)</f>
        <v>#N/A</v>
      </c>
      <c r="AF214" s="436" t="e">
        <f t="shared" si="11"/>
        <v>#N/A</v>
      </c>
      <c r="AG214" s="436" t="e">
        <f t="shared" si="12"/>
        <v>#N/A</v>
      </c>
      <c r="AH214" s="436" t="e">
        <f t="shared" si="13"/>
        <v>#N/A</v>
      </c>
      <c r="AI214" s="436" t="e">
        <f>ABS(VLOOKUP(A214,TradesEquity!$1:$1048576,13,FALSE))</f>
        <v>#N/A</v>
      </c>
      <c r="AJ214" s="437">
        <v>0</v>
      </c>
      <c r="AK214" s="437">
        <v>1</v>
      </c>
      <c r="AL214" s="436" t="e">
        <f>VLOOKUP(A214,TradesEquity!$1:$1048576,11,FALSE)</f>
        <v>#N/A</v>
      </c>
      <c r="AM214" s="437">
        <v>1</v>
      </c>
      <c r="AN214" s="436" t="e">
        <f>ABS(VLOOKUP(A214,TradesEquity!$1:$1048576,14,FALSE))</f>
        <v>#N/A</v>
      </c>
      <c r="AO214" s="436" t="e">
        <f>ABS(VLOOKUP(A214,TradesEquity!$1:$1048576,15,FALSE))</f>
        <v>#N/A</v>
      </c>
      <c r="AP214" s="438" t="e">
        <f>ABS(VLOOKUP(A214,TradesEquity!$1:$1048576,16,FALSE))</f>
        <v>#N/A</v>
      </c>
      <c r="AQ214" s="367">
        <v>0</v>
      </c>
      <c r="AR214" s="367">
        <v>0</v>
      </c>
      <c r="AS214" s="367">
        <v>0</v>
      </c>
      <c r="AT214" s="367">
        <v>0</v>
      </c>
      <c r="AU214" s="367">
        <v>0</v>
      </c>
      <c r="AV214" s="438" t="e">
        <f>ABS(VLOOKUP(A214,TradesEquity!$1:$1048576,18,FALSE))</f>
        <v>#N/A</v>
      </c>
      <c r="AW214" s="439">
        <v>0</v>
      </c>
      <c r="AX214" s="440">
        <v>4542</v>
      </c>
      <c r="AY214" s="441" t="s">
        <v>2029</v>
      </c>
      <c r="AZ214" s="442" t="e">
        <f>(VLOOKUP(A214,TradesEquity!$1:$1048576,29,FALSE))</f>
        <v>#N/A</v>
      </c>
      <c r="BA214" s="442" t="e">
        <f>(VLOOKUP(A214,TradesEquity!$1:$1048576,30,FALSE))</f>
        <v>#N/A</v>
      </c>
      <c r="BB214" s="442" t="e">
        <f>(VLOOKUP(A214,TradesEquity!$1:$1048576,31,FALSE))</f>
        <v>#N/A</v>
      </c>
      <c r="BC214" s="442" t="e">
        <f>(VLOOKUP(A214,TradesEquity!$1:$1048576,32,FALSE))</f>
        <v>#N/A</v>
      </c>
      <c r="BI214" s="442" t="e">
        <f>(VLOOKUP(A214,TradesEquity!$1:$1048576,38,FALSE))</f>
        <v>#N/A</v>
      </c>
      <c r="BJ214" s="442" t="e">
        <f>(VLOOKUP(A214,TradesEquity!$1:$1048576,39,FALSE))</f>
        <v>#N/A</v>
      </c>
      <c r="BK214" s="442" t="e">
        <f>(VLOOKUP(A214,TradesEquity!$1:$1048576,40,FALSE))</f>
        <v>#N/A</v>
      </c>
    </row>
    <row r="215" spans="4:63">
      <c r="D215" s="432" t="s">
        <v>2027</v>
      </c>
      <c r="F215" s="433" t="e">
        <f>VLOOKUP(A215,TradesEquity!$1:$1048576,2,FALSE)</f>
        <v>#N/A</v>
      </c>
      <c r="H215" s="433" t="e">
        <f>VLOOKUP(A215,TradesEquity!$1:$1048576,21,FALSE)</f>
        <v>#N/A</v>
      </c>
      <c r="I215" s="434" t="e">
        <f>IF(VLOOKUP(A215,TradesEquity!$1:$1048576,3,FALSE)="BUY","B","S")</f>
        <v>#N/A</v>
      </c>
      <c r="J215" s="434" t="e">
        <f>VLOOKUP(A215,TradesEquity!$1:$1048576,5,FALSE)</f>
        <v>#N/A</v>
      </c>
      <c r="K215" s="432" t="s">
        <v>19</v>
      </c>
      <c r="L215" s="435" t="s">
        <v>2028</v>
      </c>
      <c r="AE215" s="436" t="e">
        <f>VLOOKUP(A215,TradesEquity!$1:$1048576,10,FALSE)</f>
        <v>#N/A</v>
      </c>
      <c r="AF215" s="436" t="e">
        <f t="shared" si="11"/>
        <v>#N/A</v>
      </c>
      <c r="AG215" s="436" t="e">
        <f t="shared" si="12"/>
        <v>#N/A</v>
      </c>
      <c r="AH215" s="436" t="e">
        <f t="shared" si="13"/>
        <v>#N/A</v>
      </c>
      <c r="AI215" s="436" t="e">
        <f>ABS(VLOOKUP(A215,TradesEquity!$1:$1048576,13,FALSE))</f>
        <v>#N/A</v>
      </c>
      <c r="AJ215" s="437">
        <v>0</v>
      </c>
      <c r="AK215" s="437">
        <v>1</v>
      </c>
      <c r="AL215" s="436" t="e">
        <f>VLOOKUP(A215,TradesEquity!$1:$1048576,11,FALSE)</f>
        <v>#N/A</v>
      </c>
      <c r="AM215" s="437">
        <v>1</v>
      </c>
      <c r="AN215" s="436" t="e">
        <f>ABS(VLOOKUP(A215,TradesEquity!$1:$1048576,14,FALSE))</f>
        <v>#N/A</v>
      </c>
      <c r="AO215" s="436" t="e">
        <f>ABS(VLOOKUP(A215,TradesEquity!$1:$1048576,15,FALSE))</f>
        <v>#N/A</v>
      </c>
      <c r="AP215" s="438" t="e">
        <f>ABS(VLOOKUP(A215,TradesEquity!$1:$1048576,16,FALSE))</f>
        <v>#N/A</v>
      </c>
      <c r="AQ215" s="367">
        <v>0</v>
      </c>
      <c r="AR215" s="367">
        <v>0</v>
      </c>
      <c r="AS215" s="367">
        <v>0</v>
      </c>
      <c r="AT215" s="367">
        <v>0</v>
      </c>
      <c r="AU215" s="367">
        <v>0</v>
      </c>
      <c r="AV215" s="438" t="e">
        <f>ABS(VLOOKUP(A215,TradesEquity!$1:$1048576,18,FALSE))</f>
        <v>#N/A</v>
      </c>
      <c r="AW215" s="439">
        <v>0</v>
      </c>
      <c r="AX215" s="440">
        <v>4542</v>
      </c>
      <c r="AY215" s="441" t="s">
        <v>2029</v>
      </c>
      <c r="AZ215" s="442" t="e">
        <f>(VLOOKUP(A215,TradesEquity!$1:$1048576,29,FALSE))</f>
        <v>#N/A</v>
      </c>
      <c r="BA215" s="442" t="e">
        <f>(VLOOKUP(A215,TradesEquity!$1:$1048576,30,FALSE))</f>
        <v>#N/A</v>
      </c>
      <c r="BB215" s="442" t="e">
        <f>(VLOOKUP(A215,TradesEquity!$1:$1048576,31,FALSE))</f>
        <v>#N/A</v>
      </c>
      <c r="BC215" s="442" t="e">
        <f>(VLOOKUP(A215,TradesEquity!$1:$1048576,32,FALSE))</f>
        <v>#N/A</v>
      </c>
      <c r="BI215" s="442" t="e">
        <f>(VLOOKUP(A215,TradesEquity!$1:$1048576,38,FALSE))</f>
        <v>#N/A</v>
      </c>
      <c r="BJ215" s="442" t="e">
        <f>(VLOOKUP(A215,TradesEquity!$1:$1048576,39,FALSE))</f>
        <v>#N/A</v>
      </c>
      <c r="BK215" s="442" t="e">
        <f>(VLOOKUP(A215,TradesEquity!$1:$1048576,40,FALSE))</f>
        <v>#N/A</v>
      </c>
    </row>
    <row r="216" spans="4:63">
      <c r="D216" s="432" t="s">
        <v>2027</v>
      </c>
      <c r="F216" s="433" t="e">
        <f>VLOOKUP(A216,TradesEquity!$1:$1048576,2,FALSE)</f>
        <v>#N/A</v>
      </c>
      <c r="H216" s="433" t="e">
        <f>VLOOKUP(A216,TradesEquity!$1:$1048576,21,FALSE)</f>
        <v>#N/A</v>
      </c>
      <c r="I216" s="434" t="e">
        <f>IF(VLOOKUP(A216,TradesEquity!$1:$1048576,3,FALSE)="BUY","B","S")</f>
        <v>#N/A</v>
      </c>
      <c r="J216" s="434" t="e">
        <f>VLOOKUP(A216,TradesEquity!$1:$1048576,5,FALSE)</f>
        <v>#N/A</v>
      </c>
      <c r="K216" s="432" t="s">
        <v>19</v>
      </c>
      <c r="L216" s="435" t="s">
        <v>2028</v>
      </c>
      <c r="AE216" s="436" t="e">
        <f>VLOOKUP(A216,TradesEquity!$1:$1048576,10,FALSE)</f>
        <v>#N/A</v>
      </c>
      <c r="AF216" s="436" t="e">
        <f t="shared" si="11"/>
        <v>#N/A</v>
      </c>
      <c r="AG216" s="436" t="e">
        <f t="shared" si="12"/>
        <v>#N/A</v>
      </c>
      <c r="AH216" s="436" t="e">
        <f t="shared" si="13"/>
        <v>#N/A</v>
      </c>
      <c r="AI216" s="436" t="e">
        <f>ABS(VLOOKUP(A216,TradesEquity!$1:$1048576,13,FALSE))</f>
        <v>#N/A</v>
      </c>
      <c r="AJ216" s="437">
        <v>0</v>
      </c>
      <c r="AK216" s="437">
        <v>1</v>
      </c>
      <c r="AL216" s="436" t="e">
        <f>VLOOKUP(A216,TradesEquity!$1:$1048576,11,FALSE)</f>
        <v>#N/A</v>
      </c>
      <c r="AM216" s="437">
        <v>1</v>
      </c>
      <c r="AN216" s="436" t="e">
        <f>ABS(VLOOKUP(A216,TradesEquity!$1:$1048576,14,FALSE))</f>
        <v>#N/A</v>
      </c>
      <c r="AO216" s="436" t="e">
        <f>ABS(VLOOKUP(A216,TradesEquity!$1:$1048576,15,FALSE))</f>
        <v>#N/A</v>
      </c>
      <c r="AP216" s="438" t="e">
        <f>ABS(VLOOKUP(A216,TradesEquity!$1:$1048576,16,FALSE))</f>
        <v>#N/A</v>
      </c>
      <c r="AQ216" s="367">
        <v>0</v>
      </c>
      <c r="AR216" s="367">
        <v>0</v>
      </c>
      <c r="AS216" s="367">
        <v>0</v>
      </c>
      <c r="AT216" s="367">
        <v>0</v>
      </c>
      <c r="AU216" s="367">
        <v>0</v>
      </c>
      <c r="AV216" s="438" t="e">
        <f>ABS(VLOOKUP(A216,TradesEquity!$1:$1048576,18,FALSE))</f>
        <v>#N/A</v>
      </c>
      <c r="AW216" s="439">
        <v>0</v>
      </c>
      <c r="AX216" s="440">
        <v>4542</v>
      </c>
      <c r="AY216" s="441" t="s">
        <v>2029</v>
      </c>
      <c r="AZ216" s="442" t="e">
        <f>(VLOOKUP(A216,TradesEquity!$1:$1048576,29,FALSE))</f>
        <v>#N/A</v>
      </c>
      <c r="BA216" s="442" t="e">
        <f>(VLOOKUP(A216,TradesEquity!$1:$1048576,30,FALSE))</f>
        <v>#N/A</v>
      </c>
      <c r="BB216" s="442" t="e">
        <f>(VLOOKUP(A216,TradesEquity!$1:$1048576,31,FALSE))</f>
        <v>#N/A</v>
      </c>
      <c r="BC216" s="442" t="e">
        <f>(VLOOKUP(A216,TradesEquity!$1:$1048576,32,FALSE))</f>
        <v>#N/A</v>
      </c>
      <c r="BI216" s="442" t="e">
        <f>(VLOOKUP(A216,TradesEquity!$1:$1048576,38,FALSE))</f>
        <v>#N/A</v>
      </c>
      <c r="BJ216" s="442" t="e">
        <f>(VLOOKUP(A216,TradesEquity!$1:$1048576,39,FALSE))</f>
        <v>#N/A</v>
      </c>
      <c r="BK216" s="442" t="e">
        <f>(VLOOKUP(A216,TradesEquity!$1:$1048576,40,FALSE))</f>
        <v>#N/A</v>
      </c>
    </row>
    <row r="217" spans="4:63">
      <c r="D217" s="432" t="s">
        <v>2027</v>
      </c>
      <c r="F217" s="433" t="e">
        <f>VLOOKUP(A217,TradesEquity!$1:$1048576,2,FALSE)</f>
        <v>#N/A</v>
      </c>
      <c r="H217" s="433" t="e">
        <f>VLOOKUP(A217,TradesEquity!$1:$1048576,21,FALSE)</f>
        <v>#N/A</v>
      </c>
      <c r="I217" s="434" t="e">
        <f>IF(VLOOKUP(A217,TradesEquity!$1:$1048576,3,FALSE)="BUY","B","S")</f>
        <v>#N/A</v>
      </c>
      <c r="J217" s="434" t="e">
        <f>VLOOKUP(A217,TradesEquity!$1:$1048576,5,FALSE)</f>
        <v>#N/A</v>
      </c>
      <c r="K217" s="432" t="s">
        <v>19</v>
      </c>
      <c r="L217" s="435" t="s">
        <v>2028</v>
      </c>
      <c r="AE217" s="436" t="e">
        <f>VLOOKUP(A217,TradesEquity!$1:$1048576,10,FALSE)</f>
        <v>#N/A</v>
      </c>
      <c r="AF217" s="436" t="e">
        <f t="shared" si="11"/>
        <v>#N/A</v>
      </c>
      <c r="AG217" s="436" t="e">
        <f t="shared" si="12"/>
        <v>#N/A</v>
      </c>
      <c r="AH217" s="436" t="e">
        <f t="shared" si="13"/>
        <v>#N/A</v>
      </c>
      <c r="AI217" s="436" t="e">
        <f>ABS(VLOOKUP(A217,TradesEquity!$1:$1048576,13,FALSE))</f>
        <v>#N/A</v>
      </c>
      <c r="AJ217" s="437">
        <v>0</v>
      </c>
      <c r="AK217" s="437">
        <v>1</v>
      </c>
      <c r="AL217" s="436" t="e">
        <f>VLOOKUP(A217,TradesEquity!$1:$1048576,11,FALSE)</f>
        <v>#N/A</v>
      </c>
      <c r="AM217" s="437">
        <v>1</v>
      </c>
      <c r="AN217" s="436" t="e">
        <f>ABS(VLOOKUP(A217,TradesEquity!$1:$1048576,14,FALSE))</f>
        <v>#N/A</v>
      </c>
      <c r="AO217" s="436" t="e">
        <f>ABS(VLOOKUP(A217,TradesEquity!$1:$1048576,15,FALSE))</f>
        <v>#N/A</v>
      </c>
      <c r="AP217" s="438" t="e">
        <f>ABS(VLOOKUP(A217,TradesEquity!$1:$1048576,16,FALSE))</f>
        <v>#N/A</v>
      </c>
      <c r="AQ217" s="367">
        <v>0</v>
      </c>
      <c r="AR217" s="367">
        <v>0</v>
      </c>
      <c r="AS217" s="367">
        <v>0</v>
      </c>
      <c r="AT217" s="367">
        <v>0</v>
      </c>
      <c r="AU217" s="367">
        <v>0</v>
      </c>
      <c r="AV217" s="438" t="e">
        <f>ABS(VLOOKUP(A217,TradesEquity!$1:$1048576,18,FALSE))</f>
        <v>#N/A</v>
      </c>
      <c r="AW217" s="439">
        <v>0</v>
      </c>
      <c r="AX217" s="440">
        <v>4542</v>
      </c>
      <c r="AY217" s="441" t="s">
        <v>2029</v>
      </c>
      <c r="AZ217" s="442" t="e">
        <f>(VLOOKUP(A217,TradesEquity!$1:$1048576,29,FALSE))</f>
        <v>#N/A</v>
      </c>
      <c r="BA217" s="442" t="e">
        <f>(VLOOKUP(A217,TradesEquity!$1:$1048576,30,FALSE))</f>
        <v>#N/A</v>
      </c>
      <c r="BB217" s="442" t="e">
        <f>(VLOOKUP(A217,TradesEquity!$1:$1048576,31,FALSE))</f>
        <v>#N/A</v>
      </c>
      <c r="BC217" s="442" t="e">
        <f>(VLOOKUP(A217,TradesEquity!$1:$1048576,32,FALSE))</f>
        <v>#N/A</v>
      </c>
      <c r="BI217" s="442" t="e">
        <f>(VLOOKUP(A217,TradesEquity!$1:$1048576,38,FALSE))</f>
        <v>#N/A</v>
      </c>
      <c r="BJ217" s="442" t="e">
        <f>(VLOOKUP(A217,TradesEquity!$1:$1048576,39,FALSE))</f>
        <v>#N/A</v>
      </c>
      <c r="BK217" s="442" t="e">
        <f>(VLOOKUP(A217,TradesEquity!$1:$1048576,40,FALSE))</f>
        <v>#N/A</v>
      </c>
    </row>
    <row r="218" spans="4:63">
      <c r="D218" s="432" t="s">
        <v>2027</v>
      </c>
      <c r="F218" s="433" t="e">
        <f>VLOOKUP(A218,TradesEquity!$1:$1048576,2,FALSE)</f>
        <v>#N/A</v>
      </c>
      <c r="H218" s="433" t="e">
        <f>VLOOKUP(A218,TradesEquity!$1:$1048576,21,FALSE)</f>
        <v>#N/A</v>
      </c>
      <c r="I218" s="434" t="e">
        <f>IF(VLOOKUP(A218,TradesEquity!$1:$1048576,3,FALSE)="BUY","B","S")</f>
        <v>#N/A</v>
      </c>
      <c r="J218" s="434" t="e">
        <f>VLOOKUP(A218,TradesEquity!$1:$1048576,5,FALSE)</f>
        <v>#N/A</v>
      </c>
      <c r="K218" s="432" t="s">
        <v>19</v>
      </c>
      <c r="L218" s="435" t="s">
        <v>2028</v>
      </c>
      <c r="AE218" s="436" t="e">
        <f>VLOOKUP(A218,TradesEquity!$1:$1048576,10,FALSE)</f>
        <v>#N/A</v>
      </c>
      <c r="AF218" s="436" t="e">
        <f t="shared" si="11"/>
        <v>#N/A</v>
      </c>
      <c r="AG218" s="436" t="e">
        <f t="shared" si="12"/>
        <v>#N/A</v>
      </c>
      <c r="AH218" s="436" t="e">
        <f t="shared" si="13"/>
        <v>#N/A</v>
      </c>
      <c r="AI218" s="436" t="e">
        <f>ABS(VLOOKUP(A218,TradesEquity!$1:$1048576,13,FALSE))</f>
        <v>#N/A</v>
      </c>
      <c r="AJ218" s="437">
        <v>0</v>
      </c>
      <c r="AK218" s="437">
        <v>1</v>
      </c>
      <c r="AL218" s="436" t="e">
        <f>VLOOKUP(A218,TradesEquity!$1:$1048576,11,FALSE)</f>
        <v>#N/A</v>
      </c>
      <c r="AM218" s="437">
        <v>1</v>
      </c>
      <c r="AN218" s="436" t="e">
        <f>ABS(VLOOKUP(A218,TradesEquity!$1:$1048576,14,FALSE))</f>
        <v>#N/A</v>
      </c>
      <c r="AO218" s="436" t="e">
        <f>ABS(VLOOKUP(A218,TradesEquity!$1:$1048576,15,FALSE))</f>
        <v>#N/A</v>
      </c>
      <c r="AP218" s="438" t="e">
        <f>ABS(VLOOKUP(A218,TradesEquity!$1:$1048576,16,FALSE))</f>
        <v>#N/A</v>
      </c>
      <c r="AQ218" s="367">
        <v>0</v>
      </c>
      <c r="AR218" s="367">
        <v>0</v>
      </c>
      <c r="AS218" s="367">
        <v>0</v>
      </c>
      <c r="AT218" s="367">
        <v>0</v>
      </c>
      <c r="AU218" s="367">
        <v>0</v>
      </c>
      <c r="AV218" s="438" t="e">
        <f>ABS(VLOOKUP(A218,TradesEquity!$1:$1048576,18,FALSE))</f>
        <v>#N/A</v>
      </c>
      <c r="AW218" s="439">
        <v>0</v>
      </c>
      <c r="AX218" s="440">
        <v>4542</v>
      </c>
      <c r="AY218" s="441" t="s">
        <v>2029</v>
      </c>
      <c r="AZ218" s="442" t="e">
        <f>(VLOOKUP(A218,TradesEquity!$1:$1048576,29,FALSE))</f>
        <v>#N/A</v>
      </c>
      <c r="BA218" s="442" t="e">
        <f>(VLOOKUP(A218,TradesEquity!$1:$1048576,30,FALSE))</f>
        <v>#N/A</v>
      </c>
      <c r="BB218" s="442" t="e">
        <f>(VLOOKUP(A218,TradesEquity!$1:$1048576,31,FALSE))</f>
        <v>#N/A</v>
      </c>
      <c r="BC218" s="442" t="e">
        <f>(VLOOKUP(A218,TradesEquity!$1:$1048576,32,FALSE))</f>
        <v>#N/A</v>
      </c>
      <c r="BI218" s="442" t="e">
        <f>(VLOOKUP(A218,TradesEquity!$1:$1048576,38,FALSE))</f>
        <v>#N/A</v>
      </c>
      <c r="BJ218" s="442" t="e">
        <f>(VLOOKUP(A218,TradesEquity!$1:$1048576,39,FALSE))</f>
        <v>#N/A</v>
      </c>
      <c r="BK218" s="442" t="e">
        <f>(VLOOKUP(A218,TradesEquity!$1:$1048576,40,FALSE))</f>
        <v>#N/A</v>
      </c>
    </row>
    <row r="219" spans="4:63">
      <c r="D219" s="432" t="s">
        <v>2027</v>
      </c>
      <c r="F219" s="433" t="e">
        <f>VLOOKUP(A219,TradesEquity!$1:$1048576,2,FALSE)</f>
        <v>#N/A</v>
      </c>
      <c r="H219" s="433" t="e">
        <f>VLOOKUP(A219,TradesEquity!$1:$1048576,21,FALSE)</f>
        <v>#N/A</v>
      </c>
      <c r="I219" s="434" t="e">
        <f>IF(VLOOKUP(A219,TradesEquity!$1:$1048576,3,FALSE)="BUY","B","S")</f>
        <v>#N/A</v>
      </c>
      <c r="J219" s="434" t="e">
        <f>VLOOKUP(A219,TradesEquity!$1:$1048576,5,FALSE)</f>
        <v>#N/A</v>
      </c>
      <c r="K219" s="432" t="s">
        <v>19</v>
      </c>
      <c r="L219" s="435" t="s">
        <v>2028</v>
      </c>
      <c r="AE219" s="436" t="e">
        <f>VLOOKUP(A219,TradesEquity!$1:$1048576,10,FALSE)</f>
        <v>#N/A</v>
      </c>
      <c r="AF219" s="436" t="e">
        <f t="shared" si="11"/>
        <v>#N/A</v>
      </c>
      <c r="AG219" s="436" t="e">
        <f t="shared" si="12"/>
        <v>#N/A</v>
      </c>
      <c r="AH219" s="436" t="e">
        <f t="shared" si="13"/>
        <v>#N/A</v>
      </c>
      <c r="AI219" s="436" t="e">
        <f>ABS(VLOOKUP(A219,TradesEquity!$1:$1048576,13,FALSE))</f>
        <v>#N/A</v>
      </c>
      <c r="AJ219" s="437">
        <v>0</v>
      </c>
      <c r="AK219" s="437">
        <v>1</v>
      </c>
      <c r="AL219" s="436" t="e">
        <f>VLOOKUP(A219,TradesEquity!$1:$1048576,11,FALSE)</f>
        <v>#N/A</v>
      </c>
      <c r="AM219" s="437">
        <v>1</v>
      </c>
      <c r="AN219" s="436" t="e">
        <f>ABS(VLOOKUP(A219,TradesEquity!$1:$1048576,14,FALSE))</f>
        <v>#N/A</v>
      </c>
      <c r="AO219" s="436" t="e">
        <f>ABS(VLOOKUP(A219,TradesEquity!$1:$1048576,15,FALSE))</f>
        <v>#N/A</v>
      </c>
      <c r="AP219" s="438" t="e">
        <f>ABS(VLOOKUP(A219,TradesEquity!$1:$1048576,16,FALSE))</f>
        <v>#N/A</v>
      </c>
      <c r="AQ219" s="367">
        <v>0</v>
      </c>
      <c r="AR219" s="367">
        <v>0</v>
      </c>
      <c r="AS219" s="367">
        <v>0</v>
      </c>
      <c r="AT219" s="367">
        <v>0</v>
      </c>
      <c r="AU219" s="367">
        <v>0</v>
      </c>
      <c r="AV219" s="438" t="e">
        <f>ABS(VLOOKUP(A219,TradesEquity!$1:$1048576,18,FALSE))</f>
        <v>#N/A</v>
      </c>
      <c r="AW219" s="439">
        <v>0</v>
      </c>
      <c r="AX219" s="440">
        <v>4542</v>
      </c>
      <c r="AY219" s="441" t="s">
        <v>2029</v>
      </c>
      <c r="AZ219" s="442" t="e">
        <f>(VLOOKUP(A219,TradesEquity!$1:$1048576,29,FALSE))</f>
        <v>#N/A</v>
      </c>
      <c r="BA219" s="442" t="e">
        <f>(VLOOKUP(A219,TradesEquity!$1:$1048576,30,FALSE))</f>
        <v>#N/A</v>
      </c>
      <c r="BB219" s="442" t="e">
        <f>(VLOOKUP(A219,TradesEquity!$1:$1048576,31,FALSE))</f>
        <v>#N/A</v>
      </c>
      <c r="BC219" s="442" t="e">
        <f>(VLOOKUP(A219,TradesEquity!$1:$1048576,32,FALSE))</f>
        <v>#N/A</v>
      </c>
      <c r="BI219" s="442" t="e">
        <f>(VLOOKUP(A219,TradesEquity!$1:$1048576,38,FALSE))</f>
        <v>#N/A</v>
      </c>
      <c r="BJ219" s="442" t="e">
        <f>(VLOOKUP(A219,TradesEquity!$1:$1048576,39,FALSE))</f>
        <v>#N/A</v>
      </c>
      <c r="BK219" s="442" t="e">
        <f>(VLOOKUP(A219,TradesEquity!$1:$1048576,40,FALSE))</f>
        <v>#N/A</v>
      </c>
    </row>
    <row r="220" spans="4:63">
      <c r="D220" s="432" t="s">
        <v>2027</v>
      </c>
      <c r="F220" s="433" t="e">
        <f>VLOOKUP(A220,TradesEquity!$1:$1048576,2,FALSE)</f>
        <v>#N/A</v>
      </c>
      <c r="H220" s="433" t="e">
        <f>VLOOKUP(A220,TradesEquity!$1:$1048576,21,FALSE)</f>
        <v>#N/A</v>
      </c>
      <c r="I220" s="434" t="e">
        <f>IF(VLOOKUP(A220,TradesEquity!$1:$1048576,3,FALSE)="BUY","B","S")</f>
        <v>#N/A</v>
      </c>
      <c r="J220" s="434" t="e">
        <f>VLOOKUP(A220,TradesEquity!$1:$1048576,5,FALSE)</f>
        <v>#N/A</v>
      </c>
      <c r="K220" s="432" t="s">
        <v>19</v>
      </c>
      <c r="L220" s="435" t="s">
        <v>2028</v>
      </c>
      <c r="AE220" s="436" t="e">
        <f>VLOOKUP(A220,TradesEquity!$1:$1048576,10,FALSE)</f>
        <v>#N/A</v>
      </c>
      <c r="AF220" s="436" t="e">
        <f t="shared" si="11"/>
        <v>#N/A</v>
      </c>
      <c r="AG220" s="436" t="e">
        <f t="shared" si="12"/>
        <v>#N/A</v>
      </c>
      <c r="AH220" s="436" t="e">
        <f t="shared" si="13"/>
        <v>#N/A</v>
      </c>
      <c r="AI220" s="436" t="e">
        <f>ABS(VLOOKUP(A220,TradesEquity!$1:$1048576,13,FALSE))</f>
        <v>#N/A</v>
      </c>
      <c r="AJ220" s="437">
        <v>0</v>
      </c>
      <c r="AK220" s="437">
        <v>1</v>
      </c>
      <c r="AL220" s="436" t="e">
        <f>VLOOKUP(A220,TradesEquity!$1:$1048576,11,FALSE)</f>
        <v>#N/A</v>
      </c>
      <c r="AM220" s="437">
        <v>1</v>
      </c>
      <c r="AN220" s="436" t="e">
        <f>ABS(VLOOKUP(A220,TradesEquity!$1:$1048576,14,FALSE))</f>
        <v>#N/A</v>
      </c>
      <c r="AO220" s="436" t="e">
        <f>ABS(VLOOKUP(A220,TradesEquity!$1:$1048576,15,FALSE))</f>
        <v>#N/A</v>
      </c>
      <c r="AP220" s="438" t="e">
        <f>ABS(VLOOKUP(A220,TradesEquity!$1:$1048576,16,FALSE))</f>
        <v>#N/A</v>
      </c>
      <c r="AQ220" s="367">
        <v>0</v>
      </c>
      <c r="AR220" s="367">
        <v>0</v>
      </c>
      <c r="AS220" s="367">
        <v>0</v>
      </c>
      <c r="AT220" s="367">
        <v>0</v>
      </c>
      <c r="AU220" s="367">
        <v>0</v>
      </c>
      <c r="AV220" s="438" t="e">
        <f>ABS(VLOOKUP(A220,TradesEquity!$1:$1048576,18,FALSE))</f>
        <v>#N/A</v>
      </c>
      <c r="AW220" s="439">
        <v>0</v>
      </c>
      <c r="AX220" s="440">
        <v>4542</v>
      </c>
      <c r="AY220" s="441" t="s">
        <v>2029</v>
      </c>
      <c r="AZ220" s="442" t="e">
        <f>(VLOOKUP(A220,TradesEquity!$1:$1048576,29,FALSE))</f>
        <v>#N/A</v>
      </c>
      <c r="BA220" s="442" t="e">
        <f>(VLOOKUP(A220,TradesEquity!$1:$1048576,30,FALSE))</f>
        <v>#N/A</v>
      </c>
      <c r="BB220" s="442" t="e">
        <f>(VLOOKUP(A220,TradesEquity!$1:$1048576,31,FALSE))</f>
        <v>#N/A</v>
      </c>
      <c r="BC220" s="442" t="e">
        <f>(VLOOKUP(A220,TradesEquity!$1:$1048576,32,FALSE))</f>
        <v>#N/A</v>
      </c>
      <c r="BI220" s="442" t="e">
        <f>(VLOOKUP(A220,TradesEquity!$1:$1048576,38,FALSE))</f>
        <v>#N/A</v>
      </c>
      <c r="BJ220" s="442" t="e">
        <f>(VLOOKUP(A220,TradesEquity!$1:$1048576,39,FALSE))</f>
        <v>#N/A</v>
      </c>
      <c r="BK220" s="442" t="e">
        <f>(VLOOKUP(A220,TradesEquity!$1:$1048576,40,FALSE))</f>
        <v>#N/A</v>
      </c>
    </row>
    <row r="221" spans="4:63">
      <c r="D221" s="432" t="s">
        <v>2027</v>
      </c>
      <c r="F221" s="433" t="e">
        <f>VLOOKUP(A221,TradesEquity!$1:$1048576,2,FALSE)</f>
        <v>#N/A</v>
      </c>
      <c r="H221" s="433" t="e">
        <f>VLOOKUP(A221,TradesEquity!$1:$1048576,21,FALSE)</f>
        <v>#N/A</v>
      </c>
      <c r="I221" s="434" t="e">
        <f>IF(VLOOKUP(A221,TradesEquity!$1:$1048576,3,FALSE)="BUY","B","S")</f>
        <v>#N/A</v>
      </c>
      <c r="J221" s="434" t="e">
        <f>VLOOKUP(A221,TradesEquity!$1:$1048576,5,FALSE)</f>
        <v>#N/A</v>
      </c>
      <c r="K221" s="432" t="s">
        <v>19</v>
      </c>
      <c r="L221" s="435" t="s">
        <v>2028</v>
      </c>
      <c r="AE221" s="436" t="e">
        <f>VLOOKUP(A221,TradesEquity!$1:$1048576,10,FALSE)</f>
        <v>#N/A</v>
      </c>
      <c r="AF221" s="436" t="e">
        <f t="shared" si="11"/>
        <v>#N/A</v>
      </c>
      <c r="AG221" s="436" t="e">
        <f t="shared" si="12"/>
        <v>#N/A</v>
      </c>
      <c r="AH221" s="436" t="e">
        <f t="shared" si="13"/>
        <v>#N/A</v>
      </c>
      <c r="AI221" s="436" t="e">
        <f>ABS(VLOOKUP(A221,TradesEquity!$1:$1048576,13,FALSE))</f>
        <v>#N/A</v>
      </c>
      <c r="AJ221" s="437">
        <v>0</v>
      </c>
      <c r="AK221" s="437">
        <v>1</v>
      </c>
      <c r="AL221" s="436" t="e">
        <f>VLOOKUP(A221,TradesEquity!$1:$1048576,11,FALSE)</f>
        <v>#N/A</v>
      </c>
      <c r="AM221" s="437">
        <v>1</v>
      </c>
      <c r="AN221" s="436" t="e">
        <f>ABS(VLOOKUP(A221,TradesEquity!$1:$1048576,14,FALSE))</f>
        <v>#N/A</v>
      </c>
      <c r="AO221" s="436" t="e">
        <f>ABS(VLOOKUP(A221,TradesEquity!$1:$1048576,15,FALSE))</f>
        <v>#N/A</v>
      </c>
      <c r="AP221" s="438" t="e">
        <f>ABS(VLOOKUP(A221,TradesEquity!$1:$1048576,16,FALSE))</f>
        <v>#N/A</v>
      </c>
      <c r="AQ221" s="367">
        <v>0</v>
      </c>
      <c r="AR221" s="367">
        <v>0</v>
      </c>
      <c r="AS221" s="367">
        <v>0</v>
      </c>
      <c r="AT221" s="367">
        <v>0</v>
      </c>
      <c r="AU221" s="367">
        <v>0</v>
      </c>
      <c r="AV221" s="438" t="e">
        <f>ABS(VLOOKUP(A221,TradesEquity!$1:$1048576,18,FALSE))</f>
        <v>#N/A</v>
      </c>
      <c r="AW221" s="439">
        <v>0</v>
      </c>
      <c r="AX221" s="440">
        <v>4542</v>
      </c>
      <c r="AY221" s="441" t="s">
        <v>2029</v>
      </c>
      <c r="AZ221" s="442" t="e">
        <f>(VLOOKUP(A221,TradesEquity!$1:$1048576,29,FALSE))</f>
        <v>#N/A</v>
      </c>
      <c r="BA221" s="442" t="e">
        <f>(VLOOKUP(A221,TradesEquity!$1:$1048576,30,FALSE))</f>
        <v>#N/A</v>
      </c>
      <c r="BB221" s="442" t="e">
        <f>(VLOOKUP(A221,TradesEquity!$1:$1048576,31,FALSE))</f>
        <v>#N/A</v>
      </c>
      <c r="BC221" s="442" t="e">
        <f>(VLOOKUP(A221,TradesEquity!$1:$1048576,32,FALSE))</f>
        <v>#N/A</v>
      </c>
      <c r="BI221" s="442" t="e">
        <f>(VLOOKUP(A221,TradesEquity!$1:$1048576,38,FALSE))</f>
        <v>#N/A</v>
      </c>
      <c r="BJ221" s="442" t="e">
        <f>(VLOOKUP(A221,TradesEquity!$1:$1048576,39,FALSE))</f>
        <v>#N/A</v>
      </c>
      <c r="BK221" s="442" t="e">
        <f>(VLOOKUP(A221,TradesEquity!$1:$1048576,40,FALSE))</f>
        <v>#N/A</v>
      </c>
    </row>
    <row r="222" spans="4:63">
      <c r="D222" s="432" t="s">
        <v>2027</v>
      </c>
      <c r="F222" s="433" t="e">
        <f>VLOOKUP(A222,TradesEquity!$1:$1048576,2,FALSE)</f>
        <v>#N/A</v>
      </c>
      <c r="H222" s="433" t="e">
        <f>VLOOKUP(A222,TradesEquity!$1:$1048576,21,FALSE)</f>
        <v>#N/A</v>
      </c>
      <c r="I222" s="434" t="e">
        <f>IF(VLOOKUP(A222,TradesEquity!$1:$1048576,3,FALSE)="BUY","B","S")</f>
        <v>#N/A</v>
      </c>
      <c r="J222" s="434" t="e">
        <f>VLOOKUP(A222,TradesEquity!$1:$1048576,5,FALSE)</f>
        <v>#N/A</v>
      </c>
      <c r="K222" s="432" t="s">
        <v>19</v>
      </c>
      <c r="L222" s="435" t="s">
        <v>2028</v>
      </c>
      <c r="AE222" s="436" t="e">
        <f>VLOOKUP(A222,TradesEquity!$1:$1048576,10,FALSE)</f>
        <v>#N/A</v>
      </c>
      <c r="AF222" s="436" t="e">
        <f t="shared" si="11"/>
        <v>#N/A</v>
      </c>
      <c r="AG222" s="436" t="e">
        <f t="shared" si="12"/>
        <v>#N/A</v>
      </c>
      <c r="AH222" s="436" t="e">
        <f t="shared" si="13"/>
        <v>#N/A</v>
      </c>
      <c r="AI222" s="436" t="e">
        <f>ABS(VLOOKUP(A222,TradesEquity!$1:$1048576,13,FALSE))</f>
        <v>#N/A</v>
      </c>
      <c r="AJ222" s="437">
        <v>0</v>
      </c>
      <c r="AK222" s="437">
        <v>1</v>
      </c>
      <c r="AL222" s="436" t="e">
        <f>VLOOKUP(A222,TradesEquity!$1:$1048576,11,FALSE)</f>
        <v>#N/A</v>
      </c>
      <c r="AM222" s="437">
        <v>1</v>
      </c>
      <c r="AN222" s="436" t="e">
        <f>ABS(VLOOKUP(A222,TradesEquity!$1:$1048576,14,FALSE))</f>
        <v>#N/A</v>
      </c>
      <c r="AO222" s="436" t="e">
        <f>ABS(VLOOKUP(A222,TradesEquity!$1:$1048576,15,FALSE))</f>
        <v>#N/A</v>
      </c>
      <c r="AP222" s="438" t="e">
        <f>ABS(VLOOKUP(A222,TradesEquity!$1:$1048576,16,FALSE))</f>
        <v>#N/A</v>
      </c>
      <c r="AQ222" s="367">
        <v>0</v>
      </c>
      <c r="AR222" s="367">
        <v>0</v>
      </c>
      <c r="AS222" s="367">
        <v>0</v>
      </c>
      <c r="AT222" s="367">
        <v>0</v>
      </c>
      <c r="AU222" s="367">
        <v>0</v>
      </c>
      <c r="AV222" s="438" t="e">
        <f>ABS(VLOOKUP(A222,TradesEquity!$1:$1048576,18,FALSE))</f>
        <v>#N/A</v>
      </c>
      <c r="AW222" s="439">
        <v>0</v>
      </c>
      <c r="AX222" s="440">
        <v>4542</v>
      </c>
      <c r="AY222" s="441" t="s">
        <v>2029</v>
      </c>
      <c r="AZ222" s="442" t="e">
        <f>(VLOOKUP(A222,TradesEquity!$1:$1048576,29,FALSE))</f>
        <v>#N/A</v>
      </c>
      <c r="BA222" s="442" t="e">
        <f>(VLOOKUP(A222,TradesEquity!$1:$1048576,30,FALSE))</f>
        <v>#N/A</v>
      </c>
      <c r="BB222" s="442" t="e">
        <f>(VLOOKUP(A222,TradesEquity!$1:$1048576,31,FALSE))</f>
        <v>#N/A</v>
      </c>
      <c r="BC222" s="442" t="e">
        <f>(VLOOKUP(A222,TradesEquity!$1:$1048576,32,FALSE))</f>
        <v>#N/A</v>
      </c>
      <c r="BI222" s="442" t="e">
        <f>(VLOOKUP(A222,TradesEquity!$1:$1048576,38,FALSE))</f>
        <v>#N/A</v>
      </c>
      <c r="BJ222" s="442" t="e">
        <f>(VLOOKUP(A222,TradesEquity!$1:$1048576,39,FALSE))</f>
        <v>#N/A</v>
      </c>
      <c r="BK222" s="442" t="e">
        <f>(VLOOKUP(A222,TradesEquity!$1:$1048576,40,FALSE))</f>
        <v>#N/A</v>
      </c>
    </row>
    <row r="223" spans="4:63">
      <c r="D223" s="432" t="s">
        <v>2027</v>
      </c>
      <c r="F223" s="433" t="e">
        <f>VLOOKUP(A223,TradesEquity!$1:$1048576,2,FALSE)</f>
        <v>#N/A</v>
      </c>
      <c r="H223" s="433" t="e">
        <f>VLOOKUP(A223,TradesEquity!$1:$1048576,21,FALSE)</f>
        <v>#N/A</v>
      </c>
      <c r="I223" s="434" t="e">
        <f>IF(VLOOKUP(A223,TradesEquity!$1:$1048576,3,FALSE)="BUY","B","S")</f>
        <v>#N/A</v>
      </c>
      <c r="J223" s="434" t="e">
        <f>VLOOKUP(A223,TradesEquity!$1:$1048576,5,FALSE)</f>
        <v>#N/A</v>
      </c>
      <c r="K223" s="432" t="s">
        <v>19</v>
      </c>
      <c r="L223" s="435" t="s">
        <v>2028</v>
      </c>
      <c r="AE223" s="436" t="e">
        <f>VLOOKUP(A223,TradesEquity!$1:$1048576,10,FALSE)</f>
        <v>#N/A</v>
      </c>
      <c r="AF223" s="436" t="e">
        <f t="shared" si="11"/>
        <v>#N/A</v>
      </c>
      <c r="AG223" s="436" t="e">
        <f t="shared" si="12"/>
        <v>#N/A</v>
      </c>
      <c r="AH223" s="436" t="e">
        <f t="shared" si="13"/>
        <v>#N/A</v>
      </c>
      <c r="AI223" s="436" t="e">
        <f>ABS(VLOOKUP(A223,TradesEquity!$1:$1048576,13,FALSE))</f>
        <v>#N/A</v>
      </c>
      <c r="AJ223" s="437">
        <v>0</v>
      </c>
      <c r="AK223" s="437">
        <v>1</v>
      </c>
      <c r="AL223" s="436" t="e">
        <f>VLOOKUP(A223,TradesEquity!$1:$1048576,11,FALSE)</f>
        <v>#N/A</v>
      </c>
      <c r="AM223" s="437">
        <v>1</v>
      </c>
      <c r="AN223" s="436" t="e">
        <f>ABS(VLOOKUP(A223,TradesEquity!$1:$1048576,14,FALSE))</f>
        <v>#N/A</v>
      </c>
      <c r="AO223" s="436" t="e">
        <f>ABS(VLOOKUP(A223,TradesEquity!$1:$1048576,15,FALSE))</f>
        <v>#N/A</v>
      </c>
      <c r="AP223" s="438" t="e">
        <f>ABS(VLOOKUP(A223,TradesEquity!$1:$1048576,16,FALSE))</f>
        <v>#N/A</v>
      </c>
      <c r="AQ223" s="367">
        <v>0</v>
      </c>
      <c r="AR223" s="367">
        <v>0</v>
      </c>
      <c r="AS223" s="367">
        <v>0</v>
      </c>
      <c r="AT223" s="367">
        <v>0</v>
      </c>
      <c r="AU223" s="367">
        <v>0</v>
      </c>
      <c r="AV223" s="438" t="e">
        <f>ABS(VLOOKUP(A223,TradesEquity!$1:$1048576,18,FALSE))</f>
        <v>#N/A</v>
      </c>
      <c r="AW223" s="439">
        <v>0</v>
      </c>
      <c r="AX223" s="440">
        <v>4542</v>
      </c>
      <c r="AY223" s="441" t="s">
        <v>2029</v>
      </c>
      <c r="AZ223" s="442" t="e">
        <f>(VLOOKUP(A223,TradesEquity!$1:$1048576,29,FALSE))</f>
        <v>#N/A</v>
      </c>
      <c r="BA223" s="442" t="e">
        <f>(VLOOKUP(A223,TradesEquity!$1:$1048576,30,FALSE))</f>
        <v>#N/A</v>
      </c>
      <c r="BB223" s="442" t="e">
        <f>(VLOOKUP(A223,TradesEquity!$1:$1048576,31,FALSE))</f>
        <v>#N/A</v>
      </c>
      <c r="BC223" s="442" t="e">
        <f>(VLOOKUP(A223,TradesEquity!$1:$1048576,32,FALSE))</f>
        <v>#N/A</v>
      </c>
      <c r="BI223" s="442" t="e">
        <f>(VLOOKUP(A223,TradesEquity!$1:$1048576,38,FALSE))</f>
        <v>#N/A</v>
      </c>
      <c r="BJ223" s="442" t="e">
        <f>(VLOOKUP(A223,TradesEquity!$1:$1048576,39,FALSE))</f>
        <v>#N/A</v>
      </c>
      <c r="BK223" s="442" t="e">
        <f>(VLOOKUP(A223,TradesEquity!$1:$1048576,40,FALSE))</f>
        <v>#N/A</v>
      </c>
    </row>
    <row r="224" spans="4:63">
      <c r="D224" s="432" t="s">
        <v>2027</v>
      </c>
      <c r="F224" s="433" t="e">
        <f>VLOOKUP(A224,TradesEquity!$1:$1048576,2,FALSE)</f>
        <v>#N/A</v>
      </c>
      <c r="H224" s="433" t="e">
        <f>VLOOKUP(A224,TradesEquity!$1:$1048576,21,FALSE)</f>
        <v>#N/A</v>
      </c>
      <c r="I224" s="434" t="e">
        <f>IF(VLOOKUP(A224,TradesEquity!$1:$1048576,3,FALSE)="BUY","B","S")</f>
        <v>#N/A</v>
      </c>
      <c r="J224" s="434" t="e">
        <f>VLOOKUP(A224,TradesEquity!$1:$1048576,5,FALSE)</f>
        <v>#N/A</v>
      </c>
      <c r="K224" s="432" t="s">
        <v>19</v>
      </c>
      <c r="L224" s="435" t="s">
        <v>2028</v>
      </c>
      <c r="AE224" s="436" t="e">
        <f>VLOOKUP(A224,TradesEquity!$1:$1048576,10,FALSE)</f>
        <v>#N/A</v>
      </c>
      <c r="AF224" s="436" t="e">
        <f t="shared" si="11"/>
        <v>#N/A</v>
      </c>
      <c r="AG224" s="436" t="e">
        <f t="shared" si="12"/>
        <v>#N/A</v>
      </c>
      <c r="AH224" s="436" t="e">
        <f t="shared" si="13"/>
        <v>#N/A</v>
      </c>
      <c r="AI224" s="436" t="e">
        <f>ABS(VLOOKUP(A224,TradesEquity!$1:$1048576,13,FALSE))</f>
        <v>#N/A</v>
      </c>
      <c r="AJ224" s="437">
        <v>0</v>
      </c>
      <c r="AK224" s="437">
        <v>1</v>
      </c>
      <c r="AL224" s="436" t="e">
        <f>VLOOKUP(A224,TradesEquity!$1:$1048576,11,FALSE)</f>
        <v>#N/A</v>
      </c>
      <c r="AM224" s="437">
        <v>1</v>
      </c>
      <c r="AN224" s="436" t="e">
        <f>ABS(VLOOKUP(A224,TradesEquity!$1:$1048576,14,FALSE))</f>
        <v>#N/A</v>
      </c>
      <c r="AO224" s="436" t="e">
        <f>ABS(VLOOKUP(A224,TradesEquity!$1:$1048576,15,FALSE))</f>
        <v>#N/A</v>
      </c>
      <c r="AP224" s="438" t="e">
        <f>ABS(VLOOKUP(A224,TradesEquity!$1:$1048576,16,FALSE))</f>
        <v>#N/A</v>
      </c>
      <c r="AQ224" s="367">
        <v>0</v>
      </c>
      <c r="AR224" s="367">
        <v>0</v>
      </c>
      <c r="AS224" s="367">
        <v>0</v>
      </c>
      <c r="AT224" s="367">
        <v>0</v>
      </c>
      <c r="AU224" s="367">
        <v>0</v>
      </c>
      <c r="AV224" s="438" t="e">
        <f>ABS(VLOOKUP(A224,TradesEquity!$1:$1048576,18,FALSE))</f>
        <v>#N/A</v>
      </c>
      <c r="AW224" s="439">
        <v>0</v>
      </c>
      <c r="AX224" s="440">
        <v>4542</v>
      </c>
      <c r="AY224" s="441" t="s">
        <v>2029</v>
      </c>
      <c r="AZ224" s="442" t="e">
        <f>(VLOOKUP(A224,TradesEquity!$1:$1048576,29,FALSE))</f>
        <v>#N/A</v>
      </c>
      <c r="BA224" s="442" t="e">
        <f>(VLOOKUP(A224,TradesEquity!$1:$1048576,30,FALSE))</f>
        <v>#N/A</v>
      </c>
      <c r="BB224" s="442" t="e">
        <f>(VLOOKUP(A224,TradesEquity!$1:$1048576,31,FALSE))</f>
        <v>#N/A</v>
      </c>
      <c r="BC224" s="442" t="e">
        <f>(VLOOKUP(A224,TradesEquity!$1:$1048576,32,FALSE))</f>
        <v>#N/A</v>
      </c>
      <c r="BI224" s="442" t="e">
        <f>(VLOOKUP(A224,TradesEquity!$1:$1048576,38,FALSE))</f>
        <v>#N/A</v>
      </c>
      <c r="BJ224" s="442" t="e">
        <f>(VLOOKUP(A224,TradesEquity!$1:$1048576,39,FALSE))</f>
        <v>#N/A</v>
      </c>
      <c r="BK224" s="442" t="e">
        <f>(VLOOKUP(A224,TradesEquity!$1:$1048576,40,FALSE))</f>
        <v>#N/A</v>
      </c>
    </row>
    <row r="225" spans="4:63">
      <c r="D225" s="432" t="s">
        <v>2027</v>
      </c>
      <c r="F225" s="433" t="e">
        <f>VLOOKUP(A225,TradesEquity!$1:$1048576,2,FALSE)</f>
        <v>#N/A</v>
      </c>
      <c r="H225" s="433" t="e">
        <f>VLOOKUP(A225,TradesEquity!$1:$1048576,21,FALSE)</f>
        <v>#N/A</v>
      </c>
      <c r="I225" s="434" t="e">
        <f>IF(VLOOKUP(A225,TradesEquity!$1:$1048576,3,FALSE)="BUY","B","S")</f>
        <v>#N/A</v>
      </c>
      <c r="J225" s="434" t="e">
        <f>VLOOKUP(A225,TradesEquity!$1:$1048576,5,FALSE)</f>
        <v>#N/A</v>
      </c>
      <c r="K225" s="432" t="s">
        <v>19</v>
      </c>
      <c r="L225" s="435" t="s">
        <v>2028</v>
      </c>
      <c r="AE225" s="436" t="e">
        <f>VLOOKUP(A225,TradesEquity!$1:$1048576,10,FALSE)</f>
        <v>#N/A</v>
      </c>
      <c r="AF225" s="436" t="e">
        <f t="shared" si="11"/>
        <v>#N/A</v>
      </c>
      <c r="AG225" s="436" t="e">
        <f t="shared" si="12"/>
        <v>#N/A</v>
      </c>
      <c r="AH225" s="436" t="e">
        <f t="shared" si="13"/>
        <v>#N/A</v>
      </c>
      <c r="AI225" s="436" t="e">
        <f>ABS(VLOOKUP(A225,TradesEquity!$1:$1048576,13,FALSE))</f>
        <v>#N/A</v>
      </c>
      <c r="AJ225" s="437">
        <v>0</v>
      </c>
      <c r="AK225" s="437">
        <v>1</v>
      </c>
      <c r="AL225" s="436" t="e">
        <f>VLOOKUP(A225,TradesEquity!$1:$1048576,11,FALSE)</f>
        <v>#N/A</v>
      </c>
      <c r="AM225" s="437">
        <v>1</v>
      </c>
      <c r="AN225" s="436" t="e">
        <f>ABS(VLOOKUP(A225,TradesEquity!$1:$1048576,14,FALSE))</f>
        <v>#N/A</v>
      </c>
      <c r="AO225" s="436" t="e">
        <f>ABS(VLOOKUP(A225,TradesEquity!$1:$1048576,15,FALSE))</f>
        <v>#N/A</v>
      </c>
      <c r="AP225" s="438" t="e">
        <f>ABS(VLOOKUP(A225,TradesEquity!$1:$1048576,16,FALSE))</f>
        <v>#N/A</v>
      </c>
      <c r="AQ225" s="367">
        <v>0</v>
      </c>
      <c r="AR225" s="367">
        <v>0</v>
      </c>
      <c r="AS225" s="367">
        <v>0</v>
      </c>
      <c r="AT225" s="367">
        <v>0</v>
      </c>
      <c r="AU225" s="367">
        <v>0</v>
      </c>
      <c r="AV225" s="438" t="e">
        <f>ABS(VLOOKUP(A225,TradesEquity!$1:$1048576,18,FALSE))</f>
        <v>#N/A</v>
      </c>
      <c r="AW225" s="439">
        <v>0</v>
      </c>
      <c r="AX225" s="440">
        <v>4542</v>
      </c>
      <c r="AY225" s="441" t="s">
        <v>2029</v>
      </c>
      <c r="AZ225" s="442" t="e">
        <f>(VLOOKUP(A225,TradesEquity!$1:$1048576,29,FALSE))</f>
        <v>#N/A</v>
      </c>
      <c r="BA225" s="442" t="e">
        <f>(VLOOKUP(A225,TradesEquity!$1:$1048576,30,FALSE))</f>
        <v>#N/A</v>
      </c>
      <c r="BB225" s="442" t="e">
        <f>(VLOOKUP(A225,TradesEquity!$1:$1048576,31,FALSE))</f>
        <v>#N/A</v>
      </c>
      <c r="BC225" s="442" t="e">
        <f>(VLOOKUP(A225,TradesEquity!$1:$1048576,32,FALSE))</f>
        <v>#N/A</v>
      </c>
      <c r="BI225" s="442" t="e">
        <f>(VLOOKUP(A225,TradesEquity!$1:$1048576,38,FALSE))</f>
        <v>#N/A</v>
      </c>
      <c r="BJ225" s="442" t="e">
        <f>(VLOOKUP(A225,TradesEquity!$1:$1048576,39,FALSE))</f>
        <v>#N/A</v>
      </c>
      <c r="BK225" s="442" t="e">
        <f>(VLOOKUP(A225,TradesEquity!$1:$1048576,40,FALSE))</f>
        <v>#N/A</v>
      </c>
    </row>
    <row r="226" spans="4:63">
      <c r="D226" s="432" t="s">
        <v>2027</v>
      </c>
      <c r="F226" s="433" t="e">
        <f>VLOOKUP(A226,TradesEquity!$1:$1048576,2,FALSE)</f>
        <v>#N/A</v>
      </c>
      <c r="H226" s="433" t="e">
        <f>VLOOKUP(A226,TradesEquity!$1:$1048576,21,FALSE)</f>
        <v>#N/A</v>
      </c>
      <c r="I226" s="434" t="e">
        <f>IF(VLOOKUP(A226,TradesEquity!$1:$1048576,3,FALSE)="BUY","B","S")</f>
        <v>#N/A</v>
      </c>
      <c r="J226" s="434" t="e">
        <f>VLOOKUP(A226,TradesEquity!$1:$1048576,5,FALSE)</f>
        <v>#N/A</v>
      </c>
      <c r="K226" s="432" t="s">
        <v>19</v>
      </c>
      <c r="L226" s="435" t="s">
        <v>2028</v>
      </c>
      <c r="AE226" s="436" t="e">
        <f>VLOOKUP(A226,TradesEquity!$1:$1048576,10,FALSE)</f>
        <v>#N/A</v>
      </c>
      <c r="AF226" s="436" t="e">
        <f t="shared" si="11"/>
        <v>#N/A</v>
      </c>
      <c r="AG226" s="436" t="e">
        <f t="shared" si="12"/>
        <v>#N/A</v>
      </c>
      <c r="AH226" s="436" t="e">
        <f t="shared" si="13"/>
        <v>#N/A</v>
      </c>
      <c r="AI226" s="436" t="e">
        <f>ABS(VLOOKUP(A226,TradesEquity!$1:$1048576,13,FALSE))</f>
        <v>#N/A</v>
      </c>
      <c r="AJ226" s="437">
        <v>0</v>
      </c>
      <c r="AK226" s="437">
        <v>1</v>
      </c>
      <c r="AL226" s="436" t="e">
        <f>VLOOKUP(A226,TradesEquity!$1:$1048576,11,FALSE)</f>
        <v>#N/A</v>
      </c>
      <c r="AM226" s="437">
        <v>1</v>
      </c>
      <c r="AN226" s="436" t="e">
        <f>ABS(VLOOKUP(A226,TradesEquity!$1:$1048576,14,FALSE))</f>
        <v>#N/A</v>
      </c>
      <c r="AO226" s="436" t="e">
        <f>ABS(VLOOKUP(A226,TradesEquity!$1:$1048576,15,FALSE))</f>
        <v>#N/A</v>
      </c>
      <c r="AP226" s="438" t="e">
        <f>ABS(VLOOKUP(A226,TradesEquity!$1:$1048576,16,FALSE))</f>
        <v>#N/A</v>
      </c>
      <c r="AQ226" s="367">
        <v>0</v>
      </c>
      <c r="AR226" s="367">
        <v>0</v>
      </c>
      <c r="AS226" s="367">
        <v>0</v>
      </c>
      <c r="AT226" s="367">
        <v>0</v>
      </c>
      <c r="AU226" s="367">
        <v>0</v>
      </c>
      <c r="AV226" s="438" t="e">
        <f>ABS(VLOOKUP(A226,TradesEquity!$1:$1048576,18,FALSE))</f>
        <v>#N/A</v>
      </c>
      <c r="AW226" s="439">
        <v>0</v>
      </c>
      <c r="AX226" s="440">
        <v>4542</v>
      </c>
      <c r="AY226" s="441" t="s">
        <v>2029</v>
      </c>
      <c r="AZ226" s="442" t="e">
        <f>(VLOOKUP(A226,TradesEquity!$1:$1048576,29,FALSE))</f>
        <v>#N/A</v>
      </c>
      <c r="BA226" s="442" t="e">
        <f>(VLOOKUP(A226,TradesEquity!$1:$1048576,30,FALSE))</f>
        <v>#N/A</v>
      </c>
      <c r="BB226" s="442" t="e">
        <f>(VLOOKUP(A226,TradesEquity!$1:$1048576,31,FALSE))</f>
        <v>#N/A</v>
      </c>
      <c r="BC226" s="442" t="e">
        <f>(VLOOKUP(A226,TradesEquity!$1:$1048576,32,FALSE))</f>
        <v>#N/A</v>
      </c>
      <c r="BI226" s="442" t="e">
        <f>(VLOOKUP(A226,TradesEquity!$1:$1048576,38,FALSE))</f>
        <v>#N/A</v>
      </c>
      <c r="BJ226" s="442" t="e">
        <f>(VLOOKUP(A226,TradesEquity!$1:$1048576,39,FALSE))</f>
        <v>#N/A</v>
      </c>
      <c r="BK226" s="442" t="e">
        <f>(VLOOKUP(A226,TradesEquity!$1:$1048576,40,FALSE))</f>
        <v>#N/A</v>
      </c>
    </row>
    <row r="227" spans="4:63">
      <c r="D227" s="432" t="s">
        <v>2027</v>
      </c>
      <c r="F227" s="433" t="e">
        <f>VLOOKUP(A227,TradesEquity!$1:$1048576,2,FALSE)</f>
        <v>#N/A</v>
      </c>
      <c r="H227" s="433" t="e">
        <f>VLOOKUP(A227,TradesEquity!$1:$1048576,21,FALSE)</f>
        <v>#N/A</v>
      </c>
      <c r="I227" s="434" t="e">
        <f>IF(VLOOKUP(A227,TradesEquity!$1:$1048576,3,FALSE)="BUY","B","S")</f>
        <v>#N/A</v>
      </c>
      <c r="J227" s="434" t="e">
        <f>VLOOKUP(A227,TradesEquity!$1:$1048576,5,FALSE)</f>
        <v>#N/A</v>
      </c>
      <c r="K227" s="432" t="s">
        <v>19</v>
      </c>
      <c r="L227" s="435" t="s">
        <v>2028</v>
      </c>
      <c r="AE227" s="436" t="e">
        <f>VLOOKUP(A227,TradesEquity!$1:$1048576,10,FALSE)</f>
        <v>#N/A</v>
      </c>
      <c r="AF227" s="436" t="e">
        <f t="shared" si="11"/>
        <v>#N/A</v>
      </c>
      <c r="AG227" s="436" t="e">
        <f t="shared" si="12"/>
        <v>#N/A</v>
      </c>
      <c r="AH227" s="436" t="e">
        <f t="shared" si="13"/>
        <v>#N/A</v>
      </c>
      <c r="AI227" s="436" t="e">
        <f>ABS(VLOOKUP(A227,TradesEquity!$1:$1048576,13,FALSE))</f>
        <v>#N/A</v>
      </c>
      <c r="AJ227" s="437">
        <v>0</v>
      </c>
      <c r="AK227" s="437">
        <v>1</v>
      </c>
      <c r="AL227" s="436" t="e">
        <f>VLOOKUP(A227,TradesEquity!$1:$1048576,11,FALSE)</f>
        <v>#N/A</v>
      </c>
      <c r="AM227" s="437">
        <v>1</v>
      </c>
      <c r="AN227" s="436" t="e">
        <f>ABS(VLOOKUP(A227,TradesEquity!$1:$1048576,14,FALSE))</f>
        <v>#N/A</v>
      </c>
      <c r="AO227" s="436" t="e">
        <f>ABS(VLOOKUP(A227,TradesEquity!$1:$1048576,15,FALSE))</f>
        <v>#N/A</v>
      </c>
      <c r="AP227" s="438" t="e">
        <f>ABS(VLOOKUP(A227,TradesEquity!$1:$1048576,16,FALSE))</f>
        <v>#N/A</v>
      </c>
      <c r="AQ227" s="367">
        <v>0</v>
      </c>
      <c r="AR227" s="367">
        <v>0</v>
      </c>
      <c r="AS227" s="367">
        <v>0</v>
      </c>
      <c r="AT227" s="367">
        <v>0</v>
      </c>
      <c r="AU227" s="367">
        <v>0</v>
      </c>
      <c r="AV227" s="438" t="e">
        <f>ABS(VLOOKUP(A227,TradesEquity!$1:$1048576,18,FALSE))</f>
        <v>#N/A</v>
      </c>
      <c r="AW227" s="439">
        <v>0</v>
      </c>
      <c r="AX227" s="440">
        <v>4542</v>
      </c>
      <c r="AY227" s="441" t="s">
        <v>2029</v>
      </c>
      <c r="AZ227" s="442" t="e">
        <f>(VLOOKUP(A227,TradesEquity!$1:$1048576,29,FALSE))</f>
        <v>#N/A</v>
      </c>
      <c r="BA227" s="442" t="e">
        <f>(VLOOKUP(A227,TradesEquity!$1:$1048576,30,FALSE))</f>
        <v>#N/A</v>
      </c>
      <c r="BB227" s="442" t="e">
        <f>(VLOOKUP(A227,TradesEquity!$1:$1048576,31,FALSE))</f>
        <v>#N/A</v>
      </c>
      <c r="BC227" s="442" t="e">
        <f>(VLOOKUP(A227,TradesEquity!$1:$1048576,32,FALSE))</f>
        <v>#N/A</v>
      </c>
      <c r="BI227" s="442" t="e">
        <f>(VLOOKUP(A227,TradesEquity!$1:$1048576,38,FALSE))</f>
        <v>#N/A</v>
      </c>
      <c r="BJ227" s="442" t="e">
        <f>(VLOOKUP(A227,TradesEquity!$1:$1048576,39,FALSE))</f>
        <v>#N/A</v>
      </c>
      <c r="BK227" s="442" t="e">
        <f>(VLOOKUP(A227,TradesEquity!$1:$1048576,40,FALSE))</f>
        <v>#N/A</v>
      </c>
    </row>
    <row r="228" spans="4:63">
      <c r="D228" s="432" t="s">
        <v>2027</v>
      </c>
      <c r="F228" s="433" t="e">
        <f>VLOOKUP(A228,TradesEquity!$1:$1048576,2,FALSE)</f>
        <v>#N/A</v>
      </c>
      <c r="H228" s="433" t="e">
        <f>VLOOKUP(A228,TradesEquity!$1:$1048576,21,FALSE)</f>
        <v>#N/A</v>
      </c>
      <c r="I228" s="434" t="e">
        <f>IF(VLOOKUP(A228,TradesEquity!$1:$1048576,3,FALSE)="BUY","B","S")</f>
        <v>#N/A</v>
      </c>
      <c r="J228" s="434" t="e">
        <f>VLOOKUP(A228,TradesEquity!$1:$1048576,5,FALSE)</f>
        <v>#N/A</v>
      </c>
      <c r="K228" s="432" t="s">
        <v>19</v>
      </c>
      <c r="L228" s="435" t="s">
        <v>2028</v>
      </c>
      <c r="AE228" s="436" t="e">
        <f>VLOOKUP(A228,TradesEquity!$1:$1048576,10,FALSE)</f>
        <v>#N/A</v>
      </c>
      <c r="AF228" s="436" t="e">
        <f t="shared" si="11"/>
        <v>#N/A</v>
      </c>
      <c r="AG228" s="436" t="e">
        <f t="shared" si="12"/>
        <v>#N/A</v>
      </c>
      <c r="AH228" s="436" t="e">
        <f t="shared" si="13"/>
        <v>#N/A</v>
      </c>
      <c r="AI228" s="436" t="e">
        <f>ABS(VLOOKUP(A228,TradesEquity!$1:$1048576,13,FALSE))</f>
        <v>#N/A</v>
      </c>
      <c r="AJ228" s="437">
        <v>0</v>
      </c>
      <c r="AK228" s="437">
        <v>1</v>
      </c>
      <c r="AL228" s="436" t="e">
        <f>VLOOKUP(A228,TradesEquity!$1:$1048576,11,FALSE)</f>
        <v>#N/A</v>
      </c>
      <c r="AM228" s="437">
        <v>1</v>
      </c>
      <c r="AN228" s="436" t="e">
        <f>ABS(VLOOKUP(A228,TradesEquity!$1:$1048576,14,FALSE))</f>
        <v>#N/A</v>
      </c>
      <c r="AO228" s="436" t="e">
        <f>ABS(VLOOKUP(A228,TradesEquity!$1:$1048576,15,FALSE))</f>
        <v>#N/A</v>
      </c>
      <c r="AP228" s="438" t="e">
        <f>ABS(VLOOKUP(A228,TradesEquity!$1:$1048576,16,FALSE))</f>
        <v>#N/A</v>
      </c>
      <c r="AQ228" s="367">
        <v>0</v>
      </c>
      <c r="AR228" s="367">
        <v>0</v>
      </c>
      <c r="AS228" s="367">
        <v>0</v>
      </c>
      <c r="AT228" s="367">
        <v>0</v>
      </c>
      <c r="AU228" s="367">
        <v>0</v>
      </c>
      <c r="AV228" s="438" t="e">
        <f>ABS(VLOOKUP(A228,TradesEquity!$1:$1048576,18,FALSE))</f>
        <v>#N/A</v>
      </c>
      <c r="AW228" s="439">
        <v>0</v>
      </c>
      <c r="AX228" s="440">
        <v>4542</v>
      </c>
      <c r="AY228" s="441" t="s">
        <v>2029</v>
      </c>
      <c r="AZ228" s="442" t="e">
        <f>(VLOOKUP(A228,TradesEquity!$1:$1048576,29,FALSE))</f>
        <v>#N/A</v>
      </c>
      <c r="BA228" s="442" t="e">
        <f>(VLOOKUP(A228,TradesEquity!$1:$1048576,30,FALSE))</f>
        <v>#N/A</v>
      </c>
      <c r="BB228" s="442" t="e">
        <f>(VLOOKUP(A228,TradesEquity!$1:$1048576,31,FALSE))</f>
        <v>#N/A</v>
      </c>
      <c r="BC228" s="442" t="e">
        <f>(VLOOKUP(A228,TradesEquity!$1:$1048576,32,FALSE))</f>
        <v>#N/A</v>
      </c>
      <c r="BI228" s="442" t="e">
        <f>(VLOOKUP(A228,TradesEquity!$1:$1048576,38,FALSE))</f>
        <v>#N/A</v>
      </c>
      <c r="BJ228" s="442" t="e">
        <f>(VLOOKUP(A228,TradesEquity!$1:$1048576,39,FALSE))</f>
        <v>#N/A</v>
      </c>
      <c r="BK228" s="442" t="e">
        <f>(VLOOKUP(A228,TradesEquity!$1:$1048576,40,FALSE))</f>
        <v>#N/A</v>
      </c>
    </row>
    <row r="229" spans="4:63">
      <c r="D229" s="432" t="s">
        <v>2027</v>
      </c>
      <c r="F229" s="433" t="e">
        <f>VLOOKUP(A229,TradesEquity!$1:$1048576,2,FALSE)</f>
        <v>#N/A</v>
      </c>
      <c r="H229" s="433" t="e">
        <f>VLOOKUP(A229,TradesEquity!$1:$1048576,21,FALSE)</f>
        <v>#N/A</v>
      </c>
      <c r="I229" s="434" t="e">
        <f>IF(VLOOKUP(A229,TradesEquity!$1:$1048576,3,FALSE)="BUY","B","S")</f>
        <v>#N/A</v>
      </c>
      <c r="J229" s="434" t="e">
        <f>VLOOKUP(A229,TradesEquity!$1:$1048576,5,FALSE)</f>
        <v>#N/A</v>
      </c>
      <c r="K229" s="432" t="s">
        <v>19</v>
      </c>
      <c r="L229" s="435" t="s">
        <v>2028</v>
      </c>
      <c r="AE229" s="436" t="e">
        <f>VLOOKUP(A229,TradesEquity!$1:$1048576,10,FALSE)</f>
        <v>#N/A</v>
      </c>
      <c r="AF229" s="436" t="e">
        <f t="shared" si="11"/>
        <v>#N/A</v>
      </c>
      <c r="AG229" s="436" t="e">
        <f t="shared" si="12"/>
        <v>#N/A</v>
      </c>
      <c r="AH229" s="436" t="e">
        <f t="shared" si="13"/>
        <v>#N/A</v>
      </c>
      <c r="AI229" s="436" t="e">
        <f>ABS(VLOOKUP(A229,TradesEquity!$1:$1048576,13,FALSE))</f>
        <v>#N/A</v>
      </c>
      <c r="AJ229" s="437">
        <v>0</v>
      </c>
      <c r="AK229" s="437">
        <v>1</v>
      </c>
      <c r="AL229" s="436" t="e">
        <f>VLOOKUP(A229,TradesEquity!$1:$1048576,11,FALSE)</f>
        <v>#N/A</v>
      </c>
      <c r="AM229" s="437">
        <v>1</v>
      </c>
      <c r="AN229" s="436" t="e">
        <f>ABS(VLOOKUP(A229,TradesEquity!$1:$1048576,14,FALSE))</f>
        <v>#N/A</v>
      </c>
      <c r="AO229" s="436" t="e">
        <f>ABS(VLOOKUP(A229,TradesEquity!$1:$1048576,15,FALSE))</f>
        <v>#N/A</v>
      </c>
      <c r="AP229" s="438" t="e">
        <f>ABS(VLOOKUP(A229,TradesEquity!$1:$1048576,16,FALSE))</f>
        <v>#N/A</v>
      </c>
      <c r="AQ229" s="367">
        <v>0</v>
      </c>
      <c r="AR229" s="367">
        <v>0</v>
      </c>
      <c r="AS229" s="367">
        <v>0</v>
      </c>
      <c r="AT229" s="367">
        <v>0</v>
      </c>
      <c r="AU229" s="367">
        <v>0</v>
      </c>
      <c r="AV229" s="438" t="e">
        <f>ABS(VLOOKUP(A229,TradesEquity!$1:$1048576,18,FALSE))</f>
        <v>#N/A</v>
      </c>
      <c r="AW229" s="439">
        <v>0</v>
      </c>
      <c r="AX229" s="440">
        <v>4542</v>
      </c>
      <c r="AY229" s="441" t="s">
        <v>2029</v>
      </c>
      <c r="AZ229" s="442" t="e">
        <f>(VLOOKUP(A229,TradesEquity!$1:$1048576,29,FALSE))</f>
        <v>#N/A</v>
      </c>
      <c r="BA229" s="442" t="e">
        <f>(VLOOKUP(A229,TradesEquity!$1:$1048576,30,FALSE))</f>
        <v>#N/A</v>
      </c>
      <c r="BB229" s="442" t="e">
        <f>(VLOOKUP(A229,TradesEquity!$1:$1048576,31,FALSE))</f>
        <v>#N/A</v>
      </c>
      <c r="BC229" s="442" t="e">
        <f>(VLOOKUP(A229,TradesEquity!$1:$1048576,32,FALSE))</f>
        <v>#N/A</v>
      </c>
      <c r="BI229" s="442" t="e">
        <f>(VLOOKUP(A229,TradesEquity!$1:$1048576,38,FALSE))</f>
        <v>#N/A</v>
      </c>
      <c r="BJ229" s="442" t="e">
        <f>(VLOOKUP(A229,TradesEquity!$1:$1048576,39,FALSE))</f>
        <v>#N/A</v>
      </c>
      <c r="BK229" s="442" t="e">
        <f>(VLOOKUP(A229,TradesEquity!$1:$1048576,40,FALSE))</f>
        <v>#N/A</v>
      </c>
    </row>
    <row r="230" spans="4:63">
      <c r="D230" s="432" t="s">
        <v>2027</v>
      </c>
      <c r="F230" s="433" t="e">
        <f>VLOOKUP(A230,TradesEquity!$1:$1048576,2,FALSE)</f>
        <v>#N/A</v>
      </c>
      <c r="H230" s="433" t="e">
        <f>VLOOKUP(A230,TradesEquity!$1:$1048576,21,FALSE)</f>
        <v>#N/A</v>
      </c>
      <c r="I230" s="434" t="e">
        <f>IF(VLOOKUP(A230,TradesEquity!$1:$1048576,3,FALSE)="BUY","B","S")</f>
        <v>#N/A</v>
      </c>
      <c r="J230" s="434" t="e">
        <f>VLOOKUP(A230,TradesEquity!$1:$1048576,5,FALSE)</f>
        <v>#N/A</v>
      </c>
      <c r="K230" s="432" t="s">
        <v>19</v>
      </c>
      <c r="L230" s="435" t="s">
        <v>2028</v>
      </c>
      <c r="AE230" s="436" t="e">
        <f>VLOOKUP(A230,TradesEquity!$1:$1048576,10,FALSE)</f>
        <v>#N/A</v>
      </c>
      <c r="AF230" s="436" t="e">
        <f t="shared" si="11"/>
        <v>#N/A</v>
      </c>
      <c r="AG230" s="436" t="e">
        <f t="shared" si="12"/>
        <v>#N/A</v>
      </c>
      <c r="AH230" s="436" t="e">
        <f t="shared" si="13"/>
        <v>#N/A</v>
      </c>
      <c r="AI230" s="436" t="e">
        <f>ABS(VLOOKUP(A230,TradesEquity!$1:$1048576,13,FALSE))</f>
        <v>#N/A</v>
      </c>
      <c r="AJ230" s="437">
        <v>0</v>
      </c>
      <c r="AK230" s="437">
        <v>1</v>
      </c>
      <c r="AL230" s="436" t="e">
        <f>VLOOKUP(A230,TradesEquity!$1:$1048576,11,FALSE)</f>
        <v>#N/A</v>
      </c>
      <c r="AM230" s="437">
        <v>1</v>
      </c>
      <c r="AN230" s="436" t="e">
        <f>ABS(VLOOKUP(A230,TradesEquity!$1:$1048576,14,FALSE))</f>
        <v>#N/A</v>
      </c>
      <c r="AO230" s="436" t="e">
        <f>ABS(VLOOKUP(A230,TradesEquity!$1:$1048576,15,FALSE))</f>
        <v>#N/A</v>
      </c>
      <c r="AP230" s="438" t="e">
        <f>ABS(VLOOKUP(A230,TradesEquity!$1:$1048576,16,FALSE))</f>
        <v>#N/A</v>
      </c>
      <c r="AQ230" s="367">
        <v>0</v>
      </c>
      <c r="AR230" s="367">
        <v>0</v>
      </c>
      <c r="AS230" s="367">
        <v>0</v>
      </c>
      <c r="AT230" s="367">
        <v>0</v>
      </c>
      <c r="AU230" s="367">
        <v>0</v>
      </c>
      <c r="AV230" s="438" t="e">
        <f>ABS(VLOOKUP(A230,TradesEquity!$1:$1048576,18,FALSE))</f>
        <v>#N/A</v>
      </c>
      <c r="AW230" s="439">
        <v>0</v>
      </c>
      <c r="AX230" s="440">
        <v>4542</v>
      </c>
      <c r="AY230" s="441" t="s">
        <v>2029</v>
      </c>
      <c r="AZ230" s="442" t="e">
        <f>(VLOOKUP(A230,TradesEquity!$1:$1048576,29,FALSE))</f>
        <v>#N/A</v>
      </c>
      <c r="BA230" s="442" t="e">
        <f>(VLOOKUP(A230,TradesEquity!$1:$1048576,30,FALSE))</f>
        <v>#N/A</v>
      </c>
      <c r="BB230" s="442" t="e">
        <f>(VLOOKUP(A230,TradesEquity!$1:$1048576,31,FALSE))</f>
        <v>#N/A</v>
      </c>
      <c r="BC230" s="442" t="e">
        <f>(VLOOKUP(A230,TradesEquity!$1:$1048576,32,FALSE))</f>
        <v>#N/A</v>
      </c>
      <c r="BI230" s="442" t="e">
        <f>(VLOOKUP(A230,TradesEquity!$1:$1048576,38,FALSE))</f>
        <v>#N/A</v>
      </c>
      <c r="BJ230" s="442" t="e">
        <f>(VLOOKUP(A230,TradesEquity!$1:$1048576,39,FALSE))</f>
        <v>#N/A</v>
      </c>
      <c r="BK230" s="442" t="e">
        <f>(VLOOKUP(A230,TradesEquity!$1:$1048576,40,FALSE))</f>
        <v>#N/A</v>
      </c>
    </row>
    <row r="231" spans="4:63">
      <c r="D231" s="432" t="s">
        <v>2027</v>
      </c>
      <c r="F231" s="433" t="e">
        <f>VLOOKUP(A231,TradesEquity!$1:$1048576,2,FALSE)</f>
        <v>#N/A</v>
      </c>
      <c r="H231" s="433" t="e">
        <f>VLOOKUP(A231,TradesEquity!$1:$1048576,21,FALSE)</f>
        <v>#N/A</v>
      </c>
      <c r="I231" s="434" t="e">
        <f>IF(VLOOKUP(A231,TradesEquity!$1:$1048576,3,FALSE)="BUY","B","S")</f>
        <v>#N/A</v>
      </c>
      <c r="J231" s="434" t="e">
        <f>VLOOKUP(A231,TradesEquity!$1:$1048576,5,FALSE)</f>
        <v>#N/A</v>
      </c>
      <c r="K231" s="432" t="s">
        <v>19</v>
      </c>
      <c r="L231" s="435" t="s">
        <v>2028</v>
      </c>
      <c r="AE231" s="436" t="e">
        <f>VLOOKUP(A231,TradesEquity!$1:$1048576,10,FALSE)</f>
        <v>#N/A</v>
      </c>
      <c r="AF231" s="436" t="e">
        <f t="shared" si="11"/>
        <v>#N/A</v>
      </c>
      <c r="AG231" s="436" t="e">
        <f t="shared" si="12"/>
        <v>#N/A</v>
      </c>
      <c r="AH231" s="436" t="e">
        <f t="shared" si="13"/>
        <v>#N/A</v>
      </c>
      <c r="AI231" s="436" t="e">
        <f>ABS(VLOOKUP(A231,TradesEquity!$1:$1048576,13,FALSE))</f>
        <v>#N/A</v>
      </c>
      <c r="AJ231" s="437">
        <v>0</v>
      </c>
      <c r="AK231" s="437">
        <v>1</v>
      </c>
      <c r="AL231" s="436" t="e">
        <f>VLOOKUP(A231,TradesEquity!$1:$1048576,11,FALSE)</f>
        <v>#N/A</v>
      </c>
      <c r="AM231" s="437">
        <v>1</v>
      </c>
      <c r="AN231" s="436" t="e">
        <f>ABS(VLOOKUP(A231,TradesEquity!$1:$1048576,14,FALSE))</f>
        <v>#N/A</v>
      </c>
      <c r="AO231" s="436" t="e">
        <f>ABS(VLOOKUP(A231,TradesEquity!$1:$1048576,15,FALSE))</f>
        <v>#N/A</v>
      </c>
      <c r="AP231" s="438" t="e">
        <f>ABS(VLOOKUP(A231,TradesEquity!$1:$1048576,16,FALSE))</f>
        <v>#N/A</v>
      </c>
      <c r="AQ231" s="367">
        <v>0</v>
      </c>
      <c r="AR231" s="367">
        <v>0</v>
      </c>
      <c r="AS231" s="367">
        <v>0</v>
      </c>
      <c r="AT231" s="367">
        <v>0</v>
      </c>
      <c r="AU231" s="367">
        <v>0</v>
      </c>
      <c r="AV231" s="438" t="e">
        <f>ABS(VLOOKUP(A231,TradesEquity!$1:$1048576,18,FALSE))</f>
        <v>#N/A</v>
      </c>
      <c r="AW231" s="439">
        <v>0</v>
      </c>
      <c r="AX231" s="440">
        <v>4542</v>
      </c>
      <c r="AY231" s="441" t="s">
        <v>2029</v>
      </c>
      <c r="AZ231" s="442" t="e">
        <f>(VLOOKUP(A231,TradesEquity!$1:$1048576,29,FALSE))</f>
        <v>#N/A</v>
      </c>
      <c r="BA231" s="442" t="e">
        <f>(VLOOKUP(A231,TradesEquity!$1:$1048576,30,FALSE))</f>
        <v>#N/A</v>
      </c>
      <c r="BB231" s="442" t="e">
        <f>(VLOOKUP(A231,TradesEquity!$1:$1048576,31,FALSE))</f>
        <v>#N/A</v>
      </c>
      <c r="BC231" s="442" t="e">
        <f>(VLOOKUP(A231,TradesEquity!$1:$1048576,32,FALSE))</f>
        <v>#N/A</v>
      </c>
      <c r="BI231" s="442" t="e">
        <f>(VLOOKUP(A231,TradesEquity!$1:$1048576,38,FALSE))</f>
        <v>#N/A</v>
      </c>
      <c r="BJ231" s="442" t="e">
        <f>(VLOOKUP(A231,TradesEquity!$1:$1048576,39,FALSE))</f>
        <v>#N/A</v>
      </c>
      <c r="BK231" s="442" t="e">
        <f>(VLOOKUP(A231,TradesEquity!$1:$1048576,40,FALSE))</f>
        <v>#N/A</v>
      </c>
    </row>
    <row r="232" spans="4:63">
      <c r="D232" s="432" t="s">
        <v>2027</v>
      </c>
      <c r="F232" s="433" t="e">
        <f>VLOOKUP(A232,TradesEquity!$1:$1048576,2,FALSE)</f>
        <v>#N/A</v>
      </c>
      <c r="H232" s="433" t="e">
        <f>VLOOKUP(A232,TradesEquity!$1:$1048576,21,FALSE)</f>
        <v>#N/A</v>
      </c>
      <c r="I232" s="434" t="e">
        <f>IF(VLOOKUP(A232,TradesEquity!$1:$1048576,3,FALSE)="BUY","B","S")</f>
        <v>#N/A</v>
      </c>
      <c r="J232" s="434" t="e">
        <f>VLOOKUP(A232,TradesEquity!$1:$1048576,5,FALSE)</f>
        <v>#N/A</v>
      </c>
      <c r="K232" s="432" t="s">
        <v>19</v>
      </c>
      <c r="L232" s="435" t="s">
        <v>2028</v>
      </c>
      <c r="AE232" s="436" t="e">
        <f>VLOOKUP(A232,TradesEquity!$1:$1048576,10,FALSE)</f>
        <v>#N/A</v>
      </c>
      <c r="AF232" s="436" t="e">
        <f t="shared" si="11"/>
        <v>#N/A</v>
      </c>
      <c r="AG232" s="436" t="e">
        <f t="shared" si="12"/>
        <v>#N/A</v>
      </c>
      <c r="AH232" s="436" t="e">
        <f t="shared" si="13"/>
        <v>#N/A</v>
      </c>
      <c r="AI232" s="436" t="e">
        <f>ABS(VLOOKUP(A232,TradesEquity!$1:$1048576,13,FALSE))</f>
        <v>#N/A</v>
      </c>
      <c r="AJ232" s="437">
        <v>0</v>
      </c>
      <c r="AK232" s="437">
        <v>1</v>
      </c>
      <c r="AL232" s="436" t="e">
        <f>VLOOKUP(A232,TradesEquity!$1:$1048576,11,FALSE)</f>
        <v>#N/A</v>
      </c>
      <c r="AM232" s="437">
        <v>1</v>
      </c>
      <c r="AN232" s="436" t="e">
        <f>ABS(VLOOKUP(A232,TradesEquity!$1:$1048576,14,FALSE))</f>
        <v>#N/A</v>
      </c>
      <c r="AO232" s="436" t="e">
        <f>ABS(VLOOKUP(A232,TradesEquity!$1:$1048576,15,FALSE))</f>
        <v>#N/A</v>
      </c>
      <c r="AP232" s="438" t="e">
        <f>ABS(VLOOKUP(A232,TradesEquity!$1:$1048576,16,FALSE))</f>
        <v>#N/A</v>
      </c>
      <c r="AQ232" s="367">
        <v>0</v>
      </c>
      <c r="AR232" s="367">
        <v>0</v>
      </c>
      <c r="AS232" s="367">
        <v>0</v>
      </c>
      <c r="AT232" s="367">
        <v>0</v>
      </c>
      <c r="AU232" s="367">
        <v>0</v>
      </c>
      <c r="AV232" s="438" t="e">
        <f>ABS(VLOOKUP(A232,TradesEquity!$1:$1048576,18,FALSE))</f>
        <v>#N/A</v>
      </c>
      <c r="AW232" s="439">
        <v>0</v>
      </c>
      <c r="AX232" s="440">
        <v>4542</v>
      </c>
      <c r="AY232" s="441" t="s">
        <v>2029</v>
      </c>
      <c r="AZ232" s="442" t="e">
        <f>(VLOOKUP(A232,TradesEquity!$1:$1048576,29,FALSE))</f>
        <v>#N/A</v>
      </c>
      <c r="BA232" s="442" t="e">
        <f>(VLOOKUP(A232,TradesEquity!$1:$1048576,30,FALSE))</f>
        <v>#N/A</v>
      </c>
      <c r="BB232" s="442" t="e">
        <f>(VLOOKUP(A232,TradesEquity!$1:$1048576,31,FALSE))</f>
        <v>#N/A</v>
      </c>
      <c r="BC232" s="442" t="e">
        <f>(VLOOKUP(A232,TradesEquity!$1:$1048576,32,FALSE))</f>
        <v>#N/A</v>
      </c>
      <c r="BI232" s="442" t="e">
        <f>(VLOOKUP(A232,TradesEquity!$1:$1048576,38,FALSE))</f>
        <v>#N/A</v>
      </c>
      <c r="BJ232" s="442" t="e">
        <f>(VLOOKUP(A232,TradesEquity!$1:$1048576,39,FALSE))</f>
        <v>#N/A</v>
      </c>
      <c r="BK232" s="442" t="e">
        <f>(VLOOKUP(A232,TradesEquity!$1:$1048576,40,FALSE))</f>
        <v>#N/A</v>
      </c>
    </row>
    <row r="233" spans="4:63">
      <c r="D233" s="432" t="s">
        <v>2027</v>
      </c>
      <c r="F233" s="433" t="e">
        <f>VLOOKUP(A233,TradesEquity!$1:$1048576,2,FALSE)</f>
        <v>#N/A</v>
      </c>
      <c r="H233" s="433" t="e">
        <f>VLOOKUP(A233,TradesEquity!$1:$1048576,21,FALSE)</f>
        <v>#N/A</v>
      </c>
      <c r="I233" s="434" t="e">
        <f>IF(VLOOKUP(A233,TradesEquity!$1:$1048576,3,FALSE)="BUY","B","S")</f>
        <v>#N/A</v>
      </c>
      <c r="J233" s="434" t="e">
        <f>VLOOKUP(A233,TradesEquity!$1:$1048576,5,FALSE)</f>
        <v>#N/A</v>
      </c>
      <c r="K233" s="432" t="s">
        <v>19</v>
      </c>
      <c r="L233" s="435" t="s">
        <v>2028</v>
      </c>
      <c r="AE233" s="436" t="e">
        <f>VLOOKUP(A233,TradesEquity!$1:$1048576,10,FALSE)</f>
        <v>#N/A</v>
      </c>
      <c r="AF233" s="436" t="e">
        <f t="shared" ref="AF233:AF296" si="14">AE233</f>
        <v>#N/A</v>
      </c>
      <c r="AG233" s="436" t="e">
        <f t="shared" ref="AG233:AG296" si="15">AF233</f>
        <v>#N/A</v>
      </c>
      <c r="AH233" s="436" t="e">
        <f t="shared" ref="AH233:AH296" si="16">AG233</f>
        <v>#N/A</v>
      </c>
      <c r="AI233" s="436" t="e">
        <f>ABS(VLOOKUP(A233,TradesEquity!$1:$1048576,13,FALSE))</f>
        <v>#N/A</v>
      </c>
      <c r="AJ233" s="437">
        <v>0</v>
      </c>
      <c r="AK233" s="437">
        <v>1</v>
      </c>
      <c r="AL233" s="436" t="e">
        <f>VLOOKUP(A233,TradesEquity!$1:$1048576,11,FALSE)</f>
        <v>#N/A</v>
      </c>
      <c r="AM233" s="437">
        <v>1</v>
      </c>
      <c r="AN233" s="436" t="e">
        <f>ABS(VLOOKUP(A233,TradesEquity!$1:$1048576,14,FALSE))</f>
        <v>#N/A</v>
      </c>
      <c r="AO233" s="436" t="e">
        <f>ABS(VLOOKUP(A233,TradesEquity!$1:$1048576,15,FALSE))</f>
        <v>#N/A</v>
      </c>
      <c r="AP233" s="438" t="e">
        <f>ABS(VLOOKUP(A233,TradesEquity!$1:$1048576,16,FALSE))</f>
        <v>#N/A</v>
      </c>
      <c r="AQ233" s="367">
        <v>0</v>
      </c>
      <c r="AR233" s="367">
        <v>0</v>
      </c>
      <c r="AS233" s="367">
        <v>0</v>
      </c>
      <c r="AT233" s="367">
        <v>0</v>
      </c>
      <c r="AU233" s="367">
        <v>0</v>
      </c>
      <c r="AV233" s="438" t="e">
        <f>ABS(VLOOKUP(A233,TradesEquity!$1:$1048576,18,FALSE))</f>
        <v>#N/A</v>
      </c>
      <c r="AW233" s="439">
        <v>0</v>
      </c>
      <c r="AX233" s="440">
        <v>4542</v>
      </c>
      <c r="AY233" s="441" t="s">
        <v>2029</v>
      </c>
      <c r="AZ233" s="442" t="e">
        <f>(VLOOKUP(A233,TradesEquity!$1:$1048576,29,FALSE))</f>
        <v>#N/A</v>
      </c>
      <c r="BA233" s="442" t="e">
        <f>(VLOOKUP(A233,TradesEquity!$1:$1048576,30,FALSE))</f>
        <v>#N/A</v>
      </c>
      <c r="BB233" s="442" t="e">
        <f>(VLOOKUP(A233,TradesEquity!$1:$1048576,31,FALSE))</f>
        <v>#N/A</v>
      </c>
      <c r="BC233" s="442" t="e">
        <f>(VLOOKUP(A233,TradesEquity!$1:$1048576,32,FALSE))</f>
        <v>#N/A</v>
      </c>
      <c r="BI233" s="442" t="e">
        <f>(VLOOKUP(A233,TradesEquity!$1:$1048576,38,FALSE))</f>
        <v>#N/A</v>
      </c>
      <c r="BJ233" s="442" t="e">
        <f>(VLOOKUP(A233,TradesEquity!$1:$1048576,39,FALSE))</f>
        <v>#N/A</v>
      </c>
      <c r="BK233" s="442" t="e">
        <f>(VLOOKUP(A233,TradesEquity!$1:$1048576,40,FALSE))</f>
        <v>#N/A</v>
      </c>
    </row>
    <row r="234" spans="4:63">
      <c r="D234" s="432" t="s">
        <v>2027</v>
      </c>
      <c r="F234" s="433" t="e">
        <f>VLOOKUP(A234,TradesEquity!$1:$1048576,2,FALSE)</f>
        <v>#N/A</v>
      </c>
      <c r="H234" s="433" t="e">
        <f>VLOOKUP(A234,TradesEquity!$1:$1048576,21,FALSE)</f>
        <v>#N/A</v>
      </c>
      <c r="I234" s="434" t="e">
        <f>IF(VLOOKUP(A234,TradesEquity!$1:$1048576,3,FALSE)="BUY","B","S")</f>
        <v>#N/A</v>
      </c>
      <c r="J234" s="434" t="e">
        <f>VLOOKUP(A234,TradesEquity!$1:$1048576,5,FALSE)</f>
        <v>#N/A</v>
      </c>
      <c r="K234" s="432" t="s">
        <v>19</v>
      </c>
      <c r="L234" s="435" t="s">
        <v>2028</v>
      </c>
      <c r="AE234" s="436" t="e">
        <f>VLOOKUP(A234,TradesEquity!$1:$1048576,10,FALSE)</f>
        <v>#N/A</v>
      </c>
      <c r="AF234" s="436" t="e">
        <f t="shared" si="14"/>
        <v>#N/A</v>
      </c>
      <c r="AG234" s="436" t="e">
        <f t="shared" si="15"/>
        <v>#N/A</v>
      </c>
      <c r="AH234" s="436" t="e">
        <f t="shared" si="16"/>
        <v>#N/A</v>
      </c>
      <c r="AI234" s="436" t="e">
        <f>ABS(VLOOKUP(A234,TradesEquity!$1:$1048576,13,FALSE))</f>
        <v>#N/A</v>
      </c>
      <c r="AJ234" s="437">
        <v>0</v>
      </c>
      <c r="AK234" s="437">
        <v>1</v>
      </c>
      <c r="AL234" s="436" t="e">
        <f>VLOOKUP(A234,TradesEquity!$1:$1048576,11,FALSE)</f>
        <v>#N/A</v>
      </c>
      <c r="AM234" s="437">
        <v>1</v>
      </c>
      <c r="AN234" s="436" t="e">
        <f>ABS(VLOOKUP(A234,TradesEquity!$1:$1048576,14,FALSE))</f>
        <v>#N/A</v>
      </c>
      <c r="AO234" s="436" t="e">
        <f>ABS(VLOOKUP(A234,TradesEquity!$1:$1048576,15,FALSE))</f>
        <v>#N/A</v>
      </c>
      <c r="AP234" s="438" t="e">
        <f>ABS(VLOOKUP(A234,TradesEquity!$1:$1048576,16,FALSE))</f>
        <v>#N/A</v>
      </c>
      <c r="AQ234" s="367">
        <v>0</v>
      </c>
      <c r="AR234" s="367">
        <v>0</v>
      </c>
      <c r="AS234" s="367">
        <v>0</v>
      </c>
      <c r="AT234" s="367">
        <v>0</v>
      </c>
      <c r="AU234" s="367">
        <v>0</v>
      </c>
      <c r="AV234" s="438" t="e">
        <f>ABS(VLOOKUP(A234,TradesEquity!$1:$1048576,18,FALSE))</f>
        <v>#N/A</v>
      </c>
      <c r="AW234" s="439">
        <v>0</v>
      </c>
      <c r="AX234" s="440">
        <v>4542</v>
      </c>
      <c r="AY234" s="441" t="s">
        <v>2029</v>
      </c>
      <c r="AZ234" s="442" t="e">
        <f>(VLOOKUP(A234,TradesEquity!$1:$1048576,29,FALSE))</f>
        <v>#N/A</v>
      </c>
      <c r="BA234" s="442" t="e">
        <f>(VLOOKUP(A234,TradesEquity!$1:$1048576,30,FALSE))</f>
        <v>#N/A</v>
      </c>
      <c r="BB234" s="442" t="e">
        <f>(VLOOKUP(A234,TradesEquity!$1:$1048576,31,FALSE))</f>
        <v>#N/A</v>
      </c>
      <c r="BC234" s="442" t="e">
        <f>(VLOOKUP(A234,TradesEquity!$1:$1048576,32,FALSE))</f>
        <v>#N/A</v>
      </c>
      <c r="BI234" s="442" t="e">
        <f>(VLOOKUP(A234,TradesEquity!$1:$1048576,38,FALSE))</f>
        <v>#N/A</v>
      </c>
      <c r="BJ234" s="442" t="e">
        <f>(VLOOKUP(A234,TradesEquity!$1:$1048576,39,FALSE))</f>
        <v>#N/A</v>
      </c>
      <c r="BK234" s="442" t="e">
        <f>(VLOOKUP(A234,TradesEquity!$1:$1048576,40,FALSE))</f>
        <v>#N/A</v>
      </c>
    </row>
    <row r="235" spans="4:63">
      <c r="D235" s="432" t="s">
        <v>2027</v>
      </c>
      <c r="F235" s="433" t="e">
        <f>VLOOKUP(A235,TradesEquity!$1:$1048576,2,FALSE)</f>
        <v>#N/A</v>
      </c>
      <c r="H235" s="433" t="e">
        <f>VLOOKUP(A235,TradesEquity!$1:$1048576,21,FALSE)</f>
        <v>#N/A</v>
      </c>
      <c r="I235" s="434" t="e">
        <f>IF(VLOOKUP(A235,TradesEquity!$1:$1048576,3,FALSE)="BUY","B","S")</f>
        <v>#N/A</v>
      </c>
      <c r="J235" s="434" t="e">
        <f>VLOOKUP(A235,TradesEquity!$1:$1048576,5,FALSE)</f>
        <v>#N/A</v>
      </c>
      <c r="K235" s="432" t="s">
        <v>19</v>
      </c>
      <c r="L235" s="435" t="s">
        <v>2028</v>
      </c>
      <c r="AE235" s="436" t="e">
        <f>VLOOKUP(A235,TradesEquity!$1:$1048576,10,FALSE)</f>
        <v>#N/A</v>
      </c>
      <c r="AF235" s="436" t="e">
        <f t="shared" si="14"/>
        <v>#N/A</v>
      </c>
      <c r="AG235" s="436" t="e">
        <f t="shared" si="15"/>
        <v>#N/A</v>
      </c>
      <c r="AH235" s="436" t="e">
        <f t="shared" si="16"/>
        <v>#N/A</v>
      </c>
      <c r="AI235" s="436" t="e">
        <f>ABS(VLOOKUP(A235,TradesEquity!$1:$1048576,13,FALSE))</f>
        <v>#N/A</v>
      </c>
      <c r="AJ235" s="437">
        <v>0</v>
      </c>
      <c r="AK235" s="437">
        <v>1</v>
      </c>
      <c r="AL235" s="436" t="e">
        <f>VLOOKUP(A235,TradesEquity!$1:$1048576,11,FALSE)</f>
        <v>#N/A</v>
      </c>
      <c r="AM235" s="437">
        <v>1</v>
      </c>
      <c r="AN235" s="436" t="e">
        <f>ABS(VLOOKUP(A235,TradesEquity!$1:$1048576,14,FALSE))</f>
        <v>#N/A</v>
      </c>
      <c r="AO235" s="436" t="e">
        <f>ABS(VLOOKUP(A235,TradesEquity!$1:$1048576,15,FALSE))</f>
        <v>#N/A</v>
      </c>
      <c r="AP235" s="438" t="e">
        <f>ABS(VLOOKUP(A235,TradesEquity!$1:$1048576,16,FALSE))</f>
        <v>#N/A</v>
      </c>
      <c r="AQ235" s="367">
        <v>0</v>
      </c>
      <c r="AR235" s="367">
        <v>0</v>
      </c>
      <c r="AS235" s="367">
        <v>0</v>
      </c>
      <c r="AT235" s="367">
        <v>0</v>
      </c>
      <c r="AU235" s="367">
        <v>0</v>
      </c>
      <c r="AV235" s="438" t="e">
        <f>ABS(VLOOKUP(A235,TradesEquity!$1:$1048576,18,FALSE))</f>
        <v>#N/A</v>
      </c>
      <c r="AW235" s="439">
        <v>0</v>
      </c>
      <c r="AX235" s="440">
        <v>4542</v>
      </c>
      <c r="AY235" s="441" t="s">
        <v>2029</v>
      </c>
      <c r="AZ235" s="442" t="e">
        <f>(VLOOKUP(A235,TradesEquity!$1:$1048576,29,FALSE))</f>
        <v>#N/A</v>
      </c>
      <c r="BA235" s="442" t="e">
        <f>(VLOOKUP(A235,TradesEquity!$1:$1048576,30,FALSE))</f>
        <v>#N/A</v>
      </c>
      <c r="BB235" s="442" t="e">
        <f>(VLOOKUP(A235,TradesEquity!$1:$1048576,31,FALSE))</f>
        <v>#N/A</v>
      </c>
      <c r="BC235" s="442" t="e">
        <f>(VLOOKUP(A235,TradesEquity!$1:$1048576,32,FALSE))</f>
        <v>#N/A</v>
      </c>
      <c r="BI235" s="442" t="e">
        <f>(VLOOKUP(A235,TradesEquity!$1:$1048576,38,FALSE))</f>
        <v>#N/A</v>
      </c>
      <c r="BJ235" s="442" t="e">
        <f>(VLOOKUP(A235,TradesEquity!$1:$1048576,39,FALSE))</f>
        <v>#N/A</v>
      </c>
      <c r="BK235" s="442" t="e">
        <f>(VLOOKUP(A235,TradesEquity!$1:$1048576,40,FALSE))</f>
        <v>#N/A</v>
      </c>
    </row>
    <row r="236" spans="4:63">
      <c r="D236" s="432" t="s">
        <v>2027</v>
      </c>
      <c r="F236" s="433" t="e">
        <f>VLOOKUP(A236,TradesEquity!$1:$1048576,2,FALSE)</f>
        <v>#N/A</v>
      </c>
      <c r="H236" s="433" t="e">
        <f>VLOOKUP(A236,TradesEquity!$1:$1048576,21,FALSE)</f>
        <v>#N/A</v>
      </c>
      <c r="I236" s="434" t="e">
        <f>IF(VLOOKUP(A236,TradesEquity!$1:$1048576,3,FALSE)="BUY","B","S")</f>
        <v>#N/A</v>
      </c>
      <c r="J236" s="434" t="e">
        <f>VLOOKUP(A236,TradesEquity!$1:$1048576,5,FALSE)</f>
        <v>#N/A</v>
      </c>
      <c r="K236" s="432" t="s">
        <v>19</v>
      </c>
      <c r="L236" s="435" t="s">
        <v>2028</v>
      </c>
      <c r="AE236" s="436" t="e">
        <f>VLOOKUP(A236,TradesEquity!$1:$1048576,10,FALSE)</f>
        <v>#N/A</v>
      </c>
      <c r="AF236" s="436" t="e">
        <f t="shared" si="14"/>
        <v>#N/A</v>
      </c>
      <c r="AG236" s="436" t="e">
        <f t="shared" si="15"/>
        <v>#N/A</v>
      </c>
      <c r="AH236" s="436" t="e">
        <f t="shared" si="16"/>
        <v>#N/A</v>
      </c>
      <c r="AI236" s="436" t="e">
        <f>ABS(VLOOKUP(A236,TradesEquity!$1:$1048576,13,FALSE))</f>
        <v>#N/A</v>
      </c>
      <c r="AJ236" s="437">
        <v>0</v>
      </c>
      <c r="AK236" s="437">
        <v>1</v>
      </c>
      <c r="AL236" s="436" t="e">
        <f>VLOOKUP(A236,TradesEquity!$1:$1048576,11,FALSE)</f>
        <v>#N/A</v>
      </c>
      <c r="AM236" s="437">
        <v>1</v>
      </c>
      <c r="AN236" s="436" t="e">
        <f>ABS(VLOOKUP(A236,TradesEquity!$1:$1048576,14,FALSE))</f>
        <v>#N/A</v>
      </c>
      <c r="AO236" s="436" t="e">
        <f>ABS(VLOOKUP(A236,TradesEquity!$1:$1048576,15,FALSE))</f>
        <v>#N/A</v>
      </c>
      <c r="AP236" s="438" t="e">
        <f>ABS(VLOOKUP(A236,TradesEquity!$1:$1048576,16,FALSE))</f>
        <v>#N/A</v>
      </c>
      <c r="AQ236" s="367">
        <v>0</v>
      </c>
      <c r="AR236" s="367">
        <v>0</v>
      </c>
      <c r="AS236" s="367">
        <v>0</v>
      </c>
      <c r="AT236" s="367">
        <v>0</v>
      </c>
      <c r="AU236" s="367">
        <v>0</v>
      </c>
      <c r="AV236" s="438" t="e">
        <f>ABS(VLOOKUP(A236,TradesEquity!$1:$1048576,18,FALSE))</f>
        <v>#N/A</v>
      </c>
      <c r="AW236" s="439">
        <v>0</v>
      </c>
      <c r="AX236" s="440">
        <v>4542</v>
      </c>
      <c r="AY236" s="441" t="s">
        <v>2029</v>
      </c>
      <c r="AZ236" s="442" t="e">
        <f>(VLOOKUP(A236,TradesEquity!$1:$1048576,29,FALSE))</f>
        <v>#N/A</v>
      </c>
      <c r="BA236" s="442" t="e">
        <f>(VLOOKUP(A236,TradesEquity!$1:$1048576,30,FALSE))</f>
        <v>#N/A</v>
      </c>
      <c r="BB236" s="442" t="e">
        <f>(VLOOKUP(A236,TradesEquity!$1:$1048576,31,FALSE))</f>
        <v>#N/A</v>
      </c>
      <c r="BC236" s="442" t="e">
        <f>(VLOOKUP(A236,TradesEquity!$1:$1048576,32,FALSE))</f>
        <v>#N/A</v>
      </c>
      <c r="BI236" s="442" t="e">
        <f>(VLOOKUP(A236,TradesEquity!$1:$1048576,38,FALSE))</f>
        <v>#N/A</v>
      </c>
      <c r="BJ236" s="442" t="e">
        <f>(VLOOKUP(A236,TradesEquity!$1:$1048576,39,FALSE))</f>
        <v>#N/A</v>
      </c>
      <c r="BK236" s="442" t="e">
        <f>(VLOOKUP(A236,TradesEquity!$1:$1048576,40,FALSE))</f>
        <v>#N/A</v>
      </c>
    </row>
    <row r="237" spans="4:63">
      <c r="D237" s="432" t="s">
        <v>2027</v>
      </c>
      <c r="F237" s="433" t="e">
        <f>VLOOKUP(A237,TradesEquity!$1:$1048576,2,FALSE)</f>
        <v>#N/A</v>
      </c>
      <c r="H237" s="433" t="e">
        <f>VLOOKUP(A237,TradesEquity!$1:$1048576,21,FALSE)</f>
        <v>#N/A</v>
      </c>
      <c r="I237" s="434" t="e">
        <f>IF(VLOOKUP(A237,TradesEquity!$1:$1048576,3,FALSE)="BUY","B","S")</f>
        <v>#N/A</v>
      </c>
      <c r="J237" s="434" t="e">
        <f>VLOOKUP(A237,TradesEquity!$1:$1048576,5,FALSE)</f>
        <v>#N/A</v>
      </c>
      <c r="K237" s="432" t="s">
        <v>19</v>
      </c>
      <c r="L237" s="435" t="s">
        <v>2028</v>
      </c>
      <c r="AE237" s="436" t="e">
        <f>VLOOKUP(A237,TradesEquity!$1:$1048576,10,FALSE)</f>
        <v>#N/A</v>
      </c>
      <c r="AF237" s="436" t="e">
        <f t="shared" si="14"/>
        <v>#N/A</v>
      </c>
      <c r="AG237" s="436" t="e">
        <f t="shared" si="15"/>
        <v>#N/A</v>
      </c>
      <c r="AH237" s="436" t="e">
        <f t="shared" si="16"/>
        <v>#N/A</v>
      </c>
      <c r="AI237" s="436" t="e">
        <f>ABS(VLOOKUP(A237,TradesEquity!$1:$1048576,13,FALSE))</f>
        <v>#N/A</v>
      </c>
      <c r="AJ237" s="437">
        <v>0</v>
      </c>
      <c r="AK237" s="437">
        <v>1</v>
      </c>
      <c r="AL237" s="436" t="e">
        <f>VLOOKUP(A237,TradesEquity!$1:$1048576,11,FALSE)</f>
        <v>#N/A</v>
      </c>
      <c r="AM237" s="437">
        <v>1</v>
      </c>
      <c r="AN237" s="436" t="e">
        <f>ABS(VLOOKUP(A237,TradesEquity!$1:$1048576,14,FALSE))</f>
        <v>#N/A</v>
      </c>
      <c r="AO237" s="436" t="e">
        <f>ABS(VLOOKUP(A237,TradesEquity!$1:$1048576,15,FALSE))</f>
        <v>#N/A</v>
      </c>
      <c r="AP237" s="438" t="e">
        <f>ABS(VLOOKUP(A237,TradesEquity!$1:$1048576,16,FALSE))</f>
        <v>#N/A</v>
      </c>
      <c r="AQ237" s="367">
        <v>0</v>
      </c>
      <c r="AR237" s="367">
        <v>0</v>
      </c>
      <c r="AS237" s="367">
        <v>0</v>
      </c>
      <c r="AT237" s="367">
        <v>0</v>
      </c>
      <c r="AU237" s="367">
        <v>0</v>
      </c>
      <c r="AV237" s="438" t="e">
        <f>ABS(VLOOKUP(A237,TradesEquity!$1:$1048576,18,FALSE))</f>
        <v>#N/A</v>
      </c>
      <c r="AW237" s="439">
        <v>0</v>
      </c>
      <c r="AX237" s="440">
        <v>4542</v>
      </c>
      <c r="AY237" s="441" t="s">
        <v>2029</v>
      </c>
      <c r="AZ237" s="442" t="e">
        <f>(VLOOKUP(A237,TradesEquity!$1:$1048576,29,FALSE))</f>
        <v>#N/A</v>
      </c>
      <c r="BA237" s="442" t="e">
        <f>(VLOOKUP(A237,TradesEquity!$1:$1048576,30,FALSE))</f>
        <v>#N/A</v>
      </c>
      <c r="BB237" s="442" t="e">
        <f>(VLOOKUP(A237,TradesEquity!$1:$1048576,31,FALSE))</f>
        <v>#N/A</v>
      </c>
      <c r="BC237" s="442" t="e">
        <f>(VLOOKUP(A237,TradesEquity!$1:$1048576,32,FALSE))</f>
        <v>#N/A</v>
      </c>
      <c r="BI237" s="442" t="e">
        <f>(VLOOKUP(A237,TradesEquity!$1:$1048576,38,FALSE))</f>
        <v>#N/A</v>
      </c>
      <c r="BJ237" s="442" t="e">
        <f>(VLOOKUP(A237,TradesEquity!$1:$1048576,39,FALSE))</f>
        <v>#N/A</v>
      </c>
      <c r="BK237" s="442" t="e">
        <f>(VLOOKUP(A237,TradesEquity!$1:$1048576,40,FALSE))</f>
        <v>#N/A</v>
      </c>
    </row>
    <row r="238" spans="4:63">
      <c r="D238" s="432" t="s">
        <v>2027</v>
      </c>
      <c r="F238" s="433" t="e">
        <f>VLOOKUP(A238,TradesEquity!$1:$1048576,2,FALSE)</f>
        <v>#N/A</v>
      </c>
      <c r="H238" s="433" t="e">
        <f>VLOOKUP(A238,TradesEquity!$1:$1048576,21,FALSE)</f>
        <v>#N/A</v>
      </c>
      <c r="I238" s="434" t="e">
        <f>IF(VLOOKUP(A238,TradesEquity!$1:$1048576,3,FALSE)="BUY","B","S")</f>
        <v>#N/A</v>
      </c>
      <c r="J238" s="434" t="e">
        <f>VLOOKUP(A238,TradesEquity!$1:$1048576,5,FALSE)</f>
        <v>#N/A</v>
      </c>
      <c r="K238" s="432" t="s">
        <v>19</v>
      </c>
      <c r="L238" s="435" t="s">
        <v>2028</v>
      </c>
      <c r="AE238" s="436" t="e">
        <f>VLOOKUP(A238,TradesEquity!$1:$1048576,10,FALSE)</f>
        <v>#N/A</v>
      </c>
      <c r="AF238" s="436" t="e">
        <f t="shared" si="14"/>
        <v>#N/A</v>
      </c>
      <c r="AG238" s="436" t="e">
        <f t="shared" si="15"/>
        <v>#N/A</v>
      </c>
      <c r="AH238" s="436" t="e">
        <f t="shared" si="16"/>
        <v>#N/A</v>
      </c>
      <c r="AI238" s="436" t="e">
        <f>ABS(VLOOKUP(A238,TradesEquity!$1:$1048576,13,FALSE))</f>
        <v>#N/A</v>
      </c>
      <c r="AJ238" s="437">
        <v>0</v>
      </c>
      <c r="AK238" s="437">
        <v>1</v>
      </c>
      <c r="AL238" s="436" t="e">
        <f>VLOOKUP(A238,TradesEquity!$1:$1048576,11,FALSE)</f>
        <v>#N/A</v>
      </c>
      <c r="AM238" s="437">
        <v>1</v>
      </c>
      <c r="AN238" s="436" t="e">
        <f>ABS(VLOOKUP(A238,TradesEquity!$1:$1048576,14,FALSE))</f>
        <v>#N/A</v>
      </c>
      <c r="AO238" s="436" t="e">
        <f>ABS(VLOOKUP(A238,TradesEquity!$1:$1048576,15,FALSE))</f>
        <v>#N/A</v>
      </c>
      <c r="AP238" s="438" t="e">
        <f>ABS(VLOOKUP(A238,TradesEquity!$1:$1048576,16,FALSE))</f>
        <v>#N/A</v>
      </c>
      <c r="AQ238" s="367">
        <v>0</v>
      </c>
      <c r="AR238" s="367">
        <v>0</v>
      </c>
      <c r="AS238" s="367">
        <v>0</v>
      </c>
      <c r="AT238" s="367">
        <v>0</v>
      </c>
      <c r="AU238" s="367">
        <v>0</v>
      </c>
      <c r="AV238" s="438" t="e">
        <f>ABS(VLOOKUP(A238,TradesEquity!$1:$1048576,18,FALSE))</f>
        <v>#N/A</v>
      </c>
      <c r="AW238" s="439">
        <v>0</v>
      </c>
      <c r="AX238" s="440">
        <v>4542</v>
      </c>
      <c r="AY238" s="441" t="s">
        <v>2029</v>
      </c>
      <c r="AZ238" s="442" t="e">
        <f>(VLOOKUP(A238,TradesEquity!$1:$1048576,29,FALSE))</f>
        <v>#N/A</v>
      </c>
      <c r="BA238" s="442" t="e">
        <f>(VLOOKUP(A238,TradesEquity!$1:$1048576,30,FALSE))</f>
        <v>#N/A</v>
      </c>
      <c r="BB238" s="442" t="e">
        <f>(VLOOKUP(A238,TradesEquity!$1:$1048576,31,FALSE))</f>
        <v>#N/A</v>
      </c>
      <c r="BC238" s="442" t="e">
        <f>(VLOOKUP(A238,TradesEquity!$1:$1048576,32,FALSE))</f>
        <v>#N/A</v>
      </c>
      <c r="BI238" s="442" t="e">
        <f>(VLOOKUP(A238,TradesEquity!$1:$1048576,38,FALSE))</f>
        <v>#N/A</v>
      </c>
      <c r="BJ238" s="442" t="e">
        <f>(VLOOKUP(A238,TradesEquity!$1:$1048576,39,FALSE))</f>
        <v>#N/A</v>
      </c>
      <c r="BK238" s="442" t="e">
        <f>(VLOOKUP(A238,TradesEquity!$1:$1048576,40,FALSE))</f>
        <v>#N/A</v>
      </c>
    </row>
    <row r="239" spans="4:63">
      <c r="D239" s="432" t="s">
        <v>2027</v>
      </c>
      <c r="F239" s="433" t="e">
        <f>VLOOKUP(A239,TradesEquity!$1:$1048576,2,FALSE)</f>
        <v>#N/A</v>
      </c>
      <c r="H239" s="433" t="e">
        <f>VLOOKUP(A239,TradesEquity!$1:$1048576,21,FALSE)</f>
        <v>#N/A</v>
      </c>
      <c r="I239" s="434" t="e">
        <f>IF(VLOOKUP(A239,TradesEquity!$1:$1048576,3,FALSE)="BUY","B","S")</f>
        <v>#N/A</v>
      </c>
      <c r="J239" s="434" t="e">
        <f>VLOOKUP(A239,TradesEquity!$1:$1048576,5,FALSE)</f>
        <v>#N/A</v>
      </c>
      <c r="K239" s="432" t="s">
        <v>19</v>
      </c>
      <c r="L239" s="435" t="s">
        <v>2028</v>
      </c>
      <c r="AE239" s="436" t="e">
        <f>VLOOKUP(A239,TradesEquity!$1:$1048576,10,FALSE)</f>
        <v>#N/A</v>
      </c>
      <c r="AF239" s="436" t="e">
        <f t="shared" si="14"/>
        <v>#N/A</v>
      </c>
      <c r="AG239" s="436" t="e">
        <f t="shared" si="15"/>
        <v>#N/A</v>
      </c>
      <c r="AH239" s="436" t="e">
        <f t="shared" si="16"/>
        <v>#N/A</v>
      </c>
      <c r="AI239" s="436" t="e">
        <f>ABS(VLOOKUP(A239,TradesEquity!$1:$1048576,13,FALSE))</f>
        <v>#N/A</v>
      </c>
      <c r="AJ239" s="437">
        <v>0</v>
      </c>
      <c r="AK239" s="437">
        <v>1</v>
      </c>
      <c r="AL239" s="436" t="e">
        <f>VLOOKUP(A239,TradesEquity!$1:$1048576,11,FALSE)</f>
        <v>#N/A</v>
      </c>
      <c r="AM239" s="437">
        <v>1</v>
      </c>
      <c r="AN239" s="436" t="e">
        <f>ABS(VLOOKUP(A239,TradesEquity!$1:$1048576,14,FALSE))</f>
        <v>#N/A</v>
      </c>
      <c r="AO239" s="436" t="e">
        <f>ABS(VLOOKUP(A239,TradesEquity!$1:$1048576,15,FALSE))</f>
        <v>#N/A</v>
      </c>
      <c r="AP239" s="438" t="e">
        <f>ABS(VLOOKUP(A239,TradesEquity!$1:$1048576,16,FALSE))</f>
        <v>#N/A</v>
      </c>
      <c r="AQ239" s="367">
        <v>0</v>
      </c>
      <c r="AR239" s="367">
        <v>0</v>
      </c>
      <c r="AS239" s="367">
        <v>0</v>
      </c>
      <c r="AT239" s="367">
        <v>0</v>
      </c>
      <c r="AU239" s="367">
        <v>0</v>
      </c>
      <c r="AV239" s="438" t="e">
        <f>ABS(VLOOKUP(A239,TradesEquity!$1:$1048576,18,FALSE))</f>
        <v>#N/A</v>
      </c>
      <c r="AW239" s="439">
        <v>0</v>
      </c>
      <c r="AX239" s="440">
        <v>4542</v>
      </c>
      <c r="AY239" s="441" t="s">
        <v>2029</v>
      </c>
      <c r="AZ239" s="442" t="e">
        <f>(VLOOKUP(A239,TradesEquity!$1:$1048576,29,FALSE))</f>
        <v>#N/A</v>
      </c>
      <c r="BA239" s="442" t="e">
        <f>(VLOOKUP(A239,TradesEquity!$1:$1048576,30,FALSE))</f>
        <v>#N/A</v>
      </c>
      <c r="BB239" s="442" t="e">
        <f>(VLOOKUP(A239,TradesEquity!$1:$1048576,31,FALSE))</f>
        <v>#N/A</v>
      </c>
      <c r="BC239" s="442" t="e">
        <f>(VLOOKUP(A239,TradesEquity!$1:$1048576,32,FALSE))</f>
        <v>#N/A</v>
      </c>
      <c r="BI239" s="442" t="e">
        <f>(VLOOKUP(A239,TradesEquity!$1:$1048576,38,FALSE))</f>
        <v>#N/A</v>
      </c>
      <c r="BJ239" s="442" t="e">
        <f>(VLOOKUP(A239,TradesEquity!$1:$1048576,39,FALSE))</f>
        <v>#N/A</v>
      </c>
      <c r="BK239" s="442" t="e">
        <f>(VLOOKUP(A239,TradesEquity!$1:$1048576,40,FALSE))</f>
        <v>#N/A</v>
      </c>
    </row>
    <row r="240" spans="4:63">
      <c r="D240" s="432" t="s">
        <v>2027</v>
      </c>
      <c r="F240" s="433" t="e">
        <f>VLOOKUP(A240,TradesEquity!$1:$1048576,2,FALSE)</f>
        <v>#N/A</v>
      </c>
      <c r="H240" s="433" t="e">
        <f>VLOOKUP(A240,TradesEquity!$1:$1048576,21,FALSE)</f>
        <v>#N/A</v>
      </c>
      <c r="I240" s="434" t="e">
        <f>IF(VLOOKUP(A240,TradesEquity!$1:$1048576,3,FALSE)="BUY","B","S")</f>
        <v>#N/A</v>
      </c>
      <c r="J240" s="434" t="e">
        <f>VLOOKUP(A240,TradesEquity!$1:$1048576,5,FALSE)</f>
        <v>#N/A</v>
      </c>
      <c r="K240" s="432" t="s">
        <v>19</v>
      </c>
      <c r="L240" s="435" t="s">
        <v>2028</v>
      </c>
      <c r="AE240" s="436" t="e">
        <f>VLOOKUP(A240,TradesEquity!$1:$1048576,10,FALSE)</f>
        <v>#N/A</v>
      </c>
      <c r="AF240" s="436" t="e">
        <f t="shared" si="14"/>
        <v>#N/A</v>
      </c>
      <c r="AG240" s="436" t="e">
        <f t="shared" si="15"/>
        <v>#N/A</v>
      </c>
      <c r="AH240" s="436" t="e">
        <f t="shared" si="16"/>
        <v>#N/A</v>
      </c>
      <c r="AI240" s="436" t="e">
        <f>ABS(VLOOKUP(A240,TradesEquity!$1:$1048576,13,FALSE))</f>
        <v>#N/A</v>
      </c>
      <c r="AJ240" s="437">
        <v>0</v>
      </c>
      <c r="AK240" s="437">
        <v>1</v>
      </c>
      <c r="AL240" s="436" t="e">
        <f>VLOOKUP(A240,TradesEquity!$1:$1048576,11,FALSE)</f>
        <v>#N/A</v>
      </c>
      <c r="AM240" s="437">
        <v>1</v>
      </c>
      <c r="AN240" s="436" t="e">
        <f>ABS(VLOOKUP(A240,TradesEquity!$1:$1048576,14,FALSE))</f>
        <v>#N/A</v>
      </c>
      <c r="AO240" s="436" t="e">
        <f>ABS(VLOOKUP(A240,TradesEquity!$1:$1048576,15,FALSE))</f>
        <v>#N/A</v>
      </c>
      <c r="AP240" s="438" t="e">
        <f>ABS(VLOOKUP(A240,TradesEquity!$1:$1048576,16,FALSE))</f>
        <v>#N/A</v>
      </c>
      <c r="AQ240" s="367">
        <v>0</v>
      </c>
      <c r="AR240" s="367">
        <v>0</v>
      </c>
      <c r="AS240" s="367">
        <v>0</v>
      </c>
      <c r="AT240" s="367">
        <v>0</v>
      </c>
      <c r="AU240" s="367">
        <v>0</v>
      </c>
      <c r="AV240" s="438" t="e">
        <f>ABS(VLOOKUP(A240,TradesEquity!$1:$1048576,18,FALSE))</f>
        <v>#N/A</v>
      </c>
      <c r="AW240" s="439">
        <v>0</v>
      </c>
      <c r="AX240" s="440">
        <v>4542</v>
      </c>
      <c r="AY240" s="441" t="s">
        <v>2029</v>
      </c>
      <c r="AZ240" s="442" t="e">
        <f>(VLOOKUP(A240,TradesEquity!$1:$1048576,29,FALSE))</f>
        <v>#N/A</v>
      </c>
      <c r="BA240" s="442" t="e">
        <f>(VLOOKUP(A240,TradesEquity!$1:$1048576,30,FALSE))</f>
        <v>#N/A</v>
      </c>
      <c r="BB240" s="442" t="e">
        <f>(VLOOKUP(A240,TradesEquity!$1:$1048576,31,FALSE))</f>
        <v>#N/A</v>
      </c>
      <c r="BC240" s="442" t="e">
        <f>(VLOOKUP(A240,TradesEquity!$1:$1048576,32,FALSE))</f>
        <v>#N/A</v>
      </c>
      <c r="BI240" s="442" t="e">
        <f>(VLOOKUP(A240,TradesEquity!$1:$1048576,38,FALSE))</f>
        <v>#N/A</v>
      </c>
      <c r="BJ240" s="442" t="e">
        <f>(VLOOKUP(A240,TradesEquity!$1:$1048576,39,FALSE))</f>
        <v>#N/A</v>
      </c>
      <c r="BK240" s="442" t="e">
        <f>(VLOOKUP(A240,TradesEquity!$1:$1048576,40,FALSE))</f>
        <v>#N/A</v>
      </c>
    </row>
    <row r="241" spans="4:63">
      <c r="D241" s="432" t="s">
        <v>2027</v>
      </c>
      <c r="F241" s="433" t="e">
        <f>VLOOKUP(A241,TradesEquity!$1:$1048576,2,FALSE)</f>
        <v>#N/A</v>
      </c>
      <c r="H241" s="433" t="e">
        <f>VLOOKUP(A241,TradesEquity!$1:$1048576,21,FALSE)</f>
        <v>#N/A</v>
      </c>
      <c r="I241" s="434" t="e">
        <f>IF(VLOOKUP(A241,TradesEquity!$1:$1048576,3,FALSE)="BUY","B","S")</f>
        <v>#N/A</v>
      </c>
      <c r="J241" s="434" t="e">
        <f>VLOOKUP(A241,TradesEquity!$1:$1048576,5,FALSE)</f>
        <v>#N/A</v>
      </c>
      <c r="K241" s="432" t="s">
        <v>19</v>
      </c>
      <c r="L241" s="435" t="s">
        <v>2028</v>
      </c>
      <c r="AE241" s="436" t="e">
        <f>VLOOKUP(A241,TradesEquity!$1:$1048576,10,FALSE)</f>
        <v>#N/A</v>
      </c>
      <c r="AF241" s="436" t="e">
        <f t="shared" si="14"/>
        <v>#N/A</v>
      </c>
      <c r="AG241" s="436" t="e">
        <f t="shared" si="15"/>
        <v>#N/A</v>
      </c>
      <c r="AH241" s="436" t="e">
        <f t="shared" si="16"/>
        <v>#N/A</v>
      </c>
      <c r="AI241" s="436" t="e">
        <f>ABS(VLOOKUP(A241,TradesEquity!$1:$1048576,13,FALSE))</f>
        <v>#N/A</v>
      </c>
      <c r="AJ241" s="437">
        <v>0</v>
      </c>
      <c r="AK241" s="437">
        <v>1</v>
      </c>
      <c r="AL241" s="436" t="e">
        <f>VLOOKUP(A241,TradesEquity!$1:$1048576,11,FALSE)</f>
        <v>#N/A</v>
      </c>
      <c r="AM241" s="437">
        <v>1</v>
      </c>
      <c r="AN241" s="436" t="e">
        <f>ABS(VLOOKUP(A241,TradesEquity!$1:$1048576,14,FALSE))</f>
        <v>#N/A</v>
      </c>
      <c r="AO241" s="436" t="e">
        <f>ABS(VLOOKUP(A241,TradesEquity!$1:$1048576,15,FALSE))</f>
        <v>#N/A</v>
      </c>
      <c r="AP241" s="438" t="e">
        <f>ABS(VLOOKUP(A241,TradesEquity!$1:$1048576,16,FALSE))</f>
        <v>#N/A</v>
      </c>
      <c r="AQ241" s="367">
        <v>0</v>
      </c>
      <c r="AR241" s="367">
        <v>0</v>
      </c>
      <c r="AS241" s="367">
        <v>0</v>
      </c>
      <c r="AT241" s="367">
        <v>0</v>
      </c>
      <c r="AU241" s="367">
        <v>0</v>
      </c>
      <c r="AV241" s="438" t="e">
        <f>ABS(VLOOKUP(A241,TradesEquity!$1:$1048576,18,FALSE))</f>
        <v>#N/A</v>
      </c>
      <c r="AW241" s="439">
        <v>0</v>
      </c>
      <c r="AX241" s="440">
        <v>4542</v>
      </c>
      <c r="AY241" s="441" t="s">
        <v>2029</v>
      </c>
      <c r="AZ241" s="442" t="e">
        <f>(VLOOKUP(A241,TradesEquity!$1:$1048576,29,FALSE))</f>
        <v>#N/A</v>
      </c>
      <c r="BA241" s="442" t="e">
        <f>(VLOOKUP(A241,TradesEquity!$1:$1048576,30,FALSE))</f>
        <v>#N/A</v>
      </c>
      <c r="BB241" s="442" t="e">
        <f>(VLOOKUP(A241,TradesEquity!$1:$1048576,31,FALSE))</f>
        <v>#N/A</v>
      </c>
      <c r="BC241" s="442" t="e">
        <f>(VLOOKUP(A241,TradesEquity!$1:$1048576,32,FALSE))</f>
        <v>#N/A</v>
      </c>
      <c r="BI241" s="442" t="e">
        <f>(VLOOKUP(A241,TradesEquity!$1:$1048576,38,FALSE))</f>
        <v>#N/A</v>
      </c>
      <c r="BJ241" s="442" t="e">
        <f>(VLOOKUP(A241,TradesEquity!$1:$1048576,39,FALSE))</f>
        <v>#N/A</v>
      </c>
      <c r="BK241" s="442" t="e">
        <f>(VLOOKUP(A241,TradesEquity!$1:$1048576,40,FALSE))</f>
        <v>#N/A</v>
      </c>
    </row>
    <row r="242" spans="4:63">
      <c r="D242" s="432" t="s">
        <v>2027</v>
      </c>
      <c r="F242" s="433" t="e">
        <f>VLOOKUP(A242,TradesEquity!$1:$1048576,2,FALSE)</f>
        <v>#N/A</v>
      </c>
      <c r="H242" s="433" t="e">
        <f>VLOOKUP(A242,TradesEquity!$1:$1048576,21,FALSE)</f>
        <v>#N/A</v>
      </c>
      <c r="I242" s="434" t="e">
        <f>IF(VLOOKUP(A242,TradesEquity!$1:$1048576,3,FALSE)="BUY","B","S")</f>
        <v>#N/A</v>
      </c>
      <c r="J242" s="434" t="e">
        <f>VLOOKUP(A242,TradesEquity!$1:$1048576,5,FALSE)</f>
        <v>#N/A</v>
      </c>
      <c r="K242" s="432" t="s">
        <v>19</v>
      </c>
      <c r="L242" s="435" t="s">
        <v>2028</v>
      </c>
      <c r="AE242" s="436" t="e">
        <f>VLOOKUP(A242,TradesEquity!$1:$1048576,10,FALSE)</f>
        <v>#N/A</v>
      </c>
      <c r="AF242" s="436" t="e">
        <f t="shared" si="14"/>
        <v>#N/A</v>
      </c>
      <c r="AG242" s="436" t="e">
        <f t="shared" si="15"/>
        <v>#N/A</v>
      </c>
      <c r="AH242" s="436" t="e">
        <f t="shared" si="16"/>
        <v>#N/A</v>
      </c>
      <c r="AI242" s="436" t="e">
        <f>ABS(VLOOKUP(A242,TradesEquity!$1:$1048576,13,FALSE))</f>
        <v>#N/A</v>
      </c>
      <c r="AJ242" s="437">
        <v>0</v>
      </c>
      <c r="AK242" s="437">
        <v>1</v>
      </c>
      <c r="AL242" s="436" t="e">
        <f>VLOOKUP(A242,TradesEquity!$1:$1048576,11,FALSE)</f>
        <v>#N/A</v>
      </c>
      <c r="AM242" s="437">
        <v>1</v>
      </c>
      <c r="AN242" s="436" t="e">
        <f>ABS(VLOOKUP(A242,TradesEquity!$1:$1048576,14,FALSE))</f>
        <v>#N/A</v>
      </c>
      <c r="AO242" s="436" t="e">
        <f>ABS(VLOOKUP(A242,TradesEquity!$1:$1048576,15,FALSE))</f>
        <v>#N/A</v>
      </c>
      <c r="AP242" s="438" t="e">
        <f>ABS(VLOOKUP(A242,TradesEquity!$1:$1048576,16,FALSE))</f>
        <v>#N/A</v>
      </c>
      <c r="AQ242" s="367">
        <v>0</v>
      </c>
      <c r="AR242" s="367">
        <v>0</v>
      </c>
      <c r="AS242" s="367">
        <v>0</v>
      </c>
      <c r="AT242" s="367">
        <v>0</v>
      </c>
      <c r="AU242" s="367">
        <v>0</v>
      </c>
      <c r="AV242" s="438" t="e">
        <f>ABS(VLOOKUP(A242,TradesEquity!$1:$1048576,18,FALSE))</f>
        <v>#N/A</v>
      </c>
      <c r="AW242" s="439">
        <v>0</v>
      </c>
      <c r="AX242" s="440">
        <v>4542</v>
      </c>
      <c r="AY242" s="441" t="s">
        <v>2029</v>
      </c>
      <c r="AZ242" s="442" t="e">
        <f>(VLOOKUP(A242,TradesEquity!$1:$1048576,29,FALSE))</f>
        <v>#N/A</v>
      </c>
      <c r="BA242" s="442" t="e">
        <f>(VLOOKUP(A242,TradesEquity!$1:$1048576,30,FALSE))</f>
        <v>#N/A</v>
      </c>
      <c r="BB242" s="442" t="e">
        <f>(VLOOKUP(A242,TradesEquity!$1:$1048576,31,FALSE))</f>
        <v>#N/A</v>
      </c>
      <c r="BC242" s="442" t="e">
        <f>(VLOOKUP(A242,TradesEquity!$1:$1048576,32,FALSE))</f>
        <v>#N/A</v>
      </c>
      <c r="BI242" s="442" t="e">
        <f>(VLOOKUP(A242,TradesEquity!$1:$1048576,38,FALSE))</f>
        <v>#N/A</v>
      </c>
      <c r="BJ242" s="442" t="e">
        <f>(VLOOKUP(A242,TradesEquity!$1:$1048576,39,FALSE))</f>
        <v>#N/A</v>
      </c>
      <c r="BK242" s="442" t="e">
        <f>(VLOOKUP(A242,TradesEquity!$1:$1048576,40,FALSE))</f>
        <v>#N/A</v>
      </c>
    </row>
    <row r="243" spans="4:63">
      <c r="D243" s="432" t="s">
        <v>2027</v>
      </c>
      <c r="F243" s="433" t="e">
        <f>VLOOKUP(A243,TradesEquity!$1:$1048576,2,FALSE)</f>
        <v>#N/A</v>
      </c>
      <c r="H243" s="433" t="e">
        <f>VLOOKUP(A243,TradesEquity!$1:$1048576,21,FALSE)</f>
        <v>#N/A</v>
      </c>
      <c r="I243" s="434" t="e">
        <f>IF(VLOOKUP(A243,TradesEquity!$1:$1048576,3,FALSE)="BUY","B","S")</f>
        <v>#N/A</v>
      </c>
      <c r="J243" s="434" t="e">
        <f>VLOOKUP(A243,TradesEquity!$1:$1048576,5,FALSE)</f>
        <v>#N/A</v>
      </c>
      <c r="K243" s="432" t="s">
        <v>19</v>
      </c>
      <c r="L243" s="435" t="s">
        <v>2028</v>
      </c>
      <c r="AE243" s="436" t="e">
        <f>VLOOKUP(A243,TradesEquity!$1:$1048576,10,FALSE)</f>
        <v>#N/A</v>
      </c>
      <c r="AF243" s="436" t="e">
        <f t="shared" si="14"/>
        <v>#N/A</v>
      </c>
      <c r="AG243" s="436" t="e">
        <f t="shared" si="15"/>
        <v>#N/A</v>
      </c>
      <c r="AH243" s="436" t="e">
        <f t="shared" si="16"/>
        <v>#N/A</v>
      </c>
      <c r="AI243" s="436" t="e">
        <f>ABS(VLOOKUP(A243,TradesEquity!$1:$1048576,13,FALSE))</f>
        <v>#N/A</v>
      </c>
      <c r="AJ243" s="437">
        <v>0</v>
      </c>
      <c r="AK243" s="437">
        <v>1</v>
      </c>
      <c r="AL243" s="436" t="e">
        <f>VLOOKUP(A243,TradesEquity!$1:$1048576,11,FALSE)</f>
        <v>#N/A</v>
      </c>
      <c r="AM243" s="437">
        <v>1</v>
      </c>
      <c r="AN243" s="436" t="e">
        <f>ABS(VLOOKUP(A243,TradesEquity!$1:$1048576,14,FALSE))</f>
        <v>#N/A</v>
      </c>
      <c r="AO243" s="436" t="e">
        <f>ABS(VLOOKUP(A243,TradesEquity!$1:$1048576,15,FALSE))</f>
        <v>#N/A</v>
      </c>
      <c r="AP243" s="438" t="e">
        <f>ABS(VLOOKUP(A243,TradesEquity!$1:$1048576,16,FALSE))</f>
        <v>#N/A</v>
      </c>
      <c r="AQ243" s="367">
        <v>0</v>
      </c>
      <c r="AR243" s="367">
        <v>0</v>
      </c>
      <c r="AS243" s="367">
        <v>0</v>
      </c>
      <c r="AT243" s="367">
        <v>0</v>
      </c>
      <c r="AU243" s="367">
        <v>0</v>
      </c>
      <c r="AV243" s="438" t="e">
        <f>ABS(VLOOKUP(A243,TradesEquity!$1:$1048576,18,FALSE))</f>
        <v>#N/A</v>
      </c>
      <c r="AW243" s="439">
        <v>0</v>
      </c>
      <c r="AX243" s="440">
        <v>4542</v>
      </c>
      <c r="AY243" s="441" t="s">
        <v>2029</v>
      </c>
      <c r="AZ243" s="442" t="e">
        <f>(VLOOKUP(A243,TradesEquity!$1:$1048576,29,FALSE))</f>
        <v>#N/A</v>
      </c>
      <c r="BA243" s="442" t="e">
        <f>(VLOOKUP(A243,TradesEquity!$1:$1048576,30,FALSE))</f>
        <v>#N/A</v>
      </c>
      <c r="BB243" s="442" t="e">
        <f>(VLOOKUP(A243,TradesEquity!$1:$1048576,31,FALSE))</f>
        <v>#N/A</v>
      </c>
      <c r="BC243" s="442" t="e">
        <f>(VLOOKUP(A243,TradesEquity!$1:$1048576,32,FALSE))</f>
        <v>#N/A</v>
      </c>
      <c r="BI243" s="442" t="e">
        <f>(VLOOKUP(A243,TradesEquity!$1:$1048576,38,FALSE))</f>
        <v>#N/A</v>
      </c>
      <c r="BJ243" s="442" t="e">
        <f>(VLOOKUP(A243,TradesEquity!$1:$1048576,39,FALSE))</f>
        <v>#N/A</v>
      </c>
      <c r="BK243" s="442" t="e">
        <f>(VLOOKUP(A243,TradesEquity!$1:$1048576,40,FALSE))</f>
        <v>#N/A</v>
      </c>
    </row>
    <row r="244" spans="4:63">
      <c r="D244" s="432" t="s">
        <v>2027</v>
      </c>
      <c r="F244" s="433" t="e">
        <f>VLOOKUP(A244,TradesEquity!$1:$1048576,2,FALSE)</f>
        <v>#N/A</v>
      </c>
      <c r="H244" s="433" t="e">
        <f>VLOOKUP(A244,TradesEquity!$1:$1048576,21,FALSE)</f>
        <v>#N/A</v>
      </c>
      <c r="I244" s="434" t="e">
        <f>IF(VLOOKUP(A244,TradesEquity!$1:$1048576,3,FALSE)="BUY","B","S")</f>
        <v>#N/A</v>
      </c>
      <c r="J244" s="434" t="e">
        <f>VLOOKUP(A244,TradesEquity!$1:$1048576,5,FALSE)</f>
        <v>#N/A</v>
      </c>
      <c r="K244" s="432" t="s">
        <v>19</v>
      </c>
      <c r="L244" s="435" t="s">
        <v>2028</v>
      </c>
      <c r="AE244" s="436" t="e">
        <f>VLOOKUP(A244,TradesEquity!$1:$1048576,10,FALSE)</f>
        <v>#N/A</v>
      </c>
      <c r="AF244" s="436" t="e">
        <f t="shared" si="14"/>
        <v>#N/A</v>
      </c>
      <c r="AG244" s="436" t="e">
        <f t="shared" si="15"/>
        <v>#N/A</v>
      </c>
      <c r="AH244" s="436" t="e">
        <f t="shared" si="16"/>
        <v>#N/A</v>
      </c>
      <c r="AI244" s="436" t="e">
        <f>ABS(VLOOKUP(A244,TradesEquity!$1:$1048576,13,FALSE))</f>
        <v>#N/A</v>
      </c>
      <c r="AJ244" s="437">
        <v>0</v>
      </c>
      <c r="AK244" s="437">
        <v>1</v>
      </c>
      <c r="AL244" s="436" t="e">
        <f>VLOOKUP(A244,TradesEquity!$1:$1048576,11,FALSE)</f>
        <v>#N/A</v>
      </c>
      <c r="AM244" s="437">
        <v>1</v>
      </c>
      <c r="AN244" s="436" t="e">
        <f>ABS(VLOOKUP(A244,TradesEquity!$1:$1048576,14,FALSE))</f>
        <v>#N/A</v>
      </c>
      <c r="AO244" s="436" t="e">
        <f>ABS(VLOOKUP(A244,TradesEquity!$1:$1048576,15,FALSE))</f>
        <v>#N/A</v>
      </c>
      <c r="AP244" s="438" t="e">
        <f>ABS(VLOOKUP(A244,TradesEquity!$1:$1048576,16,FALSE))</f>
        <v>#N/A</v>
      </c>
      <c r="AQ244" s="367">
        <v>0</v>
      </c>
      <c r="AR244" s="367">
        <v>0</v>
      </c>
      <c r="AS244" s="367">
        <v>0</v>
      </c>
      <c r="AT244" s="367">
        <v>0</v>
      </c>
      <c r="AU244" s="367">
        <v>0</v>
      </c>
      <c r="AV244" s="438" t="e">
        <f>ABS(VLOOKUP(A244,TradesEquity!$1:$1048576,18,FALSE))</f>
        <v>#N/A</v>
      </c>
      <c r="AW244" s="439">
        <v>0</v>
      </c>
      <c r="AX244" s="440">
        <v>4542</v>
      </c>
      <c r="AY244" s="441" t="s">
        <v>2029</v>
      </c>
      <c r="AZ244" s="442" t="e">
        <f>(VLOOKUP(A244,TradesEquity!$1:$1048576,29,FALSE))</f>
        <v>#N/A</v>
      </c>
      <c r="BA244" s="442" t="e">
        <f>(VLOOKUP(A244,TradesEquity!$1:$1048576,30,FALSE))</f>
        <v>#N/A</v>
      </c>
      <c r="BB244" s="442" t="e">
        <f>(VLOOKUP(A244,TradesEquity!$1:$1048576,31,FALSE))</f>
        <v>#N/A</v>
      </c>
      <c r="BC244" s="442" t="e">
        <f>(VLOOKUP(A244,TradesEquity!$1:$1048576,32,FALSE))</f>
        <v>#N/A</v>
      </c>
      <c r="BI244" s="442" t="e">
        <f>(VLOOKUP(A244,TradesEquity!$1:$1048576,38,FALSE))</f>
        <v>#N/A</v>
      </c>
      <c r="BJ244" s="442" t="e">
        <f>(VLOOKUP(A244,TradesEquity!$1:$1048576,39,FALSE))</f>
        <v>#N/A</v>
      </c>
      <c r="BK244" s="442" t="e">
        <f>(VLOOKUP(A244,TradesEquity!$1:$1048576,40,FALSE))</f>
        <v>#N/A</v>
      </c>
    </row>
    <row r="245" spans="4:63">
      <c r="D245" s="432" t="s">
        <v>2027</v>
      </c>
      <c r="F245" s="433" t="e">
        <f>VLOOKUP(A245,TradesEquity!$1:$1048576,2,FALSE)</f>
        <v>#N/A</v>
      </c>
      <c r="H245" s="433" t="e">
        <f>VLOOKUP(A245,TradesEquity!$1:$1048576,21,FALSE)</f>
        <v>#N/A</v>
      </c>
      <c r="I245" s="434" t="e">
        <f>IF(VLOOKUP(A245,TradesEquity!$1:$1048576,3,FALSE)="BUY","B","S")</f>
        <v>#N/A</v>
      </c>
      <c r="J245" s="434" t="e">
        <f>VLOOKUP(A245,TradesEquity!$1:$1048576,5,FALSE)</f>
        <v>#N/A</v>
      </c>
      <c r="K245" s="432" t="s">
        <v>19</v>
      </c>
      <c r="L245" s="435" t="s">
        <v>2028</v>
      </c>
      <c r="AE245" s="436" t="e">
        <f>VLOOKUP(A245,TradesEquity!$1:$1048576,10,FALSE)</f>
        <v>#N/A</v>
      </c>
      <c r="AF245" s="436" t="e">
        <f t="shared" si="14"/>
        <v>#N/A</v>
      </c>
      <c r="AG245" s="436" t="e">
        <f t="shared" si="15"/>
        <v>#N/A</v>
      </c>
      <c r="AH245" s="436" t="e">
        <f t="shared" si="16"/>
        <v>#N/A</v>
      </c>
      <c r="AI245" s="436" t="e">
        <f>ABS(VLOOKUP(A245,TradesEquity!$1:$1048576,13,FALSE))</f>
        <v>#N/A</v>
      </c>
      <c r="AJ245" s="437">
        <v>0</v>
      </c>
      <c r="AK245" s="437">
        <v>1</v>
      </c>
      <c r="AL245" s="436" t="e">
        <f>VLOOKUP(A245,TradesEquity!$1:$1048576,11,FALSE)</f>
        <v>#N/A</v>
      </c>
      <c r="AM245" s="437">
        <v>1</v>
      </c>
      <c r="AN245" s="436" t="e">
        <f>ABS(VLOOKUP(A245,TradesEquity!$1:$1048576,14,FALSE))</f>
        <v>#N/A</v>
      </c>
      <c r="AO245" s="436" t="e">
        <f>ABS(VLOOKUP(A245,TradesEquity!$1:$1048576,15,FALSE))</f>
        <v>#N/A</v>
      </c>
      <c r="AP245" s="438" t="e">
        <f>ABS(VLOOKUP(A245,TradesEquity!$1:$1048576,16,FALSE))</f>
        <v>#N/A</v>
      </c>
      <c r="AQ245" s="367">
        <v>0</v>
      </c>
      <c r="AR245" s="367">
        <v>0</v>
      </c>
      <c r="AS245" s="367">
        <v>0</v>
      </c>
      <c r="AT245" s="367">
        <v>0</v>
      </c>
      <c r="AU245" s="367">
        <v>0</v>
      </c>
      <c r="AV245" s="438" t="e">
        <f>ABS(VLOOKUP(A245,TradesEquity!$1:$1048576,18,FALSE))</f>
        <v>#N/A</v>
      </c>
      <c r="AW245" s="439">
        <v>0</v>
      </c>
      <c r="AX245" s="440">
        <v>4542</v>
      </c>
      <c r="AY245" s="441" t="s">
        <v>2029</v>
      </c>
      <c r="AZ245" s="442" t="e">
        <f>(VLOOKUP(A245,TradesEquity!$1:$1048576,29,FALSE))</f>
        <v>#N/A</v>
      </c>
      <c r="BA245" s="442" t="e">
        <f>(VLOOKUP(A245,TradesEquity!$1:$1048576,30,FALSE))</f>
        <v>#N/A</v>
      </c>
      <c r="BB245" s="442" t="e">
        <f>(VLOOKUP(A245,TradesEquity!$1:$1048576,31,FALSE))</f>
        <v>#N/A</v>
      </c>
      <c r="BC245" s="442" t="e">
        <f>(VLOOKUP(A245,TradesEquity!$1:$1048576,32,FALSE))</f>
        <v>#N/A</v>
      </c>
      <c r="BI245" s="442" t="e">
        <f>(VLOOKUP(A245,TradesEquity!$1:$1048576,38,FALSE))</f>
        <v>#N/A</v>
      </c>
      <c r="BJ245" s="442" t="e">
        <f>(VLOOKUP(A245,TradesEquity!$1:$1048576,39,FALSE))</f>
        <v>#N/A</v>
      </c>
      <c r="BK245" s="442" t="e">
        <f>(VLOOKUP(A245,TradesEquity!$1:$1048576,40,FALSE))</f>
        <v>#N/A</v>
      </c>
    </row>
    <row r="246" spans="4:63">
      <c r="D246" s="432" t="s">
        <v>2027</v>
      </c>
      <c r="F246" s="433" t="e">
        <f>VLOOKUP(A246,TradesEquity!$1:$1048576,2,FALSE)</f>
        <v>#N/A</v>
      </c>
      <c r="H246" s="433" t="e">
        <f>VLOOKUP(A246,TradesEquity!$1:$1048576,21,FALSE)</f>
        <v>#N/A</v>
      </c>
      <c r="I246" s="434" t="e">
        <f>IF(VLOOKUP(A246,TradesEquity!$1:$1048576,3,FALSE)="BUY","B","S")</f>
        <v>#N/A</v>
      </c>
      <c r="J246" s="434" t="e">
        <f>VLOOKUP(A246,TradesEquity!$1:$1048576,5,FALSE)</f>
        <v>#N/A</v>
      </c>
      <c r="K246" s="432" t="s">
        <v>19</v>
      </c>
      <c r="L246" s="435" t="s">
        <v>2028</v>
      </c>
      <c r="AE246" s="436" t="e">
        <f>VLOOKUP(A246,TradesEquity!$1:$1048576,10,FALSE)</f>
        <v>#N/A</v>
      </c>
      <c r="AF246" s="436" t="e">
        <f t="shared" si="14"/>
        <v>#N/A</v>
      </c>
      <c r="AG246" s="436" t="e">
        <f t="shared" si="15"/>
        <v>#N/A</v>
      </c>
      <c r="AH246" s="436" t="e">
        <f t="shared" si="16"/>
        <v>#N/A</v>
      </c>
      <c r="AI246" s="436" t="e">
        <f>ABS(VLOOKUP(A246,TradesEquity!$1:$1048576,13,FALSE))</f>
        <v>#N/A</v>
      </c>
      <c r="AJ246" s="437">
        <v>0</v>
      </c>
      <c r="AK246" s="437">
        <v>1</v>
      </c>
      <c r="AL246" s="436" t="e">
        <f>VLOOKUP(A246,TradesEquity!$1:$1048576,11,FALSE)</f>
        <v>#N/A</v>
      </c>
      <c r="AM246" s="437">
        <v>1</v>
      </c>
      <c r="AN246" s="436" t="e">
        <f>ABS(VLOOKUP(A246,TradesEquity!$1:$1048576,14,FALSE))</f>
        <v>#N/A</v>
      </c>
      <c r="AO246" s="436" t="e">
        <f>ABS(VLOOKUP(A246,TradesEquity!$1:$1048576,15,FALSE))</f>
        <v>#N/A</v>
      </c>
      <c r="AP246" s="438" t="e">
        <f>ABS(VLOOKUP(A246,TradesEquity!$1:$1048576,16,FALSE))</f>
        <v>#N/A</v>
      </c>
      <c r="AQ246" s="367">
        <v>0</v>
      </c>
      <c r="AR246" s="367">
        <v>0</v>
      </c>
      <c r="AS246" s="367">
        <v>0</v>
      </c>
      <c r="AT246" s="367">
        <v>0</v>
      </c>
      <c r="AU246" s="367">
        <v>0</v>
      </c>
      <c r="AV246" s="438" t="e">
        <f>ABS(VLOOKUP(A246,TradesEquity!$1:$1048576,18,FALSE))</f>
        <v>#N/A</v>
      </c>
      <c r="AW246" s="439">
        <v>0</v>
      </c>
      <c r="AX246" s="440">
        <v>4542</v>
      </c>
      <c r="AY246" s="441" t="s">
        <v>2029</v>
      </c>
      <c r="AZ246" s="442" t="e">
        <f>(VLOOKUP(A246,TradesEquity!$1:$1048576,29,FALSE))</f>
        <v>#N/A</v>
      </c>
      <c r="BA246" s="442" t="e">
        <f>(VLOOKUP(A246,TradesEquity!$1:$1048576,30,FALSE))</f>
        <v>#N/A</v>
      </c>
      <c r="BB246" s="442" t="e">
        <f>(VLOOKUP(A246,TradesEquity!$1:$1048576,31,FALSE))</f>
        <v>#N/A</v>
      </c>
      <c r="BC246" s="442" t="e">
        <f>(VLOOKUP(A246,TradesEquity!$1:$1048576,32,FALSE))</f>
        <v>#N/A</v>
      </c>
      <c r="BI246" s="442" t="e">
        <f>(VLOOKUP(A246,TradesEquity!$1:$1048576,38,FALSE))</f>
        <v>#N/A</v>
      </c>
      <c r="BJ246" s="442" t="e">
        <f>(VLOOKUP(A246,TradesEquity!$1:$1048576,39,FALSE))</f>
        <v>#N/A</v>
      </c>
      <c r="BK246" s="442" t="e">
        <f>(VLOOKUP(A246,TradesEquity!$1:$1048576,40,FALSE))</f>
        <v>#N/A</v>
      </c>
    </row>
    <row r="247" spans="4:63">
      <c r="D247" s="432" t="s">
        <v>2027</v>
      </c>
      <c r="F247" s="433" t="e">
        <f>VLOOKUP(A247,TradesEquity!$1:$1048576,2,FALSE)</f>
        <v>#N/A</v>
      </c>
      <c r="H247" s="433" t="e">
        <f>VLOOKUP(A247,TradesEquity!$1:$1048576,21,FALSE)</f>
        <v>#N/A</v>
      </c>
      <c r="I247" s="434" t="e">
        <f>IF(VLOOKUP(A247,TradesEquity!$1:$1048576,3,FALSE)="BUY","B","S")</f>
        <v>#N/A</v>
      </c>
      <c r="J247" s="434" t="e">
        <f>VLOOKUP(A247,TradesEquity!$1:$1048576,5,FALSE)</f>
        <v>#N/A</v>
      </c>
      <c r="K247" s="432" t="s">
        <v>19</v>
      </c>
      <c r="L247" s="435" t="s">
        <v>2028</v>
      </c>
      <c r="AE247" s="436" t="e">
        <f>VLOOKUP(A247,TradesEquity!$1:$1048576,10,FALSE)</f>
        <v>#N/A</v>
      </c>
      <c r="AF247" s="436" t="e">
        <f t="shared" si="14"/>
        <v>#N/A</v>
      </c>
      <c r="AG247" s="436" t="e">
        <f t="shared" si="15"/>
        <v>#N/A</v>
      </c>
      <c r="AH247" s="436" t="e">
        <f t="shared" si="16"/>
        <v>#N/A</v>
      </c>
      <c r="AI247" s="436" t="e">
        <f>ABS(VLOOKUP(A247,TradesEquity!$1:$1048576,13,FALSE))</f>
        <v>#N/A</v>
      </c>
      <c r="AJ247" s="437">
        <v>0</v>
      </c>
      <c r="AK247" s="437">
        <v>1</v>
      </c>
      <c r="AL247" s="436" t="e">
        <f>VLOOKUP(A247,TradesEquity!$1:$1048576,11,FALSE)</f>
        <v>#N/A</v>
      </c>
      <c r="AM247" s="437">
        <v>1</v>
      </c>
      <c r="AN247" s="436" t="e">
        <f>ABS(VLOOKUP(A247,TradesEquity!$1:$1048576,14,FALSE))</f>
        <v>#N/A</v>
      </c>
      <c r="AO247" s="436" t="e">
        <f>ABS(VLOOKUP(A247,TradesEquity!$1:$1048576,15,FALSE))</f>
        <v>#N/A</v>
      </c>
      <c r="AP247" s="438" t="e">
        <f>ABS(VLOOKUP(A247,TradesEquity!$1:$1048576,16,FALSE))</f>
        <v>#N/A</v>
      </c>
      <c r="AQ247" s="367">
        <v>0</v>
      </c>
      <c r="AR247" s="367">
        <v>0</v>
      </c>
      <c r="AS247" s="367">
        <v>0</v>
      </c>
      <c r="AT247" s="367">
        <v>0</v>
      </c>
      <c r="AU247" s="367">
        <v>0</v>
      </c>
      <c r="AV247" s="438" t="e">
        <f>ABS(VLOOKUP(A247,TradesEquity!$1:$1048576,18,FALSE))</f>
        <v>#N/A</v>
      </c>
      <c r="AW247" s="439">
        <v>0</v>
      </c>
      <c r="AX247" s="440">
        <v>4542</v>
      </c>
      <c r="AY247" s="441" t="s">
        <v>2029</v>
      </c>
      <c r="AZ247" s="442" t="e">
        <f>(VLOOKUP(A247,TradesEquity!$1:$1048576,29,FALSE))</f>
        <v>#N/A</v>
      </c>
      <c r="BA247" s="442" t="e">
        <f>(VLOOKUP(A247,TradesEquity!$1:$1048576,30,FALSE))</f>
        <v>#N/A</v>
      </c>
      <c r="BB247" s="442" t="e">
        <f>(VLOOKUP(A247,TradesEquity!$1:$1048576,31,FALSE))</f>
        <v>#N/A</v>
      </c>
      <c r="BC247" s="442" t="e">
        <f>(VLOOKUP(A247,TradesEquity!$1:$1048576,32,FALSE))</f>
        <v>#N/A</v>
      </c>
      <c r="BI247" s="442" t="e">
        <f>(VLOOKUP(A247,TradesEquity!$1:$1048576,38,FALSE))</f>
        <v>#N/A</v>
      </c>
      <c r="BJ247" s="442" t="e">
        <f>(VLOOKUP(A247,TradesEquity!$1:$1048576,39,FALSE))</f>
        <v>#N/A</v>
      </c>
      <c r="BK247" s="442" t="e">
        <f>(VLOOKUP(A247,TradesEquity!$1:$1048576,40,FALSE))</f>
        <v>#N/A</v>
      </c>
    </row>
    <row r="248" spans="4:63">
      <c r="D248" s="432" t="s">
        <v>2027</v>
      </c>
      <c r="F248" s="433" t="e">
        <f>VLOOKUP(A248,TradesEquity!$1:$1048576,2,FALSE)</f>
        <v>#N/A</v>
      </c>
      <c r="H248" s="433" t="e">
        <f>VLOOKUP(A248,TradesEquity!$1:$1048576,21,FALSE)</f>
        <v>#N/A</v>
      </c>
      <c r="I248" s="434" t="e">
        <f>IF(VLOOKUP(A248,TradesEquity!$1:$1048576,3,FALSE)="BUY","B","S")</f>
        <v>#N/A</v>
      </c>
      <c r="J248" s="434" t="e">
        <f>VLOOKUP(A248,TradesEquity!$1:$1048576,5,FALSE)</f>
        <v>#N/A</v>
      </c>
      <c r="K248" s="432" t="s">
        <v>19</v>
      </c>
      <c r="L248" s="435" t="s">
        <v>2028</v>
      </c>
      <c r="AE248" s="436" t="e">
        <f>VLOOKUP(A248,TradesEquity!$1:$1048576,10,FALSE)</f>
        <v>#N/A</v>
      </c>
      <c r="AF248" s="436" t="e">
        <f t="shared" si="14"/>
        <v>#N/A</v>
      </c>
      <c r="AG248" s="436" t="e">
        <f t="shared" si="15"/>
        <v>#N/A</v>
      </c>
      <c r="AH248" s="436" t="e">
        <f t="shared" si="16"/>
        <v>#N/A</v>
      </c>
      <c r="AI248" s="436" t="e">
        <f>ABS(VLOOKUP(A248,TradesEquity!$1:$1048576,13,FALSE))</f>
        <v>#N/A</v>
      </c>
      <c r="AJ248" s="437">
        <v>0</v>
      </c>
      <c r="AK248" s="437">
        <v>1</v>
      </c>
      <c r="AL248" s="436" t="e">
        <f>VLOOKUP(A248,TradesEquity!$1:$1048576,11,FALSE)</f>
        <v>#N/A</v>
      </c>
      <c r="AM248" s="437">
        <v>1</v>
      </c>
      <c r="AN248" s="436" t="e">
        <f>ABS(VLOOKUP(A248,TradesEquity!$1:$1048576,14,FALSE))</f>
        <v>#N/A</v>
      </c>
      <c r="AO248" s="436" t="e">
        <f>ABS(VLOOKUP(A248,TradesEquity!$1:$1048576,15,FALSE))</f>
        <v>#N/A</v>
      </c>
      <c r="AP248" s="438" t="e">
        <f>ABS(VLOOKUP(A248,TradesEquity!$1:$1048576,16,FALSE))</f>
        <v>#N/A</v>
      </c>
      <c r="AQ248" s="367">
        <v>0</v>
      </c>
      <c r="AR248" s="367">
        <v>0</v>
      </c>
      <c r="AS248" s="367">
        <v>0</v>
      </c>
      <c r="AT248" s="367">
        <v>0</v>
      </c>
      <c r="AU248" s="367">
        <v>0</v>
      </c>
      <c r="AV248" s="438" t="e">
        <f>ABS(VLOOKUP(A248,TradesEquity!$1:$1048576,18,FALSE))</f>
        <v>#N/A</v>
      </c>
      <c r="AW248" s="439">
        <v>0</v>
      </c>
      <c r="AX248" s="440">
        <v>4542</v>
      </c>
      <c r="AY248" s="441" t="s">
        <v>2029</v>
      </c>
      <c r="AZ248" s="442" t="e">
        <f>(VLOOKUP(A248,TradesEquity!$1:$1048576,29,FALSE))</f>
        <v>#N/A</v>
      </c>
      <c r="BA248" s="442" t="e">
        <f>(VLOOKUP(A248,TradesEquity!$1:$1048576,30,FALSE))</f>
        <v>#N/A</v>
      </c>
      <c r="BB248" s="442" t="e">
        <f>(VLOOKUP(A248,TradesEquity!$1:$1048576,31,FALSE))</f>
        <v>#N/A</v>
      </c>
      <c r="BC248" s="442" t="e">
        <f>(VLOOKUP(A248,TradesEquity!$1:$1048576,32,FALSE))</f>
        <v>#N/A</v>
      </c>
      <c r="BI248" s="442" t="e">
        <f>(VLOOKUP(A248,TradesEquity!$1:$1048576,38,FALSE))</f>
        <v>#N/A</v>
      </c>
      <c r="BJ248" s="442" t="e">
        <f>(VLOOKUP(A248,TradesEquity!$1:$1048576,39,FALSE))</f>
        <v>#N/A</v>
      </c>
      <c r="BK248" s="442" t="e">
        <f>(VLOOKUP(A248,TradesEquity!$1:$1048576,40,FALSE))</f>
        <v>#N/A</v>
      </c>
    </row>
    <row r="249" spans="4:63">
      <c r="D249" s="432" t="s">
        <v>2027</v>
      </c>
      <c r="F249" s="433" t="e">
        <f>VLOOKUP(A249,TradesEquity!$1:$1048576,2,FALSE)</f>
        <v>#N/A</v>
      </c>
      <c r="H249" s="433" t="e">
        <f>VLOOKUP(A249,TradesEquity!$1:$1048576,21,FALSE)</f>
        <v>#N/A</v>
      </c>
      <c r="I249" s="434" t="e">
        <f>IF(VLOOKUP(A249,TradesEquity!$1:$1048576,3,FALSE)="BUY","B","S")</f>
        <v>#N/A</v>
      </c>
      <c r="J249" s="434" t="e">
        <f>VLOOKUP(A249,TradesEquity!$1:$1048576,5,FALSE)</f>
        <v>#N/A</v>
      </c>
      <c r="K249" s="432" t="s">
        <v>19</v>
      </c>
      <c r="L249" s="435" t="s">
        <v>2028</v>
      </c>
      <c r="AE249" s="436" t="e">
        <f>VLOOKUP(A249,TradesEquity!$1:$1048576,10,FALSE)</f>
        <v>#N/A</v>
      </c>
      <c r="AF249" s="436" t="e">
        <f t="shared" si="14"/>
        <v>#N/A</v>
      </c>
      <c r="AG249" s="436" t="e">
        <f t="shared" si="15"/>
        <v>#N/A</v>
      </c>
      <c r="AH249" s="436" t="e">
        <f t="shared" si="16"/>
        <v>#N/A</v>
      </c>
      <c r="AI249" s="436" t="e">
        <f>ABS(VLOOKUP(A249,TradesEquity!$1:$1048576,13,FALSE))</f>
        <v>#N/A</v>
      </c>
      <c r="AJ249" s="437">
        <v>0</v>
      </c>
      <c r="AK249" s="437">
        <v>1</v>
      </c>
      <c r="AL249" s="436" t="e">
        <f>VLOOKUP(A249,TradesEquity!$1:$1048576,11,FALSE)</f>
        <v>#N/A</v>
      </c>
      <c r="AM249" s="437">
        <v>1</v>
      </c>
      <c r="AN249" s="436" t="e">
        <f>ABS(VLOOKUP(A249,TradesEquity!$1:$1048576,14,FALSE))</f>
        <v>#N/A</v>
      </c>
      <c r="AO249" s="436" t="e">
        <f>ABS(VLOOKUP(A249,TradesEquity!$1:$1048576,15,FALSE))</f>
        <v>#N/A</v>
      </c>
      <c r="AP249" s="438" t="e">
        <f>ABS(VLOOKUP(A249,TradesEquity!$1:$1048576,16,FALSE))</f>
        <v>#N/A</v>
      </c>
      <c r="AQ249" s="367">
        <v>0</v>
      </c>
      <c r="AR249" s="367">
        <v>0</v>
      </c>
      <c r="AS249" s="367">
        <v>0</v>
      </c>
      <c r="AT249" s="367">
        <v>0</v>
      </c>
      <c r="AU249" s="367">
        <v>0</v>
      </c>
      <c r="AV249" s="438" t="e">
        <f>ABS(VLOOKUP(A249,TradesEquity!$1:$1048576,18,FALSE))</f>
        <v>#N/A</v>
      </c>
      <c r="AW249" s="439">
        <v>0</v>
      </c>
      <c r="AX249" s="440">
        <v>4542</v>
      </c>
      <c r="AY249" s="441" t="s">
        <v>2029</v>
      </c>
      <c r="AZ249" s="442" t="e">
        <f>(VLOOKUP(A249,TradesEquity!$1:$1048576,29,FALSE))</f>
        <v>#N/A</v>
      </c>
      <c r="BA249" s="442" t="e">
        <f>(VLOOKUP(A249,TradesEquity!$1:$1048576,30,FALSE))</f>
        <v>#N/A</v>
      </c>
      <c r="BB249" s="442" t="e">
        <f>(VLOOKUP(A249,TradesEquity!$1:$1048576,31,FALSE))</f>
        <v>#N/A</v>
      </c>
      <c r="BC249" s="442" t="e">
        <f>(VLOOKUP(A249,TradesEquity!$1:$1048576,32,FALSE))</f>
        <v>#N/A</v>
      </c>
      <c r="BI249" s="442" t="e">
        <f>(VLOOKUP(A249,TradesEquity!$1:$1048576,38,FALSE))</f>
        <v>#N/A</v>
      </c>
      <c r="BJ249" s="442" t="e">
        <f>(VLOOKUP(A249,TradesEquity!$1:$1048576,39,FALSE))</f>
        <v>#N/A</v>
      </c>
      <c r="BK249" s="442" t="e">
        <f>(VLOOKUP(A249,TradesEquity!$1:$1048576,40,FALSE))</f>
        <v>#N/A</v>
      </c>
    </row>
    <row r="250" spans="4:63">
      <c r="D250" s="432" t="s">
        <v>2027</v>
      </c>
      <c r="F250" s="433" t="e">
        <f>VLOOKUP(A250,TradesEquity!$1:$1048576,2,FALSE)</f>
        <v>#N/A</v>
      </c>
      <c r="H250" s="433" t="e">
        <f>VLOOKUP(A250,TradesEquity!$1:$1048576,21,FALSE)</f>
        <v>#N/A</v>
      </c>
      <c r="I250" s="434" t="e">
        <f>IF(VLOOKUP(A250,TradesEquity!$1:$1048576,3,FALSE)="BUY","B","S")</f>
        <v>#N/A</v>
      </c>
      <c r="J250" s="434" t="e">
        <f>VLOOKUP(A250,TradesEquity!$1:$1048576,5,FALSE)</f>
        <v>#N/A</v>
      </c>
      <c r="K250" s="432" t="s">
        <v>19</v>
      </c>
      <c r="L250" s="435" t="s">
        <v>2028</v>
      </c>
      <c r="AE250" s="436" t="e">
        <f>VLOOKUP(A250,TradesEquity!$1:$1048576,10,FALSE)</f>
        <v>#N/A</v>
      </c>
      <c r="AF250" s="436" t="e">
        <f t="shared" si="14"/>
        <v>#N/A</v>
      </c>
      <c r="AG250" s="436" t="e">
        <f t="shared" si="15"/>
        <v>#N/A</v>
      </c>
      <c r="AH250" s="436" t="e">
        <f t="shared" si="16"/>
        <v>#N/A</v>
      </c>
      <c r="AI250" s="436" t="e">
        <f>ABS(VLOOKUP(A250,TradesEquity!$1:$1048576,13,FALSE))</f>
        <v>#N/A</v>
      </c>
      <c r="AJ250" s="437">
        <v>0</v>
      </c>
      <c r="AK250" s="437">
        <v>1</v>
      </c>
      <c r="AL250" s="436" t="e">
        <f>VLOOKUP(A250,TradesEquity!$1:$1048576,11,FALSE)</f>
        <v>#N/A</v>
      </c>
      <c r="AM250" s="437">
        <v>1</v>
      </c>
      <c r="AN250" s="436" t="e">
        <f>ABS(VLOOKUP(A250,TradesEquity!$1:$1048576,14,FALSE))</f>
        <v>#N/A</v>
      </c>
      <c r="AO250" s="436" t="e">
        <f>ABS(VLOOKUP(A250,TradesEquity!$1:$1048576,15,FALSE))</f>
        <v>#N/A</v>
      </c>
      <c r="AP250" s="438" t="e">
        <f>ABS(VLOOKUP(A250,TradesEquity!$1:$1048576,16,FALSE))</f>
        <v>#N/A</v>
      </c>
      <c r="AQ250" s="367">
        <v>0</v>
      </c>
      <c r="AR250" s="367">
        <v>0</v>
      </c>
      <c r="AS250" s="367">
        <v>0</v>
      </c>
      <c r="AT250" s="367">
        <v>0</v>
      </c>
      <c r="AU250" s="367">
        <v>0</v>
      </c>
      <c r="AV250" s="438" t="e">
        <f>ABS(VLOOKUP(A250,TradesEquity!$1:$1048576,18,FALSE))</f>
        <v>#N/A</v>
      </c>
      <c r="AW250" s="439">
        <v>0</v>
      </c>
      <c r="AX250" s="440">
        <v>4542</v>
      </c>
      <c r="AY250" s="441" t="s">
        <v>2029</v>
      </c>
      <c r="AZ250" s="442" t="e">
        <f>(VLOOKUP(A250,TradesEquity!$1:$1048576,29,FALSE))</f>
        <v>#N/A</v>
      </c>
      <c r="BA250" s="442" t="e">
        <f>(VLOOKUP(A250,TradesEquity!$1:$1048576,30,FALSE))</f>
        <v>#N/A</v>
      </c>
      <c r="BB250" s="442" t="e">
        <f>(VLOOKUP(A250,TradesEquity!$1:$1048576,31,FALSE))</f>
        <v>#N/A</v>
      </c>
      <c r="BC250" s="442" t="e">
        <f>(VLOOKUP(A250,TradesEquity!$1:$1048576,32,FALSE))</f>
        <v>#N/A</v>
      </c>
      <c r="BI250" s="442" t="e">
        <f>(VLOOKUP(A250,TradesEquity!$1:$1048576,38,FALSE))</f>
        <v>#N/A</v>
      </c>
      <c r="BJ250" s="442" t="e">
        <f>(VLOOKUP(A250,TradesEquity!$1:$1048576,39,FALSE))</f>
        <v>#N/A</v>
      </c>
      <c r="BK250" s="442" t="e">
        <f>(VLOOKUP(A250,TradesEquity!$1:$1048576,40,FALSE))</f>
        <v>#N/A</v>
      </c>
    </row>
    <row r="251" spans="4:63">
      <c r="D251" s="432" t="s">
        <v>2027</v>
      </c>
      <c r="F251" s="433" t="e">
        <f>VLOOKUP(A251,TradesEquity!$1:$1048576,2,FALSE)</f>
        <v>#N/A</v>
      </c>
      <c r="H251" s="433" t="e">
        <f>VLOOKUP(A251,TradesEquity!$1:$1048576,21,FALSE)</f>
        <v>#N/A</v>
      </c>
      <c r="I251" s="434" t="e">
        <f>IF(VLOOKUP(A251,TradesEquity!$1:$1048576,3,FALSE)="BUY","B","S")</f>
        <v>#N/A</v>
      </c>
      <c r="J251" s="434" t="e">
        <f>VLOOKUP(A251,TradesEquity!$1:$1048576,5,FALSE)</f>
        <v>#N/A</v>
      </c>
      <c r="K251" s="432" t="s">
        <v>19</v>
      </c>
      <c r="L251" s="435" t="s">
        <v>2028</v>
      </c>
      <c r="AE251" s="436" t="e">
        <f>VLOOKUP(A251,TradesEquity!$1:$1048576,10,FALSE)</f>
        <v>#N/A</v>
      </c>
      <c r="AF251" s="436" t="e">
        <f t="shared" si="14"/>
        <v>#N/A</v>
      </c>
      <c r="AG251" s="436" t="e">
        <f t="shared" si="15"/>
        <v>#N/A</v>
      </c>
      <c r="AH251" s="436" t="e">
        <f t="shared" si="16"/>
        <v>#N/A</v>
      </c>
      <c r="AI251" s="436" t="e">
        <f>ABS(VLOOKUP(A251,TradesEquity!$1:$1048576,13,FALSE))</f>
        <v>#N/A</v>
      </c>
      <c r="AJ251" s="437">
        <v>0</v>
      </c>
      <c r="AK251" s="437">
        <v>1</v>
      </c>
      <c r="AL251" s="436" t="e">
        <f>VLOOKUP(A251,TradesEquity!$1:$1048576,11,FALSE)</f>
        <v>#N/A</v>
      </c>
      <c r="AM251" s="437">
        <v>1</v>
      </c>
      <c r="AN251" s="436" t="e">
        <f>ABS(VLOOKUP(A251,TradesEquity!$1:$1048576,14,FALSE))</f>
        <v>#N/A</v>
      </c>
      <c r="AO251" s="436" t="e">
        <f>ABS(VLOOKUP(A251,TradesEquity!$1:$1048576,15,FALSE))</f>
        <v>#N/A</v>
      </c>
      <c r="AP251" s="438" t="e">
        <f>ABS(VLOOKUP(A251,TradesEquity!$1:$1048576,16,FALSE))</f>
        <v>#N/A</v>
      </c>
      <c r="AQ251" s="367">
        <v>0</v>
      </c>
      <c r="AR251" s="367">
        <v>0</v>
      </c>
      <c r="AS251" s="367">
        <v>0</v>
      </c>
      <c r="AT251" s="367">
        <v>0</v>
      </c>
      <c r="AU251" s="367">
        <v>0</v>
      </c>
      <c r="AV251" s="438" t="e">
        <f>ABS(VLOOKUP(A251,TradesEquity!$1:$1048576,18,FALSE))</f>
        <v>#N/A</v>
      </c>
      <c r="AW251" s="439">
        <v>0</v>
      </c>
      <c r="AX251" s="440">
        <v>4542</v>
      </c>
      <c r="AY251" s="441" t="s">
        <v>2029</v>
      </c>
      <c r="AZ251" s="442" t="e">
        <f>(VLOOKUP(A251,TradesEquity!$1:$1048576,29,FALSE))</f>
        <v>#N/A</v>
      </c>
      <c r="BA251" s="442" t="e">
        <f>(VLOOKUP(A251,TradesEquity!$1:$1048576,30,FALSE))</f>
        <v>#N/A</v>
      </c>
      <c r="BB251" s="442" t="e">
        <f>(VLOOKUP(A251,TradesEquity!$1:$1048576,31,FALSE))</f>
        <v>#N/A</v>
      </c>
      <c r="BC251" s="442" t="e">
        <f>(VLOOKUP(A251,TradesEquity!$1:$1048576,32,FALSE))</f>
        <v>#N/A</v>
      </c>
      <c r="BI251" s="442" t="e">
        <f>(VLOOKUP(A251,TradesEquity!$1:$1048576,38,FALSE))</f>
        <v>#N/A</v>
      </c>
      <c r="BJ251" s="442" t="e">
        <f>(VLOOKUP(A251,TradesEquity!$1:$1048576,39,FALSE))</f>
        <v>#N/A</v>
      </c>
      <c r="BK251" s="442" t="e">
        <f>(VLOOKUP(A251,TradesEquity!$1:$1048576,40,FALSE))</f>
        <v>#N/A</v>
      </c>
    </row>
    <row r="252" spans="4:63">
      <c r="D252" s="432" t="s">
        <v>2027</v>
      </c>
      <c r="F252" s="433" t="e">
        <f>VLOOKUP(A252,TradesEquity!$1:$1048576,2,FALSE)</f>
        <v>#N/A</v>
      </c>
      <c r="H252" s="433" t="e">
        <f>VLOOKUP(A252,TradesEquity!$1:$1048576,21,FALSE)</f>
        <v>#N/A</v>
      </c>
      <c r="I252" s="434" t="e">
        <f>IF(VLOOKUP(A252,TradesEquity!$1:$1048576,3,FALSE)="BUY","B","S")</f>
        <v>#N/A</v>
      </c>
      <c r="J252" s="434" t="e">
        <f>VLOOKUP(A252,TradesEquity!$1:$1048576,5,FALSE)</f>
        <v>#N/A</v>
      </c>
      <c r="K252" s="432" t="s">
        <v>19</v>
      </c>
      <c r="L252" s="435" t="s">
        <v>2028</v>
      </c>
      <c r="AE252" s="436" t="e">
        <f>VLOOKUP(A252,TradesEquity!$1:$1048576,10,FALSE)</f>
        <v>#N/A</v>
      </c>
      <c r="AF252" s="436" t="e">
        <f t="shared" si="14"/>
        <v>#N/A</v>
      </c>
      <c r="AG252" s="436" t="e">
        <f t="shared" si="15"/>
        <v>#N/A</v>
      </c>
      <c r="AH252" s="436" t="e">
        <f t="shared" si="16"/>
        <v>#N/A</v>
      </c>
      <c r="AI252" s="436" t="e">
        <f>ABS(VLOOKUP(A252,TradesEquity!$1:$1048576,13,FALSE))</f>
        <v>#N/A</v>
      </c>
      <c r="AJ252" s="437">
        <v>0</v>
      </c>
      <c r="AK252" s="437">
        <v>1</v>
      </c>
      <c r="AL252" s="436" t="e">
        <f>VLOOKUP(A252,TradesEquity!$1:$1048576,11,FALSE)</f>
        <v>#N/A</v>
      </c>
      <c r="AM252" s="437">
        <v>1</v>
      </c>
      <c r="AN252" s="436" t="e">
        <f>ABS(VLOOKUP(A252,TradesEquity!$1:$1048576,14,FALSE))</f>
        <v>#N/A</v>
      </c>
      <c r="AO252" s="436" t="e">
        <f>ABS(VLOOKUP(A252,TradesEquity!$1:$1048576,15,FALSE))</f>
        <v>#N/A</v>
      </c>
      <c r="AP252" s="438" t="e">
        <f>ABS(VLOOKUP(A252,TradesEquity!$1:$1048576,16,FALSE))</f>
        <v>#N/A</v>
      </c>
      <c r="AQ252" s="367">
        <v>0</v>
      </c>
      <c r="AR252" s="367">
        <v>0</v>
      </c>
      <c r="AS252" s="367">
        <v>0</v>
      </c>
      <c r="AT252" s="367">
        <v>0</v>
      </c>
      <c r="AU252" s="367">
        <v>0</v>
      </c>
      <c r="AV252" s="438" t="e">
        <f>ABS(VLOOKUP(A252,TradesEquity!$1:$1048576,18,FALSE))</f>
        <v>#N/A</v>
      </c>
      <c r="AW252" s="439">
        <v>0</v>
      </c>
      <c r="AX252" s="440">
        <v>4542</v>
      </c>
      <c r="AY252" s="441" t="s">
        <v>2029</v>
      </c>
      <c r="AZ252" s="442" t="e">
        <f>(VLOOKUP(A252,TradesEquity!$1:$1048576,29,FALSE))</f>
        <v>#N/A</v>
      </c>
      <c r="BA252" s="442" t="e">
        <f>(VLOOKUP(A252,TradesEquity!$1:$1048576,30,FALSE))</f>
        <v>#N/A</v>
      </c>
      <c r="BB252" s="442" t="e">
        <f>(VLOOKUP(A252,TradesEquity!$1:$1048576,31,FALSE))</f>
        <v>#N/A</v>
      </c>
      <c r="BC252" s="442" t="e">
        <f>(VLOOKUP(A252,TradesEquity!$1:$1048576,32,FALSE))</f>
        <v>#N/A</v>
      </c>
      <c r="BI252" s="442" t="e">
        <f>(VLOOKUP(A252,TradesEquity!$1:$1048576,38,FALSE))</f>
        <v>#N/A</v>
      </c>
      <c r="BJ252" s="442" t="e">
        <f>(VLOOKUP(A252,TradesEquity!$1:$1048576,39,FALSE))</f>
        <v>#N/A</v>
      </c>
      <c r="BK252" s="442" t="e">
        <f>(VLOOKUP(A252,TradesEquity!$1:$1048576,40,FALSE))</f>
        <v>#N/A</v>
      </c>
    </row>
    <row r="253" spans="4:63">
      <c r="D253" s="432" t="s">
        <v>2027</v>
      </c>
      <c r="F253" s="433" t="e">
        <f>VLOOKUP(A253,TradesEquity!$1:$1048576,2,FALSE)</f>
        <v>#N/A</v>
      </c>
      <c r="H253" s="433" t="e">
        <f>VLOOKUP(A253,TradesEquity!$1:$1048576,21,FALSE)</f>
        <v>#N/A</v>
      </c>
      <c r="I253" s="434" t="e">
        <f>IF(VLOOKUP(A253,TradesEquity!$1:$1048576,3,FALSE)="BUY","B","S")</f>
        <v>#N/A</v>
      </c>
      <c r="J253" s="434" t="e">
        <f>VLOOKUP(A253,TradesEquity!$1:$1048576,5,FALSE)</f>
        <v>#N/A</v>
      </c>
      <c r="K253" s="432" t="s">
        <v>19</v>
      </c>
      <c r="L253" s="435" t="s">
        <v>2028</v>
      </c>
      <c r="AE253" s="436" t="e">
        <f>VLOOKUP(A253,TradesEquity!$1:$1048576,10,FALSE)</f>
        <v>#N/A</v>
      </c>
      <c r="AF253" s="436" t="e">
        <f t="shared" si="14"/>
        <v>#N/A</v>
      </c>
      <c r="AG253" s="436" t="e">
        <f t="shared" si="15"/>
        <v>#N/A</v>
      </c>
      <c r="AH253" s="436" t="e">
        <f t="shared" si="16"/>
        <v>#N/A</v>
      </c>
      <c r="AI253" s="436" t="e">
        <f>ABS(VLOOKUP(A253,TradesEquity!$1:$1048576,13,FALSE))</f>
        <v>#N/A</v>
      </c>
      <c r="AJ253" s="437">
        <v>0</v>
      </c>
      <c r="AK253" s="437">
        <v>1</v>
      </c>
      <c r="AL253" s="436" t="e">
        <f>VLOOKUP(A253,TradesEquity!$1:$1048576,11,FALSE)</f>
        <v>#N/A</v>
      </c>
      <c r="AM253" s="437">
        <v>1</v>
      </c>
      <c r="AN253" s="436" t="e">
        <f>ABS(VLOOKUP(A253,TradesEquity!$1:$1048576,14,FALSE))</f>
        <v>#N/A</v>
      </c>
      <c r="AO253" s="436" t="e">
        <f>ABS(VLOOKUP(A253,TradesEquity!$1:$1048576,15,FALSE))</f>
        <v>#N/A</v>
      </c>
      <c r="AP253" s="438" t="e">
        <f>ABS(VLOOKUP(A253,TradesEquity!$1:$1048576,16,FALSE))</f>
        <v>#N/A</v>
      </c>
      <c r="AQ253" s="367">
        <v>0</v>
      </c>
      <c r="AR253" s="367">
        <v>0</v>
      </c>
      <c r="AS253" s="367">
        <v>0</v>
      </c>
      <c r="AT253" s="367">
        <v>0</v>
      </c>
      <c r="AU253" s="367">
        <v>0</v>
      </c>
      <c r="AV253" s="438" t="e">
        <f>ABS(VLOOKUP(A253,TradesEquity!$1:$1048576,18,FALSE))</f>
        <v>#N/A</v>
      </c>
      <c r="AW253" s="439">
        <v>0</v>
      </c>
      <c r="AX253" s="440">
        <v>4542</v>
      </c>
      <c r="AY253" s="441" t="s">
        <v>2029</v>
      </c>
      <c r="AZ253" s="442" t="e">
        <f>(VLOOKUP(A253,TradesEquity!$1:$1048576,29,FALSE))</f>
        <v>#N/A</v>
      </c>
      <c r="BA253" s="442" t="e">
        <f>(VLOOKUP(A253,TradesEquity!$1:$1048576,30,FALSE))</f>
        <v>#N/A</v>
      </c>
      <c r="BB253" s="442" t="e">
        <f>(VLOOKUP(A253,TradesEquity!$1:$1048576,31,FALSE))</f>
        <v>#N/A</v>
      </c>
      <c r="BC253" s="442" t="e">
        <f>(VLOOKUP(A253,TradesEquity!$1:$1048576,32,FALSE))</f>
        <v>#N/A</v>
      </c>
      <c r="BI253" s="442" t="e">
        <f>(VLOOKUP(A253,TradesEquity!$1:$1048576,38,FALSE))</f>
        <v>#N/A</v>
      </c>
      <c r="BJ253" s="442" t="e">
        <f>(VLOOKUP(A253,TradesEquity!$1:$1048576,39,FALSE))</f>
        <v>#N/A</v>
      </c>
      <c r="BK253" s="442" t="e">
        <f>(VLOOKUP(A253,TradesEquity!$1:$1048576,40,FALSE))</f>
        <v>#N/A</v>
      </c>
    </row>
    <row r="254" spans="4:63">
      <c r="D254" s="432" t="s">
        <v>2027</v>
      </c>
      <c r="F254" s="433" t="e">
        <f>VLOOKUP(A254,TradesEquity!$1:$1048576,2,FALSE)</f>
        <v>#N/A</v>
      </c>
      <c r="H254" s="433" t="e">
        <f>VLOOKUP(A254,TradesEquity!$1:$1048576,21,FALSE)</f>
        <v>#N/A</v>
      </c>
      <c r="I254" s="434" t="e">
        <f>IF(VLOOKUP(A254,TradesEquity!$1:$1048576,3,FALSE)="BUY","B","S")</f>
        <v>#N/A</v>
      </c>
      <c r="J254" s="434" t="e">
        <f>VLOOKUP(A254,TradesEquity!$1:$1048576,5,FALSE)</f>
        <v>#N/A</v>
      </c>
      <c r="K254" s="432" t="s">
        <v>19</v>
      </c>
      <c r="L254" s="435" t="s">
        <v>2028</v>
      </c>
      <c r="AE254" s="436" t="e">
        <f>VLOOKUP(A254,TradesEquity!$1:$1048576,10,FALSE)</f>
        <v>#N/A</v>
      </c>
      <c r="AF254" s="436" t="e">
        <f t="shared" si="14"/>
        <v>#N/A</v>
      </c>
      <c r="AG254" s="436" t="e">
        <f t="shared" si="15"/>
        <v>#N/A</v>
      </c>
      <c r="AH254" s="436" t="e">
        <f t="shared" si="16"/>
        <v>#N/A</v>
      </c>
      <c r="AI254" s="436" t="e">
        <f>ABS(VLOOKUP(A254,TradesEquity!$1:$1048576,13,FALSE))</f>
        <v>#N/A</v>
      </c>
      <c r="AJ254" s="437">
        <v>0</v>
      </c>
      <c r="AK254" s="437">
        <v>1</v>
      </c>
      <c r="AL254" s="436" t="e">
        <f>VLOOKUP(A254,TradesEquity!$1:$1048576,11,FALSE)</f>
        <v>#N/A</v>
      </c>
      <c r="AM254" s="437">
        <v>1</v>
      </c>
      <c r="AN254" s="436" t="e">
        <f>ABS(VLOOKUP(A254,TradesEquity!$1:$1048576,14,FALSE))</f>
        <v>#N/A</v>
      </c>
      <c r="AO254" s="436" t="e">
        <f>ABS(VLOOKUP(A254,TradesEquity!$1:$1048576,15,FALSE))</f>
        <v>#N/A</v>
      </c>
      <c r="AP254" s="438" t="e">
        <f>ABS(VLOOKUP(A254,TradesEquity!$1:$1048576,16,FALSE))</f>
        <v>#N/A</v>
      </c>
      <c r="AQ254" s="367">
        <v>0</v>
      </c>
      <c r="AR254" s="367">
        <v>0</v>
      </c>
      <c r="AS254" s="367">
        <v>0</v>
      </c>
      <c r="AT254" s="367">
        <v>0</v>
      </c>
      <c r="AU254" s="367">
        <v>0</v>
      </c>
      <c r="AV254" s="438" t="e">
        <f>ABS(VLOOKUP(A254,TradesEquity!$1:$1048576,18,FALSE))</f>
        <v>#N/A</v>
      </c>
      <c r="AW254" s="439">
        <v>0</v>
      </c>
      <c r="AX254" s="440">
        <v>4542</v>
      </c>
      <c r="AY254" s="441" t="s">
        <v>2029</v>
      </c>
      <c r="AZ254" s="442" t="e">
        <f>(VLOOKUP(A254,TradesEquity!$1:$1048576,29,FALSE))</f>
        <v>#N/A</v>
      </c>
      <c r="BA254" s="442" t="e">
        <f>(VLOOKUP(A254,TradesEquity!$1:$1048576,30,FALSE))</f>
        <v>#N/A</v>
      </c>
      <c r="BB254" s="442" t="e">
        <f>(VLOOKUP(A254,TradesEquity!$1:$1048576,31,FALSE))</f>
        <v>#N/A</v>
      </c>
      <c r="BC254" s="442" t="e">
        <f>(VLOOKUP(A254,TradesEquity!$1:$1048576,32,FALSE))</f>
        <v>#N/A</v>
      </c>
      <c r="BI254" s="442" t="e">
        <f>(VLOOKUP(A254,TradesEquity!$1:$1048576,38,FALSE))</f>
        <v>#N/A</v>
      </c>
      <c r="BJ254" s="442" t="e">
        <f>(VLOOKUP(A254,TradesEquity!$1:$1048576,39,FALSE))</f>
        <v>#N/A</v>
      </c>
      <c r="BK254" s="442" t="e">
        <f>(VLOOKUP(A254,TradesEquity!$1:$1048576,40,FALSE))</f>
        <v>#N/A</v>
      </c>
    </row>
    <row r="255" spans="4:63">
      <c r="D255" s="432" t="s">
        <v>2027</v>
      </c>
      <c r="F255" s="433" t="e">
        <f>VLOOKUP(A255,TradesEquity!$1:$1048576,2,FALSE)</f>
        <v>#N/A</v>
      </c>
      <c r="H255" s="433" t="e">
        <f>VLOOKUP(A255,TradesEquity!$1:$1048576,21,FALSE)</f>
        <v>#N/A</v>
      </c>
      <c r="I255" s="434" t="e">
        <f>IF(VLOOKUP(A255,TradesEquity!$1:$1048576,3,FALSE)="BUY","B","S")</f>
        <v>#N/A</v>
      </c>
      <c r="J255" s="434" t="e">
        <f>VLOOKUP(A255,TradesEquity!$1:$1048576,5,FALSE)</f>
        <v>#N/A</v>
      </c>
      <c r="K255" s="432" t="s">
        <v>19</v>
      </c>
      <c r="L255" s="435" t="s">
        <v>2028</v>
      </c>
      <c r="AE255" s="436" t="e">
        <f>VLOOKUP(A255,TradesEquity!$1:$1048576,10,FALSE)</f>
        <v>#N/A</v>
      </c>
      <c r="AF255" s="436" t="e">
        <f t="shared" si="14"/>
        <v>#N/A</v>
      </c>
      <c r="AG255" s="436" t="e">
        <f t="shared" si="15"/>
        <v>#N/A</v>
      </c>
      <c r="AH255" s="436" t="e">
        <f t="shared" si="16"/>
        <v>#N/A</v>
      </c>
      <c r="AI255" s="436" t="e">
        <f>ABS(VLOOKUP(A255,TradesEquity!$1:$1048576,13,FALSE))</f>
        <v>#N/A</v>
      </c>
      <c r="AJ255" s="437">
        <v>0</v>
      </c>
      <c r="AK255" s="437">
        <v>1</v>
      </c>
      <c r="AL255" s="436" t="e">
        <f>VLOOKUP(A255,TradesEquity!$1:$1048576,11,FALSE)</f>
        <v>#N/A</v>
      </c>
      <c r="AM255" s="437">
        <v>1</v>
      </c>
      <c r="AN255" s="436" t="e">
        <f>ABS(VLOOKUP(A255,TradesEquity!$1:$1048576,14,FALSE))</f>
        <v>#N/A</v>
      </c>
      <c r="AO255" s="436" t="e">
        <f>ABS(VLOOKUP(A255,TradesEquity!$1:$1048576,15,FALSE))</f>
        <v>#N/A</v>
      </c>
      <c r="AP255" s="438" t="e">
        <f>ABS(VLOOKUP(A255,TradesEquity!$1:$1048576,16,FALSE))</f>
        <v>#N/A</v>
      </c>
      <c r="AQ255" s="367">
        <v>0</v>
      </c>
      <c r="AR255" s="367">
        <v>0</v>
      </c>
      <c r="AS255" s="367">
        <v>0</v>
      </c>
      <c r="AT255" s="367">
        <v>0</v>
      </c>
      <c r="AU255" s="367">
        <v>0</v>
      </c>
      <c r="AV255" s="438" t="e">
        <f>ABS(VLOOKUP(A255,TradesEquity!$1:$1048576,18,FALSE))</f>
        <v>#N/A</v>
      </c>
      <c r="AW255" s="439">
        <v>0</v>
      </c>
      <c r="AX255" s="440">
        <v>4542</v>
      </c>
      <c r="AY255" s="441" t="s">
        <v>2029</v>
      </c>
      <c r="AZ255" s="442" t="e">
        <f>(VLOOKUP(A255,TradesEquity!$1:$1048576,29,FALSE))</f>
        <v>#N/A</v>
      </c>
      <c r="BA255" s="442" t="e">
        <f>(VLOOKUP(A255,TradesEquity!$1:$1048576,30,FALSE))</f>
        <v>#N/A</v>
      </c>
      <c r="BB255" s="442" t="e">
        <f>(VLOOKUP(A255,TradesEquity!$1:$1048576,31,FALSE))</f>
        <v>#N/A</v>
      </c>
      <c r="BC255" s="442" t="e">
        <f>(VLOOKUP(A255,TradesEquity!$1:$1048576,32,FALSE))</f>
        <v>#N/A</v>
      </c>
      <c r="BI255" s="442" t="e">
        <f>(VLOOKUP(A255,TradesEquity!$1:$1048576,38,FALSE))</f>
        <v>#N/A</v>
      </c>
      <c r="BJ255" s="442" t="e">
        <f>(VLOOKUP(A255,TradesEquity!$1:$1048576,39,FALSE))</f>
        <v>#N/A</v>
      </c>
      <c r="BK255" s="442" t="e">
        <f>(VLOOKUP(A255,TradesEquity!$1:$1048576,40,FALSE))</f>
        <v>#N/A</v>
      </c>
    </row>
    <row r="256" spans="4:63">
      <c r="D256" s="432" t="s">
        <v>2027</v>
      </c>
      <c r="F256" s="433" t="e">
        <f>VLOOKUP(A256,TradesEquity!$1:$1048576,2,FALSE)</f>
        <v>#N/A</v>
      </c>
      <c r="H256" s="433" t="e">
        <f>VLOOKUP(A256,TradesEquity!$1:$1048576,21,FALSE)</f>
        <v>#N/A</v>
      </c>
      <c r="I256" s="434" t="e">
        <f>IF(VLOOKUP(A256,TradesEquity!$1:$1048576,3,FALSE)="BUY","B","S")</f>
        <v>#N/A</v>
      </c>
      <c r="J256" s="434" t="e">
        <f>VLOOKUP(A256,TradesEquity!$1:$1048576,5,FALSE)</f>
        <v>#N/A</v>
      </c>
      <c r="K256" s="432" t="s">
        <v>19</v>
      </c>
      <c r="L256" s="435" t="s">
        <v>2028</v>
      </c>
      <c r="AE256" s="436" t="e">
        <f>VLOOKUP(A256,TradesEquity!$1:$1048576,10,FALSE)</f>
        <v>#N/A</v>
      </c>
      <c r="AF256" s="436" t="e">
        <f t="shared" si="14"/>
        <v>#N/A</v>
      </c>
      <c r="AG256" s="436" t="e">
        <f t="shared" si="15"/>
        <v>#N/A</v>
      </c>
      <c r="AH256" s="436" t="e">
        <f t="shared" si="16"/>
        <v>#N/A</v>
      </c>
      <c r="AI256" s="436" t="e">
        <f>ABS(VLOOKUP(A256,TradesEquity!$1:$1048576,13,FALSE))</f>
        <v>#N/A</v>
      </c>
      <c r="AJ256" s="437">
        <v>0</v>
      </c>
      <c r="AK256" s="437">
        <v>1</v>
      </c>
      <c r="AL256" s="436" t="e">
        <f>VLOOKUP(A256,TradesEquity!$1:$1048576,11,FALSE)</f>
        <v>#N/A</v>
      </c>
      <c r="AM256" s="437">
        <v>1</v>
      </c>
      <c r="AN256" s="436" t="e">
        <f>ABS(VLOOKUP(A256,TradesEquity!$1:$1048576,14,FALSE))</f>
        <v>#N/A</v>
      </c>
      <c r="AO256" s="436" t="e">
        <f>ABS(VLOOKUP(A256,TradesEquity!$1:$1048576,15,FALSE))</f>
        <v>#N/A</v>
      </c>
      <c r="AP256" s="438" t="e">
        <f>ABS(VLOOKUP(A256,TradesEquity!$1:$1048576,16,FALSE))</f>
        <v>#N/A</v>
      </c>
      <c r="AQ256" s="367">
        <v>0</v>
      </c>
      <c r="AR256" s="367">
        <v>0</v>
      </c>
      <c r="AS256" s="367">
        <v>0</v>
      </c>
      <c r="AT256" s="367">
        <v>0</v>
      </c>
      <c r="AU256" s="367">
        <v>0</v>
      </c>
      <c r="AV256" s="438" t="e">
        <f>ABS(VLOOKUP(A256,TradesEquity!$1:$1048576,18,FALSE))</f>
        <v>#N/A</v>
      </c>
      <c r="AW256" s="439">
        <v>0</v>
      </c>
      <c r="AX256" s="440">
        <v>4542</v>
      </c>
      <c r="AY256" s="441" t="s">
        <v>2029</v>
      </c>
      <c r="AZ256" s="442" t="e">
        <f>(VLOOKUP(A256,TradesEquity!$1:$1048576,29,FALSE))</f>
        <v>#N/A</v>
      </c>
      <c r="BA256" s="442" t="e">
        <f>(VLOOKUP(A256,TradesEquity!$1:$1048576,30,FALSE))</f>
        <v>#N/A</v>
      </c>
      <c r="BB256" s="442" t="e">
        <f>(VLOOKUP(A256,TradesEquity!$1:$1048576,31,FALSE))</f>
        <v>#N/A</v>
      </c>
      <c r="BC256" s="442" t="e">
        <f>(VLOOKUP(A256,TradesEquity!$1:$1048576,32,FALSE))</f>
        <v>#N/A</v>
      </c>
      <c r="BI256" s="442" t="e">
        <f>(VLOOKUP(A256,TradesEquity!$1:$1048576,38,FALSE))</f>
        <v>#N/A</v>
      </c>
      <c r="BJ256" s="442" t="e">
        <f>(VLOOKUP(A256,TradesEquity!$1:$1048576,39,FALSE))</f>
        <v>#N/A</v>
      </c>
      <c r="BK256" s="442" t="e">
        <f>(VLOOKUP(A256,TradesEquity!$1:$1048576,40,FALSE))</f>
        <v>#N/A</v>
      </c>
    </row>
    <row r="257" spans="4:63">
      <c r="D257" s="432" t="s">
        <v>2027</v>
      </c>
      <c r="F257" s="433" t="e">
        <f>VLOOKUP(A257,TradesEquity!$1:$1048576,2,FALSE)</f>
        <v>#N/A</v>
      </c>
      <c r="H257" s="433" t="e">
        <f>VLOOKUP(A257,TradesEquity!$1:$1048576,21,FALSE)</f>
        <v>#N/A</v>
      </c>
      <c r="I257" s="434" t="e">
        <f>IF(VLOOKUP(A257,TradesEquity!$1:$1048576,3,FALSE)="BUY","B","S")</f>
        <v>#N/A</v>
      </c>
      <c r="J257" s="434" t="e">
        <f>VLOOKUP(A257,TradesEquity!$1:$1048576,5,FALSE)</f>
        <v>#N/A</v>
      </c>
      <c r="K257" s="432" t="s">
        <v>19</v>
      </c>
      <c r="L257" s="435" t="s">
        <v>2028</v>
      </c>
      <c r="AE257" s="436" t="e">
        <f>VLOOKUP(A257,TradesEquity!$1:$1048576,10,FALSE)</f>
        <v>#N/A</v>
      </c>
      <c r="AF257" s="436" t="e">
        <f t="shared" si="14"/>
        <v>#N/A</v>
      </c>
      <c r="AG257" s="436" t="e">
        <f t="shared" si="15"/>
        <v>#N/A</v>
      </c>
      <c r="AH257" s="436" t="e">
        <f t="shared" si="16"/>
        <v>#N/A</v>
      </c>
      <c r="AI257" s="436" t="e">
        <f>ABS(VLOOKUP(A257,TradesEquity!$1:$1048576,13,FALSE))</f>
        <v>#N/A</v>
      </c>
      <c r="AJ257" s="437">
        <v>0</v>
      </c>
      <c r="AK257" s="437">
        <v>1</v>
      </c>
      <c r="AL257" s="436" t="e">
        <f>VLOOKUP(A257,TradesEquity!$1:$1048576,11,FALSE)</f>
        <v>#N/A</v>
      </c>
      <c r="AM257" s="437">
        <v>1</v>
      </c>
      <c r="AN257" s="436" t="e">
        <f>ABS(VLOOKUP(A257,TradesEquity!$1:$1048576,14,FALSE))</f>
        <v>#N/A</v>
      </c>
      <c r="AO257" s="436" t="e">
        <f>ABS(VLOOKUP(A257,TradesEquity!$1:$1048576,15,FALSE))</f>
        <v>#N/A</v>
      </c>
      <c r="AP257" s="438" t="e">
        <f>ABS(VLOOKUP(A257,TradesEquity!$1:$1048576,16,FALSE))</f>
        <v>#N/A</v>
      </c>
      <c r="AQ257" s="367">
        <v>0</v>
      </c>
      <c r="AR257" s="367">
        <v>0</v>
      </c>
      <c r="AS257" s="367">
        <v>0</v>
      </c>
      <c r="AT257" s="367">
        <v>0</v>
      </c>
      <c r="AU257" s="367">
        <v>0</v>
      </c>
      <c r="AV257" s="438" t="e">
        <f>ABS(VLOOKUP(A257,TradesEquity!$1:$1048576,18,FALSE))</f>
        <v>#N/A</v>
      </c>
      <c r="AW257" s="439">
        <v>0</v>
      </c>
      <c r="AX257" s="440">
        <v>4542</v>
      </c>
      <c r="AY257" s="441" t="s">
        <v>2029</v>
      </c>
      <c r="AZ257" s="442" t="e">
        <f>(VLOOKUP(A257,TradesEquity!$1:$1048576,29,FALSE))</f>
        <v>#N/A</v>
      </c>
      <c r="BA257" s="442" t="e">
        <f>(VLOOKUP(A257,TradesEquity!$1:$1048576,30,FALSE))</f>
        <v>#N/A</v>
      </c>
      <c r="BB257" s="442" t="e">
        <f>(VLOOKUP(A257,TradesEquity!$1:$1048576,31,FALSE))</f>
        <v>#N/A</v>
      </c>
      <c r="BC257" s="442" t="e">
        <f>(VLOOKUP(A257,TradesEquity!$1:$1048576,32,FALSE))</f>
        <v>#N/A</v>
      </c>
      <c r="BI257" s="442" t="e">
        <f>(VLOOKUP(A257,TradesEquity!$1:$1048576,38,FALSE))</f>
        <v>#N/A</v>
      </c>
      <c r="BJ257" s="442" t="e">
        <f>(VLOOKUP(A257,TradesEquity!$1:$1048576,39,FALSE))</f>
        <v>#N/A</v>
      </c>
      <c r="BK257" s="442" t="e">
        <f>(VLOOKUP(A257,TradesEquity!$1:$1048576,40,FALSE))</f>
        <v>#N/A</v>
      </c>
    </row>
    <row r="258" spans="4:63">
      <c r="D258" s="432" t="s">
        <v>2027</v>
      </c>
      <c r="F258" s="433" t="e">
        <f>VLOOKUP(A258,TradesEquity!$1:$1048576,2,FALSE)</f>
        <v>#N/A</v>
      </c>
      <c r="H258" s="433" t="e">
        <f>VLOOKUP(A258,TradesEquity!$1:$1048576,21,FALSE)</f>
        <v>#N/A</v>
      </c>
      <c r="I258" s="434" t="e">
        <f>IF(VLOOKUP(A258,TradesEquity!$1:$1048576,3,FALSE)="BUY","B","S")</f>
        <v>#N/A</v>
      </c>
      <c r="J258" s="434" t="e">
        <f>VLOOKUP(A258,TradesEquity!$1:$1048576,5,FALSE)</f>
        <v>#N/A</v>
      </c>
      <c r="K258" s="432" t="s">
        <v>19</v>
      </c>
      <c r="L258" s="435" t="s">
        <v>2028</v>
      </c>
      <c r="AE258" s="436" t="e">
        <f>VLOOKUP(A258,TradesEquity!$1:$1048576,10,FALSE)</f>
        <v>#N/A</v>
      </c>
      <c r="AF258" s="436" t="e">
        <f t="shared" si="14"/>
        <v>#N/A</v>
      </c>
      <c r="AG258" s="436" t="e">
        <f t="shared" si="15"/>
        <v>#N/A</v>
      </c>
      <c r="AH258" s="436" t="e">
        <f t="shared" si="16"/>
        <v>#N/A</v>
      </c>
      <c r="AI258" s="436" t="e">
        <f>ABS(VLOOKUP(A258,TradesEquity!$1:$1048576,13,FALSE))</f>
        <v>#N/A</v>
      </c>
      <c r="AJ258" s="437">
        <v>0</v>
      </c>
      <c r="AK258" s="437">
        <v>1</v>
      </c>
      <c r="AL258" s="436" t="e">
        <f>VLOOKUP(A258,TradesEquity!$1:$1048576,11,FALSE)</f>
        <v>#N/A</v>
      </c>
      <c r="AM258" s="437">
        <v>1</v>
      </c>
      <c r="AN258" s="436" t="e">
        <f>ABS(VLOOKUP(A258,TradesEquity!$1:$1048576,14,FALSE))</f>
        <v>#N/A</v>
      </c>
      <c r="AO258" s="436" t="e">
        <f>ABS(VLOOKUP(A258,TradesEquity!$1:$1048576,15,FALSE))</f>
        <v>#N/A</v>
      </c>
      <c r="AP258" s="438" t="e">
        <f>ABS(VLOOKUP(A258,TradesEquity!$1:$1048576,16,FALSE))</f>
        <v>#N/A</v>
      </c>
      <c r="AQ258" s="367">
        <v>0</v>
      </c>
      <c r="AR258" s="367">
        <v>0</v>
      </c>
      <c r="AS258" s="367">
        <v>0</v>
      </c>
      <c r="AT258" s="367">
        <v>0</v>
      </c>
      <c r="AU258" s="367">
        <v>0</v>
      </c>
      <c r="AV258" s="438" t="e">
        <f>ABS(VLOOKUP(A258,TradesEquity!$1:$1048576,18,FALSE))</f>
        <v>#N/A</v>
      </c>
      <c r="AW258" s="439">
        <v>0</v>
      </c>
      <c r="AX258" s="440">
        <v>4542</v>
      </c>
      <c r="AY258" s="441" t="s">
        <v>2029</v>
      </c>
      <c r="AZ258" s="442" t="e">
        <f>(VLOOKUP(A258,TradesEquity!$1:$1048576,29,FALSE))</f>
        <v>#N/A</v>
      </c>
      <c r="BA258" s="442" t="e">
        <f>(VLOOKUP(A258,TradesEquity!$1:$1048576,30,FALSE))</f>
        <v>#N/A</v>
      </c>
      <c r="BB258" s="442" t="e">
        <f>(VLOOKUP(A258,TradesEquity!$1:$1048576,31,FALSE))</f>
        <v>#N/A</v>
      </c>
      <c r="BC258" s="442" t="e">
        <f>(VLOOKUP(A258,TradesEquity!$1:$1048576,32,FALSE))</f>
        <v>#N/A</v>
      </c>
      <c r="BI258" s="442" t="e">
        <f>(VLOOKUP(A258,TradesEquity!$1:$1048576,38,FALSE))</f>
        <v>#N/A</v>
      </c>
      <c r="BJ258" s="442" t="e">
        <f>(VLOOKUP(A258,TradesEquity!$1:$1048576,39,FALSE))</f>
        <v>#N/A</v>
      </c>
      <c r="BK258" s="442" t="e">
        <f>(VLOOKUP(A258,TradesEquity!$1:$1048576,40,FALSE))</f>
        <v>#N/A</v>
      </c>
    </row>
    <row r="259" spans="4:63">
      <c r="D259" s="432" t="s">
        <v>2027</v>
      </c>
      <c r="F259" s="433" t="e">
        <f>VLOOKUP(A259,TradesEquity!$1:$1048576,2,FALSE)</f>
        <v>#N/A</v>
      </c>
      <c r="H259" s="433" t="e">
        <f>VLOOKUP(A259,TradesEquity!$1:$1048576,21,FALSE)</f>
        <v>#N/A</v>
      </c>
      <c r="I259" s="434" t="e">
        <f>IF(VLOOKUP(A259,TradesEquity!$1:$1048576,3,FALSE)="BUY","B","S")</f>
        <v>#N/A</v>
      </c>
      <c r="J259" s="434" t="e">
        <f>VLOOKUP(A259,TradesEquity!$1:$1048576,5,FALSE)</f>
        <v>#N/A</v>
      </c>
      <c r="K259" s="432" t="s">
        <v>19</v>
      </c>
      <c r="L259" s="435" t="s">
        <v>2028</v>
      </c>
      <c r="AE259" s="436" t="e">
        <f>VLOOKUP(A259,TradesEquity!$1:$1048576,10,FALSE)</f>
        <v>#N/A</v>
      </c>
      <c r="AF259" s="436" t="e">
        <f t="shared" si="14"/>
        <v>#N/A</v>
      </c>
      <c r="AG259" s="436" t="e">
        <f t="shared" si="15"/>
        <v>#N/A</v>
      </c>
      <c r="AH259" s="436" t="e">
        <f t="shared" si="16"/>
        <v>#N/A</v>
      </c>
      <c r="AI259" s="436" t="e">
        <f>ABS(VLOOKUP(A259,TradesEquity!$1:$1048576,13,FALSE))</f>
        <v>#N/A</v>
      </c>
      <c r="AJ259" s="437">
        <v>0</v>
      </c>
      <c r="AK259" s="437">
        <v>1</v>
      </c>
      <c r="AL259" s="436" t="e">
        <f>VLOOKUP(A259,TradesEquity!$1:$1048576,11,FALSE)</f>
        <v>#N/A</v>
      </c>
      <c r="AM259" s="437">
        <v>1</v>
      </c>
      <c r="AN259" s="436" t="e">
        <f>ABS(VLOOKUP(A259,TradesEquity!$1:$1048576,14,FALSE))</f>
        <v>#N/A</v>
      </c>
      <c r="AO259" s="436" t="e">
        <f>ABS(VLOOKUP(A259,TradesEquity!$1:$1048576,15,FALSE))</f>
        <v>#N/A</v>
      </c>
      <c r="AP259" s="438" t="e">
        <f>ABS(VLOOKUP(A259,TradesEquity!$1:$1048576,16,FALSE))</f>
        <v>#N/A</v>
      </c>
      <c r="AQ259" s="367">
        <v>0</v>
      </c>
      <c r="AR259" s="367">
        <v>0</v>
      </c>
      <c r="AS259" s="367">
        <v>0</v>
      </c>
      <c r="AT259" s="367">
        <v>0</v>
      </c>
      <c r="AU259" s="367">
        <v>0</v>
      </c>
      <c r="AV259" s="438" t="e">
        <f>ABS(VLOOKUP(A259,TradesEquity!$1:$1048576,18,FALSE))</f>
        <v>#N/A</v>
      </c>
      <c r="AW259" s="439">
        <v>0</v>
      </c>
      <c r="AX259" s="440">
        <v>4542</v>
      </c>
      <c r="AY259" s="441" t="s">
        <v>2029</v>
      </c>
      <c r="AZ259" s="442" t="e">
        <f>(VLOOKUP(A259,TradesEquity!$1:$1048576,29,FALSE))</f>
        <v>#N/A</v>
      </c>
      <c r="BA259" s="442" t="e">
        <f>(VLOOKUP(A259,TradesEquity!$1:$1048576,30,FALSE))</f>
        <v>#N/A</v>
      </c>
      <c r="BB259" s="442" t="e">
        <f>(VLOOKUP(A259,TradesEquity!$1:$1048576,31,FALSE))</f>
        <v>#N/A</v>
      </c>
      <c r="BC259" s="442" t="e">
        <f>(VLOOKUP(A259,TradesEquity!$1:$1048576,32,FALSE))</f>
        <v>#N/A</v>
      </c>
      <c r="BI259" s="442" t="e">
        <f>(VLOOKUP(A259,TradesEquity!$1:$1048576,38,FALSE))</f>
        <v>#N/A</v>
      </c>
      <c r="BJ259" s="442" t="e">
        <f>(VLOOKUP(A259,TradesEquity!$1:$1048576,39,FALSE))</f>
        <v>#N/A</v>
      </c>
      <c r="BK259" s="442" t="e">
        <f>(VLOOKUP(A259,TradesEquity!$1:$1048576,40,FALSE))</f>
        <v>#N/A</v>
      </c>
    </row>
    <row r="260" spans="4:63">
      <c r="D260" s="432" t="s">
        <v>2027</v>
      </c>
      <c r="F260" s="433" t="e">
        <f>VLOOKUP(A260,TradesEquity!$1:$1048576,2,FALSE)</f>
        <v>#N/A</v>
      </c>
      <c r="H260" s="433" t="e">
        <f>VLOOKUP(A260,TradesEquity!$1:$1048576,21,FALSE)</f>
        <v>#N/A</v>
      </c>
      <c r="I260" s="434" t="e">
        <f>IF(VLOOKUP(A260,TradesEquity!$1:$1048576,3,FALSE)="BUY","B","S")</f>
        <v>#N/A</v>
      </c>
      <c r="J260" s="434" t="e">
        <f>VLOOKUP(A260,TradesEquity!$1:$1048576,5,FALSE)</f>
        <v>#N/A</v>
      </c>
      <c r="K260" s="432" t="s">
        <v>19</v>
      </c>
      <c r="L260" s="435" t="s">
        <v>2028</v>
      </c>
      <c r="AE260" s="436" t="e">
        <f>VLOOKUP(A260,TradesEquity!$1:$1048576,10,FALSE)</f>
        <v>#N/A</v>
      </c>
      <c r="AF260" s="436" t="e">
        <f t="shared" si="14"/>
        <v>#N/A</v>
      </c>
      <c r="AG260" s="436" t="e">
        <f t="shared" si="15"/>
        <v>#N/A</v>
      </c>
      <c r="AH260" s="436" t="e">
        <f t="shared" si="16"/>
        <v>#N/A</v>
      </c>
      <c r="AI260" s="436" t="e">
        <f>ABS(VLOOKUP(A260,TradesEquity!$1:$1048576,13,FALSE))</f>
        <v>#N/A</v>
      </c>
      <c r="AJ260" s="437">
        <v>0</v>
      </c>
      <c r="AK260" s="437">
        <v>1</v>
      </c>
      <c r="AL260" s="436" t="e">
        <f>VLOOKUP(A260,TradesEquity!$1:$1048576,11,FALSE)</f>
        <v>#N/A</v>
      </c>
      <c r="AM260" s="437">
        <v>1</v>
      </c>
      <c r="AN260" s="436" t="e">
        <f>ABS(VLOOKUP(A260,TradesEquity!$1:$1048576,14,FALSE))</f>
        <v>#N/A</v>
      </c>
      <c r="AO260" s="436" t="e">
        <f>ABS(VLOOKUP(A260,TradesEquity!$1:$1048576,15,FALSE))</f>
        <v>#N/A</v>
      </c>
      <c r="AP260" s="438" t="e">
        <f>ABS(VLOOKUP(A260,TradesEquity!$1:$1048576,16,FALSE))</f>
        <v>#N/A</v>
      </c>
      <c r="AQ260" s="367">
        <v>0</v>
      </c>
      <c r="AR260" s="367">
        <v>0</v>
      </c>
      <c r="AS260" s="367">
        <v>0</v>
      </c>
      <c r="AT260" s="367">
        <v>0</v>
      </c>
      <c r="AU260" s="367">
        <v>0</v>
      </c>
      <c r="AV260" s="438" t="e">
        <f>ABS(VLOOKUP(A260,TradesEquity!$1:$1048576,18,FALSE))</f>
        <v>#N/A</v>
      </c>
      <c r="AW260" s="439">
        <v>0</v>
      </c>
      <c r="AX260" s="440">
        <v>4542</v>
      </c>
      <c r="AY260" s="441" t="s">
        <v>2029</v>
      </c>
      <c r="AZ260" s="442" t="e">
        <f>(VLOOKUP(A260,TradesEquity!$1:$1048576,29,FALSE))</f>
        <v>#N/A</v>
      </c>
      <c r="BA260" s="442" t="e">
        <f>(VLOOKUP(A260,TradesEquity!$1:$1048576,30,FALSE))</f>
        <v>#N/A</v>
      </c>
      <c r="BB260" s="442" t="e">
        <f>(VLOOKUP(A260,TradesEquity!$1:$1048576,31,FALSE))</f>
        <v>#N/A</v>
      </c>
      <c r="BC260" s="442" t="e">
        <f>(VLOOKUP(A260,TradesEquity!$1:$1048576,32,FALSE))</f>
        <v>#N/A</v>
      </c>
      <c r="BI260" s="442" t="e">
        <f>(VLOOKUP(A260,TradesEquity!$1:$1048576,38,FALSE))</f>
        <v>#N/A</v>
      </c>
      <c r="BJ260" s="442" t="e">
        <f>(VLOOKUP(A260,TradesEquity!$1:$1048576,39,FALSE))</f>
        <v>#N/A</v>
      </c>
      <c r="BK260" s="442" t="e">
        <f>(VLOOKUP(A260,TradesEquity!$1:$1048576,40,FALSE))</f>
        <v>#N/A</v>
      </c>
    </row>
    <row r="261" spans="4:63">
      <c r="D261" s="432" t="s">
        <v>2027</v>
      </c>
      <c r="F261" s="433" t="e">
        <f>VLOOKUP(A261,TradesEquity!$1:$1048576,2,FALSE)</f>
        <v>#N/A</v>
      </c>
      <c r="H261" s="433" t="e">
        <f>VLOOKUP(A261,TradesEquity!$1:$1048576,21,FALSE)</f>
        <v>#N/A</v>
      </c>
      <c r="I261" s="434" t="e">
        <f>IF(VLOOKUP(A261,TradesEquity!$1:$1048576,3,FALSE)="BUY","B","S")</f>
        <v>#N/A</v>
      </c>
      <c r="J261" s="434" t="e">
        <f>VLOOKUP(A261,TradesEquity!$1:$1048576,5,FALSE)</f>
        <v>#N/A</v>
      </c>
      <c r="K261" s="432" t="s">
        <v>19</v>
      </c>
      <c r="L261" s="435" t="s">
        <v>2028</v>
      </c>
      <c r="AE261" s="436" t="e">
        <f>VLOOKUP(A261,TradesEquity!$1:$1048576,10,FALSE)</f>
        <v>#N/A</v>
      </c>
      <c r="AF261" s="436" t="e">
        <f t="shared" si="14"/>
        <v>#N/A</v>
      </c>
      <c r="AG261" s="436" t="e">
        <f t="shared" si="15"/>
        <v>#N/A</v>
      </c>
      <c r="AH261" s="436" t="e">
        <f t="shared" si="16"/>
        <v>#N/A</v>
      </c>
      <c r="AI261" s="436" t="e">
        <f>ABS(VLOOKUP(A261,TradesEquity!$1:$1048576,13,FALSE))</f>
        <v>#N/A</v>
      </c>
      <c r="AJ261" s="437">
        <v>0</v>
      </c>
      <c r="AK261" s="437">
        <v>1</v>
      </c>
      <c r="AL261" s="436" t="e">
        <f>VLOOKUP(A261,TradesEquity!$1:$1048576,11,FALSE)</f>
        <v>#N/A</v>
      </c>
      <c r="AM261" s="437">
        <v>1</v>
      </c>
      <c r="AN261" s="436" t="e">
        <f>ABS(VLOOKUP(A261,TradesEquity!$1:$1048576,14,FALSE))</f>
        <v>#N/A</v>
      </c>
      <c r="AO261" s="436" t="e">
        <f>ABS(VLOOKUP(A261,TradesEquity!$1:$1048576,15,FALSE))</f>
        <v>#N/A</v>
      </c>
      <c r="AP261" s="438" t="e">
        <f>ABS(VLOOKUP(A261,TradesEquity!$1:$1048576,16,FALSE))</f>
        <v>#N/A</v>
      </c>
      <c r="AQ261" s="367">
        <v>0</v>
      </c>
      <c r="AR261" s="367">
        <v>0</v>
      </c>
      <c r="AS261" s="367">
        <v>0</v>
      </c>
      <c r="AT261" s="367">
        <v>0</v>
      </c>
      <c r="AU261" s="367">
        <v>0</v>
      </c>
      <c r="AV261" s="438" t="e">
        <f>ABS(VLOOKUP(A261,TradesEquity!$1:$1048576,18,FALSE))</f>
        <v>#N/A</v>
      </c>
      <c r="AW261" s="439">
        <v>0</v>
      </c>
      <c r="AX261" s="440">
        <v>4542</v>
      </c>
      <c r="AY261" s="441" t="s">
        <v>2029</v>
      </c>
      <c r="AZ261" s="442" t="e">
        <f>(VLOOKUP(A261,TradesEquity!$1:$1048576,29,FALSE))</f>
        <v>#N/A</v>
      </c>
      <c r="BA261" s="442" t="e">
        <f>(VLOOKUP(A261,TradesEquity!$1:$1048576,30,FALSE))</f>
        <v>#N/A</v>
      </c>
      <c r="BB261" s="442" t="e">
        <f>(VLOOKUP(A261,TradesEquity!$1:$1048576,31,FALSE))</f>
        <v>#N/A</v>
      </c>
      <c r="BC261" s="442" t="e">
        <f>(VLOOKUP(A261,TradesEquity!$1:$1048576,32,FALSE))</f>
        <v>#N/A</v>
      </c>
      <c r="BI261" s="442" t="e">
        <f>(VLOOKUP(A261,TradesEquity!$1:$1048576,38,FALSE))</f>
        <v>#N/A</v>
      </c>
      <c r="BJ261" s="442" t="e">
        <f>(VLOOKUP(A261,TradesEquity!$1:$1048576,39,FALSE))</f>
        <v>#N/A</v>
      </c>
      <c r="BK261" s="442" t="e">
        <f>(VLOOKUP(A261,TradesEquity!$1:$1048576,40,FALSE))</f>
        <v>#N/A</v>
      </c>
    </row>
    <row r="262" spans="4:63">
      <c r="D262" s="432" t="s">
        <v>2027</v>
      </c>
      <c r="F262" s="433" t="e">
        <f>VLOOKUP(A262,TradesEquity!$1:$1048576,2,FALSE)</f>
        <v>#N/A</v>
      </c>
      <c r="H262" s="433" t="e">
        <f>VLOOKUP(A262,TradesEquity!$1:$1048576,21,FALSE)</f>
        <v>#N/A</v>
      </c>
      <c r="I262" s="434" t="e">
        <f>IF(VLOOKUP(A262,TradesEquity!$1:$1048576,3,FALSE)="BUY","B","S")</f>
        <v>#N/A</v>
      </c>
      <c r="J262" s="434" t="e">
        <f>VLOOKUP(A262,TradesEquity!$1:$1048576,5,FALSE)</f>
        <v>#N/A</v>
      </c>
      <c r="K262" s="432" t="s">
        <v>19</v>
      </c>
      <c r="L262" s="435" t="s">
        <v>2028</v>
      </c>
      <c r="AE262" s="436" t="e">
        <f>VLOOKUP(A262,TradesEquity!$1:$1048576,10,FALSE)</f>
        <v>#N/A</v>
      </c>
      <c r="AF262" s="436" t="e">
        <f t="shared" si="14"/>
        <v>#N/A</v>
      </c>
      <c r="AG262" s="436" t="e">
        <f t="shared" si="15"/>
        <v>#N/A</v>
      </c>
      <c r="AH262" s="436" t="e">
        <f t="shared" si="16"/>
        <v>#N/A</v>
      </c>
      <c r="AI262" s="436" t="e">
        <f>ABS(VLOOKUP(A262,TradesEquity!$1:$1048576,13,FALSE))</f>
        <v>#N/A</v>
      </c>
      <c r="AJ262" s="437">
        <v>0</v>
      </c>
      <c r="AK262" s="437">
        <v>1</v>
      </c>
      <c r="AL262" s="436" t="e">
        <f>VLOOKUP(A262,TradesEquity!$1:$1048576,11,FALSE)</f>
        <v>#N/A</v>
      </c>
      <c r="AM262" s="437">
        <v>1</v>
      </c>
      <c r="AN262" s="436" t="e">
        <f>ABS(VLOOKUP(A262,TradesEquity!$1:$1048576,14,FALSE))</f>
        <v>#N/A</v>
      </c>
      <c r="AO262" s="436" t="e">
        <f>ABS(VLOOKUP(A262,TradesEquity!$1:$1048576,15,FALSE))</f>
        <v>#N/A</v>
      </c>
      <c r="AP262" s="438" t="e">
        <f>ABS(VLOOKUP(A262,TradesEquity!$1:$1048576,16,FALSE))</f>
        <v>#N/A</v>
      </c>
      <c r="AQ262" s="367">
        <v>0</v>
      </c>
      <c r="AR262" s="367">
        <v>0</v>
      </c>
      <c r="AS262" s="367">
        <v>0</v>
      </c>
      <c r="AT262" s="367">
        <v>0</v>
      </c>
      <c r="AU262" s="367">
        <v>0</v>
      </c>
      <c r="AV262" s="438" t="e">
        <f>ABS(VLOOKUP(A262,TradesEquity!$1:$1048576,18,FALSE))</f>
        <v>#N/A</v>
      </c>
      <c r="AW262" s="439">
        <v>0</v>
      </c>
      <c r="AX262" s="440">
        <v>4542</v>
      </c>
      <c r="AY262" s="441" t="s">
        <v>2029</v>
      </c>
      <c r="AZ262" s="442" t="e">
        <f>(VLOOKUP(A262,TradesEquity!$1:$1048576,29,FALSE))</f>
        <v>#N/A</v>
      </c>
      <c r="BA262" s="442" t="e">
        <f>(VLOOKUP(A262,TradesEquity!$1:$1048576,30,FALSE))</f>
        <v>#N/A</v>
      </c>
      <c r="BB262" s="442" t="e">
        <f>(VLOOKUP(A262,TradesEquity!$1:$1048576,31,FALSE))</f>
        <v>#N/A</v>
      </c>
      <c r="BC262" s="442" t="e">
        <f>(VLOOKUP(A262,TradesEquity!$1:$1048576,32,FALSE))</f>
        <v>#N/A</v>
      </c>
      <c r="BI262" s="442" t="e">
        <f>(VLOOKUP(A262,TradesEquity!$1:$1048576,38,FALSE))</f>
        <v>#N/A</v>
      </c>
      <c r="BJ262" s="442" t="e">
        <f>(VLOOKUP(A262,TradesEquity!$1:$1048576,39,FALSE))</f>
        <v>#N/A</v>
      </c>
      <c r="BK262" s="442" t="e">
        <f>(VLOOKUP(A262,TradesEquity!$1:$1048576,40,FALSE))</f>
        <v>#N/A</v>
      </c>
    </row>
    <row r="263" spans="4:63">
      <c r="D263" s="432" t="s">
        <v>2027</v>
      </c>
      <c r="F263" s="433" t="e">
        <f>VLOOKUP(A263,TradesEquity!$1:$1048576,2,FALSE)</f>
        <v>#N/A</v>
      </c>
      <c r="H263" s="433" t="e">
        <f>VLOOKUP(A263,TradesEquity!$1:$1048576,21,FALSE)</f>
        <v>#N/A</v>
      </c>
      <c r="I263" s="434" t="e">
        <f>IF(VLOOKUP(A263,TradesEquity!$1:$1048576,3,FALSE)="BUY","B","S")</f>
        <v>#N/A</v>
      </c>
      <c r="J263" s="434" t="e">
        <f>VLOOKUP(A263,TradesEquity!$1:$1048576,5,FALSE)</f>
        <v>#N/A</v>
      </c>
      <c r="K263" s="432" t="s">
        <v>19</v>
      </c>
      <c r="L263" s="435" t="s">
        <v>2028</v>
      </c>
      <c r="AE263" s="436" t="e">
        <f>VLOOKUP(A263,TradesEquity!$1:$1048576,10,FALSE)</f>
        <v>#N/A</v>
      </c>
      <c r="AF263" s="436" t="e">
        <f t="shared" si="14"/>
        <v>#N/A</v>
      </c>
      <c r="AG263" s="436" t="e">
        <f t="shared" si="15"/>
        <v>#N/A</v>
      </c>
      <c r="AH263" s="436" t="e">
        <f t="shared" si="16"/>
        <v>#N/A</v>
      </c>
      <c r="AI263" s="436" t="e">
        <f>ABS(VLOOKUP(A263,TradesEquity!$1:$1048576,13,FALSE))</f>
        <v>#N/A</v>
      </c>
      <c r="AJ263" s="437">
        <v>0</v>
      </c>
      <c r="AK263" s="437">
        <v>1</v>
      </c>
      <c r="AL263" s="436" t="e">
        <f>VLOOKUP(A263,TradesEquity!$1:$1048576,11,FALSE)</f>
        <v>#N/A</v>
      </c>
      <c r="AM263" s="437">
        <v>1</v>
      </c>
      <c r="AN263" s="436" t="e">
        <f>ABS(VLOOKUP(A263,TradesEquity!$1:$1048576,14,FALSE))</f>
        <v>#N/A</v>
      </c>
      <c r="AO263" s="436" t="e">
        <f>ABS(VLOOKUP(A263,TradesEquity!$1:$1048576,15,FALSE))</f>
        <v>#N/A</v>
      </c>
      <c r="AP263" s="438" t="e">
        <f>ABS(VLOOKUP(A263,TradesEquity!$1:$1048576,16,FALSE))</f>
        <v>#N/A</v>
      </c>
      <c r="AQ263" s="367">
        <v>0</v>
      </c>
      <c r="AR263" s="367">
        <v>0</v>
      </c>
      <c r="AS263" s="367">
        <v>0</v>
      </c>
      <c r="AT263" s="367">
        <v>0</v>
      </c>
      <c r="AU263" s="367">
        <v>0</v>
      </c>
      <c r="AV263" s="438" t="e">
        <f>ABS(VLOOKUP(A263,TradesEquity!$1:$1048576,18,FALSE))</f>
        <v>#N/A</v>
      </c>
      <c r="AW263" s="439">
        <v>0</v>
      </c>
      <c r="AX263" s="440">
        <v>4542</v>
      </c>
      <c r="AY263" s="441" t="s">
        <v>2029</v>
      </c>
      <c r="AZ263" s="442" t="e">
        <f>(VLOOKUP(A263,TradesEquity!$1:$1048576,29,FALSE))</f>
        <v>#N/A</v>
      </c>
      <c r="BA263" s="442" t="e">
        <f>(VLOOKUP(A263,TradesEquity!$1:$1048576,30,FALSE))</f>
        <v>#N/A</v>
      </c>
      <c r="BB263" s="442" t="e">
        <f>(VLOOKUP(A263,TradesEquity!$1:$1048576,31,FALSE))</f>
        <v>#N/A</v>
      </c>
      <c r="BC263" s="442" t="e">
        <f>(VLOOKUP(A263,TradesEquity!$1:$1048576,32,FALSE))</f>
        <v>#N/A</v>
      </c>
      <c r="BI263" s="442" t="e">
        <f>(VLOOKUP(A263,TradesEquity!$1:$1048576,38,FALSE))</f>
        <v>#N/A</v>
      </c>
      <c r="BJ263" s="442" t="e">
        <f>(VLOOKUP(A263,TradesEquity!$1:$1048576,39,FALSE))</f>
        <v>#N/A</v>
      </c>
      <c r="BK263" s="442" t="e">
        <f>(VLOOKUP(A263,TradesEquity!$1:$1048576,40,FALSE))</f>
        <v>#N/A</v>
      </c>
    </row>
    <row r="264" spans="4:63">
      <c r="D264" s="432" t="s">
        <v>2027</v>
      </c>
      <c r="F264" s="433" t="e">
        <f>VLOOKUP(A264,TradesEquity!$1:$1048576,2,FALSE)</f>
        <v>#N/A</v>
      </c>
      <c r="H264" s="433" t="e">
        <f>VLOOKUP(A264,TradesEquity!$1:$1048576,21,FALSE)</f>
        <v>#N/A</v>
      </c>
      <c r="I264" s="434" t="e">
        <f>IF(VLOOKUP(A264,TradesEquity!$1:$1048576,3,FALSE)="BUY","B","S")</f>
        <v>#N/A</v>
      </c>
      <c r="J264" s="434" t="e">
        <f>VLOOKUP(A264,TradesEquity!$1:$1048576,5,FALSE)</f>
        <v>#N/A</v>
      </c>
      <c r="K264" s="432" t="s">
        <v>19</v>
      </c>
      <c r="L264" s="435" t="s">
        <v>2028</v>
      </c>
      <c r="AE264" s="436" t="e">
        <f>VLOOKUP(A264,TradesEquity!$1:$1048576,10,FALSE)</f>
        <v>#N/A</v>
      </c>
      <c r="AF264" s="436" t="e">
        <f t="shared" si="14"/>
        <v>#N/A</v>
      </c>
      <c r="AG264" s="436" t="e">
        <f t="shared" si="15"/>
        <v>#N/A</v>
      </c>
      <c r="AH264" s="436" t="e">
        <f t="shared" si="16"/>
        <v>#N/A</v>
      </c>
      <c r="AI264" s="436" t="e">
        <f>ABS(VLOOKUP(A264,TradesEquity!$1:$1048576,13,FALSE))</f>
        <v>#N/A</v>
      </c>
      <c r="AJ264" s="437">
        <v>0</v>
      </c>
      <c r="AK264" s="437">
        <v>1</v>
      </c>
      <c r="AL264" s="436" t="e">
        <f>VLOOKUP(A264,TradesEquity!$1:$1048576,11,FALSE)</f>
        <v>#N/A</v>
      </c>
      <c r="AM264" s="437">
        <v>1</v>
      </c>
      <c r="AN264" s="436" t="e">
        <f>ABS(VLOOKUP(A264,TradesEquity!$1:$1048576,14,FALSE))</f>
        <v>#N/A</v>
      </c>
      <c r="AO264" s="436" t="e">
        <f>ABS(VLOOKUP(A264,TradesEquity!$1:$1048576,15,FALSE))</f>
        <v>#N/A</v>
      </c>
      <c r="AP264" s="438" t="e">
        <f>ABS(VLOOKUP(A264,TradesEquity!$1:$1048576,16,FALSE))</f>
        <v>#N/A</v>
      </c>
      <c r="AQ264" s="367">
        <v>0</v>
      </c>
      <c r="AR264" s="367">
        <v>0</v>
      </c>
      <c r="AS264" s="367">
        <v>0</v>
      </c>
      <c r="AT264" s="367">
        <v>0</v>
      </c>
      <c r="AU264" s="367">
        <v>0</v>
      </c>
      <c r="AV264" s="438" t="e">
        <f>ABS(VLOOKUP(A264,TradesEquity!$1:$1048576,18,FALSE))</f>
        <v>#N/A</v>
      </c>
      <c r="AW264" s="439">
        <v>0</v>
      </c>
      <c r="AX264" s="440">
        <v>4542</v>
      </c>
      <c r="AY264" s="441" t="s">
        <v>2029</v>
      </c>
      <c r="AZ264" s="442" t="e">
        <f>(VLOOKUP(A264,TradesEquity!$1:$1048576,29,FALSE))</f>
        <v>#N/A</v>
      </c>
      <c r="BA264" s="442" t="e">
        <f>(VLOOKUP(A264,TradesEquity!$1:$1048576,30,FALSE))</f>
        <v>#N/A</v>
      </c>
      <c r="BB264" s="442" t="e">
        <f>(VLOOKUP(A264,TradesEquity!$1:$1048576,31,FALSE))</f>
        <v>#N/A</v>
      </c>
      <c r="BC264" s="442" t="e">
        <f>(VLOOKUP(A264,TradesEquity!$1:$1048576,32,FALSE))</f>
        <v>#N/A</v>
      </c>
      <c r="BI264" s="442" t="e">
        <f>(VLOOKUP(A264,TradesEquity!$1:$1048576,38,FALSE))</f>
        <v>#N/A</v>
      </c>
      <c r="BJ264" s="442" t="e">
        <f>(VLOOKUP(A264,TradesEquity!$1:$1048576,39,FALSE))</f>
        <v>#N/A</v>
      </c>
      <c r="BK264" s="442" t="e">
        <f>(VLOOKUP(A264,TradesEquity!$1:$1048576,40,FALSE))</f>
        <v>#N/A</v>
      </c>
    </row>
    <row r="265" spans="4:63">
      <c r="D265" s="432" t="s">
        <v>2027</v>
      </c>
      <c r="F265" s="433" t="e">
        <f>VLOOKUP(A265,TradesEquity!$1:$1048576,2,FALSE)</f>
        <v>#N/A</v>
      </c>
      <c r="H265" s="433" t="e">
        <f>VLOOKUP(A265,TradesEquity!$1:$1048576,21,FALSE)</f>
        <v>#N/A</v>
      </c>
      <c r="I265" s="434" t="e">
        <f>IF(VLOOKUP(A265,TradesEquity!$1:$1048576,3,FALSE)="BUY","B","S")</f>
        <v>#N/A</v>
      </c>
      <c r="J265" s="434" t="e">
        <f>VLOOKUP(A265,TradesEquity!$1:$1048576,5,FALSE)</f>
        <v>#N/A</v>
      </c>
      <c r="K265" s="432" t="s">
        <v>19</v>
      </c>
      <c r="L265" s="435" t="s">
        <v>2028</v>
      </c>
      <c r="AE265" s="436" t="e">
        <f>VLOOKUP(A265,TradesEquity!$1:$1048576,10,FALSE)</f>
        <v>#N/A</v>
      </c>
      <c r="AF265" s="436" t="e">
        <f t="shared" si="14"/>
        <v>#N/A</v>
      </c>
      <c r="AG265" s="436" t="e">
        <f t="shared" si="15"/>
        <v>#N/A</v>
      </c>
      <c r="AH265" s="436" t="e">
        <f t="shared" si="16"/>
        <v>#N/A</v>
      </c>
      <c r="AI265" s="436" t="e">
        <f>ABS(VLOOKUP(A265,TradesEquity!$1:$1048576,13,FALSE))</f>
        <v>#N/A</v>
      </c>
      <c r="AJ265" s="437">
        <v>0</v>
      </c>
      <c r="AK265" s="437">
        <v>1</v>
      </c>
      <c r="AL265" s="436" t="e">
        <f>VLOOKUP(A265,TradesEquity!$1:$1048576,11,FALSE)</f>
        <v>#N/A</v>
      </c>
      <c r="AM265" s="437">
        <v>1</v>
      </c>
      <c r="AN265" s="436" t="e">
        <f>ABS(VLOOKUP(A265,TradesEquity!$1:$1048576,14,FALSE))</f>
        <v>#N/A</v>
      </c>
      <c r="AO265" s="436" t="e">
        <f>ABS(VLOOKUP(A265,TradesEquity!$1:$1048576,15,FALSE))</f>
        <v>#N/A</v>
      </c>
      <c r="AP265" s="438" t="e">
        <f>ABS(VLOOKUP(A265,TradesEquity!$1:$1048576,16,FALSE))</f>
        <v>#N/A</v>
      </c>
      <c r="AQ265" s="367">
        <v>0</v>
      </c>
      <c r="AR265" s="367">
        <v>0</v>
      </c>
      <c r="AS265" s="367">
        <v>0</v>
      </c>
      <c r="AT265" s="367">
        <v>0</v>
      </c>
      <c r="AU265" s="367">
        <v>0</v>
      </c>
      <c r="AV265" s="438" t="e">
        <f>ABS(VLOOKUP(A265,TradesEquity!$1:$1048576,18,FALSE))</f>
        <v>#N/A</v>
      </c>
      <c r="AW265" s="439">
        <v>0</v>
      </c>
      <c r="AX265" s="440">
        <v>4542</v>
      </c>
      <c r="AY265" s="441" t="s">
        <v>2029</v>
      </c>
      <c r="AZ265" s="442" t="e">
        <f>(VLOOKUP(A265,TradesEquity!$1:$1048576,29,FALSE))</f>
        <v>#N/A</v>
      </c>
      <c r="BA265" s="442" t="e">
        <f>(VLOOKUP(A265,TradesEquity!$1:$1048576,30,FALSE))</f>
        <v>#N/A</v>
      </c>
      <c r="BB265" s="442" t="e">
        <f>(VLOOKUP(A265,TradesEquity!$1:$1048576,31,FALSE))</f>
        <v>#N/A</v>
      </c>
      <c r="BC265" s="442" t="e">
        <f>(VLOOKUP(A265,TradesEquity!$1:$1048576,32,FALSE))</f>
        <v>#N/A</v>
      </c>
      <c r="BI265" s="442" t="e">
        <f>(VLOOKUP(A265,TradesEquity!$1:$1048576,38,FALSE))</f>
        <v>#N/A</v>
      </c>
      <c r="BJ265" s="442" t="e">
        <f>(VLOOKUP(A265,TradesEquity!$1:$1048576,39,FALSE))</f>
        <v>#N/A</v>
      </c>
      <c r="BK265" s="442" t="e">
        <f>(VLOOKUP(A265,TradesEquity!$1:$1048576,40,FALSE))</f>
        <v>#N/A</v>
      </c>
    </row>
    <row r="266" spans="4:63">
      <c r="D266" s="432" t="s">
        <v>2027</v>
      </c>
      <c r="F266" s="433" t="e">
        <f>VLOOKUP(A266,TradesEquity!$1:$1048576,2,FALSE)</f>
        <v>#N/A</v>
      </c>
      <c r="H266" s="433" t="e">
        <f>VLOOKUP(A266,TradesEquity!$1:$1048576,21,FALSE)</f>
        <v>#N/A</v>
      </c>
      <c r="I266" s="434" t="e">
        <f>IF(VLOOKUP(A266,TradesEquity!$1:$1048576,3,FALSE)="BUY","B","S")</f>
        <v>#N/A</v>
      </c>
      <c r="J266" s="434" t="e">
        <f>VLOOKUP(A266,TradesEquity!$1:$1048576,5,FALSE)</f>
        <v>#N/A</v>
      </c>
      <c r="K266" s="432" t="s">
        <v>19</v>
      </c>
      <c r="L266" s="435" t="s">
        <v>2028</v>
      </c>
      <c r="AE266" s="436" t="e">
        <f>VLOOKUP(A266,TradesEquity!$1:$1048576,10,FALSE)</f>
        <v>#N/A</v>
      </c>
      <c r="AF266" s="436" t="e">
        <f t="shared" si="14"/>
        <v>#N/A</v>
      </c>
      <c r="AG266" s="436" t="e">
        <f t="shared" si="15"/>
        <v>#N/A</v>
      </c>
      <c r="AH266" s="436" t="e">
        <f t="shared" si="16"/>
        <v>#N/A</v>
      </c>
      <c r="AI266" s="436" t="e">
        <f>ABS(VLOOKUP(A266,TradesEquity!$1:$1048576,13,FALSE))</f>
        <v>#N/A</v>
      </c>
      <c r="AJ266" s="437">
        <v>0</v>
      </c>
      <c r="AK266" s="437">
        <v>1</v>
      </c>
      <c r="AL266" s="436" t="e">
        <f>VLOOKUP(A266,TradesEquity!$1:$1048576,11,FALSE)</f>
        <v>#N/A</v>
      </c>
      <c r="AM266" s="437">
        <v>1</v>
      </c>
      <c r="AN266" s="436" t="e">
        <f>ABS(VLOOKUP(A266,TradesEquity!$1:$1048576,14,FALSE))</f>
        <v>#N/A</v>
      </c>
      <c r="AO266" s="436" t="e">
        <f>ABS(VLOOKUP(A266,TradesEquity!$1:$1048576,15,FALSE))</f>
        <v>#N/A</v>
      </c>
      <c r="AP266" s="438" t="e">
        <f>ABS(VLOOKUP(A266,TradesEquity!$1:$1048576,16,FALSE))</f>
        <v>#N/A</v>
      </c>
      <c r="AQ266" s="367">
        <v>0</v>
      </c>
      <c r="AR266" s="367">
        <v>0</v>
      </c>
      <c r="AS266" s="367">
        <v>0</v>
      </c>
      <c r="AT266" s="367">
        <v>0</v>
      </c>
      <c r="AU266" s="367">
        <v>0</v>
      </c>
      <c r="AV266" s="438" t="e">
        <f>ABS(VLOOKUP(A266,TradesEquity!$1:$1048576,18,FALSE))</f>
        <v>#N/A</v>
      </c>
      <c r="AW266" s="439">
        <v>0</v>
      </c>
      <c r="AX266" s="440">
        <v>4542</v>
      </c>
      <c r="AY266" s="441" t="s">
        <v>2029</v>
      </c>
      <c r="AZ266" s="442" t="e">
        <f>(VLOOKUP(A266,TradesEquity!$1:$1048576,29,FALSE))</f>
        <v>#N/A</v>
      </c>
      <c r="BA266" s="442" t="e">
        <f>(VLOOKUP(A266,TradesEquity!$1:$1048576,30,FALSE))</f>
        <v>#N/A</v>
      </c>
      <c r="BB266" s="442" t="e">
        <f>(VLOOKUP(A266,TradesEquity!$1:$1048576,31,FALSE))</f>
        <v>#N/A</v>
      </c>
      <c r="BC266" s="442" t="e">
        <f>(VLOOKUP(A266,TradesEquity!$1:$1048576,32,FALSE))</f>
        <v>#N/A</v>
      </c>
      <c r="BI266" s="442" t="e">
        <f>(VLOOKUP(A266,TradesEquity!$1:$1048576,38,FALSE))</f>
        <v>#N/A</v>
      </c>
      <c r="BJ266" s="442" t="e">
        <f>(VLOOKUP(A266,TradesEquity!$1:$1048576,39,FALSE))</f>
        <v>#N/A</v>
      </c>
      <c r="BK266" s="442" t="e">
        <f>(VLOOKUP(A266,TradesEquity!$1:$1048576,40,FALSE))</f>
        <v>#N/A</v>
      </c>
    </row>
    <row r="267" spans="4:63">
      <c r="D267" s="432" t="s">
        <v>2027</v>
      </c>
      <c r="F267" s="433" t="e">
        <f>VLOOKUP(A267,TradesEquity!$1:$1048576,2,FALSE)</f>
        <v>#N/A</v>
      </c>
      <c r="H267" s="433" t="e">
        <f>VLOOKUP(A267,TradesEquity!$1:$1048576,21,FALSE)</f>
        <v>#N/A</v>
      </c>
      <c r="I267" s="434" t="e">
        <f>IF(VLOOKUP(A267,TradesEquity!$1:$1048576,3,FALSE)="BUY","B","S")</f>
        <v>#N/A</v>
      </c>
      <c r="J267" s="434" t="e">
        <f>VLOOKUP(A267,TradesEquity!$1:$1048576,5,FALSE)</f>
        <v>#N/A</v>
      </c>
      <c r="K267" s="432" t="s">
        <v>19</v>
      </c>
      <c r="L267" s="435" t="s">
        <v>2028</v>
      </c>
      <c r="AE267" s="436" t="e">
        <f>VLOOKUP(A267,TradesEquity!$1:$1048576,10,FALSE)</f>
        <v>#N/A</v>
      </c>
      <c r="AF267" s="436" t="e">
        <f t="shared" si="14"/>
        <v>#N/A</v>
      </c>
      <c r="AG267" s="436" t="e">
        <f t="shared" si="15"/>
        <v>#N/A</v>
      </c>
      <c r="AH267" s="436" t="e">
        <f t="shared" si="16"/>
        <v>#N/A</v>
      </c>
      <c r="AI267" s="436" t="e">
        <f>ABS(VLOOKUP(A267,TradesEquity!$1:$1048576,13,FALSE))</f>
        <v>#N/A</v>
      </c>
      <c r="AJ267" s="437">
        <v>0</v>
      </c>
      <c r="AK267" s="437">
        <v>1</v>
      </c>
      <c r="AL267" s="436" t="e">
        <f>VLOOKUP(A267,TradesEquity!$1:$1048576,11,FALSE)</f>
        <v>#N/A</v>
      </c>
      <c r="AM267" s="437">
        <v>1</v>
      </c>
      <c r="AN267" s="436" t="e">
        <f>ABS(VLOOKUP(A267,TradesEquity!$1:$1048576,14,FALSE))</f>
        <v>#N/A</v>
      </c>
      <c r="AO267" s="436" t="e">
        <f>ABS(VLOOKUP(A267,TradesEquity!$1:$1048576,15,FALSE))</f>
        <v>#N/A</v>
      </c>
      <c r="AP267" s="438" t="e">
        <f>ABS(VLOOKUP(A267,TradesEquity!$1:$1048576,16,FALSE))</f>
        <v>#N/A</v>
      </c>
      <c r="AQ267" s="367">
        <v>0</v>
      </c>
      <c r="AR267" s="367">
        <v>0</v>
      </c>
      <c r="AS267" s="367">
        <v>0</v>
      </c>
      <c r="AT267" s="367">
        <v>0</v>
      </c>
      <c r="AU267" s="367">
        <v>0</v>
      </c>
      <c r="AV267" s="438" t="e">
        <f>ABS(VLOOKUP(A267,TradesEquity!$1:$1048576,18,FALSE))</f>
        <v>#N/A</v>
      </c>
      <c r="AW267" s="439">
        <v>0</v>
      </c>
      <c r="AX267" s="440">
        <v>4542</v>
      </c>
      <c r="AY267" s="441" t="s">
        <v>2029</v>
      </c>
      <c r="AZ267" s="442" t="e">
        <f>(VLOOKUP(A267,TradesEquity!$1:$1048576,29,FALSE))</f>
        <v>#N/A</v>
      </c>
      <c r="BA267" s="442" t="e">
        <f>(VLOOKUP(A267,TradesEquity!$1:$1048576,30,FALSE))</f>
        <v>#N/A</v>
      </c>
      <c r="BB267" s="442" t="e">
        <f>(VLOOKUP(A267,TradesEquity!$1:$1048576,31,FALSE))</f>
        <v>#N/A</v>
      </c>
      <c r="BC267" s="442" t="e">
        <f>(VLOOKUP(A267,TradesEquity!$1:$1048576,32,FALSE))</f>
        <v>#N/A</v>
      </c>
      <c r="BI267" s="442" t="e">
        <f>(VLOOKUP(A267,TradesEquity!$1:$1048576,38,FALSE))</f>
        <v>#N/A</v>
      </c>
      <c r="BJ267" s="442" t="e">
        <f>(VLOOKUP(A267,TradesEquity!$1:$1048576,39,FALSE))</f>
        <v>#N/A</v>
      </c>
      <c r="BK267" s="442" t="e">
        <f>(VLOOKUP(A267,TradesEquity!$1:$1048576,40,FALSE))</f>
        <v>#N/A</v>
      </c>
    </row>
    <row r="268" spans="4:63">
      <c r="D268" s="432" t="s">
        <v>2027</v>
      </c>
      <c r="F268" s="433" t="e">
        <f>VLOOKUP(A268,TradesEquity!$1:$1048576,2,FALSE)</f>
        <v>#N/A</v>
      </c>
      <c r="H268" s="433" t="e">
        <f>VLOOKUP(A268,TradesEquity!$1:$1048576,21,FALSE)</f>
        <v>#N/A</v>
      </c>
      <c r="I268" s="434" t="e">
        <f>IF(VLOOKUP(A268,TradesEquity!$1:$1048576,3,FALSE)="BUY","B","S")</f>
        <v>#N/A</v>
      </c>
      <c r="J268" s="434" t="e">
        <f>VLOOKUP(A268,TradesEquity!$1:$1048576,5,FALSE)</f>
        <v>#N/A</v>
      </c>
      <c r="K268" s="432" t="s">
        <v>19</v>
      </c>
      <c r="L268" s="435" t="s">
        <v>2028</v>
      </c>
      <c r="AE268" s="436" t="e">
        <f>VLOOKUP(A268,TradesEquity!$1:$1048576,10,FALSE)</f>
        <v>#N/A</v>
      </c>
      <c r="AF268" s="436" t="e">
        <f t="shared" si="14"/>
        <v>#N/A</v>
      </c>
      <c r="AG268" s="436" t="e">
        <f t="shared" si="15"/>
        <v>#N/A</v>
      </c>
      <c r="AH268" s="436" t="e">
        <f t="shared" si="16"/>
        <v>#N/A</v>
      </c>
      <c r="AI268" s="436" t="e">
        <f>ABS(VLOOKUP(A268,TradesEquity!$1:$1048576,13,FALSE))</f>
        <v>#N/A</v>
      </c>
      <c r="AJ268" s="437">
        <v>0</v>
      </c>
      <c r="AK268" s="437">
        <v>1</v>
      </c>
      <c r="AL268" s="436" t="e">
        <f>VLOOKUP(A268,TradesEquity!$1:$1048576,11,FALSE)</f>
        <v>#N/A</v>
      </c>
      <c r="AM268" s="437">
        <v>1</v>
      </c>
      <c r="AN268" s="436" t="e">
        <f>ABS(VLOOKUP(A268,TradesEquity!$1:$1048576,14,FALSE))</f>
        <v>#N/A</v>
      </c>
      <c r="AO268" s="436" t="e">
        <f>ABS(VLOOKUP(A268,TradesEquity!$1:$1048576,15,FALSE))</f>
        <v>#N/A</v>
      </c>
      <c r="AP268" s="438" t="e">
        <f>ABS(VLOOKUP(A268,TradesEquity!$1:$1048576,16,FALSE))</f>
        <v>#N/A</v>
      </c>
      <c r="AQ268" s="367">
        <v>0</v>
      </c>
      <c r="AR268" s="367">
        <v>0</v>
      </c>
      <c r="AS268" s="367">
        <v>0</v>
      </c>
      <c r="AT268" s="367">
        <v>0</v>
      </c>
      <c r="AU268" s="367">
        <v>0</v>
      </c>
      <c r="AV268" s="438" t="e">
        <f>ABS(VLOOKUP(A268,TradesEquity!$1:$1048576,18,FALSE))</f>
        <v>#N/A</v>
      </c>
      <c r="AW268" s="439">
        <v>0</v>
      </c>
      <c r="AX268" s="440">
        <v>4542</v>
      </c>
      <c r="AY268" s="441" t="s">
        <v>2029</v>
      </c>
      <c r="AZ268" s="442" t="e">
        <f>(VLOOKUP(A268,TradesEquity!$1:$1048576,29,FALSE))</f>
        <v>#N/A</v>
      </c>
      <c r="BA268" s="442" t="e">
        <f>(VLOOKUP(A268,TradesEquity!$1:$1048576,30,FALSE))</f>
        <v>#N/A</v>
      </c>
      <c r="BB268" s="442" t="e">
        <f>(VLOOKUP(A268,TradesEquity!$1:$1048576,31,FALSE))</f>
        <v>#N/A</v>
      </c>
      <c r="BC268" s="442" t="e">
        <f>(VLOOKUP(A268,TradesEquity!$1:$1048576,32,FALSE))</f>
        <v>#N/A</v>
      </c>
      <c r="BI268" s="442" t="e">
        <f>(VLOOKUP(A268,TradesEquity!$1:$1048576,38,FALSE))</f>
        <v>#N/A</v>
      </c>
      <c r="BJ268" s="442" t="e">
        <f>(VLOOKUP(A268,TradesEquity!$1:$1048576,39,FALSE))</f>
        <v>#N/A</v>
      </c>
      <c r="BK268" s="442" t="e">
        <f>(VLOOKUP(A268,TradesEquity!$1:$1048576,40,FALSE))</f>
        <v>#N/A</v>
      </c>
    </row>
    <row r="269" spans="4:63">
      <c r="D269" s="432" t="s">
        <v>2027</v>
      </c>
      <c r="F269" s="433" t="e">
        <f>VLOOKUP(A269,TradesEquity!$1:$1048576,2,FALSE)</f>
        <v>#N/A</v>
      </c>
      <c r="H269" s="433" t="e">
        <f>VLOOKUP(A269,TradesEquity!$1:$1048576,21,FALSE)</f>
        <v>#N/A</v>
      </c>
      <c r="I269" s="434" t="e">
        <f>IF(VLOOKUP(A269,TradesEquity!$1:$1048576,3,FALSE)="BUY","B","S")</f>
        <v>#N/A</v>
      </c>
      <c r="J269" s="434" t="e">
        <f>VLOOKUP(A269,TradesEquity!$1:$1048576,5,FALSE)</f>
        <v>#N/A</v>
      </c>
      <c r="K269" s="432" t="s">
        <v>19</v>
      </c>
      <c r="L269" s="435" t="s">
        <v>2028</v>
      </c>
      <c r="AE269" s="436" t="e">
        <f>VLOOKUP(A269,TradesEquity!$1:$1048576,10,FALSE)</f>
        <v>#N/A</v>
      </c>
      <c r="AF269" s="436" t="e">
        <f t="shared" si="14"/>
        <v>#N/A</v>
      </c>
      <c r="AG269" s="436" t="e">
        <f t="shared" si="15"/>
        <v>#N/A</v>
      </c>
      <c r="AH269" s="436" t="e">
        <f t="shared" si="16"/>
        <v>#N/A</v>
      </c>
      <c r="AI269" s="436" t="e">
        <f>ABS(VLOOKUP(A269,TradesEquity!$1:$1048576,13,FALSE))</f>
        <v>#N/A</v>
      </c>
      <c r="AJ269" s="437">
        <v>0</v>
      </c>
      <c r="AK269" s="437">
        <v>1</v>
      </c>
      <c r="AL269" s="436" t="e">
        <f>VLOOKUP(A269,TradesEquity!$1:$1048576,11,FALSE)</f>
        <v>#N/A</v>
      </c>
      <c r="AM269" s="437">
        <v>1</v>
      </c>
      <c r="AN269" s="436" t="e">
        <f>ABS(VLOOKUP(A269,TradesEquity!$1:$1048576,14,FALSE))</f>
        <v>#N/A</v>
      </c>
      <c r="AO269" s="436" t="e">
        <f>ABS(VLOOKUP(A269,TradesEquity!$1:$1048576,15,FALSE))</f>
        <v>#N/A</v>
      </c>
      <c r="AP269" s="438" t="e">
        <f>ABS(VLOOKUP(A269,TradesEquity!$1:$1048576,16,FALSE))</f>
        <v>#N/A</v>
      </c>
      <c r="AQ269" s="367">
        <v>0</v>
      </c>
      <c r="AR269" s="367">
        <v>0</v>
      </c>
      <c r="AS269" s="367">
        <v>0</v>
      </c>
      <c r="AT269" s="367">
        <v>0</v>
      </c>
      <c r="AU269" s="367">
        <v>0</v>
      </c>
      <c r="AV269" s="438" t="e">
        <f>ABS(VLOOKUP(A269,TradesEquity!$1:$1048576,18,FALSE))</f>
        <v>#N/A</v>
      </c>
      <c r="AW269" s="439">
        <v>0</v>
      </c>
      <c r="AX269" s="440">
        <v>4542</v>
      </c>
      <c r="AY269" s="441" t="s">
        <v>2029</v>
      </c>
      <c r="AZ269" s="442" t="e">
        <f>(VLOOKUP(A269,TradesEquity!$1:$1048576,29,FALSE))</f>
        <v>#N/A</v>
      </c>
      <c r="BA269" s="442" t="e">
        <f>(VLOOKUP(A269,TradesEquity!$1:$1048576,30,FALSE))</f>
        <v>#N/A</v>
      </c>
      <c r="BB269" s="442" t="e">
        <f>(VLOOKUP(A269,TradesEquity!$1:$1048576,31,FALSE))</f>
        <v>#N/A</v>
      </c>
      <c r="BC269" s="442" t="e">
        <f>(VLOOKUP(A269,TradesEquity!$1:$1048576,32,FALSE))</f>
        <v>#N/A</v>
      </c>
      <c r="BI269" s="442" t="e">
        <f>(VLOOKUP(A269,TradesEquity!$1:$1048576,38,FALSE))</f>
        <v>#N/A</v>
      </c>
      <c r="BJ269" s="442" t="e">
        <f>(VLOOKUP(A269,TradesEquity!$1:$1048576,39,FALSE))</f>
        <v>#N/A</v>
      </c>
      <c r="BK269" s="442" t="e">
        <f>(VLOOKUP(A269,TradesEquity!$1:$1048576,40,FALSE))</f>
        <v>#N/A</v>
      </c>
    </row>
    <row r="270" spans="4:63">
      <c r="D270" s="432" t="s">
        <v>2027</v>
      </c>
      <c r="F270" s="433" t="e">
        <f>VLOOKUP(A270,TradesEquity!$1:$1048576,2,FALSE)</f>
        <v>#N/A</v>
      </c>
      <c r="H270" s="433" t="e">
        <f>VLOOKUP(A270,TradesEquity!$1:$1048576,21,FALSE)</f>
        <v>#N/A</v>
      </c>
      <c r="I270" s="434" t="e">
        <f>IF(VLOOKUP(A270,TradesEquity!$1:$1048576,3,FALSE)="BUY","B","S")</f>
        <v>#N/A</v>
      </c>
      <c r="J270" s="434" t="e">
        <f>VLOOKUP(A270,TradesEquity!$1:$1048576,5,FALSE)</f>
        <v>#N/A</v>
      </c>
      <c r="K270" s="432" t="s">
        <v>19</v>
      </c>
      <c r="L270" s="435" t="s">
        <v>2028</v>
      </c>
      <c r="AE270" s="436" t="e">
        <f>VLOOKUP(A270,TradesEquity!$1:$1048576,10,FALSE)</f>
        <v>#N/A</v>
      </c>
      <c r="AF270" s="436" t="e">
        <f t="shared" si="14"/>
        <v>#N/A</v>
      </c>
      <c r="AG270" s="436" t="e">
        <f t="shared" si="15"/>
        <v>#N/A</v>
      </c>
      <c r="AH270" s="436" t="e">
        <f t="shared" si="16"/>
        <v>#N/A</v>
      </c>
      <c r="AI270" s="436" t="e">
        <f>ABS(VLOOKUP(A270,TradesEquity!$1:$1048576,13,FALSE))</f>
        <v>#N/A</v>
      </c>
      <c r="AJ270" s="437">
        <v>0</v>
      </c>
      <c r="AK270" s="437">
        <v>1</v>
      </c>
      <c r="AL270" s="436" t="e">
        <f>VLOOKUP(A270,TradesEquity!$1:$1048576,11,FALSE)</f>
        <v>#N/A</v>
      </c>
      <c r="AM270" s="437">
        <v>1</v>
      </c>
      <c r="AN270" s="436" t="e">
        <f>ABS(VLOOKUP(A270,TradesEquity!$1:$1048576,14,FALSE))</f>
        <v>#N/A</v>
      </c>
      <c r="AO270" s="436" t="e">
        <f>ABS(VLOOKUP(A270,TradesEquity!$1:$1048576,15,FALSE))</f>
        <v>#N/A</v>
      </c>
      <c r="AP270" s="438" t="e">
        <f>ABS(VLOOKUP(A270,TradesEquity!$1:$1048576,16,FALSE))</f>
        <v>#N/A</v>
      </c>
      <c r="AQ270" s="367">
        <v>0</v>
      </c>
      <c r="AR270" s="367">
        <v>0</v>
      </c>
      <c r="AS270" s="367">
        <v>0</v>
      </c>
      <c r="AT270" s="367">
        <v>0</v>
      </c>
      <c r="AU270" s="367">
        <v>0</v>
      </c>
      <c r="AV270" s="438" t="e">
        <f>ABS(VLOOKUP(A270,TradesEquity!$1:$1048576,18,FALSE))</f>
        <v>#N/A</v>
      </c>
      <c r="AW270" s="439">
        <v>0</v>
      </c>
      <c r="AX270" s="440">
        <v>4542</v>
      </c>
      <c r="AY270" s="441" t="s">
        <v>2029</v>
      </c>
      <c r="AZ270" s="442" t="e">
        <f>(VLOOKUP(A270,TradesEquity!$1:$1048576,29,FALSE))</f>
        <v>#N/A</v>
      </c>
      <c r="BA270" s="442" t="e">
        <f>(VLOOKUP(A270,TradesEquity!$1:$1048576,30,FALSE))</f>
        <v>#N/A</v>
      </c>
      <c r="BB270" s="442" t="e">
        <f>(VLOOKUP(A270,TradesEquity!$1:$1048576,31,FALSE))</f>
        <v>#N/A</v>
      </c>
      <c r="BC270" s="442" t="e">
        <f>(VLOOKUP(A270,TradesEquity!$1:$1048576,32,FALSE))</f>
        <v>#N/A</v>
      </c>
      <c r="BI270" s="442" t="e">
        <f>(VLOOKUP(A270,TradesEquity!$1:$1048576,38,FALSE))</f>
        <v>#N/A</v>
      </c>
      <c r="BJ270" s="442" t="e">
        <f>(VLOOKUP(A270,TradesEquity!$1:$1048576,39,FALSE))</f>
        <v>#N/A</v>
      </c>
      <c r="BK270" s="442" t="e">
        <f>(VLOOKUP(A270,TradesEquity!$1:$1048576,40,FALSE))</f>
        <v>#N/A</v>
      </c>
    </row>
    <row r="271" spans="4:63">
      <c r="D271" s="432" t="s">
        <v>2027</v>
      </c>
      <c r="F271" s="433" t="e">
        <f>VLOOKUP(A271,TradesEquity!$1:$1048576,2,FALSE)</f>
        <v>#N/A</v>
      </c>
      <c r="H271" s="433" t="e">
        <f>VLOOKUP(A271,TradesEquity!$1:$1048576,21,FALSE)</f>
        <v>#N/A</v>
      </c>
      <c r="I271" s="434" t="e">
        <f>IF(VLOOKUP(A271,TradesEquity!$1:$1048576,3,FALSE)="BUY","B","S")</f>
        <v>#N/A</v>
      </c>
      <c r="J271" s="434" t="e">
        <f>VLOOKUP(A271,TradesEquity!$1:$1048576,5,FALSE)</f>
        <v>#N/A</v>
      </c>
      <c r="K271" s="432" t="s">
        <v>19</v>
      </c>
      <c r="L271" s="435" t="s">
        <v>2028</v>
      </c>
      <c r="AE271" s="436" t="e">
        <f>VLOOKUP(A271,TradesEquity!$1:$1048576,10,FALSE)</f>
        <v>#N/A</v>
      </c>
      <c r="AF271" s="436" t="e">
        <f t="shared" si="14"/>
        <v>#N/A</v>
      </c>
      <c r="AG271" s="436" t="e">
        <f t="shared" si="15"/>
        <v>#N/A</v>
      </c>
      <c r="AH271" s="436" t="e">
        <f t="shared" si="16"/>
        <v>#N/A</v>
      </c>
      <c r="AI271" s="436" t="e">
        <f>ABS(VLOOKUP(A271,TradesEquity!$1:$1048576,13,FALSE))</f>
        <v>#N/A</v>
      </c>
      <c r="AJ271" s="437">
        <v>0</v>
      </c>
      <c r="AK271" s="437">
        <v>1</v>
      </c>
      <c r="AL271" s="436" t="e">
        <f>VLOOKUP(A271,TradesEquity!$1:$1048576,11,FALSE)</f>
        <v>#N/A</v>
      </c>
      <c r="AM271" s="437">
        <v>1</v>
      </c>
      <c r="AN271" s="436" t="e">
        <f>ABS(VLOOKUP(A271,TradesEquity!$1:$1048576,14,FALSE))</f>
        <v>#N/A</v>
      </c>
      <c r="AO271" s="436" t="e">
        <f>ABS(VLOOKUP(A271,TradesEquity!$1:$1048576,15,FALSE))</f>
        <v>#N/A</v>
      </c>
      <c r="AP271" s="438" t="e">
        <f>ABS(VLOOKUP(A271,TradesEquity!$1:$1048576,16,FALSE))</f>
        <v>#N/A</v>
      </c>
      <c r="AQ271" s="367">
        <v>0</v>
      </c>
      <c r="AR271" s="367">
        <v>0</v>
      </c>
      <c r="AS271" s="367">
        <v>0</v>
      </c>
      <c r="AT271" s="367">
        <v>0</v>
      </c>
      <c r="AU271" s="367">
        <v>0</v>
      </c>
      <c r="AV271" s="438" t="e">
        <f>ABS(VLOOKUP(A271,TradesEquity!$1:$1048576,18,FALSE))</f>
        <v>#N/A</v>
      </c>
      <c r="AW271" s="439">
        <v>0</v>
      </c>
      <c r="AX271" s="440">
        <v>4542</v>
      </c>
      <c r="AY271" s="441" t="s">
        <v>2029</v>
      </c>
      <c r="AZ271" s="442" t="e">
        <f>(VLOOKUP(A271,TradesEquity!$1:$1048576,29,FALSE))</f>
        <v>#N/A</v>
      </c>
      <c r="BA271" s="442" t="e">
        <f>(VLOOKUP(A271,TradesEquity!$1:$1048576,30,FALSE))</f>
        <v>#N/A</v>
      </c>
      <c r="BB271" s="442" t="e">
        <f>(VLOOKUP(A271,TradesEquity!$1:$1048576,31,FALSE))</f>
        <v>#N/A</v>
      </c>
      <c r="BC271" s="442" t="e">
        <f>(VLOOKUP(A271,TradesEquity!$1:$1048576,32,FALSE))</f>
        <v>#N/A</v>
      </c>
      <c r="BI271" s="442" t="e">
        <f>(VLOOKUP(A271,TradesEquity!$1:$1048576,38,FALSE))</f>
        <v>#N/A</v>
      </c>
      <c r="BJ271" s="442" t="e">
        <f>(VLOOKUP(A271,TradesEquity!$1:$1048576,39,FALSE))</f>
        <v>#N/A</v>
      </c>
      <c r="BK271" s="442" t="e">
        <f>(VLOOKUP(A271,TradesEquity!$1:$1048576,40,FALSE))</f>
        <v>#N/A</v>
      </c>
    </row>
    <row r="272" spans="4:63">
      <c r="D272" s="432" t="s">
        <v>2027</v>
      </c>
      <c r="F272" s="433" t="e">
        <f>VLOOKUP(A272,TradesEquity!$1:$1048576,2,FALSE)</f>
        <v>#N/A</v>
      </c>
      <c r="H272" s="433" t="e">
        <f>VLOOKUP(A272,TradesEquity!$1:$1048576,21,FALSE)</f>
        <v>#N/A</v>
      </c>
      <c r="I272" s="434" t="e">
        <f>IF(VLOOKUP(A272,TradesEquity!$1:$1048576,3,FALSE)="BUY","B","S")</f>
        <v>#N/A</v>
      </c>
      <c r="J272" s="434" t="e">
        <f>VLOOKUP(A272,TradesEquity!$1:$1048576,5,FALSE)</f>
        <v>#N/A</v>
      </c>
      <c r="K272" s="432" t="s">
        <v>19</v>
      </c>
      <c r="L272" s="435" t="s">
        <v>2028</v>
      </c>
      <c r="AE272" s="436" t="e">
        <f>VLOOKUP(A272,TradesEquity!$1:$1048576,10,FALSE)</f>
        <v>#N/A</v>
      </c>
      <c r="AF272" s="436" t="e">
        <f t="shared" si="14"/>
        <v>#N/A</v>
      </c>
      <c r="AG272" s="436" t="e">
        <f t="shared" si="15"/>
        <v>#N/A</v>
      </c>
      <c r="AH272" s="436" t="e">
        <f t="shared" si="16"/>
        <v>#N/A</v>
      </c>
      <c r="AI272" s="436" t="e">
        <f>ABS(VLOOKUP(A272,TradesEquity!$1:$1048576,13,FALSE))</f>
        <v>#N/A</v>
      </c>
      <c r="AJ272" s="437">
        <v>0</v>
      </c>
      <c r="AK272" s="437">
        <v>1</v>
      </c>
      <c r="AL272" s="436" t="e">
        <f>VLOOKUP(A272,TradesEquity!$1:$1048576,11,FALSE)</f>
        <v>#N/A</v>
      </c>
      <c r="AM272" s="437">
        <v>1</v>
      </c>
      <c r="AN272" s="436" t="e">
        <f>ABS(VLOOKUP(A272,TradesEquity!$1:$1048576,14,FALSE))</f>
        <v>#N/A</v>
      </c>
      <c r="AO272" s="436" t="e">
        <f>ABS(VLOOKUP(A272,TradesEquity!$1:$1048576,15,FALSE))</f>
        <v>#N/A</v>
      </c>
      <c r="AP272" s="438" t="e">
        <f>ABS(VLOOKUP(A272,TradesEquity!$1:$1048576,16,FALSE))</f>
        <v>#N/A</v>
      </c>
      <c r="AQ272" s="367">
        <v>0</v>
      </c>
      <c r="AR272" s="367">
        <v>0</v>
      </c>
      <c r="AS272" s="367">
        <v>0</v>
      </c>
      <c r="AT272" s="367">
        <v>0</v>
      </c>
      <c r="AU272" s="367">
        <v>0</v>
      </c>
      <c r="AV272" s="438" t="e">
        <f>ABS(VLOOKUP(A272,TradesEquity!$1:$1048576,18,FALSE))</f>
        <v>#N/A</v>
      </c>
      <c r="AW272" s="439">
        <v>0</v>
      </c>
      <c r="AX272" s="440">
        <v>4542</v>
      </c>
      <c r="AY272" s="441" t="s">
        <v>2029</v>
      </c>
      <c r="AZ272" s="442" t="e">
        <f>(VLOOKUP(A272,TradesEquity!$1:$1048576,29,FALSE))</f>
        <v>#N/A</v>
      </c>
      <c r="BA272" s="442" t="e">
        <f>(VLOOKUP(A272,TradesEquity!$1:$1048576,30,FALSE))</f>
        <v>#N/A</v>
      </c>
      <c r="BB272" s="442" t="e">
        <f>(VLOOKUP(A272,TradesEquity!$1:$1048576,31,FALSE))</f>
        <v>#N/A</v>
      </c>
      <c r="BC272" s="442" t="e">
        <f>(VLOOKUP(A272,TradesEquity!$1:$1048576,32,FALSE))</f>
        <v>#N/A</v>
      </c>
      <c r="BI272" s="442" t="e">
        <f>(VLOOKUP(A272,TradesEquity!$1:$1048576,38,FALSE))</f>
        <v>#N/A</v>
      </c>
      <c r="BJ272" s="442" t="e">
        <f>(VLOOKUP(A272,TradesEquity!$1:$1048576,39,FALSE))</f>
        <v>#N/A</v>
      </c>
      <c r="BK272" s="442" t="e">
        <f>(VLOOKUP(A272,TradesEquity!$1:$1048576,40,FALSE))</f>
        <v>#N/A</v>
      </c>
    </row>
    <row r="273" spans="4:63">
      <c r="D273" s="432" t="s">
        <v>2027</v>
      </c>
      <c r="F273" s="433" t="e">
        <f>VLOOKUP(A273,TradesEquity!$1:$1048576,2,FALSE)</f>
        <v>#N/A</v>
      </c>
      <c r="H273" s="433" t="e">
        <f>VLOOKUP(A273,TradesEquity!$1:$1048576,21,FALSE)</f>
        <v>#N/A</v>
      </c>
      <c r="I273" s="434" t="e">
        <f>IF(VLOOKUP(A273,TradesEquity!$1:$1048576,3,FALSE)="BUY","B","S")</f>
        <v>#N/A</v>
      </c>
      <c r="J273" s="434" t="e">
        <f>VLOOKUP(A273,TradesEquity!$1:$1048576,5,FALSE)</f>
        <v>#N/A</v>
      </c>
      <c r="K273" s="432" t="s">
        <v>19</v>
      </c>
      <c r="L273" s="435" t="s">
        <v>2028</v>
      </c>
      <c r="AE273" s="436" t="e">
        <f>VLOOKUP(A273,TradesEquity!$1:$1048576,10,FALSE)</f>
        <v>#N/A</v>
      </c>
      <c r="AF273" s="436" t="e">
        <f t="shared" si="14"/>
        <v>#N/A</v>
      </c>
      <c r="AG273" s="436" t="e">
        <f t="shared" si="15"/>
        <v>#N/A</v>
      </c>
      <c r="AH273" s="436" t="e">
        <f t="shared" si="16"/>
        <v>#N/A</v>
      </c>
      <c r="AI273" s="436" t="e">
        <f>ABS(VLOOKUP(A273,TradesEquity!$1:$1048576,13,FALSE))</f>
        <v>#N/A</v>
      </c>
      <c r="AJ273" s="437">
        <v>0</v>
      </c>
      <c r="AK273" s="437">
        <v>1</v>
      </c>
      <c r="AL273" s="436" t="e">
        <f>VLOOKUP(A273,TradesEquity!$1:$1048576,11,FALSE)</f>
        <v>#N/A</v>
      </c>
      <c r="AM273" s="437">
        <v>1</v>
      </c>
      <c r="AN273" s="436" t="e">
        <f>ABS(VLOOKUP(A273,TradesEquity!$1:$1048576,14,FALSE))</f>
        <v>#N/A</v>
      </c>
      <c r="AO273" s="436" t="e">
        <f>ABS(VLOOKUP(A273,TradesEquity!$1:$1048576,15,FALSE))</f>
        <v>#N/A</v>
      </c>
      <c r="AP273" s="438" t="e">
        <f>ABS(VLOOKUP(A273,TradesEquity!$1:$1048576,16,FALSE))</f>
        <v>#N/A</v>
      </c>
      <c r="AQ273" s="367">
        <v>0</v>
      </c>
      <c r="AR273" s="367">
        <v>0</v>
      </c>
      <c r="AS273" s="367">
        <v>0</v>
      </c>
      <c r="AT273" s="367">
        <v>0</v>
      </c>
      <c r="AU273" s="367">
        <v>0</v>
      </c>
      <c r="AV273" s="438" t="e">
        <f>ABS(VLOOKUP(A273,TradesEquity!$1:$1048576,18,FALSE))</f>
        <v>#N/A</v>
      </c>
      <c r="AW273" s="439">
        <v>0</v>
      </c>
      <c r="AX273" s="440">
        <v>4542</v>
      </c>
      <c r="AY273" s="441" t="s">
        <v>2029</v>
      </c>
      <c r="AZ273" s="442" t="e">
        <f>(VLOOKUP(A273,TradesEquity!$1:$1048576,29,FALSE))</f>
        <v>#N/A</v>
      </c>
      <c r="BA273" s="442" t="e">
        <f>(VLOOKUP(A273,TradesEquity!$1:$1048576,30,FALSE))</f>
        <v>#N/A</v>
      </c>
      <c r="BB273" s="442" t="e">
        <f>(VLOOKUP(A273,TradesEquity!$1:$1048576,31,FALSE))</f>
        <v>#N/A</v>
      </c>
      <c r="BC273" s="442" t="e">
        <f>(VLOOKUP(A273,TradesEquity!$1:$1048576,32,FALSE))</f>
        <v>#N/A</v>
      </c>
      <c r="BI273" s="442" t="e">
        <f>(VLOOKUP(A273,TradesEquity!$1:$1048576,38,FALSE))</f>
        <v>#N/A</v>
      </c>
      <c r="BJ273" s="442" t="e">
        <f>(VLOOKUP(A273,TradesEquity!$1:$1048576,39,FALSE))</f>
        <v>#N/A</v>
      </c>
      <c r="BK273" s="442" t="e">
        <f>(VLOOKUP(A273,TradesEquity!$1:$1048576,40,FALSE))</f>
        <v>#N/A</v>
      </c>
    </row>
    <row r="274" spans="4:63">
      <c r="D274" s="432" t="s">
        <v>2027</v>
      </c>
      <c r="F274" s="433" t="e">
        <f>VLOOKUP(A274,TradesEquity!$1:$1048576,2,FALSE)</f>
        <v>#N/A</v>
      </c>
      <c r="H274" s="433" t="e">
        <f>VLOOKUP(A274,TradesEquity!$1:$1048576,21,FALSE)</f>
        <v>#N/A</v>
      </c>
      <c r="I274" s="434" t="e">
        <f>IF(VLOOKUP(A274,TradesEquity!$1:$1048576,3,FALSE)="BUY","B","S")</f>
        <v>#N/A</v>
      </c>
      <c r="J274" s="434" t="e">
        <f>VLOOKUP(A274,TradesEquity!$1:$1048576,5,FALSE)</f>
        <v>#N/A</v>
      </c>
      <c r="K274" s="432" t="s">
        <v>19</v>
      </c>
      <c r="L274" s="435" t="s">
        <v>2028</v>
      </c>
      <c r="AE274" s="436" t="e">
        <f>VLOOKUP(A274,TradesEquity!$1:$1048576,10,FALSE)</f>
        <v>#N/A</v>
      </c>
      <c r="AF274" s="436" t="e">
        <f t="shared" si="14"/>
        <v>#N/A</v>
      </c>
      <c r="AG274" s="436" t="e">
        <f t="shared" si="15"/>
        <v>#N/A</v>
      </c>
      <c r="AH274" s="436" t="e">
        <f t="shared" si="16"/>
        <v>#N/A</v>
      </c>
      <c r="AI274" s="436" t="e">
        <f>ABS(VLOOKUP(A274,TradesEquity!$1:$1048576,13,FALSE))</f>
        <v>#N/A</v>
      </c>
      <c r="AJ274" s="437">
        <v>0</v>
      </c>
      <c r="AK274" s="437">
        <v>1</v>
      </c>
      <c r="AL274" s="436" t="e">
        <f>VLOOKUP(A274,TradesEquity!$1:$1048576,11,FALSE)</f>
        <v>#N/A</v>
      </c>
      <c r="AM274" s="437">
        <v>1</v>
      </c>
      <c r="AN274" s="436" t="e">
        <f>ABS(VLOOKUP(A274,TradesEquity!$1:$1048576,14,FALSE))</f>
        <v>#N/A</v>
      </c>
      <c r="AO274" s="436" t="e">
        <f>ABS(VLOOKUP(A274,TradesEquity!$1:$1048576,15,FALSE))</f>
        <v>#N/A</v>
      </c>
      <c r="AP274" s="438" t="e">
        <f>ABS(VLOOKUP(A274,TradesEquity!$1:$1048576,16,FALSE))</f>
        <v>#N/A</v>
      </c>
      <c r="AQ274" s="367">
        <v>0</v>
      </c>
      <c r="AR274" s="367">
        <v>0</v>
      </c>
      <c r="AS274" s="367">
        <v>0</v>
      </c>
      <c r="AT274" s="367">
        <v>0</v>
      </c>
      <c r="AU274" s="367">
        <v>0</v>
      </c>
      <c r="AV274" s="438" t="e">
        <f>ABS(VLOOKUP(A274,TradesEquity!$1:$1048576,18,FALSE))</f>
        <v>#N/A</v>
      </c>
      <c r="AW274" s="439">
        <v>0</v>
      </c>
      <c r="AX274" s="440">
        <v>4542</v>
      </c>
      <c r="AY274" s="441" t="s">
        <v>2029</v>
      </c>
      <c r="AZ274" s="442" t="e">
        <f>(VLOOKUP(A274,TradesEquity!$1:$1048576,29,FALSE))</f>
        <v>#N/A</v>
      </c>
      <c r="BA274" s="442" t="e">
        <f>(VLOOKUP(A274,TradesEquity!$1:$1048576,30,FALSE))</f>
        <v>#N/A</v>
      </c>
      <c r="BB274" s="442" t="e">
        <f>(VLOOKUP(A274,TradesEquity!$1:$1048576,31,FALSE))</f>
        <v>#N/A</v>
      </c>
      <c r="BC274" s="442" t="e">
        <f>(VLOOKUP(A274,TradesEquity!$1:$1048576,32,FALSE))</f>
        <v>#N/A</v>
      </c>
      <c r="BI274" s="442" t="e">
        <f>(VLOOKUP(A274,TradesEquity!$1:$1048576,38,FALSE))</f>
        <v>#N/A</v>
      </c>
      <c r="BJ274" s="442" t="e">
        <f>(VLOOKUP(A274,TradesEquity!$1:$1048576,39,FALSE))</f>
        <v>#N/A</v>
      </c>
      <c r="BK274" s="442" t="e">
        <f>(VLOOKUP(A274,TradesEquity!$1:$1048576,40,FALSE))</f>
        <v>#N/A</v>
      </c>
    </row>
    <row r="275" spans="4:63">
      <c r="D275" s="432" t="s">
        <v>2027</v>
      </c>
      <c r="F275" s="433" t="e">
        <f>VLOOKUP(A275,TradesEquity!$1:$1048576,2,FALSE)</f>
        <v>#N/A</v>
      </c>
      <c r="H275" s="433" t="e">
        <f>VLOOKUP(A275,TradesEquity!$1:$1048576,21,FALSE)</f>
        <v>#N/A</v>
      </c>
      <c r="I275" s="434" t="e">
        <f>IF(VLOOKUP(A275,TradesEquity!$1:$1048576,3,FALSE)="BUY","B","S")</f>
        <v>#N/A</v>
      </c>
      <c r="J275" s="434" t="e">
        <f>VLOOKUP(A275,TradesEquity!$1:$1048576,5,FALSE)</f>
        <v>#N/A</v>
      </c>
      <c r="K275" s="432" t="s">
        <v>19</v>
      </c>
      <c r="L275" s="435" t="s">
        <v>2028</v>
      </c>
      <c r="AE275" s="436" t="e">
        <f>VLOOKUP(A275,TradesEquity!$1:$1048576,10,FALSE)</f>
        <v>#N/A</v>
      </c>
      <c r="AF275" s="436" t="e">
        <f t="shared" si="14"/>
        <v>#N/A</v>
      </c>
      <c r="AG275" s="436" t="e">
        <f t="shared" si="15"/>
        <v>#N/A</v>
      </c>
      <c r="AH275" s="436" t="e">
        <f t="shared" si="16"/>
        <v>#N/A</v>
      </c>
      <c r="AI275" s="436" t="e">
        <f>ABS(VLOOKUP(A275,TradesEquity!$1:$1048576,13,FALSE))</f>
        <v>#N/A</v>
      </c>
      <c r="AJ275" s="437">
        <v>0</v>
      </c>
      <c r="AK275" s="437">
        <v>1</v>
      </c>
      <c r="AL275" s="436" t="e">
        <f>VLOOKUP(A275,TradesEquity!$1:$1048576,11,FALSE)</f>
        <v>#N/A</v>
      </c>
      <c r="AM275" s="437">
        <v>1</v>
      </c>
      <c r="AN275" s="436" t="e">
        <f>ABS(VLOOKUP(A275,TradesEquity!$1:$1048576,14,FALSE))</f>
        <v>#N/A</v>
      </c>
      <c r="AO275" s="436" t="e">
        <f>ABS(VLOOKUP(A275,TradesEquity!$1:$1048576,15,FALSE))</f>
        <v>#N/A</v>
      </c>
      <c r="AP275" s="438" t="e">
        <f>ABS(VLOOKUP(A275,TradesEquity!$1:$1048576,16,FALSE))</f>
        <v>#N/A</v>
      </c>
      <c r="AQ275" s="367">
        <v>0</v>
      </c>
      <c r="AR275" s="367">
        <v>0</v>
      </c>
      <c r="AS275" s="367">
        <v>0</v>
      </c>
      <c r="AT275" s="367">
        <v>0</v>
      </c>
      <c r="AU275" s="367">
        <v>0</v>
      </c>
      <c r="AV275" s="438" t="e">
        <f>ABS(VLOOKUP(A275,TradesEquity!$1:$1048576,18,FALSE))</f>
        <v>#N/A</v>
      </c>
      <c r="AW275" s="439">
        <v>0</v>
      </c>
      <c r="AX275" s="440">
        <v>4542</v>
      </c>
      <c r="AY275" s="441" t="s">
        <v>2029</v>
      </c>
      <c r="AZ275" s="442" t="e">
        <f>(VLOOKUP(A275,TradesEquity!$1:$1048576,29,FALSE))</f>
        <v>#N/A</v>
      </c>
      <c r="BA275" s="442" t="e">
        <f>(VLOOKUP(A275,TradesEquity!$1:$1048576,30,FALSE))</f>
        <v>#N/A</v>
      </c>
      <c r="BB275" s="442" t="e">
        <f>(VLOOKUP(A275,TradesEquity!$1:$1048576,31,FALSE))</f>
        <v>#N/A</v>
      </c>
      <c r="BC275" s="442" t="e">
        <f>(VLOOKUP(A275,TradesEquity!$1:$1048576,32,FALSE))</f>
        <v>#N/A</v>
      </c>
      <c r="BI275" s="442" t="e">
        <f>(VLOOKUP(A275,TradesEquity!$1:$1048576,38,FALSE))</f>
        <v>#N/A</v>
      </c>
      <c r="BJ275" s="442" t="e">
        <f>(VLOOKUP(A275,TradesEquity!$1:$1048576,39,FALSE))</f>
        <v>#N/A</v>
      </c>
      <c r="BK275" s="442" t="e">
        <f>(VLOOKUP(A275,TradesEquity!$1:$1048576,40,FALSE))</f>
        <v>#N/A</v>
      </c>
    </row>
    <row r="276" spans="4:63">
      <c r="D276" s="432" t="s">
        <v>2027</v>
      </c>
      <c r="F276" s="433" t="e">
        <f>VLOOKUP(A276,TradesEquity!$1:$1048576,2,FALSE)</f>
        <v>#N/A</v>
      </c>
      <c r="H276" s="433" t="e">
        <f>VLOOKUP(A276,TradesEquity!$1:$1048576,21,FALSE)</f>
        <v>#N/A</v>
      </c>
      <c r="I276" s="434" t="e">
        <f>IF(VLOOKUP(A276,TradesEquity!$1:$1048576,3,FALSE)="BUY","B","S")</f>
        <v>#N/A</v>
      </c>
      <c r="J276" s="434" t="e">
        <f>VLOOKUP(A276,TradesEquity!$1:$1048576,5,FALSE)</f>
        <v>#N/A</v>
      </c>
      <c r="K276" s="432" t="s">
        <v>19</v>
      </c>
      <c r="L276" s="435" t="s">
        <v>2028</v>
      </c>
      <c r="AE276" s="436" t="e">
        <f>VLOOKUP(A276,TradesEquity!$1:$1048576,10,FALSE)</f>
        <v>#N/A</v>
      </c>
      <c r="AF276" s="436" t="e">
        <f t="shared" si="14"/>
        <v>#N/A</v>
      </c>
      <c r="AG276" s="436" t="e">
        <f t="shared" si="15"/>
        <v>#N/A</v>
      </c>
      <c r="AH276" s="436" t="e">
        <f t="shared" si="16"/>
        <v>#N/A</v>
      </c>
      <c r="AI276" s="436" t="e">
        <f>ABS(VLOOKUP(A276,TradesEquity!$1:$1048576,13,FALSE))</f>
        <v>#N/A</v>
      </c>
      <c r="AJ276" s="437">
        <v>0</v>
      </c>
      <c r="AK276" s="437">
        <v>1</v>
      </c>
      <c r="AL276" s="436" t="e">
        <f>VLOOKUP(A276,TradesEquity!$1:$1048576,11,FALSE)</f>
        <v>#N/A</v>
      </c>
      <c r="AM276" s="437">
        <v>1</v>
      </c>
      <c r="AN276" s="436" t="e">
        <f>ABS(VLOOKUP(A276,TradesEquity!$1:$1048576,14,FALSE))</f>
        <v>#N/A</v>
      </c>
      <c r="AO276" s="436" t="e">
        <f>ABS(VLOOKUP(A276,TradesEquity!$1:$1048576,15,FALSE))</f>
        <v>#N/A</v>
      </c>
      <c r="AP276" s="438" t="e">
        <f>ABS(VLOOKUP(A276,TradesEquity!$1:$1048576,16,FALSE))</f>
        <v>#N/A</v>
      </c>
      <c r="AQ276" s="367">
        <v>0</v>
      </c>
      <c r="AR276" s="367">
        <v>0</v>
      </c>
      <c r="AS276" s="367">
        <v>0</v>
      </c>
      <c r="AT276" s="367">
        <v>0</v>
      </c>
      <c r="AU276" s="367">
        <v>0</v>
      </c>
      <c r="AV276" s="438" t="e">
        <f>ABS(VLOOKUP(A276,TradesEquity!$1:$1048576,18,FALSE))</f>
        <v>#N/A</v>
      </c>
      <c r="AW276" s="439">
        <v>0</v>
      </c>
      <c r="AX276" s="440">
        <v>4542</v>
      </c>
      <c r="AY276" s="441" t="s">
        <v>2029</v>
      </c>
      <c r="AZ276" s="442" t="e">
        <f>(VLOOKUP(A276,TradesEquity!$1:$1048576,29,FALSE))</f>
        <v>#N/A</v>
      </c>
      <c r="BA276" s="442" t="e">
        <f>(VLOOKUP(A276,TradesEquity!$1:$1048576,30,FALSE))</f>
        <v>#N/A</v>
      </c>
      <c r="BB276" s="442" t="e">
        <f>(VLOOKUP(A276,TradesEquity!$1:$1048576,31,FALSE))</f>
        <v>#N/A</v>
      </c>
      <c r="BC276" s="442" t="e">
        <f>(VLOOKUP(A276,TradesEquity!$1:$1048576,32,FALSE))</f>
        <v>#N/A</v>
      </c>
      <c r="BI276" s="442" t="e">
        <f>(VLOOKUP(A276,TradesEquity!$1:$1048576,38,FALSE))</f>
        <v>#N/A</v>
      </c>
      <c r="BJ276" s="442" t="e">
        <f>(VLOOKUP(A276,TradesEquity!$1:$1048576,39,FALSE))</f>
        <v>#N/A</v>
      </c>
      <c r="BK276" s="442" t="e">
        <f>(VLOOKUP(A276,TradesEquity!$1:$1048576,40,FALSE))</f>
        <v>#N/A</v>
      </c>
    </row>
    <row r="277" spans="4:63">
      <c r="D277" s="432" t="s">
        <v>2027</v>
      </c>
      <c r="F277" s="433" t="e">
        <f>VLOOKUP(A277,TradesEquity!$1:$1048576,2,FALSE)</f>
        <v>#N/A</v>
      </c>
      <c r="H277" s="433" t="e">
        <f>VLOOKUP(A277,TradesEquity!$1:$1048576,21,FALSE)</f>
        <v>#N/A</v>
      </c>
      <c r="I277" s="434" t="e">
        <f>IF(VLOOKUP(A277,TradesEquity!$1:$1048576,3,FALSE)="BUY","B","S")</f>
        <v>#N/A</v>
      </c>
      <c r="J277" s="434" t="e">
        <f>VLOOKUP(A277,TradesEquity!$1:$1048576,5,FALSE)</f>
        <v>#N/A</v>
      </c>
      <c r="K277" s="432" t="s">
        <v>19</v>
      </c>
      <c r="L277" s="435" t="s">
        <v>2028</v>
      </c>
      <c r="AE277" s="436" t="e">
        <f>VLOOKUP(A277,TradesEquity!$1:$1048576,10,FALSE)</f>
        <v>#N/A</v>
      </c>
      <c r="AF277" s="436" t="e">
        <f t="shared" si="14"/>
        <v>#N/A</v>
      </c>
      <c r="AG277" s="436" t="e">
        <f t="shared" si="15"/>
        <v>#N/A</v>
      </c>
      <c r="AH277" s="436" t="e">
        <f t="shared" si="16"/>
        <v>#N/A</v>
      </c>
      <c r="AI277" s="436" t="e">
        <f>ABS(VLOOKUP(A277,TradesEquity!$1:$1048576,13,FALSE))</f>
        <v>#N/A</v>
      </c>
      <c r="AJ277" s="437">
        <v>0</v>
      </c>
      <c r="AK277" s="437">
        <v>1</v>
      </c>
      <c r="AL277" s="436" t="e">
        <f>VLOOKUP(A277,TradesEquity!$1:$1048576,11,FALSE)</f>
        <v>#N/A</v>
      </c>
      <c r="AM277" s="437">
        <v>1</v>
      </c>
      <c r="AN277" s="436" t="e">
        <f>ABS(VLOOKUP(A277,TradesEquity!$1:$1048576,14,FALSE))</f>
        <v>#N/A</v>
      </c>
      <c r="AO277" s="436" t="e">
        <f>ABS(VLOOKUP(A277,TradesEquity!$1:$1048576,15,FALSE))</f>
        <v>#N/A</v>
      </c>
      <c r="AP277" s="438" t="e">
        <f>ABS(VLOOKUP(A277,TradesEquity!$1:$1048576,16,FALSE))</f>
        <v>#N/A</v>
      </c>
      <c r="AQ277" s="367">
        <v>0</v>
      </c>
      <c r="AR277" s="367">
        <v>0</v>
      </c>
      <c r="AS277" s="367">
        <v>0</v>
      </c>
      <c r="AT277" s="367">
        <v>0</v>
      </c>
      <c r="AU277" s="367">
        <v>0</v>
      </c>
      <c r="AV277" s="438" t="e">
        <f>ABS(VLOOKUP(A277,TradesEquity!$1:$1048576,18,FALSE))</f>
        <v>#N/A</v>
      </c>
      <c r="AW277" s="439">
        <v>0</v>
      </c>
      <c r="AX277" s="440">
        <v>4542</v>
      </c>
      <c r="AY277" s="441" t="s">
        <v>2029</v>
      </c>
      <c r="AZ277" s="442" t="e">
        <f>(VLOOKUP(A277,TradesEquity!$1:$1048576,29,FALSE))</f>
        <v>#N/A</v>
      </c>
      <c r="BA277" s="442" t="e">
        <f>(VLOOKUP(A277,TradesEquity!$1:$1048576,30,FALSE))</f>
        <v>#N/A</v>
      </c>
      <c r="BB277" s="442" t="e">
        <f>(VLOOKUP(A277,TradesEquity!$1:$1048576,31,FALSE))</f>
        <v>#N/A</v>
      </c>
      <c r="BC277" s="442" t="e">
        <f>(VLOOKUP(A277,TradesEquity!$1:$1048576,32,FALSE))</f>
        <v>#N/A</v>
      </c>
      <c r="BI277" s="442" t="e">
        <f>(VLOOKUP(A277,TradesEquity!$1:$1048576,38,FALSE))</f>
        <v>#N/A</v>
      </c>
      <c r="BJ277" s="442" t="e">
        <f>(VLOOKUP(A277,TradesEquity!$1:$1048576,39,FALSE))</f>
        <v>#N/A</v>
      </c>
      <c r="BK277" s="442" t="e">
        <f>(VLOOKUP(A277,TradesEquity!$1:$1048576,40,FALSE))</f>
        <v>#N/A</v>
      </c>
    </row>
    <row r="278" spans="4:63">
      <c r="D278" s="432" t="s">
        <v>2027</v>
      </c>
      <c r="F278" s="433" t="e">
        <f>VLOOKUP(A278,TradesEquity!$1:$1048576,2,FALSE)</f>
        <v>#N/A</v>
      </c>
      <c r="H278" s="433" t="e">
        <f>VLOOKUP(A278,TradesEquity!$1:$1048576,21,FALSE)</f>
        <v>#N/A</v>
      </c>
      <c r="I278" s="434" t="e">
        <f>IF(VLOOKUP(A278,TradesEquity!$1:$1048576,3,FALSE)="BUY","B","S")</f>
        <v>#N/A</v>
      </c>
      <c r="J278" s="434" t="e">
        <f>VLOOKUP(A278,TradesEquity!$1:$1048576,5,FALSE)</f>
        <v>#N/A</v>
      </c>
      <c r="K278" s="432" t="s">
        <v>19</v>
      </c>
      <c r="L278" s="435" t="s">
        <v>2028</v>
      </c>
      <c r="AE278" s="436" t="e">
        <f>VLOOKUP(A278,TradesEquity!$1:$1048576,10,FALSE)</f>
        <v>#N/A</v>
      </c>
      <c r="AF278" s="436" t="e">
        <f t="shared" si="14"/>
        <v>#N/A</v>
      </c>
      <c r="AG278" s="436" t="e">
        <f t="shared" si="15"/>
        <v>#N/A</v>
      </c>
      <c r="AH278" s="436" t="e">
        <f t="shared" si="16"/>
        <v>#N/A</v>
      </c>
      <c r="AI278" s="436" t="e">
        <f>ABS(VLOOKUP(A278,TradesEquity!$1:$1048576,13,FALSE))</f>
        <v>#N/A</v>
      </c>
      <c r="AJ278" s="437">
        <v>0</v>
      </c>
      <c r="AK278" s="437">
        <v>1</v>
      </c>
      <c r="AL278" s="436" t="e">
        <f>VLOOKUP(A278,TradesEquity!$1:$1048576,11,FALSE)</f>
        <v>#N/A</v>
      </c>
      <c r="AM278" s="437">
        <v>1</v>
      </c>
      <c r="AN278" s="436" t="e">
        <f>ABS(VLOOKUP(A278,TradesEquity!$1:$1048576,14,FALSE))</f>
        <v>#N/A</v>
      </c>
      <c r="AO278" s="436" t="e">
        <f>ABS(VLOOKUP(A278,TradesEquity!$1:$1048576,15,FALSE))</f>
        <v>#N/A</v>
      </c>
      <c r="AP278" s="438" t="e">
        <f>ABS(VLOOKUP(A278,TradesEquity!$1:$1048576,16,FALSE))</f>
        <v>#N/A</v>
      </c>
      <c r="AQ278" s="367">
        <v>0</v>
      </c>
      <c r="AR278" s="367">
        <v>0</v>
      </c>
      <c r="AS278" s="367">
        <v>0</v>
      </c>
      <c r="AT278" s="367">
        <v>0</v>
      </c>
      <c r="AU278" s="367">
        <v>0</v>
      </c>
      <c r="AV278" s="438" t="e">
        <f>ABS(VLOOKUP(A278,TradesEquity!$1:$1048576,18,FALSE))</f>
        <v>#N/A</v>
      </c>
      <c r="AW278" s="439">
        <v>0</v>
      </c>
      <c r="AX278" s="440">
        <v>4542</v>
      </c>
      <c r="AY278" s="441" t="s">
        <v>2029</v>
      </c>
      <c r="AZ278" s="442" t="e">
        <f>(VLOOKUP(A278,TradesEquity!$1:$1048576,29,FALSE))</f>
        <v>#N/A</v>
      </c>
      <c r="BA278" s="442" t="e">
        <f>(VLOOKUP(A278,TradesEquity!$1:$1048576,30,FALSE))</f>
        <v>#N/A</v>
      </c>
      <c r="BB278" s="442" t="e">
        <f>(VLOOKUP(A278,TradesEquity!$1:$1048576,31,FALSE))</f>
        <v>#N/A</v>
      </c>
      <c r="BC278" s="442" t="e">
        <f>(VLOOKUP(A278,TradesEquity!$1:$1048576,32,FALSE))</f>
        <v>#N/A</v>
      </c>
      <c r="BI278" s="442" t="e">
        <f>(VLOOKUP(A278,TradesEquity!$1:$1048576,38,FALSE))</f>
        <v>#N/A</v>
      </c>
      <c r="BJ278" s="442" t="e">
        <f>(VLOOKUP(A278,TradesEquity!$1:$1048576,39,FALSE))</f>
        <v>#N/A</v>
      </c>
      <c r="BK278" s="442" t="e">
        <f>(VLOOKUP(A278,TradesEquity!$1:$1048576,40,FALSE))</f>
        <v>#N/A</v>
      </c>
    </row>
    <row r="279" spans="4:63">
      <c r="D279" s="432" t="s">
        <v>2027</v>
      </c>
      <c r="F279" s="433" t="e">
        <f>VLOOKUP(A279,TradesEquity!$1:$1048576,2,FALSE)</f>
        <v>#N/A</v>
      </c>
      <c r="H279" s="433" t="e">
        <f>VLOOKUP(A279,TradesEquity!$1:$1048576,21,FALSE)</f>
        <v>#N/A</v>
      </c>
      <c r="I279" s="434" t="e">
        <f>IF(VLOOKUP(A279,TradesEquity!$1:$1048576,3,FALSE)="BUY","B","S")</f>
        <v>#N/A</v>
      </c>
      <c r="J279" s="434" t="e">
        <f>VLOOKUP(A279,TradesEquity!$1:$1048576,5,FALSE)</f>
        <v>#N/A</v>
      </c>
      <c r="K279" s="432" t="s">
        <v>19</v>
      </c>
      <c r="L279" s="435" t="s">
        <v>2028</v>
      </c>
      <c r="AE279" s="436" t="e">
        <f>VLOOKUP(A279,TradesEquity!$1:$1048576,10,FALSE)</f>
        <v>#N/A</v>
      </c>
      <c r="AF279" s="436" t="e">
        <f t="shared" si="14"/>
        <v>#N/A</v>
      </c>
      <c r="AG279" s="436" t="e">
        <f t="shared" si="15"/>
        <v>#N/A</v>
      </c>
      <c r="AH279" s="436" t="e">
        <f t="shared" si="16"/>
        <v>#N/A</v>
      </c>
      <c r="AI279" s="436" t="e">
        <f>ABS(VLOOKUP(A279,TradesEquity!$1:$1048576,13,FALSE))</f>
        <v>#N/A</v>
      </c>
      <c r="AJ279" s="437">
        <v>0</v>
      </c>
      <c r="AK279" s="437">
        <v>1</v>
      </c>
      <c r="AL279" s="436" t="e">
        <f>VLOOKUP(A279,TradesEquity!$1:$1048576,11,FALSE)</f>
        <v>#N/A</v>
      </c>
      <c r="AM279" s="437">
        <v>1</v>
      </c>
      <c r="AN279" s="436" t="e">
        <f>ABS(VLOOKUP(A279,TradesEquity!$1:$1048576,14,FALSE))</f>
        <v>#N/A</v>
      </c>
      <c r="AO279" s="436" t="e">
        <f>ABS(VLOOKUP(A279,TradesEquity!$1:$1048576,15,FALSE))</f>
        <v>#N/A</v>
      </c>
      <c r="AP279" s="438" t="e">
        <f>ABS(VLOOKUP(A279,TradesEquity!$1:$1048576,16,FALSE))</f>
        <v>#N/A</v>
      </c>
      <c r="AQ279" s="367">
        <v>0</v>
      </c>
      <c r="AR279" s="367">
        <v>0</v>
      </c>
      <c r="AS279" s="367">
        <v>0</v>
      </c>
      <c r="AT279" s="367">
        <v>0</v>
      </c>
      <c r="AU279" s="367">
        <v>0</v>
      </c>
      <c r="AV279" s="438" t="e">
        <f>ABS(VLOOKUP(A279,TradesEquity!$1:$1048576,18,FALSE))</f>
        <v>#N/A</v>
      </c>
      <c r="AW279" s="439">
        <v>0</v>
      </c>
      <c r="AX279" s="440">
        <v>4542</v>
      </c>
      <c r="AY279" s="441" t="s">
        <v>2029</v>
      </c>
      <c r="AZ279" s="442" t="e">
        <f>(VLOOKUP(A279,TradesEquity!$1:$1048576,29,FALSE))</f>
        <v>#N/A</v>
      </c>
      <c r="BA279" s="442" t="e">
        <f>(VLOOKUP(A279,TradesEquity!$1:$1048576,30,FALSE))</f>
        <v>#N/A</v>
      </c>
      <c r="BB279" s="442" t="e">
        <f>(VLOOKUP(A279,TradesEquity!$1:$1048576,31,FALSE))</f>
        <v>#N/A</v>
      </c>
      <c r="BC279" s="442" t="e">
        <f>(VLOOKUP(A279,TradesEquity!$1:$1048576,32,FALSE))</f>
        <v>#N/A</v>
      </c>
      <c r="BI279" s="442" t="e">
        <f>(VLOOKUP(A279,TradesEquity!$1:$1048576,38,FALSE))</f>
        <v>#N/A</v>
      </c>
      <c r="BJ279" s="442" t="e">
        <f>(VLOOKUP(A279,TradesEquity!$1:$1048576,39,FALSE))</f>
        <v>#N/A</v>
      </c>
      <c r="BK279" s="442" t="e">
        <f>(VLOOKUP(A279,TradesEquity!$1:$1048576,40,FALSE))</f>
        <v>#N/A</v>
      </c>
    </row>
    <row r="280" spans="4:63">
      <c r="D280" s="432" t="s">
        <v>2027</v>
      </c>
      <c r="F280" s="433" t="e">
        <f>VLOOKUP(A280,TradesEquity!$1:$1048576,2,FALSE)</f>
        <v>#N/A</v>
      </c>
      <c r="H280" s="433" t="e">
        <f>VLOOKUP(A280,TradesEquity!$1:$1048576,21,FALSE)</f>
        <v>#N/A</v>
      </c>
      <c r="I280" s="434" t="e">
        <f>IF(VLOOKUP(A280,TradesEquity!$1:$1048576,3,FALSE)="BUY","B","S")</f>
        <v>#N/A</v>
      </c>
      <c r="J280" s="434" t="e">
        <f>VLOOKUP(A280,TradesEquity!$1:$1048576,5,FALSE)</f>
        <v>#N/A</v>
      </c>
      <c r="K280" s="432" t="s">
        <v>19</v>
      </c>
      <c r="L280" s="435" t="s">
        <v>2028</v>
      </c>
      <c r="AE280" s="436" t="e">
        <f>VLOOKUP(A280,TradesEquity!$1:$1048576,10,FALSE)</f>
        <v>#N/A</v>
      </c>
      <c r="AF280" s="436" t="e">
        <f t="shared" si="14"/>
        <v>#N/A</v>
      </c>
      <c r="AG280" s="436" t="e">
        <f t="shared" si="15"/>
        <v>#N/A</v>
      </c>
      <c r="AH280" s="436" t="e">
        <f t="shared" si="16"/>
        <v>#N/A</v>
      </c>
      <c r="AI280" s="436" t="e">
        <f>ABS(VLOOKUP(A280,TradesEquity!$1:$1048576,13,FALSE))</f>
        <v>#N/A</v>
      </c>
      <c r="AJ280" s="437">
        <v>0</v>
      </c>
      <c r="AK280" s="437">
        <v>1</v>
      </c>
      <c r="AL280" s="436" t="e">
        <f>VLOOKUP(A280,TradesEquity!$1:$1048576,11,FALSE)</f>
        <v>#N/A</v>
      </c>
      <c r="AM280" s="437">
        <v>1</v>
      </c>
      <c r="AN280" s="436" t="e">
        <f>ABS(VLOOKUP(A280,TradesEquity!$1:$1048576,14,FALSE))</f>
        <v>#N/A</v>
      </c>
      <c r="AO280" s="436" t="e">
        <f>ABS(VLOOKUP(A280,TradesEquity!$1:$1048576,15,FALSE))</f>
        <v>#N/A</v>
      </c>
      <c r="AP280" s="438" t="e">
        <f>ABS(VLOOKUP(A280,TradesEquity!$1:$1048576,16,FALSE))</f>
        <v>#N/A</v>
      </c>
      <c r="AQ280" s="367">
        <v>0</v>
      </c>
      <c r="AR280" s="367">
        <v>0</v>
      </c>
      <c r="AS280" s="367">
        <v>0</v>
      </c>
      <c r="AT280" s="367">
        <v>0</v>
      </c>
      <c r="AU280" s="367">
        <v>0</v>
      </c>
      <c r="AV280" s="438" t="e">
        <f>ABS(VLOOKUP(A280,TradesEquity!$1:$1048576,18,FALSE))</f>
        <v>#N/A</v>
      </c>
      <c r="AW280" s="439">
        <v>0</v>
      </c>
      <c r="AX280" s="440">
        <v>4542</v>
      </c>
      <c r="AY280" s="441" t="s">
        <v>2029</v>
      </c>
      <c r="AZ280" s="442" t="e">
        <f>(VLOOKUP(A280,TradesEquity!$1:$1048576,29,FALSE))</f>
        <v>#N/A</v>
      </c>
      <c r="BA280" s="442" t="e">
        <f>(VLOOKUP(A280,TradesEquity!$1:$1048576,30,FALSE))</f>
        <v>#N/A</v>
      </c>
      <c r="BB280" s="442" t="e">
        <f>(VLOOKUP(A280,TradesEquity!$1:$1048576,31,FALSE))</f>
        <v>#N/A</v>
      </c>
      <c r="BC280" s="442" t="e">
        <f>(VLOOKUP(A280,TradesEquity!$1:$1048576,32,FALSE))</f>
        <v>#N/A</v>
      </c>
      <c r="BI280" s="442" t="e">
        <f>(VLOOKUP(A280,TradesEquity!$1:$1048576,38,FALSE))</f>
        <v>#N/A</v>
      </c>
      <c r="BJ280" s="442" t="e">
        <f>(VLOOKUP(A280,TradesEquity!$1:$1048576,39,FALSE))</f>
        <v>#N/A</v>
      </c>
      <c r="BK280" s="442" t="e">
        <f>(VLOOKUP(A280,TradesEquity!$1:$1048576,40,FALSE))</f>
        <v>#N/A</v>
      </c>
    </row>
    <row r="281" spans="4:63">
      <c r="D281" s="432" t="s">
        <v>2027</v>
      </c>
      <c r="F281" s="433" t="e">
        <f>VLOOKUP(A281,TradesEquity!$1:$1048576,2,FALSE)</f>
        <v>#N/A</v>
      </c>
      <c r="H281" s="433" t="e">
        <f>VLOOKUP(A281,TradesEquity!$1:$1048576,21,FALSE)</f>
        <v>#N/A</v>
      </c>
      <c r="I281" s="434" t="e">
        <f>IF(VLOOKUP(A281,TradesEquity!$1:$1048576,3,FALSE)="BUY","B","S")</f>
        <v>#N/A</v>
      </c>
      <c r="J281" s="434" t="e">
        <f>VLOOKUP(A281,TradesEquity!$1:$1048576,5,FALSE)</f>
        <v>#N/A</v>
      </c>
      <c r="K281" s="432" t="s">
        <v>19</v>
      </c>
      <c r="L281" s="435" t="s">
        <v>2028</v>
      </c>
      <c r="AE281" s="436" t="e">
        <f>VLOOKUP(A281,TradesEquity!$1:$1048576,10,FALSE)</f>
        <v>#N/A</v>
      </c>
      <c r="AF281" s="436" t="e">
        <f t="shared" si="14"/>
        <v>#N/A</v>
      </c>
      <c r="AG281" s="436" t="e">
        <f t="shared" si="15"/>
        <v>#N/A</v>
      </c>
      <c r="AH281" s="436" t="e">
        <f t="shared" si="16"/>
        <v>#N/A</v>
      </c>
      <c r="AI281" s="436" t="e">
        <f>ABS(VLOOKUP(A281,TradesEquity!$1:$1048576,13,FALSE))</f>
        <v>#N/A</v>
      </c>
      <c r="AJ281" s="437">
        <v>0</v>
      </c>
      <c r="AK281" s="437">
        <v>1</v>
      </c>
      <c r="AL281" s="436" t="e">
        <f>VLOOKUP(A281,TradesEquity!$1:$1048576,11,FALSE)</f>
        <v>#N/A</v>
      </c>
      <c r="AM281" s="437">
        <v>1</v>
      </c>
      <c r="AN281" s="436" t="e">
        <f>ABS(VLOOKUP(A281,TradesEquity!$1:$1048576,14,FALSE))</f>
        <v>#N/A</v>
      </c>
      <c r="AO281" s="436" t="e">
        <f>ABS(VLOOKUP(A281,TradesEquity!$1:$1048576,15,FALSE))</f>
        <v>#N/A</v>
      </c>
      <c r="AP281" s="438" t="e">
        <f>ABS(VLOOKUP(A281,TradesEquity!$1:$1048576,16,FALSE))</f>
        <v>#N/A</v>
      </c>
      <c r="AQ281" s="367">
        <v>0</v>
      </c>
      <c r="AR281" s="367">
        <v>0</v>
      </c>
      <c r="AS281" s="367">
        <v>0</v>
      </c>
      <c r="AT281" s="367">
        <v>0</v>
      </c>
      <c r="AU281" s="367">
        <v>0</v>
      </c>
      <c r="AV281" s="438" t="e">
        <f>ABS(VLOOKUP(A281,TradesEquity!$1:$1048576,18,FALSE))</f>
        <v>#N/A</v>
      </c>
      <c r="AW281" s="439">
        <v>0</v>
      </c>
      <c r="AX281" s="440">
        <v>4542</v>
      </c>
      <c r="AY281" s="441" t="s">
        <v>2029</v>
      </c>
      <c r="AZ281" s="442" t="e">
        <f>(VLOOKUP(A281,TradesEquity!$1:$1048576,29,FALSE))</f>
        <v>#N/A</v>
      </c>
      <c r="BA281" s="442" t="e">
        <f>(VLOOKUP(A281,TradesEquity!$1:$1048576,30,FALSE))</f>
        <v>#N/A</v>
      </c>
      <c r="BB281" s="442" t="e">
        <f>(VLOOKUP(A281,TradesEquity!$1:$1048576,31,FALSE))</f>
        <v>#N/A</v>
      </c>
      <c r="BC281" s="442" t="e">
        <f>(VLOOKUP(A281,TradesEquity!$1:$1048576,32,FALSE))</f>
        <v>#N/A</v>
      </c>
      <c r="BI281" s="442" t="e">
        <f>(VLOOKUP(A281,TradesEquity!$1:$1048576,38,FALSE))</f>
        <v>#N/A</v>
      </c>
      <c r="BJ281" s="442" t="e">
        <f>(VLOOKUP(A281,TradesEquity!$1:$1048576,39,FALSE))</f>
        <v>#N/A</v>
      </c>
      <c r="BK281" s="442" t="e">
        <f>(VLOOKUP(A281,TradesEquity!$1:$1048576,40,FALSE))</f>
        <v>#N/A</v>
      </c>
    </row>
    <row r="282" spans="4:63">
      <c r="D282" s="432" t="s">
        <v>2027</v>
      </c>
      <c r="F282" s="433" t="e">
        <f>VLOOKUP(A282,TradesEquity!$1:$1048576,2,FALSE)</f>
        <v>#N/A</v>
      </c>
      <c r="H282" s="433" t="e">
        <f>VLOOKUP(A282,TradesEquity!$1:$1048576,21,FALSE)</f>
        <v>#N/A</v>
      </c>
      <c r="I282" s="434" t="e">
        <f>IF(VLOOKUP(A282,TradesEquity!$1:$1048576,3,FALSE)="BUY","B","S")</f>
        <v>#N/A</v>
      </c>
      <c r="J282" s="434" t="e">
        <f>VLOOKUP(A282,TradesEquity!$1:$1048576,5,FALSE)</f>
        <v>#N/A</v>
      </c>
      <c r="K282" s="432" t="s">
        <v>19</v>
      </c>
      <c r="L282" s="435" t="s">
        <v>2028</v>
      </c>
      <c r="AE282" s="436" t="e">
        <f>VLOOKUP(A282,TradesEquity!$1:$1048576,10,FALSE)</f>
        <v>#N/A</v>
      </c>
      <c r="AF282" s="436" t="e">
        <f t="shared" si="14"/>
        <v>#N/A</v>
      </c>
      <c r="AG282" s="436" t="e">
        <f t="shared" si="15"/>
        <v>#N/A</v>
      </c>
      <c r="AH282" s="436" t="e">
        <f t="shared" si="16"/>
        <v>#N/A</v>
      </c>
      <c r="AI282" s="436" t="e">
        <f>ABS(VLOOKUP(A282,TradesEquity!$1:$1048576,13,FALSE))</f>
        <v>#N/A</v>
      </c>
      <c r="AJ282" s="437">
        <v>0</v>
      </c>
      <c r="AK282" s="437">
        <v>1</v>
      </c>
      <c r="AL282" s="436" t="e">
        <f>VLOOKUP(A282,TradesEquity!$1:$1048576,11,FALSE)</f>
        <v>#N/A</v>
      </c>
      <c r="AM282" s="437">
        <v>1</v>
      </c>
      <c r="AN282" s="436" t="e">
        <f>ABS(VLOOKUP(A282,TradesEquity!$1:$1048576,14,FALSE))</f>
        <v>#N/A</v>
      </c>
      <c r="AO282" s="436" t="e">
        <f>ABS(VLOOKUP(A282,TradesEquity!$1:$1048576,15,FALSE))</f>
        <v>#N/A</v>
      </c>
      <c r="AP282" s="438" t="e">
        <f>ABS(VLOOKUP(A282,TradesEquity!$1:$1048576,16,FALSE))</f>
        <v>#N/A</v>
      </c>
      <c r="AQ282" s="367">
        <v>0</v>
      </c>
      <c r="AR282" s="367">
        <v>0</v>
      </c>
      <c r="AS282" s="367">
        <v>0</v>
      </c>
      <c r="AT282" s="367">
        <v>0</v>
      </c>
      <c r="AU282" s="367">
        <v>0</v>
      </c>
      <c r="AV282" s="438" t="e">
        <f>ABS(VLOOKUP(A282,TradesEquity!$1:$1048576,18,FALSE))</f>
        <v>#N/A</v>
      </c>
      <c r="AW282" s="439">
        <v>0</v>
      </c>
      <c r="AX282" s="440">
        <v>4542</v>
      </c>
      <c r="AY282" s="441" t="s">
        <v>2029</v>
      </c>
      <c r="AZ282" s="442" t="e">
        <f>(VLOOKUP(A282,TradesEquity!$1:$1048576,29,FALSE))</f>
        <v>#N/A</v>
      </c>
      <c r="BA282" s="442" t="e">
        <f>(VLOOKUP(A282,TradesEquity!$1:$1048576,30,FALSE))</f>
        <v>#N/A</v>
      </c>
      <c r="BB282" s="442" t="e">
        <f>(VLOOKUP(A282,TradesEquity!$1:$1048576,31,FALSE))</f>
        <v>#N/A</v>
      </c>
      <c r="BC282" s="442" t="e">
        <f>(VLOOKUP(A282,TradesEquity!$1:$1048576,32,FALSE))</f>
        <v>#N/A</v>
      </c>
      <c r="BI282" s="442" t="e">
        <f>(VLOOKUP(A282,TradesEquity!$1:$1048576,38,FALSE))</f>
        <v>#N/A</v>
      </c>
      <c r="BJ282" s="442" t="e">
        <f>(VLOOKUP(A282,TradesEquity!$1:$1048576,39,FALSE))</f>
        <v>#N/A</v>
      </c>
      <c r="BK282" s="442" t="e">
        <f>(VLOOKUP(A282,TradesEquity!$1:$1048576,40,FALSE))</f>
        <v>#N/A</v>
      </c>
    </row>
    <row r="283" spans="4:63">
      <c r="D283" s="432" t="s">
        <v>2027</v>
      </c>
      <c r="F283" s="433" t="e">
        <f>VLOOKUP(A283,TradesEquity!$1:$1048576,2,FALSE)</f>
        <v>#N/A</v>
      </c>
      <c r="H283" s="433" t="e">
        <f>VLOOKUP(A283,TradesEquity!$1:$1048576,21,FALSE)</f>
        <v>#N/A</v>
      </c>
      <c r="I283" s="434" t="e">
        <f>IF(VLOOKUP(A283,TradesEquity!$1:$1048576,3,FALSE)="BUY","B","S")</f>
        <v>#N/A</v>
      </c>
      <c r="J283" s="434" t="e">
        <f>VLOOKUP(A283,TradesEquity!$1:$1048576,5,FALSE)</f>
        <v>#N/A</v>
      </c>
      <c r="K283" s="432" t="s">
        <v>19</v>
      </c>
      <c r="L283" s="435" t="s">
        <v>2028</v>
      </c>
      <c r="AE283" s="436" t="e">
        <f>VLOOKUP(A283,TradesEquity!$1:$1048576,10,FALSE)</f>
        <v>#N/A</v>
      </c>
      <c r="AF283" s="436" t="e">
        <f t="shared" si="14"/>
        <v>#N/A</v>
      </c>
      <c r="AG283" s="436" t="e">
        <f t="shared" si="15"/>
        <v>#N/A</v>
      </c>
      <c r="AH283" s="436" t="e">
        <f t="shared" si="16"/>
        <v>#N/A</v>
      </c>
      <c r="AI283" s="436" t="e">
        <f>ABS(VLOOKUP(A283,TradesEquity!$1:$1048576,13,FALSE))</f>
        <v>#N/A</v>
      </c>
      <c r="AJ283" s="437">
        <v>0</v>
      </c>
      <c r="AK283" s="437">
        <v>1</v>
      </c>
      <c r="AL283" s="436" t="e">
        <f>VLOOKUP(A283,TradesEquity!$1:$1048576,11,FALSE)</f>
        <v>#N/A</v>
      </c>
      <c r="AM283" s="437">
        <v>1</v>
      </c>
      <c r="AN283" s="436" t="e">
        <f>ABS(VLOOKUP(A283,TradesEquity!$1:$1048576,14,FALSE))</f>
        <v>#N/A</v>
      </c>
      <c r="AO283" s="436" t="e">
        <f>ABS(VLOOKUP(A283,TradesEquity!$1:$1048576,15,FALSE))</f>
        <v>#N/A</v>
      </c>
      <c r="AP283" s="438" t="e">
        <f>ABS(VLOOKUP(A283,TradesEquity!$1:$1048576,16,FALSE))</f>
        <v>#N/A</v>
      </c>
      <c r="AQ283" s="367">
        <v>0</v>
      </c>
      <c r="AR283" s="367">
        <v>0</v>
      </c>
      <c r="AS283" s="367">
        <v>0</v>
      </c>
      <c r="AT283" s="367">
        <v>0</v>
      </c>
      <c r="AU283" s="367">
        <v>0</v>
      </c>
      <c r="AV283" s="438" t="e">
        <f>ABS(VLOOKUP(A283,TradesEquity!$1:$1048576,18,FALSE))</f>
        <v>#N/A</v>
      </c>
      <c r="AW283" s="439">
        <v>0</v>
      </c>
      <c r="AX283" s="440">
        <v>4542</v>
      </c>
      <c r="AY283" s="441" t="s">
        <v>2029</v>
      </c>
      <c r="AZ283" s="442" t="e">
        <f>(VLOOKUP(A283,TradesEquity!$1:$1048576,29,FALSE))</f>
        <v>#N/A</v>
      </c>
      <c r="BA283" s="442" t="e">
        <f>(VLOOKUP(A283,TradesEquity!$1:$1048576,30,FALSE))</f>
        <v>#N/A</v>
      </c>
      <c r="BB283" s="442" t="e">
        <f>(VLOOKUP(A283,TradesEquity!$1:$1048576,31,FALSE))</f>
        <v>#N/A</v>
      </c>
      <c r="BC283" s="442" t="e">
        <f>(VLOOKUP(A283,TradesEquity!$1:$1048576,32,FALSE))</f>
        <v>#N/A</v>
      </c>
      <c r="BI283" s="442" t="e">
        <f>(VLOOKUP(A283,TradesEquity!$1:$1048576,38,FALSE))</f>
        <v>#N/A</v>
      </c>
      <c r="BJ283" s="442" t="e">
        <f>(VLOOKUP(A283,TradesEquity!$1:$1048576,39,FALSE))</f>
        <v>#N/A</v>
      </c>
      <c r="BK283" s="442" t="e">
        <f>(VLOOKUP(A283,TradesEquity!$1:$1048576,40,FALSE))</f>
        <v>#N/A</v>
      </c>
    </row>
    <row r="284" spans="4:63">
      <c r="D284" s="432" t="s">
        <v>2027</v>
      </c>
      <c r="F284" s="433" t="e">
        <f>VLOOKUP(A284,TradesEquity!$1:$1048576,2,FALSE)</f>
        <v>#N/A</v>
      </c>
      <c r="H284" s="433" t="e">
        <f>VLOOKUP(A284,TradesEquity!$1:$1048576,21,FALSE)</f>
        <v>#N/A</v>
      </c>
      <c r="I284" s="434" t="e">
        <f>IF(VLOOKUP(A284,TradesEquity!$1:$1048576,3,FALSE)="BUY","B","S")</f>
        <v>#N/A</v>
      </c>
      <c r="J284" s="434" t="e">
        <f>VLOOKUP(A284,TradesEquity!$1:$1048576,5,FALSE)</f>
        <v>#N/A</v>
      </c>
      <c r="K284" s="432" t="s">
        <v>19</v>
      </c>
      <c r="L284" s="435" t="s">
        <v>2028</v>
      </c>
      <c r="AE284" s="436" t="e">
        <f>VLOOKUP(A284,TradesEquity!$1:$1048576,10,FALSE)</f>
        <v>#N/A</v>
      </c>
      <c r="AF284" s="436" t="e">
        <f t="shared" si="14"/>
        <v>#N/A</v>
      </c>
      <c r="AG284" s="436" t="e">
        <f t="shared" si="15"/>
        <v>#N/A</v>
      </c>
      <c r="AH284" s="436" t="e">
        <f t="shared" si="16"/>
        <v>#N/A</v>
      </c>
      <c r="AI284" s="436" t="e">
        <f>ABS(VLOOKUP(A284,TradesEquity!$1:$1048576,13,FALSE))</f>
        <v>#N/A</v>
      </c>
      <c r="AJ284" s="437">
        <v>0</v>
      </c>
      <c r="AK284" s="437">
        <v>1</v>
      </c>
      <c r="AL284" s="436" t="e">
        <f>VLOOKUP(A284,TradesEquity!$1:$1048576,11,FALSE)</f>
        <v>#N/A</v>
      </c>
      <c r="AM284" s="437">
        <v>1</v>
      </c>
      <c r="AN284" s="436" t="e">
        <f>ABS(VLOOKUP(A284,TradesEquity!$1:$1048576,14,FALSE))</f>
        <v>#N/A</v>
      </c>
      <c r="AO284" s="436" t="e">
        <f>ABS(VLOOKUP(A284,TradesEquity!$1:$1048576,15,FALSE))</f>
        <v>#N/A</v>
      </c>
      <c r="AP284" s="438" t="e">
        <f>ABS(VLOOKUP(A284,TradesEquity!$1:$1048576,16,FALSE))</f>
        <v>#N/A</v>
      </c>
      <c r="AQ284" s="367">
        <v>0</v>
      </c>
      <c r="AR284" s="367">
        <v>0</v>
      </c>
      <c r="AS284" s="367">
        <v>0</v>
      </c>
      <c r="AT284" s="367">
        <v>0</v>
      </c>
      <c r="AU284" s="367">
        <v>0</v>
      </c>
      <c r="AV284" s="438" t="e">
        <f>ABS(VLOOKUP(A284,TradesEquity!$1:$1048576,18,FALSE))</f>
        <v>#N/A</v>
      </c>
      <c r="AW284" s="439">
        <v>0</v>
      </c>
      <c r="AX284" s="440">
        <v>4542</v>
      </c>
      <c r="AY284" s="441" t="s">
        <v>2029</v>
      </c>
      <c r="AZ284" s="442" t="e">
        <f>(VLOOKUP(A284,TradesEquity!$1:$1048576,29,FALSE))</f>
        <v>#N/A</v>
      </c>
      <c r="BA284" s="442" t="e">
        <f>(VLOOKUP(A284,TradesEquity!$1:$1048576,30,FALSE))</f>
        <v>#N/A</v>
      </c>
      <c r="BB284" s="442" t="e">
        <f>(VLOOKUP(A284,TradesEquity!$1:$1048576,31,FALSE))</f>
        <v>#N/A</v>
      </c>
      <c r="BC284" s="442" t="e">
        <f>(VLOOKUP(A284,TradesEquity!$1:$1048576,32,FALSE))</f>
        <v>#N/A</v>
      </c>
      <c r="BI284" s="442" t="e">
        <f>(VLOOKUP(A284,TradesEquity!$1:$1048576,38,FALSE))</f>
        <v>#N/A</v>
      </c>
      <c r="BJ284" s="442" t="e">
        <f>(VLOOKUP(A284,TradesEquity!$1:$1048576,39,FALSE))</f>
        <v>#N/A</v>
      </c>
      <c r="BK284" s="442" t="e">
        <f>(VLOOKUP(A284,TradesEquity!$1:$1048576,40,FALSE))</f>
        <v>#N/A</v>
      </c>
    </row>
    <row r="285" spans="4:63">
      <c r="D285" s="432" t="s">
        <v>2027</v>
      </c>
      <c r="F285" s="433" t="e">
        <f>VLOOKUP(A285,TradesEquity!$1:$1048576,2,FALSE)</f>
        <v>#N/A</v>
      </c>
      <c r="H285" s="433" t="e">
        <f>VLOOKUP(A285,TradesEquity!$1:$1048576,21,FALSE)</f>
        <v>#N/A</v>
      </c>
      <c r="I285" s="434" t="e">
        <f>IF(VLOOKUP(A285,TradesEquity!$1:$1048576,3,FALSE)="BUY","B","S")</f>
        <v>#N/A</v>
      </c>
      <c r="J285" s="434" t="e">
        <f>VLOOKUP(A285,TradesEquity!$1:$1048576,5,FALSE)</f>
        <v>#N/A</v>
      </c>
      <c r="K285" s="432" t="s">
        <v>19</v>
      </c>
      <c r="L285" s="435" t="s">
        <v>2028</v>
      </c>
      <c r="AE285" s="436" t="e">
        <f>VLOOKUP(A285,TradesEquity!$1:$1048576,10,FALSE)</f>
        <v>#N/A</v>
      </c>
      <c r="AF285" s="436" t="e">
        <f t="shared" si="14"/>
        <v>#N/A</v>
      </c>
      <c r="AG285" s="436" t="e">
        <f t="shared" si="15"/>
        <v>#N/A</v>
      </c>
      <c r="AH285" s="436" t="e">
        <f t="shared" si="16"/>
        <v>#N/A</v>
      </c>
      <c r="AI285" s="436" t="e">
        <f>ABS(VLOOKUP(A285,TradesEquity!$1:$1048576,13,FALSE))</f>
        <v>#N/A</v>
      </c>
      <c r="AJ285" s="437">
        <v>0</v>
      </c>
      <c r="AK285" s="437">
        <v>1</v>
      </c>
      <c r="AL285" s="436" t="e">
        <f>VLOOKUP(A285,TradesEquity!$1:$1048576,11,FALSE)</f>
        <v>#N/A</v>
      </c>
      <c r="AM285" s="437">
        <v>1</v>
      </c>
      <c r="AN285" s="436" t="e">
        <f>ABS(VLOOKUP(A285,TradesEquity!$1:$1048576,14,FALSE))</f>
        <v>#N/A</v>
      </c>
      <c r="AO285" s="436" t="e">
        <f>ABS(VLOOKUP(A285,TradesEquity!$1:$1048576,15,FALSE))</f>
        <v>#N/A</v>
      </c>
      <c r="AP285" s="438" t="e">
        <f>ABS(VLOOKUP(A285,TradesEquity!$1:$1048576,16,FALSE))</f>
        <v>#N/A</v>
      </c>
      <c r="AQ285" s="367">
        <v>0</v>
      </c>
      <c r="AR285" s="367">
        <v>0</v>
      </c>
      <c r="AS285" s="367">
        <v>0</v>
      </c>
      <c r="AT285" s="367">
        <v>0</v>
      </c>
      <c r="AU285" s="367">
        <v>0</v>
      </c>
      <c r="AV285" s="438" t="e">
        <f>ABS(VLOOKUP(A285,TradesEquity!$1:$1048576,18,FALSE))</f>
        <v>#N/A</v>
      </c>
      <c r="AW285" s="439">
        <v>0</v>
      </c>
      <c r="AX285" s="440">
        <v>4542</v>
      </c>
      <c r="AY285" s="441" t="s">
        <v>2029</v>
      </c>
      <c r="AZ285" s="442" t="e">
        <f>(VLOOKUP(A285,TradesEquity!$1:$1048576,29,FALSE))</f>
        <v>#N/A</v>
      </c>
      <c r="BA285" s="442" t="e">
        <f>(VLOOKUP(A285,TradesEquity!$1:$1048576,30,FALSE))</f>
        <v>#N/A</v>
      </c>
      <c r="BB285" s="442" t="e">
        <f>(VLOOKUP(A285,TradesEquity!$1:$1048576,31,FALSE))</f>
        <v>#N/A</v>
      </c>
      <c r="BC285" s="442" t="e">
        <f>(VLOOKUP(A285,TradesEquity!$1:$1048576,32,FALSE))</f>
        <v>#N/A</v>
      </c>
      <c r="BI285" s="442" t="e">
        <f>(VLOOKUP(A285,TradesEquity!$1:$1048576,38,FALSE))</f>
        <v>#N/A</v>
      </c>
      <c r="BJ285" s="442" t="e">
        <f>(VLOOKUP(A285,TradesEquity!$1:$1048576,39,FALSE))</f>
        <v>#N/A</v>
      </c>
      <c r="BK285" s="442" t="e">
        <f>(VLOOKUP(A285,TradesEquity!$1:$1048576,40,FALSE))</f>
        <v>#N/A</v>
      </c>
    </row>
    <row r="286" spans="4:63">
      <c r="D286" s="432" t="s">
        <v>2027</v>
      </c>
      <c r="F286" s="433" t="e">
        <f>VLOOKUP(A286,TradesEquity!$1:$1048576,2,FALSE)</f>
        <v>#N/A</v>
      </c>
      <c r="H286" s="433" t="e">
        <f>VLOOKUP(A286,TradesEquity!$1:$1048576,21,FALSE)</f>
        <v>#N/A</v>
      </c>
      <c r="I286" s="434" t="e">
        <f>IF(VLOOKUP(A286,TradesEquity!$1:$1048576,3,FALSE)="BUY","B","S")</f>
        <v>#N/A</v>
      </c>
      <c r="J286" s="434" t="e">
        <f>VLOOKUP(A286,TradesEquity!$1:$1048576,5,FALSE)</f>
        <v>#N/A</v>
      </c>
      <c r="K286" s="432" t="s">
        <v>19</v>
      </c>
      <c r="L286" s="435" t="s">
        <v>2028</v>
      </c>
      <c r="AE286" s="436" t="e">
        <f>VLOOKUP(A286,TradesEquity!$1:$1048576,10,FALSE)</f>
        <v>#N/A</v>
      </c>
      <c r="AF286" s="436" t="e">
        <f t="shared" si="14"/>
        <v>#N/A</v>
      </c>
      <c r="AG286" s="436" t="e">
        <f t="shared" si="15"/>
        <v>#N/A</v>
      </c>
      <c r="AH286" s="436" t="e">
        <f t="shared" si="16"/>
        <v>#N/A</v>
      </c>
      <c r="AI286" s="436" t="e">
        <f>ABS(VLOOKUP(A286,TradesEquity!$1:$1048576,13,FALSE))</f>
        <v>#N/A</v>
      </c>
      <c r="AJ286" s="437">
        <v>0</v>
      </c>
      <c r="AK286" s="437">
        <v>1</v>
      </c>
      <c r="AL286" s="436" t="e">
        <f>VLOOKUP(A286,TradesEquity!$1:$1048576,11,FALSE)</f>
        <v>#N/A</v>
      </c>
      <c r="AM286" s="437">
        <v>1</v>
      </c>
      <c r="AN286" s="436" t="e">
        <f>ABS(VLOOKUP(A286,TradesEquity!$1:$1048576,14,FALSE))</f>
        <v>#N/A</v>
      </c>
      <c r="AO286" s="436" t="e">
        <f>ABS(VLOOKUP(A286,TradesEquity!$1:$1048576,15,FALSE))</f>
        <v>#N/A</v>
      </c>
      <c r="AP286" s="438" t="e">
        <f>ABS(VLOOKUP(A286,TradesEquity!$1:$1048576,16,FALSE))</f>
        <v>#N/A</v>
      </c>
      <c r="AQ286" s="367">
        <v>0</v>
      </c>
      <c r="AR286" s="367">
        <v>0</v>
      </c>
      <c r="AS286" s="367">
        <v>0</v>
      </c>
      <c r="AT286" s="367">
        <v>0</v>
      </c>
      <c r="AU286" s="367">
        <v>0</v>
      </c>
      <c r="AV286" s="438" t="e">
        <f>ABS(VLOOKUP(A286,TradesEquity!$1:$1048576,18,FALSE))</f>
        <v>#N/A</v>
      </c>
      <c r="AW286" s="439">
        <v>0</v>
      </c>
      <c r="AX286" s="440">
        <v>4542</v>
      </c>
      <c r="AY286" s="441" t="s">
        <v>2029</v>
      </c>
      <c r="AZ286" s="442" t="e">
        <f>(VLOOKUP(A286,TradesEquity!$1:$1048576,29,FALSE))</f>
        <v>#N/A</v>
      </c>
      <c r="BA286" s="442" t="e">
        <f>(VLOOKUP(A286,TradesEquity!$1:$1048576,30,FALSE))</f>
        <v>#N/A</v>
      </c>
      <c r="BB286" s="442" t="e">
        <f>(VLOOKUP(A286,TradesEquity!$1:$1048576,31,FALSE))</f>
        <v>#N/A</v>
      </c>
      <c r="BC286" s="442" t="e">
        <f>(VLOOKUP(A286,TradesEquity!$1:$1048576,32,FALSE))</f>
        <v>#N/A</v>
      </c>
      <c r="BI286" s="442" t="e">
        <f>(VLOOKUP(A286,TradesEquity!$1:$1048576,38,FALSE))</f>
        <v>#N/A</v>
      </c>
      <c r="BJ286" s="442" t="e">
        <f>(VLOOKUP(A286,TradesEquity!$1:$1048576,39,FALSE))</f>
        <v>#N/A</v>
      </c>
      <c r="BK286" s="442" t="e">
        <f>(VLOOKUP(A286,TradesEquity!$1:$1048576,40,FALSE))</f>
        <v>#N/A</v>
      </c>
    </row>
    <row r="287" spans="4:63">
      <c r="D287" s="432" t="s">
        <v>2027</v>
      </c>
      <c r="F287" s="433" t="e">
        <f>VLOOKUP(A287,TradesEquity!$1:$1048576,2,FALSE)</f>
        <v>#N/A</v>
      </c>
      <c r="H287" s="433" t="e">
        <f>VLOOKUP(A287,TradesEquity!$1:$1048576,21,FALSE)</f>
        <v>#N/A</v>
      </c>
      <c r="I287" s="434" t="e">
        <f>IF(VLOOKUP(A287,TradesEquity!$1:$1048576,3,FALSE)="BUY","B","S")</f>
        <v>#N/A</v>
      </c>
      <c r="J287" s="434" t="e">
        <f>VLOOKUP(A287,TradesEquity!$1:$1048576,5,FALSE)</f>
        <v>#N/A</v>
      </c>
      <c r="K287" s="432" t="s">
        <v>19</v>
      </c>
      <c r="L287" s="435" t="s">
        <v>2028</v>
      </c>
      <c r="AE287" s="436" t="e">
        <f>VLOOKUP(A287,TradesEquity!$1:$1048576,10,FALSE)</f>
        <v>#N/A</v>
      </c>
      <c r="AF287" s="436" t="e">
        <f t="shared" si="14"/>
        <v>#N/A</v>
      </c>
      <c r="AG287" s="436" t="e">
        <f t="shared" si="15"/>
        <v>#N/A</v>
      </c>
      <c r="AH287" s="436" t="e">
        <f t="shared" si="16"/>
        <v>#N/A</v>
      </c>
      <c r="AI287" s="436" t="e">
        <f>ABS(VLOOKUP(A287,TradesEquity!$1:$1048576,13,FALSE))</f>
        <v>#N/A</v>
      </c>
      <c r="AJ287" s="437">
        <v>0</v>
      </c>
      <c r="AK287" s="437">
        <v>1</v>
      </c>
      <c r="AL287" s="436" t="e">
        <f>VLOOKUP(A287,TradesEquity!$1:$1048576,11,FALSE)</f>
        <v>#N/A</v>
      </c>
      <c r="AM287" s="437">
        <v>1</v>
      </c>
      <c r="AN287" s="436" t="e">
        <f>ABS(VLOOKUP(A287,TradesEquity!$1:$1048576,14,FALSE))</f>
        <v>#N/A</v>
      </c>
      <c r="AO287" s="436" t="e">
        <f>ABS(VLOOKUP(A287,TradesEquity!$1:$1048576,15,FALSE))</f>
        <v>#N/A</v>
      </c>
      <c r="AP287" s="438" t="e">
        <f>ABS(VLOOKUP(A287,TradesEquity!$1:$1048576,16,FALSE))</f>
        <v>#N/A</v>
      </c>
      <c r="AQ287" s="367">
        <v>0</v>
      </c>
      <c r="AR287" s="367">
        <v>0</v>
      </c>
      <c r="AS287" s="367">
        <v>0</v>
      </c>
      <c r="AT287" s="367">
        <v>0</v>
      </c>
      <c r="AU287" s="367">
        <v>0</v>
      </c>
      <c r="AV287" s="438" t="e">
        <f>ABS(VLOOKUP(A287,TradesEquity!$1:$1048576,18,FALSE))</f>
        <v>#N/A</v>
      </c>
      <c r="AW287" s="439">
        <v>0</v>
      </c>
      <c r="AX287" s="440">
        <v>4542</v>
      </c>
      <c r="AY287" s="441" t="s">
        <v>2029</v>
      </c>
      <c r="AZ287" s="442" t="e">
        <f>(VLOOKUP(A287,TradesEquity!$1:$1048576,29,FALSE))</f>
        <v>#N/A</v>
      </c>
      <c r="BA287" s="442" t="e">
        <f>(VLOOKUP(A287,TradesEquity!$1:$1048576,30,FALSE))</f>
        <v>#N/A</v>
      </c>
      <c r="BB287" s="442" t="e">
        <f>(VLOOKUP(A287,TradesEquity!$1:$1048576,31,FALSE))</f>
        <v>#N/A</v>
      </c>
      <c r="BC287" s="442" t="e">
        <f>(VLOOKUP(A287,TradesEquity!$1:$1048576,32,FALSE))</f>
        <v>#N/A</v>
      </c>
      <c r="BI287" s="442" t="e">
        <f>(VLOOKUP(A287,TradesEquity!$1:$1048576,38,FALSE))</f>
        <v>#N/A</v>
      </c>
      <c r="BJ287" s="442" t="e">
        <f>(VLOOKUP(A287,TradesEquity!$1:$1048576,39,FALSE))</f>
        <v>#N/A</v>
      </c>
      <c r="BK287" s="442" t="e">
        <f>(VLOOKUP(A287,TradesEquity!$1:$1048576,40,FALSE))</f>
        <v>#N/A</v>
      </c>
    </row>
    <row r="288" spans="4:63">
      <c r="D288" s="432" t="s">
        <v>2027</v>
      </c>
      <c r="F288" s="433" t="e">
        <f>VLOOKUP(A288,TradesEquity!$1:$1048576,2,FALSE)</f>
        <v>#N/A</v>
      </c>
      <c r="H288" s="433" t="e">
        <f>VLOOKUP(A288,TradesEquity!$1:$1048576,21,FALSE)</f>
        <v>#N/A</v>
      </c>
      <c r="I288" s="434" t="e">
        <f>IF(VLOOKUP(A288,TradesEquity!$1:$1048576,3,FALSE)="BUY","B","S")</f>
        <v>#N/A</v>
      </c>
      <c r="J288" s="434" t="e">
        <f>VLOOKUP(A288,TradesEquity!$1:$1048576,5,FALSE)</f>
        <v>#N/A</v>
      </c>
      <c r="K288" s="432" t="s">
        <v>19</v>
      </c>
      <c r="L288" s="435" t="s">
        <v>2028</v>
      </c>
      <c r="AE288" s="436" t="e">
        <f>VLOOKUP(A288,TradesEquity!$1:$1048576,10,FALSE)</f>
        <v>#N/A</v>
      </c>
      <c r="AF288" s="436" t="e">
        <f t="shared" si="14"/>
        <v>#N/A</v>
      </c>
      <c r="AG288" s="436" t="e">
        <f t="shared" si="15"/>
        <v>#N/A</v>
      </c>
      <c r="AH288" s="436" t="e">
        <f t="shared" si="16"/>
        <v>#N/A</v>
      </c>
      <c r="AI288" s="436" t="e">
        <f>ABS(VLOOKUP(A288,TradesEquity!$1:$1048576,13,FALSE))</f>
        <v>#N/A</v>
      </c>
      <c r="AJ288" s="437">
        <v>0</v>
      </c>
      <c r="AK288" s="437">
        <v>1</v>
      </c>
      <c r="AL288" s="436" t="e">
        <f>VLOOKUP(A288,TradesEquity!$1:$1048576,11,FALSE)</f>
        <v>#N/A</v>
      </c>
      <c r="AM288" s="437">
        <v>1</v>
      </c>
      <c r="AN288" s="436" t="e">
        <f>ABS(VLOOKUP(A288,TradesEquity!$1:$1048576,14,FALSE))</f>
        <v>#N/A</v>
      </c>
      <c r="AO288" s="436" t="e">
        <f>ABS(VLOOKUP(A288,TradesEquity!$1:$1048576,15,FALSE))</f>
        <v>#N/A</v>
      </c>
      <c r="AP288" s="438" t="e">
        <f>ABS(VLOOKUP(A288,TradesEquity!$1:$1048576,16,FALSE))</f>
        <v>#N/A</v>
      </c>
      <c r="AQ288" s="367">
        <v>0</v>
      </c>
      <c r="AR288" s="367">
        <v>0</v>
      </c>
      <c r="AS288" s="367">
        <v>0</v>
      </c>
      <c r="AT288" s="367">
        <v>0</v>
      </c>
      <c r="AU288" s="367">
        <v>0</v>
      </c>
      <c r="AV288" s="438" t="e">
        <f>ABS(VLOOKUP(A288,TradesEquity!$1:$1048576,18,FALSE))</f>
        <v>#N/A</v>
      </c>
      <c r="AW288" s="439">
        <v>0</v>
      </c>
      <c r="AX288" s="440">
        <v>4542</v>
      </c>
      <c r="AY288" s="441" t="s">
        <v>2029</v>
      </c>
      <c r="AZ288" s="442" t="e">
        <f>(VLOOKUP(A288,TradesEquity!$1:$1048576,29,FALSE))</f>
        <v>#N/A</v>
      </c>
      <c r="BA288" s="442" t="e">
        <f>(VLOOKUP(A288,TradesEquity!$1:$1048576,30,FALSE))</f>
        <v>#N/A</v>
      </c>
      <c r="BB288" s="442" t="e">
        <f>(VLOOKUP(A288,TradesEquity!$1:$1048576,31,FALSE))</f>
        <v>#N/A</v>
      </c>
      <c r="BC288" s="442" t="e">
        <f>(VLOOKUP(A288,TradesEquity!$1:$1048576,32,FALSE))</f>
        <v>#N/A</v>
      </c>
      <c r="BI288" s="442" t="e">
        <f>(VLOOKUP(A288,TradesEquity!$1:$1048576,38,FALSE))</f>
        <v>#N/A</v>
      </c>
      <c r="BJ288" s="442" t="e">
        <f>(VLOOKUP(A288,TradesEquity!$1:$1048576,39,FALSE))</f>
        <v>#N/A</v>
      </c>
      <c r="BK288" s="442" t="e">
        <f>(VLOOKUP(A288,TradesEquity!$1:$1048576,40,FALSE))</f>
        <v>#N/A</v>
      </c>
    </row>
    <row r="289" spans="4:63">
      <c r="D289" s="432" t="s">
        <v>2027</v>
      </c>
      <c r="F289" s="433" t="e">
        <f>VLOOKUP(A289,TradesEquity!$1:$1048576,2,FALSE)</f>
        <v>#N/A</v>
      </c>
      <c r="H289" s="433" t="e">
        <f>VLOOKUP(A289,TradesEquity!$1:$1048576,21,FALSE)</f>
        <v>#N/A</v>
      </c>
      <c r="I289" s="434" t="e">
        <f>IF(VLOOKUP(A289,TradesEquity!$1:$1048576,3,FALSE)="BUY","B","S")</f>
        <v>#N/A</v>
      </c>
      <c r="J289" s="434" t="e">
        <f>VLOOKUP(A289,TradesEquity!$1:$1048576,5,FALSE)</f>
        <v>#N/A</v>
      </c>
      <c r="K289" s="432" t="s">
        <v>19</v>
      </c>
      <c r="L289" s="435" t="s">
        <v>2028</v>
      </c>
      <c r="AE289" s="436" t="e">
        <f>VLOOKUP(A289,TradesEquity!$1:$1048576,10,FALSE)</f>
        <v>#N/A</v>
      </c>
      <c r="AF289" s="436" t="e">
        <f t="shared" si="14"/>
        <v>#N/A</v>
      </c>
      <c r="AG289" s="436" t="e">
        <f t="shared" si="15"/>
        <v>#N/A</v>
      </c>
      <c r="AH289" s="436" t="e">
        <f t="shared" si="16"/>
        <v>#N/A</v>
      </c>
      <c r="AI289" s="436" t="e">
        <f>ABS(VLOOKUP(A289,TradesEquity!$1:$1048576,13,FALSE))</f>
        <v>#N/A</v>
      </c>
      <c r="AJ289" s="437">
        <v>0</v>
      </c>
      <c r="AK289" s="437">
        <v>1</v>
      </c>
      <c r="AL289" s="436" t="e">
        <f>VLOOKUP(A289,TradesEquity!$1:$1048576,11,FALSE)</f>
        <v>#N/A</v>
      </c>
      <c r="AM289" s="437">
        <v>1</v>
      </c>
      <c r="AN289" s="436" t="e">
        <f>ABS(VLOOKUP(A289,TradesEquity!$1:$1048576,14,FALSE))</f>
        <v>#N/A</v>
      </c>
      <c r="AO289" s="436" t="e">
        <f>ABS(VLOOKUP(A289,TradesEquity!$1:$1048576,15,FALSE))</f>
        <v>#N/A</v>
      </c>
      <c r="AP289" s="438" t="e">
        <f>ABS(VLOOKUP(A289,TradesEquity!$1:$1048576,16,FALSE))</f>
        <v>#N/A</v>
      </c>
      <c r="AQ289" s="367">
        <v>0</v>
      </c>
      <c r="AR289" s="367">
        <v>0</v>
      </c>
      <c r="AS289" s="367">
        <v>0</v>
      </c>
      <c r="AT289" s="367">
        <v>0</v>
      </c>
      <c r="AU289" s="367">
        <v>0</v>
      </c>
      <c r="AV289" s="438" t="e">
        <f>ABS(VLOOKUP(A289,TradesEquity!$1:$1048576,18,FALSE))</f>
        <v>#N/A</v>
      </c>
      <c r="AW289" s="439">
        <v>0</v>
      </c>
      <c r="AX289" s="440">
        <v>4542</v>
      </c>
      <c r="AY289" s="441" t="s">
        <v>2029</v>
      </c>
      <c r="AZ289" s="442" t="e">
        <f>(VLOOKUP(A289,TradesEquity!$1:$1048576,29,FALSE))</f>
        <v>#N/A</v>
      </c>
      <c r="BA289" s="442" t="e">
        <f>(VLOOKUP(A289,TradesEquity!$1:$1048576,30,FALSE))</f>
        <v>#N/A</v>
      </c>
      <c r="BB289" s="442" t="e">
        <f>(VLOOKUP(A289,TradesEquity!$1:$1048576,31,FALSE))</f>
        <v>#N/A</v>
      </c>
      <c r="BC289" s="442" t="e">
        <f>(VLOOKUP(A289,TradesEquity!$1:$1048576,32,FALSE))</f>
        <v>#N/A</v>
      </c>
      <c r="BI289" s="442" t="e">
        <f>(VLOOKUP(A289,TradesEquity!$1:$1048576,38,FALSE))</f>
        <v>#N/A</v>
      </c>
      <c r="BJ289" s="442" t="e">
        <f>(VLOOKUP(A289,TradesEquity!$1:$1048576,39,FALSE))</f>
        <v>#N/A</v>
      </c>
      <c r="BK289" s="442" t="e">
        <f>(VLOOKUP(A289,TradesEquity!$1:$1048576,40,FALSE))</f>
        <v>#N/A</v>
      </c>
    </row>
    <row r="290" spans="4:63">
      <c r="D290" s="432" t="s">
        <v>2027</v>
      </c>
      <c r="F290" s="433" t="e">
        <f>VLOOKUP(A290,TradesEquity!$1:$1048576,2,FALSE)</f>
        <v>#N/A</v>
      </c>
      <c r="H290" s="433" t="e">
        <f>VLOOKUP(A290,TradesEquity!$1:$1048576,21,FALSE)</f>
        <v>#N/A</v>
      </c>
      <c r="I290" s="434" t="e">
        <f>IF(VLOOKUP(A290,TradesEquity!$1:$1048576,3,FALSE)="BUY","B","S")</f>
        <v>#N/A</v>
      </c>
      <c r="J290" s="434" t="e">
        <f>VLOOKUP(A290,TradesEquity!$1:$1048576,5,FALSE)</f>
        <v>#N/A</v>
      </c>
      <c r="K290" s="432" t="s">
        <v>19</v>
      </c>
      <c r="L290" s="435" t="s">
        <v>2028</v>
      </c>
      <c r="AE290" s="436" t="e">
        <f>VLOOKUP(A290,TradesEquity!$1:$1048576,10,FALSE)</f>
        <v>#N/A</v>
      </c>
      <c r="AF290" s="436" t="e">
        <f t="shared" si="14"/>
        <v>#N/A</v>
      </c>
      <c r="AG290" s="436" t="e">
        <f t="shared" si="15"/>
        <v>#N/A</v>
      </c>
      <c r="AH290" s="436" t="e">
        <f t="shared" si="16"/>
        <v>#N/A</v>
      </c>
      <c r="AI290" s="436" t="e">
        <f>ABS(VLOOKUP(A290,TradesEquity!$1:$1048576,13,FALSE))</f>
        <v>#N/A</v>
      </c>
      <c r="AJ290" s="437">
        <v>0</v>
      </c>
      <c r="AK290" s="437">
        <v>1</v>
      </c>
      <c r="AL290" s="436" t="e">
        <f>VLOOKUP(A290,TradesEquity!$1:$1048576,11,FALSE)</f>
        <v>#N/A</v>
      </c>
      <c r="AM290" s="437">
        <v>1</v>
      </c>
      <c r="AN290" s="436" t="e">
        <f>ABS(VLOOKUP(A290,TradesEquity!$1:$1048576,14,FALSE))</f>
        <v>#N/A</v>
      </c>
      <c r="AO290" s="436" t="e">
        <f>ABS(VLOOKUP(A290,TradesEquity!$1:$1048576,15,FALSE))</f>
        <v>#N/A</v>
      </c>
      <c r="AP290" s="438" t="e">
        <f>ABS(VLOOKUP(A290,TradesEquity!$1:$1048576,16,FALSE))</f>
        <v>#N/A</v>
      </c>
      <c r="AQ290" s="367">
        <v>0</v>
      </c>
      <c r="AR290" s="367">
        <v>0</v>
      </c>
      <c r="AS290" s="367">
        <v>0</v>
      </c>
      <c r="AT290" s="367">
        <v>0</v>
      </c>
      <c r="AU290" s="367">
        <v>0</v>
      </c>
      <c r="AV290" s="438" t="e">
        <f>ABS(VLOOKUP(A290,TradesEquity!$1:$1048576,18,FALSE))</f>
        <v>#N/A</v>
      </c>
      <c r="AW290" s="439">
        <v>0</v>
      </c>
      <c r="AX290" s="440">
        <v>4542</v>
      </c>
      <c r="AY290" s="441" t="s">
        <v>2029</v>
      </c>
      <c r="AZ290" s="442" t="e">
        <f>(VLOOKUP(A290,TradesEquity!$1:$1048576,29,FALSE))</f>
        <v>#N/A</v>
      </c>
      <c r="BA290" s="442" t="e">
        <f>(VLOOKUP(A290,TradesEquity!$1:$1048576,30,FALSE))</f>
        <v>#N/A</v>
      </c>
      <c r="BB290" s="442" t="e">
        <f>(VLOOKUP(A290,TradesEquity!$1:$1048576,31,FALSE))</f>
        <v>#N/A</v>
      </c>
      <c r="BC290" s="442" t="e">
        <f>(VLOOKUP(A290,TradesEquity!$1:$1048576,32,FALSE))</f>
        <v>#N/A</v>
      </c>
      <c r="BI290" s="442" t="e">
        <f>(VLOOKUP(A290,TradesEquity!$1:$1048576,38,FALSE))</f>
        <v>#N/A</v>
      </c>
      <c r="BJ290" s="442" t="e">
        <f>(VLOOKUP(A290,TradesEquity!$1:$1048576,39,FALSE))</f>
        <v>#N/A</v>
      </c>
      <c r="BK290" s="442" t="e">
        <f>(VLOOKUP(A290,TradesEquity!$1:$1048576,40,FALSE))</f>
        <v>#N/A</v>
      </c>
    </row>
    <row r="291" spans="4:63">
      <c r="D291" s="432" t="s">
        <v>2027</v>
      </c>
      <c r="F291" s="433" t="e">
        <f>VLOOKUP(A291,TradesEquity!$1:$1048576,2,FALSE)</f>
        <v>#N/A</v>
      </c>
      <c r="H291" s="433" t="e">
        <f>VLOOKUP(A291,TradesEquity!$1:$1048576,21,FALSE)</f>
        <v>#N/A</v>
      </c>
      <c r="I291" s="434" t="e">
        <f>IF(VLOOKUP(A291,TradesEquity!$1:$1048576,3,FALSE)="BUY","B","S")</f>
        <v>#N/A</v>
      </c>
      <c r="J291" s="434" t="e">
        <f>VLOOKUP(A291,TradesEquity!$1:$1048576,5,FALSE)</f>
        <v>#N/A</v>
      </c>
      <c r="K291" s="432" t="s">
        <v>19</v>
      </c>
      <c r="L291" s="435" t="s">
        <v>2028</v>
      </c>
      <c r="AE291" s="436" t="e">
        <f>VLOOKUP(A291,TradesEquity!$1:$1048576,10,FALSE)</f>
        <v>#N/A</v>
      </c>
      <c r="AF291" s="436" t="e">
        <f t="shared" si="14"/>
        <v>#N/A</v>
      </c>
      <c r="AG291" s="436" t="e">
        <f t="shared" si="15"/>
        <v>#N/A</v>
      </c>
      <c r="AH291" s="436" t="e">
        <f t="shared" si="16"/>
        <v>#N/A</v>
      </c>
      <c r="AI291" s="436" t="e">
        <f>ABS(VLOOKUP(A291,TradesEquity!$1:$1048576,13,FALSE))</f>
        <v>#N/A</v>
      </c>
      <c r="AJ291" s="437">
        <v>0</v>
      </c>
      <c r="AK291" s="437">
        <v>1</v>
      </c>
      <c r="AL291" s="436" t="e">
        <f>VLOOKUP(A291,TradesEquity!$1:$1048576,11,FALSE)</f>
        <v>#N/A</v>
      </c>
      <c r="AM291" s="437">
        <v>1</v>
      </c>
      <c r="AN291" s="436" t="e">
        <f>ABS(VLOOKUP(A291,TradesEquity!$1:$1048576,14,FALSE))</f>
        <v>#N/A</v>
      </c>
      <c r="AO291" s="436" t="e">
        <f>ABS(VLOOKUP(A291,TradesEquity!$1:$1048576,15,FALSE))</f>
        <v>#N/A</v>
      </c>
      <c r="AP291" s="438" t="e">
        <f>ABS(VLOOKUP(A291,TradesEquity!$1:$1048576,16,FALSE))</f>
        <v>#N/A</v>
      </c>
      <c r="AQ291" s="367">
        <v>0</v>
      </c>
      <c r="AR291" s="367">
        <v>0</v>
      </c>
      <c r="AS291" s="367">
        <v>0</v>
      </c>
      <c r="AT291" s="367">
        <v>0</v>
      </c>
      <c r="AU291" s="367">
        <v>0</v>
      </c>
      <c r="AV291" s="438" t="e">
        <f>ABS(VLOOKUP(A291,TradesEquity!$1:$1048576,18,FALSE))</f>
        <v>#N/A</v>
      </c>
      <c r="AW291" s="439">
        <v>0</v>
      </c>
      <c r="AX291" s="440">
        <v>4542</v>
      </c>
      <c r="AY291" s="441" t="s">
        <v>2029</v>
      </c>
      <c r="AZ291" s="442" t="e">
        <f>(VLOOKUP(A291,TradesEquity!$1:$1048576,29,FALSE))</f>
        <v>#N/A</v>
      </c>
      <c r="BA291" s="442" t="e">
        <f>(VLOOKUP(A291,TradesEquity!$1:$1048576,30,FALSE))</f>
        <v>#N/A</v>
      </c>
      <c r="BB291" s="442" t="e">
        <f>(VLOOKUP(A291,TradesEquity!$1:$1048576,31,FALSE))</f>
        <v>#N/A</v>
      </c>
      <c r="BC291" s="442" t="e">
        <f>(VLOOKUP(A291,TradesEquity!$1:$1048576,32,FALSE))</f>
        <v>#N/A</v>
      </c>
      <c r="BI291" s="442" t="e">
        <f>(VLOOKUP(A291,TradesEquity!$1:$1048576,38,FALSE))</f>
        <v>#N/A</v>
      </c>
      <c r="BJ291" s="442" t="e">
        <f>(VLOOKUP(A291,TradesEquity!$1:$1048576,39,FALSE))</f>
        <v>#N/A</v>
      </c>
      <c r="BK291" s="442" t="e">
        <f>(VLOOKUP(A291,TradesEquity!$1:$1048576,40,FALSE))</f>
        <v>#N/A</v>
      </c>
    </row>
    <row r="292" spans="4:63">
      <c r="D292" s="432" t="s">
        <v>2027</v>
      </c>
      <c r="F292" s="433" t="e">
        <f>VLOOKUP(A292,TradesEquity!$1:$1048576,2,FALSE)</f>
        <v>#N/A</v>
      </c>
      <c r="H292" s="433" t="e">
        <f>VLOOKUP(A292,TradesEquity!$1:$1048576,21,FALSE)</f>
        <v>#N/A</v>
      </c>
      <c r="I292" s="434" t="e">
        <f>IF(VLOOKUP(A292,TradesEquity!$1:$1048576,3,FALSE)="BUY","B","S")</f>
        <v>#N/A</v>
      </c>
      <c r="J292" s="434" t="e">
        <f>VLOOKUP(A292,TradesEquity!$1:$1048576,5,FALSE)</f>
        <v>#N/A</v>
      </c>
      <c r="K292" s="432" t="s">
        <v>19</v>
      </c>
      <c r="L292" s="435" t="s">
        <v>2028</v>
      </c>
      <c r="AE292" s="436" t="e">
        <f>VLOOKUP(A292,TradesEquity!$1:$1048576,10,FALSE)</f>
        <v>#N/A</v>
      </c>
      <c r="AF292" s="436" t="e">
        <f t="shared" si="14"/>
        <v>#N/A</v>
      </c>
      <c r="AG292" s="436" t="e">
        <f t="shared" si="15"/>
        <v>#N/A</v>
      </c>
      <c r="AH292" s="436" t="e">
        <f t="shared" si="16"/>
        <v>#N/A</v>
      </c>
      <c r="AI292" s="436" t="e">
        <f>ABS(VLOOKUP(A292,TradesEquity!$1:$1048576,13,FALSE))</f>
        <v>#N/A</v>
      </c>
      <c r="AJ292" s="437">
        <v>0</v>
      </c>
      <c r="AK292" s="437">
        <v>1</v>
      </c>
      <c r="AL292" s="436" t="e">
        <f>VLOOKUP(A292,TradesEquity!$1:$1048576,11,FALSE)</f>
        <v>#N/A</v>
      </c>
      <c r="AM292" s="437">
        <v>1</v>
      </c>
      <c r="AN292" s="436" t="e">
        <f>ABS(VLOOKUP(A292,TradesEquity!$1:$1048576,14,FALSE))</f>
        <v>#N/A</v>
      </c>
      <c r="AO292" s="436" t="e">
        <f>ABS(VLOOKUP(A292,TradesEquity!$1:$1048576,15,FALSE))</f>
        <v>#N/A</v>
      </c>
      <c r="AP292" s="438" t="e">
        <f>ABS(VLOOKUP(A292,TradesEquity!$1:$1048576,16,FALSE))</f>
        <v>#N/A</v>
      </c>
      <c r="AQ292" s="367">
        <v>0</v>
      </c>
      <c r="AR292" s="367">
        <v>0</v>
      </c>
      <c r="AS292" s="367">
        <v>0</v>
      </c>
      <c r="AT292" s="367">
        <v>0</v>
      </c>
      <c r="AU292" s="367">
        <v>0</v>
      </c>
      <c r="AV292" s="438" t="e">
        <f>ABS(VLOOKUP(A292,TradesEquity!$1:$1048576,18,FALSE))</f>
        <v>#N/A</v>
      </c>
      <c r="AW292" s="439">
        <v>0</v>
      </c>
      <c r="AX292" s="440">
        <v>4542</v>
      </c>
      <c r="AY292" s="441" t="s">
        <v>2029</v>
      </c>
      <c r="AZ292" s="442" t="e">
        <f>(VLOOKUP(A292,TradesEquity!$1:$1048576,29,FALSE))</f>
        <v>#N/A</v>
      </c>
      <c r="BA292" s="442" t="e">
        <f>(VLOOKUP(A292,TradesEquity!$1:$1048576,30,FALSE))</f>
        <v>#N/A</v>
      </c>
      <c r="BB292" s="442" t="e">
        <f>(VLOOKUP(A292,TradesEquity!$1:$1048576,31,FALSE))</f>
        <v>#N/A</v>
      </c>
      <c r="BC292" s="442" t="e">
        <f>(VLOOKUP(A292,TradesEquity!$1:$1048576,32,FALSE))</f>
        <v>#N/A</v>
      </c>
      <c r="BI292" s="442" t="e">
        <f>(VLOOKUP(A292,TradesEquity!$1:$1048576,38,FALSE))</f>
        <v>#N/A</v>
      </c>
      <c r="BJ292" s="442" t="e">
        <f>(VLOOKUP(A292,TradesEquity!$1:$1048576,39,FALSE))</f>
        <v>#N/A</v>
      </c>
      <c r="BK292" s="442" t="e">
        <f>(VLOOKUP(A292,TradesEquity!$1:$1048576,40,FALSE))</f>
        <v>#N/A</v>
      </c>
    </row>
    <row r="293" spans="4:63">
      <c r="D293" s="432" t="s">
        <v>2027</v>
      </c>
      <c r="F293" s="433" t="e">
        <f>VLOOKUP(A293,TradesEquity!$1:$1048576,2,FALSE)</f>
        <v>#N/A</v>
      </c>
      <c r="H293" s="433" t="e">
        <f>VLOOKUP(A293,TradesEquity!$1:$1048576,21,FALSE)</f>
        <v>#N/A</v>
      </c>
      <c r="I293" s="434" t="e">
        <f>IF(VLOOKUP(A293,TradesEquity!$1:$1048576,3,FALSE)="BUY","B","S")</f>
        <v>#N/A</v>
      </c>
      <c r="J293" s="434" t="e">
        <f>VLOOKUP(A293,TradesEquity!$1:$1048576,5,FALSE)</f>
        <v>#N/A</v>
      </c>
      <c r="K293" s="432" t="s">
        <v>19</v>
      </c>
      <c r="L293" s="435" t="s">
        <v>2028</v>
      </c>
      <c r="AE293" s="436" t="e">
        <f>VLOOKUP(A293,TradesEquity!$1:$1048576,10,FALSE)</f>
        <v>#N/A</v>
      </c>
      <c r="AF293" s="436" t="e">
        <f t="shared" si="14"/>
        <v>#N/A</v>
      </c>
      <c r="AG293" s="436" t="e">
        <f t="shared" si="15"/>
        <v>#N/A</v>
      </c>
      <c r="AH293" s="436" t="e">
        <f t="shared" si="16"/>
        <v>#N/A</v>
      </c>
      <c r="AI293" s="436" t="e">
        <f>ABS(VLOOKUP(A293,TradesEquity!$1:$1048576,13,FALSE))</f>
        <v>#N/A</v>
      </c>
      <c r="AJ293" s="437">
        <v>0</v>
      </c>
      <c r="AK293" s="437">
        <v>1</v>
      </c>
      <c r="AL293" s="436" t="e">
        <f>VLOOKUP(A293,TradesEquity!$1:$1048576,11,FALSE)</f>
        <v>#N/A</v>
      </c>
      <c r="AM293" s="437">
        <v>1</v>
      </c>
      <c r="AN293" s="436" t="e">
        <f>ABS(VLOOKUP(A293,TradesEquity!$1:$1048576,14,FALSE))</f>
        <v>#N/A</v>
      </c>
      <c r="AO293" s="436" t="e">
        <f>ABS(VLOOKUP(A293,TradesEquity!$1:$1048576,15,FALSE))</f>
        <v>#N/A</v>
      </c>
      <c r="AP293" s="438" t="e">
        <f>ABS(VLOOKUP(A293,TradesEquity!$1:$1048576,16,FALSE))</f>
        <v>#N/A</v>
      </c>
      <c r="AQ293" s="367">
        <v>0</v>
      </c>
      <c r="AR293" s="367">
        <v>0</v>
      </c>
      <c r="AS293" s="367">
        <v>0</v>
      </c>
      <c r="AT293" s="367">
        <v>0</v>
      </c>
      <c r="AU293" s="367">
        <v>0</v>
      </c>
      <c r="AV293" s="438" t="e">
        <f>ABS(VLOOKUP(A293,TradesEquity!$1:$1048576,18,FALSE))</f>
        <v>#N/A</v>
      </c>
      <c r="AW293" s="439">
        <v>0</v>
      </c>
      <c r="AX293" s="440">
        <v>4542</v>
      </c>
      <c r="AY293" s="441" t="s">
        <v>2029</v>
      </c>
      <c r="AZ293" s="442" t="e">
        <f>(VLOOKUP(A293,TradesEquity!$1:$1048576,29,FALSE))</f>
        <v>#N/A</v>
      </c>
      <c r="BA293" s="442" t="e">
        <f>(VLOOKUP(A293,TradesEquity!$1:$1048576,30,FALSE))</f>
        <v>#N/A</v>
      </c>
      <c r="BB293" s="442" t="e">
        <f>(VLOOKUP(A293,TradesEquity!$1:$1048576,31,FALSE))</f>
        <v>#N/A</v>
      </c>
      <c r="BC293" s="442" t="e">
        <f>(VLOOKUP(A293,TradesEquity!$1:$1048576,32,FALSE))</f>
        <v>#N/A</v>
      </c>
      <c r="BI293" s="442" t="e">
        <f>(VLOOKUP(A293,TradesEquity!$1:$1048576,38,FALSE))</f>
        <v>#N/A</v>
      </c>
      <c r="BJ293" s="442" t="e">
        <f>(VLOOKUP(A293,TradesEquity!$1:$1048576,39,FALSE))</f>
        <v>#N/A</v>
      </c>
      <c r="BK293" s="442" t="e">
        <f>(VLOOKUP(A293,TradesEquity!$1:$1048576,40,FALSE))</f>
        <v>#N/A</v>
      </c>
    </row>
    <row r="294" spans="4:63">
      <c r="D294" s="432" t="s">
        <v>2027</v>
      </c>
      <c r="F294" s="433" t="e">
        <f>VLOOKUP(A294,TradesEquity!$1:$1048576,2,FALSE)</f>
        <v>#N/A</v>
      </c>
      <c r="H294" s="433" t="e">
        <f>VLOOKUP(A294,TradesEquity!$1:$1048576,21,FALSE)</f>
        <v>#N/A</v>
      </c>
      <c r="I294" s="434" t="e">
        <f>IF(VLOOKUP(A294,TradesEquity!$1:$1048576,3,FALSE)="BUY","B","S")</f>
        <v>#N/A</v>
      </c>
      <c r="J294" s="434" t="e">
        <f>VLOOKUP(A294,TradesEquity!$1:$1048576,5,FALSE)</f>
        <v>#N/A</v>
      </c>
      <c r="K294" s="432" t="s">
        <v>19</v>
      </c>
      <c r="L294" s="435" t="s">
        <v>2028</v>
      </c>
      <c r="AE294" s="436" t="e">
        <f>VLOOKUP(A294,TradesEquity!$1:$1048576,10,FALSE)</f>
        <v>#N/A</v>
      </c>
      <c r="AF294" s="436" t="e">
        <f t="shared" si="14"/>
        <v>#N/A</v>
      </c>
      <c r="AG294" s="436" t="e">
        <f t="shared" si="15"/>
        <v>#N/A</v>
      </c>
      <c r="AH294" s="436" t="e">
        <f t="shared" si="16"/>
        <v>#N/A</v>
      </c>
      <c r="AI294" s="436" t="e">
        <f>ABS(VLOOKUP(A294,TradesEquity!$1:$1048576,13,FALSE))</f>
        <v>#N/A</v>
      </c>
      <c r="AJ294" s="437">
        <v>0</v>
      </c>
      <c r="AK294" s="437">
        <v>1</v>
      </c>
      <c r="AL294" s="436" t="e">
        <f>VLOOKUP(A294,TradesEquity!$1:$1048576,11,FALSE)</f>
        <v>#N/A</v>
      </c>
      <c r="AM294" s="437">
        <v>1</v>
      </c>
      <c r="AN294" s="436" t="e">
        <f>ABS(VLOOKUP(A294,TradesEquity!$1:$1048576,14,FALSE))</f>
        <v>#N/A</v>
      </c>
      <c r="AO294" s="436" t="e">
        <f>ABS(VLOOKUP(A294,TradesEquity!$1:$1048576,15,FALSE))</f>
        <v>#N/A</v>
      </c>
      <c r="AP294" s="438" t="e">
        <f>ABS(VLOOKUP(A294,TradesEquity!$1:$1048576,16,FALSE))</f>
        <v>#N/A</v>
      </c>
      <c r="AQ294" s="367">
        <v>0</v>
      </c>
      <c r="AR294" s="367">
        <v>0</v>
      </c>
      <c r="AS294" s="367">
        <v>0</v>
      </c>
      <c r="AT294" s="367">
        <v>0</v>
      </c>
      <c r="AU294" s="367">
        <v>0</v>
      </c>
      <c r="AV294" s="438" t="e">
        <f>ABS(VLOOKUP(A294,TradesEquity!$1:$1048576,18,FALSE))</f>
        <v>#N/A</v>
      </c>
      <c r="AW294" s="439">
        <v>0</v>
      </c>
      <c r="AX294" s="440">
        <v>4542</v>
      </c>
      <c r="AY294" s="441" t="s">
        <v>2029</v>
      </c>
      <c r="AZ294" s="442" t="e">
        <f>(VLOOKUP(A294,TradesEquity!$1:$1048576,29,FALSE))</f>
        <v>#N/A</v>
      </c>
      <c r="BA294" s="442" t="e">
        <f>(VLOOKUP(A294,TradesEquity!$1:$1048576,30,FALSE))</f>
        <v>#N/A</v>
      </c>
      <c r="BB294" s="442" t="e">
        <f>(VLOOKUP(A294,TradesEquity!$1:$1048576,31,FALSE))</f>
        <v>#N/A</v>
      </c>
      <c r="BC294" s="442" t="e">
        <f>(VLOOKUP(A294,TradesEquity!$1:$1048576,32,FALSE))</f>
        <v>#N/A</v>
      </c>
      <c r="BI294" s="442" t="e">
        <f>(VLOOKUP(A294,TradesEquity!$1:$1048576,38,FALSE))</f>
        <v>#N/A</v>
      </c>
      <c r="BJ294" s="442" t="e">
        <f>(VLOOKUP(A294,TradesEquity!$1:$1048576,39,FALSE))</f>
        <v>#N/A</v>
      </c>
      <c r="BK294" s="442" t="e">
        <f>(VLOOKUP(A294,TradesEquity!$1:$1048576,40,FALSE))</f>
        <v>#N/A</v>
      </c>
    </row>
    <row r="295" spans="4:63">
      <c r="D295" s="432" t="s">
        <v>2027</v>
      </c>
      <c r="F295" s="433" t="e">
        <f>VLOOKUP(A295,TradesEquity!$1:$1048576,2,FALSE)</f>
        <v>#N/A</v>
      </c>
      <c r="H295" s="433" t="e">
        <f>VLOOKUP(A295,TradesEquity!$1:$1048576,21,FALSE)</f>
        <v>#N/A</v>
      </c>
      <c r="I295" s="434" t="e">
        <f>IF(VLOOKUP(A295,TradesEquity!$1:$1048576,3,FALSE)="BUY","B","S")</f>
        <v>#N/A</v>
      </c>
      <c r="J295" s="434" t="e">
        <f>VLOOKUP(A295,TradesEquity!$1:$1048576,5,FALSE)</f>
        <v>#N/A</v>
      </c>
      <c r="K295" s="432" t="s">
        <v>19</v>
      </c>
      <c r="L295" s="435" t="s">
        <v>2028</v>
      </c>
      <c r="AE295" s="436" t="e">
        <f>VLOOKUP(A295,TradesEquity!$1:$1048576,10,FALSE)</f>
        <v>#N/A</v>
      </c>
      <c r="AF295" s="436" t="e">
        <f t="shared" si="14"/>
        <v>#N/A</v>
      </c>
      <c r="AG295" s="436" t="e">
        <f t="shared" si="15"/>
        <v>#N/A</v>
      </c>
      <c r="AH295" s="436" t="e">
        <f t="shared" si="16"/>
        <v>#N/A</v>
      </c>
      <c r="AI295" s="436" t="e">
        <f>ABS(VLOOKUP(A295,TradesEquity!$1:$1048576,13,FALSE))</f>
        <v>#N/A</v>
      </c>
      <c r="AJ295" s="437">
        <v>0</v>
      </c>
      <c r="AK295" s="437">
        <v>1</v>
      </c>
      <c r="AL295" s="436" t="e">
        <f>VLOOKUP(A295,TradesEquity!$1:$1048576,11,FALSE)</f>
        <v>#N/A</v>
      </c>
      <c r="AM295" s="437">
        <v>1</v>
      </c>
      <c r="AN295" s="436" t="e">
        <f>ABS(VLOOKUP(A295,TradesEquity!$1:$1048576,14,FALSE))</f>
        <v>#N/A</v>
      </c>
      <c r="AO295" s="436" t="e">
        <f>ABS(VLOOKUP(A295,TradesEquity!$1:$1048576,15,FALSE))</f>
        <v>#N/A</v>
      </c>
      <c r="AP295" s="438" t="e">
        <f>ABS(VLOOKUP(A295,TradesEquity!$1:$1048576,16,FALSE))</f>
        <v>#N/A</v>
      </c>
      <c r="AQ295" s="367">
        <v>0</v>
      </c>
      <c r="AR295" s="367">
        <v>0</v>
      </c>
      <c r="AS295" s="367">
        <v>0</v>
      </c>
      <c r="AT295" s="367">
        <v>0</v>
      </c>
      <c r="AU295" s="367">
        <v>0</v>
      </c>
      <c r="AV295" s="438" t="e">
        <f>ABS(VLOOKUP(A295,TradesEquity!$1:$1048576,18,FALSE))</f>
        <v>#N/A</v>
      </c>
      <c r="AW295" s="439">
        <v>0</v>
      </c>
      <c r="AX295" s="440">
        <v>4542</v>
      </c>
      <c r="AY295" s="441" t="s">
        <v>2029</v>
      </c>
      <c r="AZ295" s="442" t="e">
        <f>(VLOOKUP(A295,TradesEquity!$1:$1048576,29,FALSE))</f>
        <v>#N/A</v>
      </c>
      <c r="BA295" s="442" t="e">
        <f>(VLOOKUP(A295,TradesEquity!$1:$1048576,30,FALSE))</f>
        <v>#N/A</v>
      </c>
      <c r="BB295" s="442" t="e">
        <f>(VLOOKUP(A295,TradesEquity!$1:$1048576,31,FALSE))</f>
        <v>#N/A</v>
      </c>
      <c r="BC295" s="442" t="e">
        <f>(VLOOKUP(A295,TradesEquity!$1:$1048576,32,FALSE))</f>
        <v>#N/A</v>
      </c>
      <c r="BI295" s="442" t="e">
        <f>(VLOOKUP(A295,TradesEquity!$1:$1048576,38,FALSE))</f>
        <v>#N/A</v>
      </c>
      <c r="BJ295" s="442" t="e">
        <f>(VLOOKUP(A295,TradesEquity!$1:$1048576,39,FALSE))</f>
        <v>#N/A</v>
      </c>
      <c r="BK295" s="442" t="e">
        <f>(VLOOKUP(A295,TradesEquity!$1:$1048576,40,FALSE))</f>
        <v>#N/A</v>
      </c>
    </row>
    <row r="296" spans="4:63">
      <c r="D296" s="432" t="s">
        <v>2027</v>
      </c>
      <c r="F296" s="433" t="e">
        <f>VLOOKUP(A296,TradesEquity!$1:$1048576,2,FALSE)</f>
        <v>#N/A</v>
      </c>
      <c r="H296" s="433" t="e">
        <f>VLOOKUP(A296,TradesEquity!$1:$1048576,21,FALSE)</f>
        <v>#N/A</v>
      </c>
      <c r="I296" s="434" t="e">
        <f>IF(VLOOKUP(A296,TradesEquity!$1:$1048576,3,FALSE)="BUY","B","S")</f>
        <v>#N/A</v>
      </c>
      <c r="J296" s="434" t="e">
        <f>VLOOKUP(A296,TradesEquity!$1:$1048576,5,FALSE)</f>
        <v>#N/A</v>
      </c>
      <c r="K296" s="432" t="s">
        <v>19</v>
      </c>
      <c r="L296" s="435" t="s">
        <v>2028</v>
      </c>
      <c r="AE296" s="436" t="e">
        <f>VLOOKUP(A296,TradesEquity!$1:$1048576,10,FALSE)</f>
        <v>#N/A</v>
      </c>
      <c r="AF296" s="436" t="e">
        <f t="shared" si="14"/>
        <v>#N/A</v>
      </c>
      <c r="AG296" s="436" t="e">
        <f t="shared" si="15"/>
        <v>#N/A</v>
      </c>
      <c r="AH296" s="436" t="e">
        <f t="shared" si="16"/>
        <v>#N/A</v>
      </c>
      <c r="AI296" s="436" t="e">
        <f>ABS(VLOOKUP(A296,TradesEquity!$1:$1048576,13,FALSE))</f>
        <v>#N/A</v>
      </c>
      <c r="AJ296" s="437">
        <v>0</v>
      </c>
      <c r="AK296" s="437">
        <v>1</v>
      </c>
      <c r="AL296" s="436" t="e">
        <f>VLOOKUP(A296,TradesEquity!$1:$1048576,11,FALSE)</f>
        <v>#N/A</v>
      </c>
      <c r="AM296" s="437">
        <v>1</v>
      </c>
      <c r="AN296" s="436" t="e">
        <f>ABS(VLOOKUP(A296,TradesEquity!$1:$1048576,14,FALSE))</f>
        <v>#N/A</v>
      </c>
      <c r="AO296" s="436" t="e">
        <f>ABS(VLOOKUP(A296,TradesEquity!$1:$1048576,15,FALSE))</f>
        <v>#N/A</v>
      </c>
      <c r="AP296" s="438" t="e">
        <f>ABS(VLOOKUP(A296,TradesEquity!$1:$1048576,16,FALSE))</f>
        <v>#N/A</v>
      </c>
      <c r="AQ296" s="367">
        <v>0</v>
      </c>
      <c r="AR296" s="367">
        <v>0</v>
      </c>
      <c r="AS296" s="367">
        <v>0</v>
      </c>
      <c r="AT296" s="367">
        <v>0</v>
      </c>
      <c r="AU296" s="367">
        <v>0</v>
      </c>
      <c r="AV296" s="438" t="e">
        <f>ABS(VLOOKUP(A296,TradesEquity!$1:$1048576,18,FALSE))</f>
        <v>#N/A</v>
      </c>
      <c r="AW296" s="439">
        <v>0</v>
      </c>
      <c r="AX296" s="440">
        <v>4542</v>
      </c>
      <c r="AY296" s="441" t="s">
        <v>2029</v>
      </c>
      <c r="AZ296" s="442" t="e">
        <f>(VLOOKUP(A296,TradesEquity!$1:$1048576,29,FALSE))</f>
        <v>#N/A</v>
      </c>
      <c r="BA296" s="442" t="e">
        <f>(VLOOKUP(A296,TradesEquity!$1:$1048576,30,FALSE))</f>
        <v>#N/A</v>
      </c>
      <c r="BB296" s="442" t="e">
        <f>(VLOOKUP(A296,TradesEquity!$1:$1048576,31,FALSE))</f>
        <v>#N/A</v>
      </c>
      <c r="BC296" s="442" t="e">
        <f>(VLOOKUP(A296,TradesEquity!$1:$1048576,32,FALSE))</f>
        <v>#N/A</v>
      </c>
      <c r="BI296" s="442" t="e">
        <f>(VLOOKUP(A296,TradesEquity!$1:$1048576,38,FALSE))</f>
        <v>#N/A</v>
      </c>
      <c r="BJ296" s="442" t="e">
        <f>(VLOOKUP(A296,TradesEquity!$1:$1048576,39,FALSE))</f>
        <v>#N/A</v>
      </c>
      <c r="BK296" s="442" t="e">
        <f>(VLOOKUP(A296,TradesEquity!$1:$1048576,40,FALSE))</f>
        <v>#N/A</v>
      </c>
    </row>
    <row r="297" spans="4:63">
      <c r="D297" s="432" t="s">
        <v>2027</v>
      </c>
      <c r="F297" s="433" t="e">
        <f>VLOOKUP(A297,TradesEquity!$1:$1048576,2,FALSE)</f>
        <v>#N/A</v>
      </c>
      <c r="H297" s="433" t="e">
        <f>VLOOKUP(A297,TradesEquity!$1:$1048576,21,FALSE)</f>
        <v>#N/A</v>
      </c>
      <c r="I297" s="434" t="e">
        <f>IF(VLOOKUP(A297,TradesEquity!$1:$1048576,3,FALSE)="BUY","B","S")</f>
        <v>#N/A</v>
      </c>
      <c r="J297" s="434" t="e">
        <f>VLOOKUP(A297,TradesEquity!$1:$1048576,5,FALSE)</f>
        <v>#N/A</v>
      </c>
      <c r="K297" s="432" t="s">
        <v>19</v>
      </c>
      <c r="L297" s="435" t="s">
        <v>2028</v>
      </c>
      <c r="AE297" s="436" t="e">
        <f>VLOOKUP(A297,TradesEquity!$1:$1048576,10,FALSE)</f>
        <v>#N/A</v>
      </c>
      <c r="AF297" s="436" t="e">
        <f t="shared" ref="AF297:AH298" si="17">AE297</f>
        <v>#N/A</v>
      </c>
      <c r="AG297" s="436" t="e">
        <f t="shared" si="17"/>
        <v>#N/A</v>
      </c>
      <c r="AH297" s="436" t="e">
        <f t="shared" si="17"/>
        <v>#N/A</v>
      </c>
      <c r="AI297" s="436" t="e">
        <f>ABS(VLOOKUP(A297,TradesEquity!$1:$1048576,13,FALSE))</f>
        <v>#N/A</v>
      </c>
      <c r="AJ297" s="437">
        <v>0</v>
      </c>
      <c r="AK297" s="437">
        <v>1</v>
      </c>
      <c r="AL297" s="436" t="e">
        <f>VLOOKUP(A297,TradesEquity!$1:$1048576,11,FALSE)</f>
        <v>#N/A</v>
      </c>
      <c r="AM297" s="437">
        <v>1</v>
      </c>
      <c r="AN297" s="436" t="e">
        <f>ABS(VLOOKUP(A297,TradesEquity!$1:$1048576,14,FALSE))</f>
        <v>#N/A</v>
      </c>
      <c r="AO297" s="436" t="e">
        <f>ABS(VLOOKUP(A297,TradesEquity!$1:$1048576,15,FALSE))</f>
        <v>#N/A</v>
      </c>
      <c r="AP297" s="438" t="e">
        <f>ABS(VLOOKUP(A297,TradesEquity!$1:$1048576,16,FALSE))</f>
        <v>#N/A</v>
      </c>
      <c r="AQ297" s="367">
        <v>0</v>
      </c>
      <c r="AR297" s="367">
        <v>0</v>
      </c>
      <c r="AS297" s="367">
        <v>0</v>
      </c>
      <c r="AT297" s="367">
        <v>0</v>
      </c>
      <c r="AU297" s="367">
        <v>0</v>
      </c>
      <c r="AV297" s="438" t="e">
        <f>ABS(VLOOKUP(A297,TradesEquity!$1:$1048576,18,FALSE))</f>
        <v>#N/A</v>
      </c>
      <c r="AW297" s="439">
        <v>0</v>
      </c>
      <c r="AX297" s="440">
        <v>4542</v>
      </c>
      <c r="AY297" s="441" t="s">
        <v>2029</v>
      </c>
      <c r="AZ297" s="442" t="e">
        <f>(VLOOKUP(A297,TradesEquity!$1:$1048576,29,FALSE))</f>
        <v>#N/A</v>
      </c>
      <c r="BA297" s="442" t="e">
        <f>(VLOOKUP(A297,TradesEquity!$1:$1048576,30,FALSE))</f>
        <v>#N/A</v>
      </c>
      <c r="BB297" s="442" t="e">
        <f>(VLOOKUP(A297,TradesEquity!$1:$1048576,31,FALSE))</f>
        <v>#N/A</v>
      </c>
      <c r="BC297" s="442" t="e">
        <f>(VLOOKUP(A297,TradesEquity!$1:$1048576,32,FALSE))</f>
        <v>#N/A</v>
      </c>
      <c r="BI297" s="442" t="e">
        <f>(VLOOKUP(A297,TradesEquity!$1:$1048576,38,FALSE))</f>
        <v>#N/A</v>
      </c>
      <c r="BJ297" s="442" t="e">
        <f>(VLOOKUP(A297,TradesEquity!$1:$1048576,39,FALSE))</f>
        <v>#N/A</v>
      </c>
      <c r="BK297" s="442" t="e">
        <f>(VLOOKUP(A297,TradesEquity!$1:$1048576,40,FALSE))</f>
        <v>#N/A</v>
      </c>
    </row>
    <row r="298" spans="4:63">
      <c r="D298" s="432" t="s">
        <v>2027</v>
      </c>
      <c r="F298" s="433" t="e">
        <f>VLOOKUP(A298,TradesEquity!$1:$1048576,2,FALSE)</f>
        <v>#N/A</v>
      </c>
      <c r="H298" s="433" t="e">
        <f>VLOOKUP(A298,TradesEquity!$1:$1048576,21,FALSE)</f>
        <v>#N/A</v>
      </c>
      <c r="I298" s="434" t="e">
        <f>IF(VLOOKUP(A298,TradesEquity!$1:$1048576,3,FALSE)="BUY","B","S")</f>
        <v>#N/A</v>
      </c>
      <c r="J298" s="434" t="e">
        <f>VLOOKUP(A298,TradesEquity!$1:$1048576,5,FALSE)</f>
        <v>#N/A</v>
      </c>
      <c r="K298" s="432" t="s">
        <v>19</v>
      </c>
      <c r="L298" s="435" t="s">
        <v>2028</v>
      </c>
      <c r="AE298" s="436" t="e">
        <f>VLOOKUP(A298,TradesEquity!$1:$1048576,10,FALSE)</f>
        <v>#N/A</v>
      </c>
      <c r="AF298" s="436" t="e">
        <f t="shared" si="17"/>
        <v>#N/A</v>
      </c>
      <c r="AG298" s="436" t="e">
        <f t="shared" si="17"/>
        <v>#N/A</v>
      </c>
      <c r="AH298" s="436" t="e">
        <f t="shared" si="17"/>
        <v>#N/A</v>
      </c>
      <c r="AI298" s="436" t="e">
        <f>ABS(VLOOKUP(A298,TradesEquity!$1:$1048576,13,FALSE))</f>
        <v>#N/A</v>
      </c>
      <c r="AJ298" s="437">
        <v>0</v>
      </c>
      <c r="AK298" s="437">
        <v>1</v>
      </c>
      <c r="AL298" s="436" t="e">
        <f>VLOOKUP(A298,TradesEquity!$1:$1048576,11,FALSE)</f>
        <v>#N/A</v>
      </c>
      <c r="AM298" s="437">
        <v>1</v>
      </c>
      <c r="AN298" s="436" t="e">
        <f>ABS(VLOOKUP(A298,TradesEquity!$1:$1048576,14,FALSE))</f>
        <v>#N/A</v>
      </c>
      <c r="AO298" s="436" t="e">
        <f>ABS(VLOOKUP(A298,TradesEquity!$1:$1048576,15,FALSE))</f>
        <v>#N/A</v>
      </c>
      <c r="AP298" s="438" t="e">
        <f>ABS(VLOOKUP(A298,TradesEquity!$1:$1048576,16,FALSE))</f>
        <v>#N/A</v>
      </c>
      <c r="AQ298" s="367">
        <v>0</v>
      </c>
      <c r="AR298" s="367">
        <v>0</v>
      </c>
      <c r="AS298" s="367">
        <v>0</v>
      </c>
      <c r="AT298" s="367">
        <v>0</v>
      </c>
      <c r="AU298" s="367">
        <v>0</v>
      </c>
      <c r="AV298" s="438" t="e">
        <f>ABS(VLOOKUP(A298,TradesEquity!$1:$1048576,18,FALSE))</f>
        <v>#N/A</v>
      </c>
      <c r="AW298" s="439">
        <v>0</v>
      </c>
      <c r="AX298" s="440">
        <v>4542</v>
      </c>
      <c r="AY298" s="441" t="s">
        <v>2029</v>
      </c>
      <c r="AZ298" s="442" t="e">
        <f>(VLOOKUP(A298,TradesEquity!$1:$1048576,29,FALSE))</f>
        <v>#N/A</v>
      </c>
      <c r="BA298" s="442" t="e">
        <f>(VLOOKUP(A298,TradesEquity!$1:$1048576,30,FALSE))</f>
        <v>#N/A</v>
      </c>
      <c r="BB298" s="442" t="e">
        <f>(VLOOKUP(A298,TradesEquity!$1:$1048576,31,FALSE))</f>
        <v>#N/A</v>
      </c>
      <c r="BC298" s="442" t="e">
        <f>(VLOOKUP(A298,TradesEquity!$1:$1048576,32,FALSE))</f>
        <v>#N/A</v>
      </c>
      <c r="BI298" s="442" t="e">
        <f>(VLOOKUP(A298,TradesEquity!$1:$1048576,38,FALSE))</f>
        <v>#N/A</v>
      </c>
      <c r="BJ298" s="442" t="e">
        <f>(VLOOKUP(A298,TradesEquity!$1:$1048576,39,FALSE))</f>
        <v>#N/A</v>
      </c>
      <c r="BK298" s="44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101600</xdr:rowOff>
                  </from>
                  <to>
                    <xdr:col>8</xdr:col>
                    <xdr:colOff>571500</xdr:colOff>
                    <xdr:row>23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1092200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298"/>
  <sheetViews>
    <sheetView topLeftCell="A262" workbookViewId="0">
      <selection activeCell="A266" sqref="A266:BM270"/>
    </sheetView>
  </sheetViews>
  <sheetFormatPr defaultRowHeight="14.5"/>
  <cols>
    <col min="1" max="1" width="12.36328125" bestFit="1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36328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36328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36328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36328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36328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36328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430" t="s">
        <v>1978</v>
      </c>
      <c r="B1" s="418" t="s">
        <v>1979</v>
      </c>
      <c r="C1" s="418" t="s">
        <v>1980</v>
      </c>
      <c r="D1" s="464" t="s">
        <v>1981</v>
      </c>
      <c r="E1" s="418" t="s">
        <v>1982</v>
      </c>
      <c r="F1" s="429" t="s">
        <v>1983</v>
      </c>
      <c r="G1" s="418" t="s">
        <v>1984</v>
      </c>
      <c r="H1" s="429" t="s">
        <v>1985</v>
      </c>
      <c r="I1" s="430" t="s">
        <v>1986</v>
      </c>
      <c r="J1" s="430" t="s">
        <v>1987</v>
      </c>
      <c r="K1" s="464" t="s">
        <v>1988</v>
      </c>
      <c r="L1" s="464" t="s">
        <v>1989</v>
      </c>
      <c r="M1" s="418" t="s">
        <v>1767</v>
      </c>
      <c r="N1" s="418" t="s">
        <v>1990</v>
      </c>
      <c r="O1" s="418" t="s">
        <v>1991</v>
      </c>
      <c r="P1" s="418" t="s">
        <v>1992</v>
      </c>
      <c r="Q1" s="418" t="s">
        <v>1993</v>
      </c>
      <c r="R1" s="418" t="s">
        <v>1994</v>
      </c>
      <c r="S1" s="418" t="s">
        <v>1995</v>
      </c>
      <c r="T1" s="418" t="s">
        <v>1996</v>
      </c>
      <c r="U1" s="418" t="s">
        <v>1997</v>
      </c>
      <c r="V1" s="418" t="s">
        <v>1998</v>
      </c>
      <c r="W1" s="418" t="s">
        <v>1999</v>
      </c>
      <c r="X1" s="418" t="s">
        <v>2000</v>
      </c>
      <c r="Y1" s="418" t="s">
        <v>2001</v>
      </c>
      <c r="Z1" s="418" t="s">
        <v>205</v>
      </c>
      <c r="AA1" s="418" t="s">
        <v>2002</v>
      </c>
      <c r="AB1" s="418" t="s">
        <v>2003</v>
      </c>
      <c r="AC1" s="418" t="s">
        <v>2004</v>
      </c>
      <c r="AD1" s="418" t="s">
        <v>2005</v>
      </c>
      <c r="AE1" s="430" t="s">
        <v>2006</v>
      </c>
      <c r="AF1" s="430" t="s">
        <v>2007</v>
      </c>
      <c r="AG1" s="430" t="s">
        <v>2008</v>
      </c>
      <c r="AH1" s="430" t="s">
        <v>2009</v>
      </c>
      <c r="AI1" s="430" t="s">
        <v>2010</v>
      </c>
      <c r="AJ1" s="464" t="s">
        <v>2011</v>
      </c>
      <c r="AK1" s="464" t="s">
        <v>2012</v>
      </c>
      <c r="AL1" s="430" t="s">
        <v>2013</v>
      </c>
      <c r="AM1" s="464" t="s">
        <v>2014</v>
      </c>
      <c r="AN1" s="430" t="s">
        <v>2015</v>
      </c>
      <c r="AO1" s="430" t="s">
        <v>2016</v>
      </c>
      <c r="AP1" s="430" t="s">
        <v>2017</v>
      </c>
      <c r="AQ1" s="418" t="s">
        <v>2018</v>
      </c>
      <c r="AR1" s="418" t="s">
        <v>2019</v>
      </c>
      <c r="AS1" s="418" t="s">
        <v>2020</v>
      </c>
      <c r="AT1" s="418" t="s">
        <v>2021</v>
      </c>
      <c r="AU1" s="418" t="s">
        <v>2022</v>
      </c>
      <c r="AV1" s="430" t="s">
        <v>2023</v>
      </c>
      <c r="AW1" s="431" t="s">
        <v>2024</v>
      </c>
      <c r="AX1" s="431" t="s">
        <v>2025</v>
      </c>
      <c r="AY1" s="431" t="s">
        <v>2026</v>
      </c>
      <c r="AZ1" s="418" t="s">
        <v>1849</v>
      </c>
      <c r="BA1" s="418" t="s">
        <v>1767</v>
      </c>
      <c r="BB1" s="418" t="s">
        <v>1850</v>
      </c>
      <c r="BC1" s="418" t="s">
        <v>1851</v>
      </c>
      <c r="BD1" s="418" t="s">
        <v>1852</v>
      </c>
      <c r="BE1" s="418" t="s">
        <v>1853</v>
      </c>
      <c r="BF1" s="418" t="s">
        <v>1854</v>
      </c>
      <c r="BG1" s="418" t="s">
        <v>1855</v>
      </c>
      <c r="BH1" s="418" t="s">
        <v>1856</v>
      </c>
      <c r="BI1" s="418" t="s">
        <v>1857</v>
      </c>
      <c r="BJ1" s="418" t="s">
        <v>1858</v>
      </c>
      <c r="BK1" s="418" t="s">
        <v>1859</v>
      </c>
      <c r="BL1" s="418" t="s">
        <v>1860</v>
      </c>
      <c r="BM1" s="418" t="s">
        <v>1861</v>
      </c>
    </row>
    <row r="2" spans="1:65" s="417" customFormat="1" ht="13">
      <c r="A2" s="443">
        <v>2019200231</v>
      </c>
      <c r="D2" s="432" t="s">
        <v>2027</v>
      </c>
      <c r="F2" s="433">
        <f>VLOOKUP(A2,TradesEquity!$1:$1048576,2,FALSE)</f>
        <v>43854</v>
      </c>
      <c r="H2" s="433">
        <f>VLOOKUP(A2,TradesEquity!$1:$1048576,21,FALSE)</f>
        <v>43858</v>
      </c>
      <c r="I2" s="434" t="str">
        <f>IF(VLOOKUP(A2,TradesEquity!$1:$1048576,3,FALSE)="BUY","B","S")</f>
        <v>B</v>
      </c>
      <c r="J2" s="434" t="str">
        <f>VLOOKUP(A2,TradesEquity!$1:$1048576,5,FALSE)</f>
        <v>GB0000456144</v>
      </c>
      <c r="K2" s="432" t="s">
        <v>19</v>
      </c>
      <c r="L2" s="435" t="s">
        <v>2028</v>
      </c>
      <c r="AE2" s="436" t="str">
        <f>VLOOKUP(A2,TradesEquity!$1:$1048576,10,FALSE)</f>
        <v>GBp</v>
      </c>
      <c r="AF2" s="436" t="str">
        <f>AE2</f>
        <v>GBp</v>
      </c>
      <c r="AG2" s="436" t="str">
        <f t="shared" ref="AG2:AH12" si="0">AF2</f>
        <v>GBp</v>
      </c>
      <c r="AH2" s="436" t="str">
        <f t="shared" si="0"/>
        <v>GBp</v>
      </c>
      <c r="AI2" s="436">
        <f>ABS(VLOOKUP(A2,TradesEquity!$1:$1048576,13,FALSE))</f>
        <v>4800</v>
      </c>
      <c r="AJ2" s="437">
        <v>0</v>
      </c>
      <c r="AK2" s="437">
        <v>1</v>
      </c>
      <c r="AL2" s="436">
        <f>VLOOKUP(A2,TradesEquity!$1:$1048576,11,FALSE)</f>
        <v>8.7573000000000008</v>
      </c>
      <c r="AM2" s="437">
        <v>1</v>
      </c>
      <c r="AN2" s="436">
        <f>ABS(VLOOKUP(A2,TradesEquity!$1:$1048576,14,FALSE))</f>
        <v>42035.040000000001</v>
      </c>
      <c r="AO2" s="436">
        <f>ABS(VLOOKUP(A2,TradesEquity!$1:$1048576,15,FALSE))</f>
        <v>25.22</v>
      </c>
      <c r="AP2" s="438">
        <f>ABS(VLOOKUP(A2,TradesEquity!$1:$1048576,16,FALSE))</f>
        <v>211.2</v>
      </c>
      <c r="AQ2" s="367">
        <v>0</v>
      </c>
      <c r="AR2" s="367">
        <v>0</v>
      </c>
      <c r="AS2" s="367">
        <v>0</v>
      </c>
      <c r="AT2" s="367">
        <v>0</v>
      </c>
      <c r="AU2" s="367">
        <v>0</v>
      </c>
      <c r="AV2" s="438">
        <f>ABS(VLOOKUP(A2,TradesEquity!$1:$1048576,18,FALSE))</f>
        <v>42271.46</v>
      </c>
      <c r="AW2" s="439">
        <v>0</v>
      </c>
      <c r="AX2" s="440">
        <v>4542</v>
      </c>
      <c r="AY2" s="441" t="s">
        <v>2029</v>
      </c>
      <c r="AZ2" s="442" t="e">
        <f>(VLOOKUP(A2,TradesEquity!$1:$1048576,29,FALSE))</f>
        <v>#N/A</v>
      </c>
      <c r="BA2" s="442" t="e">
        <f>(VLOOKUP(A2,TradesEquity!$1:$1048576,30,FALSE))</f>
        <v>#N/A</v>
      </c>
      <c r="BB2" s="442" t="e">
        <f>(VLOOKUP(A2,TradesEquity!$1:$1048576,31,FALSE))</f>
        <v>#N/A</v>
      </c>
      <c r="BC2" s="442" t="e">
        <f>(VLOOKUP(A2,TradesEquity!$1:$1048576,32,FALSE))</f>
        <v>#N/A</v>
      </c>
      <c r="BD2" s="442"/>
      <c r="BE2" s="442"/>
      <c r="BF2" s="442"/>
      <c r="BG2" s="442"/>
      <c r="BH2" s="442"/>
      <c r="BI2" s="465" t="e">
        <f>(VLOOKUP(A2,TradesEquity!$1:$1048576,38,FALSE))</f>
        <v>#N/A</v>
      </c>
      <c r="BJ2" s="465" t="e">
        <f>(VLOOKUP(A2,TradesEquity!$1:$1048576,39,FALSE))</f>
        <v>#N/A</v>
      </c>
      <c r="BK2" s="442" t="e">
        <f>(VLOOKUP(A2,TradesEquity!$1:$1048576,40,FALSE))</f>
        <v>#N/A</v>
      </c>
      <c r="BL2" s="442"/>
      <c r="BM2" s="442"/>
    </row>
    <row r="3" spans="1:65">
      <c r="A3" s="443">
        <v>2019200232</v>
      </c>
      <c r="D3" s="432" t="s">
        <v>2027</v>
      </c>
      <c r="F3" s="433">
        <f>VLOOKUP(A3,TradesEquity!$1:$1048576,2,FALSE)</f>
        <v>43854</v>
      </c>
      <c r="H3" s="433">
        <f>VLOOKUP(A3,TradesEquity!$1:$1048576,21,FALSE)</f>
        <v>43858</v>
      </c>
      <c r="I3" s="434" t="str">
        <f>IF(VLOOKUP(A3,TradesEquity!$1:$1048576,3,FALSE)="BUY","B","S")</f>
        <v>B</v>
      </c>
      <c r="J3" s="434" t="str">
        <f>VLOOKUP(A3,TradesEquity!$1:$1048576,5,FALSE)</f>
        <v>FR0000131906</v>
      </c>
      <c r="K3" s="432" t="s">
        <v>19</v>
      </c>
      <c r="L3" s="435" t="s">
        <v>2028</v>
      </c>
      <c r="AE3" s="436" t="str">
        <f>VLOOKUP(A3,TradesEquity!$1:$1048576,10,FALSE)</f>
        <v>EUR</v>
      </c>
      <c r="AF3" s="436" t="str">
        <f t="shared" ref="AF3:AH59" si="1">AE3</f>
        <v>EUR</v>
      </c>
      <c r="AG3" s="436" t="str">
        <f t="shared" si="0"/>
        <v>EUR</v>
      </c>
      <c r="AH3" s="436" t="str">
        <f t="shared" si="0"/>
        <v>EUR</v>
      </c>
      <c r="AI3" s="436">
        <f>ABS(VLOOKUP(A3,TradesEquity!$1:$1048576,13,FALSE))</f>
        <v>1100</v>
      </c>
      <c r="AJ3" s="437">
        <v>0</v>
      </c>
      <c r="AK3" s="437">
        <v>1</v>
      </c>
      <c r="AL3" s="436">
        <f>VLOOKUP(A3,TradesEquity!$1:$1048576,11,FALSE)</f>
        <v>36.413049999999998</v>
      </c>
      <c r="AM3" s="437">
        <v>1</v>
      </c>
      <c r="AN3" s="436">
        <f>ABS(VLOOKUP(A3,TradesEquity!$1:$1048576,14,FALSE))</f>
        <v>40054.354999999996</v>
      </c>
      <c r="AO3" s="436">
        <f>ABS(VLOOKUP(A3,TradesEquity!$1:$1048576,15,FALSE))</f>
        <v>12.02</v>
      </c>
      <c r="AP3" s="438">
        <f>ABS(VLOOKUP(A3,TradesEquity!$1:$1048576,16,FALSE))</f>
        <v>120.16</v>
      </c>
      <c r="AQ3" s="367">
        <v>0</v>
      </c>
      <c r="AR3" s="367">
        <v>0</v>
      </c>
      <c r="AS3" s="367">
        <v>0</v>
      </c>
      <c r="AT3" s="367">
        <v>0</v>
      </c>
      <c r="AU3" s="367">
        <v>0</v>
      </c>
      <c r="AV3" s="438">
        <f>ABS(VLOOKUP(A3,TradesEquity!$1:$1048576,18,FALSE))</f>
        <v>40186.534999999996</v>
      </c>
      <c r="AW3" s="439">
        <v>0</v>
      </c>
      <c r="AX3" s="440">
        <v>4542</v>
      </c>
      <c r="AY3" s="441" t="s">
        <v>2029</v>
      </c>
      <c r="AZ3" s="442" t="str">
        <f>(VLOOKUP(A3,TradesEquity!$1:$1048576,29,FALSE))</f>
        <v>GSILGB2XXXX</v>
      </c>
      <c r="BA3" s="442" t="str">
        <f>(VLOOKUP(A3,TradesEquity!$1:$1048576,30,FALSE))</f>
        <v>SICVFRPPXXX</v>
      </c>
      <c r="BB3" s="442" t="str">
        <f>(VLOOKUP(A3,TradesEquity!$1:$1048576,31,FALSE))</f>
        <v>SICVPARBFRPPXXX000L10</v>
      </c>
      <c r="BC3" s="442" t="str">
        <f>(VLOOKUP(A3,TradesEquity!$1:$1048576,32,FALSE))</f>
        <v>N</v>
      </c>
      <c r="BI3" s="465"/>
      <c r="BJ3" s="465"/>
      <c r="BK3" s="442" t="str">
        <f>(VLOOKUP(A3,TradesEquity!$1:$1048576,40,FALSE))</f>
        <v>PARBFRPPXXX</v>
      </c>
    </row>
    <row r="4" spans="1:65">
      <c r="A4" s="443">
        <v>2019200233</v>
      </c>
      <c r="D4" s="432" t="s">
        <v>2027</v>
      </c>
      <c r="F4" s="433">
        <f>VLOOKUP(A4,TradesEquity!$1:$1048576,2,FALSE)</f>
        <v>43854</v>
      </c>
      <c r="H4" s="433">
        <f>VLOOKUP(A4,TradesEquity!$1:$1048576,21,FALSE)</f>
        <v>43858</v>
      </c>
      <c r="I4" s="434" t="str">
        <f>IF(VLOOKUP(A4,TradesEquity!$1:$1048576,3,FALSE)="BUY","B","S")</f>
        <v>B</v>
      </c>
      <c r="J4" s="434" t="str">
        <f>VLOOKUP(A4,TradesEquity!$1:$1048576,5,FALSE)</f>
        <v>JE00B4T3BW64</v>
      </c>
      <c r="K4" s="432" t="s">
        <v>19</v>
      </c>
      <c r="L4" s="435" t="s">
        <v>2028</v>
      </c>
      <c r="AE4" s="436" t="str">
        <f>VLOOKUP(A4,TradesEquity!$1:$1048576,10,FALSE)</f>
        <v>GBp</v>
      </c>
      <c r="AF4" s="436" t="str">
        <f t="shared" si="1"/>
        <v>GBp</v>
      </c>
      <c r="AG4" s="436" t="str">
        <f t="shared" si="0"/>
        <v>GBp</v>
      </c>
      <c r="AH4" s="436" t="str">
        <f t="shared" si="0"/>
        <v>GBp</v>
      </c>
      <c r="AI4" s="436">
        <f>ABS(VLOOKUP(A4,TradesEquity!$1:$1048576,13,FALSE))</f>
        <v>17000</v>
      </c>
      <c r="AJ4" s="437">
        <v>0</v>
      </c>
      <c r="AK4" s="437">
        <v>1</v>
      </c>
      <c r="AL4" s="436">
        <f>VLOOKUP(A4,TradesEquity!$1:$1048576,11,FALSE)</f>
        <v>2.30457</v>
      </c>
      <c r="AM4" s="437">
        <v>1</v>
      </c>
      <c r="AN4" s="436">
        <f>ABS(VLOOKUP(A4,TradesEquity!$1:$1048576,14,FALSE))</f>
        <v>39177.69</v>
      </c>
      <c r="AO4" s="436">
        <f>ABS(VLOOKUP(A4,TradesEquity!$1:$1048576,15,FALSE))</f>
        <v>12.75</v>
      </c>
      <c r="AP4" s="438">
        <f>ABS(VLOOKUP(A4,TradesEquity!$1:$1048576,16,FALSE))</f>
        <v>0</v>
      </c>
      <c r="AQ4" s="367">
        <v>0</v>
      </c>
      <c r="AR4" s="367">
        <v>0</v>
      </c>
      <c r="AS4" s="367">
        <v>0</v>
      </c>
      <c r="AT4" s="367">
        <v>0</v>
      </c>
      <c r="AU4" s="367">
        <v>0</v>
      </c>
      <c r="AV4" s="438">
        <f>ABS(VLOOKUP(A4,TradesEquity!$1:$1048576,18,FALSE))</f>
        <v>39190.44</v>
      </c>
      <c r="AW4" s="439">
        <v>0</v>
      </c>
      <c r="AX4" s="440">
        <v>4542</v>
      </c>
      <c r="AY4" s="441" t="s">
        <v>2029</v>
      </c>
      <c r="AZ4" s="442" t="str">
        <f>(VLOOKUP(A4,TradesEquity!$1:$1048576,29,FALSE))</f>
        <v>GSILGB2XXXX</v>
      </c>
      <c r="BA4" s="442" t="str">
        <f>(VLOOKUP(A4,TradesEquity!$1:$1048576,30,FALSE))</f>
        <v>CRSTGB22</v>
      </c>
      <c r="BB4" s="442"/>
      <c r="BC4" s="442" t="str">
        <f>(VLOOKUP(A4,TradesEquity!$1:$1048576,32,FALSE))</f>
        <v>N</v>
      </c>
      <c r="BI4" s="465" t="str">
        <f>(VLOOKUP(A4,TradesEquity!$1:$1048576,38,FALSE))</f>
        <v>CRST</v>
      </c>
      <c r="BJ4" s="465">
        <f>(VLOOKUP(A4,TradesEquity!$1:$1048576,39,FALSE))</f>
        <v>303</v>
      </c>
      <c r="BK4" s="442" t="str">
        <f>(VLOOKUP(A4,TradesEquity!$1:$1048576,40,FALSE))</f>
        <v>GSILGB2XXXX</v>
      </c>
    </row>
    <row r="5" spans="1:65">
      <c r="A5" s="443">
        <v>2019200234</v>
      </c>
      <c r="D5" s="432" t="s">
        <v>2027</v>
      </c>
      <c r="F5" s="433">
        <f>VLOOKUP(A5,TradesEquity!$1:$1048576,2,FALSE)</f>
        <v>43854</v>
      </c>
      <c r="H5" s="433">
        <f>VLOOKUP(A5,TradesEquity!$1:$1048576,21,FALSE)</f>
        <v>43858</v>
      </c>
      <c r="I5" s="434" t="str">
        <f>IF(VLOOKUP(A5,TradesEquity!$1:$1048576,3,FALSE)="BUY","B","S")</f>
        <v>B</v>
      </c>
      <c r="J5" s="434" t="str">
        <f>VLOOKUP(A5,TradesEquity!$1:$1048576,5,FALSE)</f>
        <v>US3843135084</v>
      </c>
      <c r="K5" s="432" t="s">
        <v>19</v>
      </c>
      <c r="L5" s="435" t="s">
        <v>2028</v>
      </c>
      <c r="AE5" s="436" t="str">
        <f>VLOOKUP(A5,TradesEquity!$1:$1048576,10,FALSE)</f>
        <v>USD</v>
      </c>
      <c r="AF5" s="436" t="str">
        <f t="shared" si="1"/>
        <v>USD</v>
      </c>
      <c r="AG5" s="436" t="str">
        <f t="shared" si="0"/>
        <v>USD</v>
      </c>
      <c r="AH5" s="436" t="str">
        <f t="shared" si="0"/>
        <v>USD</v>
      </c>
      <c r="AI5" s="436">
        <f>ABS(VLOOKUP(A5,TradesEquity!$1:$1048576,13,FALSE))</f>
        <v>4200</v>
      </c>
      <c r="AJ5" s="437">
        <v>0</v>
      </c>
      <c r="AK5" s="437">
        <v>1</v>
      </c>
      <c r="AL5" s="436">
        <f>VLOOKUP(A5,TradesEquity!$1:$1048576,11,FALSE)</f>
        <v>11.164400000000001</v>
      </c>
      <c r="AM5" s="437">
        <v>1</v>
      </c>
      <c r="AN5" s="436">
        <f>ABS(VLOOKUP(A5,TradesEquity!$1:$1048576,14,FALSE))</f>
        <v>46890.48</v>
      </c>
      <c r="AO5" s="436">
        <f>ABS(VLOOKUP(A5,TradesEquity!$1:$1048576,15,FALSE))</f>
        <v>23.45</v>
      </c>
      <c r="AP5" s="438">
        <f>ABS(VLOOKUP(A5,TradesEquity!$1:$1048576,16,FALSE))</f>
        <v>0</v>
      </c>
      <c r="AQ5" s="367">
        <v>0</v>
      </c>
      <c r="AR5" s="367">
        <v>0</v>
      </c>
      <c r="AS5" s="367">
        <v>0</v>
      </c>
      <c r="AT5" s="367">
        <v>0</v>
      </c>
      <c r="AU5" s="367">
        <v>0</v>
      </c>
      <c r="AV5" s="438">
        <f>ABS(VLOOKUP(A5,TradesEquity!$1:$1048576,18,FALSE))</f>
        <v>46913.93</v>
      </c>
      <c r="AW5" s="439">
        <v>0</v>
      </c>
      <c r="AX5" s="440">
        <v>4542</v>
      </c>
      <c r="AY5" s="441" t="s">
        <v>2029</v>
      </c>
      <c r="AZ5" s="442" t="str">
        <f>(VLOOKUP(A5,TradesEquity!$1:$1048576,29,FALSE))</f>
        <v>GSILGB2XXXX</v>
      </c>
      <c r="BA5" s="442" t="str">
        <f>(VLOOKUP(A5,TradesEquity!$1:$1048576,30,FALSE))</f>
        <v>DTCYUS33</v>
      </c>
      <c r="BB5" s="442"/>
      <c r="BC5" s="442" t="str">
        <f>(VLOOKUP(A5,TradesEquity!$1:$1048576,32,FALSE))</f>
        <v>N</v>
      </c>
      <c r="BI5" s="465" t="str">
        <f>(VLOOKUP(A5,TradesEquity!$1:$1048576,38,FALSE))</f>
        <v>DTCYID</v>
      </c>
      <c r="BJ5" s="465">
        <f>(VLOOKUP(A5,TradesEquity!$1:$1048576,39,FALSE))</f>
        <v>5208</v>
      </c>
      <c r="BK5" s="442"/>
    </row>
    <row r="6" spans="1:65">
      <c r="A6" s="443">
        <v>2019200235</v>
      </c>
      <c r="D6" s="432" t="s">
        <v>2027</v>
      </c>
      <c r="F6" s="433">
        <f>VLOOKUP(A6,TradesEquity!$1:$1048576,2,FALSE)</f>
        <v>43857</v>
      </c>
      <c r="H6" s="433">
        <f>VLOOKUP(A6,TradesEquity!$1:$1048576,21,FALSE)</f>
        <v>43859</v>
      </c>
      <c r="I6" s="434" t="str">
        <f>IF(VLOOKUP(A6,TradesEquity!$1:$1048576,3,FALSE)="BUY","B","S")</f>
        <v>B</v>
      </c>
      <c r="J6" s="434" t="str">
        <f>VLOOKUP(A6,TradesEquity!$1:$1048576,5,FALSE)</f>
        <v>JP3402600005</v>
      </c>
      <c r="K6" s="432" t="s">
        <v>19</v>
      </c>
      <c r="L6" s="435" t="s">
        <v>2028</v>
      </c>
      <c r="AE6" s="436" t="str">
        <f>VLOOKUP(A6,TradesEquity!$1:$1048576,10,FALSE)</f>
        <v>JPY</v>
      </c>
      <c r="AF6" s="436" t="str">
        <f t="shared" si="1"/>
        <v>JPY</v>
      </c>
      <c r="AG6" s="436" t="str">
        <f t="shared" si="0"/>
        <v>JPY</v>
      </c>
      <c r="AH6" s="436" t="str">
        <f t="shared" si="0"/>
        <v>JPY</v>
      </c>
      <c r="AI6" s="436">
        <f>ABS(VLOOKUP(A6,TradesEquity!$1:$1048576,13,FALSE))</f>
        <v>3300</v>
      </c>
      <c r="AJ6" s="437">
        <v>0</v>
      </c>
      <c r="AK6" s="437">
        <v>1</v>
      </c>
      <c r="AL6" s="436">
        <f>VLOOKUP(A6,TradesEquity!$1:$1048576,11,FALSE)</f>
        <v>3208.88042</v>
      </c>
      <c r="AM6" s="437">
        <v>1</v>
      </c>
      <c r="AN6" s="436">
        <f>ABS(VLOOKUP(A6,TradesEquity!$1:$1048576,14,FALSE))</f>
        <v>10589305.386</v>
      </c>
      <c r="AO6" s="436">
        <f>ABS(VLOOKUP(A6,TradesEquity!$1:$1048576,15,FALSE))</f>
        <v>3177</v>
      </c>
      <c r="AP6" s="438">
        <f>ABS(VLOOKUP(A6,TradesEquity!$1:$1048576,16,FALSE))</f>
        <v>0</v>
      </c>
      <c r="AQ6" s="367">
        <v>0</v>
      </c>
      <c r="AR6" s="367">
        <v>0</v>
      </c>
      <c r="AS6" s="367">
        <v>0</v>
      </c>
      <c r="AT6" s="367">
        <v>0</v>
      </c>
      <c r="AU6" s="367">
        <v>0</v>
      </c>
      <c r="AV6" s="438">
        <f>ABS(VLOOKUP(A6,TradesEquity!$1:$1048576,18,FALSE))</f>
        <v>10592482.386</v>
      </c>
      <c r="AW6" s="439">
        <v>0</v>
      </c>
      <c r="AX6" s="440">
        <v>4542</v>
      </c>
      <c r="AY6" s="441" t="s">
        <v>2029</v>
      </c>
      <c r="AZ6" s="442" t="str">
        <f>(VLOOKUP(A6,TradesEquity!$1:$1048576,29,FALSE))</f>
        <v>GSILGB2XXXX</v>
      </c>
      <c r="BA6" s="442" t="str">
        <f>(VLOOKUP(A6,TradesEquity!$1:$1048576,30,FALSE))</f>
        <v>JJSDJPJTXXX</v>
      </c>
      <c r="BB6" s="442">
        <f>(VLOOKUP(A6,TradesEquity!$1:$1048576,31,FALSE))</f>
        <v>6530490016</v>
      </c>
      <c r="BC6" s="442" t="str">
        <f>(VLOOKUP(A6,TradesEquity!$1:$1048576,32,FALSE))</f>
        <v>N</v>
      </c>
      <c r="BI6" s="465"/>
      <c r="BJ6" s="465"/>
      <c r="BK6" s="442" t="str">
        <f>(VLOOKUP(A6,TradesEquity!$1:$1048576,40,FALSE))</f>
        <v>GOLDJPJXXXX</v>
      </c>
    </row>
    <row r="7" spans="1:65">
      <c r="A7" s="443">
        <v>2019200236</v>
      </c>
      <c r="D7" s="432" t="s">
        <v>2027</v>
      </c>
      <c r="F7" s="433">
        <f>VLOOKUP(A7,TradesEquity!$1:$1048576,2,FALSE)</f>
        <v>43857</v>
      </c>
      <c r="H7" s="433">
        <f>VLOOKUP(A7,TradesEquity!$1:$1048576,21,FALSE)</f>
        <v>43859</v>
      </c>
      <c r="I7" s="434" t="str">
        <f>IF(VLOOKUP(A7,TradesEquity!$1:$1048576,3,FALSE)="BUY","B","S")</f>
        <v>B</v>
      </c>
      <c r="J7" s="434" t="str">
        <f>VLOOKUP(A7,TradesEquity!$1:$1048576,5,FALSE)</f>
        <v>JP3866800000</v>
      </c>
      <c r="K7" s="432" t="s">
        <v>19</v>
      </c>
      <c r="L7" s="435" t="s">
        <v>2028</v>
      </c>
      <c r="AE7" s="436" t="str">
        <f>VLOOKUP(A7,TradesEquity!$1:$1048576,10,FALSE)</f>
        <v>JPY</v>
      </c>
      <c r="AF7" s="436" t="str">
        <f t="shared" si="1"/>
        <v>JPY</v>
      </c>
      <c r="AG7" s="436" t="str">
        <f t="shared" si="0"/>
        <v>JPY</v>
      </c>
      <c r="AH7" s="436" t="str">
        <f t="shared" si="0"/>
        <v>JPY</v>
      </c>
      <c r="AI7" s="436">
        <f>ABS(VLOOKUP(A7,TradesEquity!$1:$1048576,13,FALSE))</f>
        <v>4200</v>
      </c>
      <c r="AJ7" s="437">
        <v>0</v>
      </c>
      <c r="AK7" s="437">
        <v>1</v>
      </c>
      <c r="AL7" s="436">
        <f>VLOOKUP(A7,TradesEquity!$1:$1048576,11,FALSE)</f>
        <v>1104.7809500000001</v>
      </c>
      <c r="AM7" s="437">
        <v>1</v>
      </c>
      <c r="AN7" s="436">
        <f>ABS(VLOOKUP(A7,TradesEquity!$1:$1048576,14,FALSE))</f>
        <v>4640079.99</v>
      </c>
      <c r="AO7" s="436">
        <f>ABS(VLOOKUP(A7,TradesEquity!$1:$1048576,15,FALSE))</f>
        <v>1392</v>
      </c>
      <c r="AP7" s="438">
        <f>ABS(VLOOKUP(A7,TradesEquity!$1:$1048576,16,FALSE))</f>
        <v>0</v>
      </c>
      <c r="AQ7" s="367">
        <v>0</v>
      </c>
      <c r="AR7" s="367">
        <v>0</v>
      </c>
      <c r="AS7" s="367">
        <v>0</v>
      </c>
      <c r="AT7" s="367">
        <v>0</v>
      </c>
      <c r="AU7" s="367">
        <v>0</v>
      </c>
      <c r="AV7" s="438">
        <f>ABS(VLOOKUP(A7,TradesEquity!$1:$1048576,18,FALSE))</f>
        <v>4641471.99</v>
      </c>
      <c r="AW7" s="439">
        <v>0</v>
      </c>
      <c r="AX7" s="440">
        <v>4542</v>
      </c>
      <c r="AY7" s="441" t="s">
        <v>2029</v>
      </c>
      <c r="AZ7" s="442" t="str">
        <f>(VLOOKUP(A7,TradesEquity!$1:$1048576,29,FALSE))</f>
        <v>GSILGB2XXXX</v>
      </c>
      <c r="BA7" s="442" t="str">
        <f>(VLOOKUP(A7,TradesEquity!$1:$1048576,30,FALSE))</f>
        <v>JJSDJPJTXXX</v>
      </c>
      <c r="BB7" s="442">
        <f>(VLOOKUP(A7,TradesEquity!$1:$1048576,31,FALSE))</f>
        <v>6530490016</v>
      </c>
      <c r="BC7" s="442" t="str">
        <f>(VLOOKUP(A7,TradesEquity!$1:$1048576,32,FALSE))</f>
        <v>N</v>
      </c>
      <c r="BI7" s="465"/>
      <c r="BJ7" s="465"/>
      <c r="BK7" s="442" t="str">
        <f>(VLOOKUP(A7,TradesEquity!$1:$1048576,40,FALSE))</f>
        <v>GOLDJPJXXXX</v>
      </c>
    </row>
    <row r="8" spans="1:65">
      <c r="A8" s="466">
        <v>2019200237</v>
      </c>
      <c r="D8" s="432" t="s">
        <v>2027</v>
      </c>
      <c r="F8" s="433">
        <f>VLOOKUP(A8,TradesEquity!$1:$1048576,2,FALSE)</f>
        <v>43858</v>
      </c>
      <c r="H8" s="433">
        <f>VLOOKUP(A8,TradesEquity!$1:$1048576,21,FALSE)</f>
        <v>43860</v>
      </c>
      <c r="I8" s="434" t="str">
        <f>IF(VLOOKUP(A8,TradesEquity!$1:$1048576,3,FALSE)="BUY","B","S")</f>
        <v>B</v>
      </c>
      <c r="J8" s="434" t="str">
        <f>VLOOKUP(A8,TradesEquity!$1:$1048576,5,FALSE)</f>
        <v>AU000000WSA9</v>
      </c>
      <c r="K8" s="432" t="s">
        <v>19</v>
      </c>
      <c r="L8" s="435" t="s">
        <v>2028</v>
      </c>
      <c r="AE8" s="436" t="str">
        <f>VLOOKUP(A8,TradesEquity!$1:$1048576,10,FALSE)</f>
        <v>AUD</v>
      </c>
      <c r="AF8" s="436" t="str">
        <f t="shared" si="1"/>
        <v>AUD</v>
      </c>
      <c r="AG8" s="436" t="str">
        <f t="shared" si="0"/>
        <v>AUD</v>
      </c>
      <c r="AH8" s="436" t="str">
        <f t="shared" si="0"/>
        <v>AUD</v>
      </c>
      <c r="AI8" s="436">
        <f>ABS(VLOOKUP(A8,TradesEquity!$1:$1048576,13,FALSE))</f>
        <v>22000</v>
      </c>
      <c r="AJ8" s="437">
        <v>0</v>
      </c>
      <c r="AK8" s="437">
        <v>1</v>
      </c>
      <c r="AL8" s="436">
        <f>VLOOKUP(A8,TradesEquity!$1:$1048576,11,FALSE)</f>
        <v>2.6299700000000001</v>
      </c>
      <c r="AM8" s="437">
        <v>1</v>
      </c>
      <c r="AN8" s="436">
        <f>ABS(VLOOKUP(A8,TradesEquity!$1:$1048576,14,FALSE))</f>
        <v>57859.340000000004</v>
      </c>
      <c r="AO8" s="436">
        <f>ABS(VLOOKUP(A8,TradesEquity!$1:$1048576,15,FALSE))</f>
        <v>17.36</v>
      </c>
      <c r="AP8" s="438">
        <f>ABS(VLOOKUP(A8,TradesEquity!$1:$1048576,16,FALSE))</f>
        <v>0</v>
      </c>
      <c r="AQ8" s="367">
        <v>0</v>
      </c>
      <c r="AR8" s="367">
        <v>0</v>
      </c>
      <c r="AS8" s="367">
        <v>0</v>
      </c>
      <c r="AT8" s="367">
        <v>0</v>
      </c>
      <c r="AU8" s="367">
        <v>0</v>
      </c>
      <c r="AV8" s="438">
        <f>ABS(VLOOKUP(A8,TradesEquity!$1:$1048576,18,FALSE))</f>
        <v>57876.700000000004</v>
      </c>
      <c r="AW8" s="439">
        <v>0</v>
      </c>
      <c r="AX8" s="440">
        <v>4542</v>
      </c>
      <c r="AY8" s="441" t="s">
        <v>2029</v>
      </c>
      <c r="AZ8" s="442" t="str">
        <f>(VLOOKUP(A8,TradesEquity!$1:$1048576,29,FALSE))</f>
        <v>GSILGB2XXXX</v>
      </c>
      <c r="BA8" s="442" t="str">
        <f>(VLOOKUP(A8,TradesEquity!$1:$1048576,30,FALSE))</f>
        <v>CAETAU21</v>
      </c>
      <c r="BB8" s="442" t="str">
        <f>(VLOOKUP(A8,TradesEquity!$1:$1048576,31,FALSE))</f>
        <v>011-109048-061</v>
      </c>
      <c r="BC8" s="442" t="str">
        <f>(VLOOKUP(A8,TradesEquity!$1:$1048576,32,FALSE))</f>
        <v>N</v>
      </c>
      <c r="BI8" s="465" t="str">
        <f>(VLOOKUP(A8,TradesEquity!$1:$1048576,38,FALSE))</f>
        <v xml:space="preserve">        </v>
      </c>
      <c r="BJ8" s="465" t="str">
        <f>(VLOOKUP(A8,TradesEquity!$1:$1048576,39,FALSE))</f>
        <v xml:space="preserve">        </v>
      </c>
      <c r="BK8" s="442" t="str">
        <f>(VLOOKUP(A8,TradesEquity!$1:$1048576,40,FALSE))</f>
        <v>HKBAAU2SSYD</v>
      </c>
    </row>
    <row r="9" spans="1:65" ht="16.5">
      <c r="A9" s="466">
        <v>2019200238</v>
      </c>
      <c r="D9" s="432" t="s">
        <v>2027</v>
      </c>
      <c r="F9" s="433">
        <f>VLOOKUP(A9,TradesEquity!$1:$1048576,2,FALSE)</f>
        <v>43858</v>
      </c>
      <c r="H9" s="433">
        <f>VLOOKUP(A9,TradesEquity!$1:$1048576,21,FALSE)</f>
        <v>43860</v>
      </c>
      <c r="I9" s="434" t="str">
        <f>IF(VLOOKUP(A9,TradesEquity!$1:$1048576,3,FALSE)="BUY","B","S")</f>
        <v>B</v>
      </c>
      <c r="J9" s="434" t="str">
        <f>VLOOKUP(A9,TradesEquity!$1:$1048576,5,FALSE)</f>
        <v>JP3544000007</v>
      </c>
      <c r="K9" s="432" t="s">
        <v>19</v>
      </c>
      <c r="L9" s="435" t="s">
        <v>2028</v>
      </c>
      <c r="AE9" s="436" t="str">
        <f>VLOOKUP(A9,TradesEquity!$1:$1048576,10,FALSE)</f>
        <v>JPY</v>
      </c>
      <c r="AF9" s="436" t="str">
        <f t="shared" si="1"/>
        <v>JPY</v>
      </c>
      <c r="AG9" s="436" t="str">
        <f t="shared" si="0"/>
        <v>JPY</v>
      </c>
      <c r="AH9" s="436" t="str">
        <f t="shared" si="0"/>
        <v>JPY</v>
      </c>
      <c r="AI9" s="436">
        <f>ABS(VLOOKUP(A9,TradesEquity!$1:$1048576,13,FALSE))</f>
        <v>2200</v>
      </c>
      <c r="AJ9" s="437">
        <v>0</v>
      </c>
      <c r="AK9" s="437">
        <v>1</v>
      </c>
      <c r="AL9" s="436">
        <f>VLOOKUP(A9,TradesEquity!$1:$1048576,11,FALSE)</f>
        <v>1955.3227300000001</v>
      </c>
      <c r="AM9" s="437">
        <v>1</v>
      </c>
      <c r="AN9" s="436">
        <f>ABS(VLOOKUP(A9,TradesEquity!$1:$1048576,14,FALSE))</f>
        <v>4301710.0060000001</v>
      </c>
      <c r="AO9" s="436">
        <f>ABS(VLOOKUP(A9,TradesEquity!$1:$1048576,15,FALSE))</f>
        <v>1291</v>
      </c>
      <c r="AP9" s="438">
        <f>ABS(VLOOKUP(A9,TradesEquity!$1:$1048576,16,FALSE))</f>
        <v>0</v>
      </c>
      <c r="AQ9" s="367">
        <v>0</v>
      </c>
      <c r="AR9" s="367">
        <v>0</v>
      </c>
      <c r="AS9" s="367">
        <v>0</v>
      </c>
      <c r="AT9" s="367">
        <v>0</v>
      </c>
      <c r="AU9" s="367">
        <v>0</v>
      </c>
      <c r="AV9" s="438">
        <f>ABS(VLOOKUP(A9,TradesEquity!$1:$1048576,18,FALSE))</f>
        <v>4303001.0060000001</v>
      </c>
      <c r="AW9" s="439">
        <v>0</v>
      </c>
      <c r="AX9" s="440">
        <v>4542</v>
      </c>
      <c r="AY9" s="441" t="s">
        <v>2029</v>
      </c>
      <c r="AZ9" s="442" t="str">
        <f>(VLOOKUP(A9,TradesEquity!$1:$1048576,29,FALSE))</f>
        <v>GSILGB2XXXX</v>
      </c>
      <c r="BA9" s="442" t="str">
        <f>(VLOOKUP(A9,TradesEquity!$1:$1048576,30,FALSE))</f>
        <v>JJSDJPJTXXX</v>
      </c>
      <c r="BB9" s="442">
        <f>(VLOOKUP(A9,TradesEquity!$1:$1048576,31,FALSE))</f>
        <v>6530490016</v>
      </c>
      <c r="BC9" s="442" t="str">
        <f>(VLOOKUP(A9,TradesEquity!$1:$1048576,32,FALSE))</f>
        <v>N</v>
      </c>
      <c r="BF9" s="469"/>
      <c r="BI9" s="465" t="str">
        <f>(VLOOKUP(A9,TradesEquity!$1:$1048576,38,FALSE))</f>
        <v xml:space="preserve">                  </v>
      </c>
      <c r="BJ9" s="465" t="str">
        <f>(VLOOKUP(A9,TradesEquity!$1:$1048576,39,FALSE))</f>
        <v xml:space="preserve">                          </v>
      </c>
      <c r="BK9" s="442" t="str">
        <f>(VLOOKUP(A9,TradesEquity!$1:$1048576,40,FALSE))</f>
        <v>GOLDJPJXXXX</v>
      </c>
    </row>
    <row r="10" spans="1:65">
      <c r="A10" s="466">
        <v>2019200239</v>
      </c>
      <c r="D10" s="432" t="s">
        <v>2027</v>
      </c>
      <c r="F10" s="433">
        <f>VLOOKUP(A10,TradesEquity!$1:$1048576,2,FALSE)</f>
        <v>43858</v>
      </c>
      <c r="H10" s="433">
        <f>VLOOKUP(A10,TradesEquity!$1:$1048576,21,FALSE)</f>
        <v>43860</v>
      </c>
      <c r="I10" s="434" t="str">
        <f>IF(VLOOKUP(A10,TradesEquity!$1:$1048576,3,FALSE)="BUY","B","S")</f>
        <v>B</v>
      </c>
      <c r="J10" s="434" t="str">
        <f>VLOOKUP(A10,TradesEquity!$1:$1048576,5,FALSE)</f>
        <v>JP3627400009</v>
      </c>
      <c r="K10" s="432" t="s">
        <v>19</v>
      </c>
      <c r="L10" s="435" t="s">
        <v>2028</v>
      </c>
      <c r="AE10" s="436" t="str">
        <f>VLOOKUP(A10,TradesEquity!$1:$1048576,10,FALSE)</f>
        <v>JPY</v>
      </c>
      <c r="AF10" s="436" t="str">
        <f t="shared" si="1"/>
        <v>JPY</v>
      </c>
      <c r="AG10" s="436" t="str">
        <f t="shared" si="0"/>
        <v>JPY</v>
      </c>
      <c r="AH10" s="436" t="str">
        <f t="shared" si="0"/>
        <v>JPY</v>
      </c>
      <c r="AI10" s="436">
        <f>ABS(VLOOKUP(A10,TradesEquity!$1:$1048576,13,FALSE))</f>
        <v>900</v>
      </c>
      <c r="AJ10" s="437">
        <v>0</v>
      </c>
      <c r="AK10" s="437">
        <v>1</v>
      </c>
      <c r="AL10" s="436">
        <f>VLOOKUP(A10,TradesEquity!$1:$1048576,11,FALSE)</f>
        <v>2094.9888900000001</v>
      </c>
      <c r="AM10" s="437">
        <v>1</v>
      </c>
      <c r="AN10" s="436">
        <f>ABS(VLOOKUP(A10,TradesEquity!$1:$1048576,14,FALSE))</f>
        <v>1885490.0010000002</v>
      </c>
      <c r="AO10" s="436">
        <f>ABS(VLOOKUP(A10,TradesEquity!$1:$1048576,15,FALSE))</f>
        <v>566</v>
      </c>
      <c r="AP10" s="438">
        <f>ABS(VLOOKUP(A10,TradesEquity!$1:$1048576,16,FALSE))</f>
        <v>0</v>
      </c>
      <c r="AQ10" s="367">
        <v>0</v>
      </c>
      <c r="AR10" s="367">
        <v>0</v>
      </c>
      <c r="AS10" s="367">
        <v>0</v>
      </c>
      <c r="AT10" s="367">
        <v>0</v>
      </c>
      <c r="AU10" s="367">
        <v>0</v>
      </c>
      <c r="AV10" s="438">
        <f>ABS(VLOOKUP(A10,TradesEquity!$1:$1048576,18,FALSE))</f>
        <v>1886056.0010000002</v>
      </c>
      <c r="AW10" s="439">
        <v>0</v>
      </c>
      <c r="AX10" s="440">
        <v>4542</v>
      </c>
      <c r="AY10" s="441" t="s">
        <v>2029</v>
      </c>
      <c r="AZ10" s="442" t="str">
        <f>(VLOOKUP(A10,TradesEquity!$1:$1048576,29,FALSE))</f>
        <v>GSILGB2XXXX</v>
      </c>
      <c r="BA10" s="442" t="str">
        <f>(VLOOKUP(A10,TradesEquity!$1:$1048576,30,FALSE))</f>
        <v>JJSDJPJTXXX</v>
      </c>
      <c r="BB10" s="442">
        <f>(VLOOKUP(A10,TradesEquity!$1:$1048576,31,FALSE))</f>
        <v>6530490016</v>
      </c>
      <c r="BC10" s="442" t="str">
        <f>(VLOOKUP(A10,TradesEquity!$1:$1048576,32,FALSE))</f>
        <v>N</v>
      </c>
      <c r="BI10" s="465" t="str">
        <f>(VLOOKUP(A10,TradesEquity!$1:$1048576,38,FALSE))</f>
        <v xml:space="preserve">                  </v>
      </c>
      <c r="BJ10" s="465" t="str">
        <f>(VLOOKUP(A10,TradesEquity!$1:$1048576,39,FALSE))</f>
        <v xml:space="preserve">                          </v>
      </c>
      <c r="BK10" s="442" t="str">
        <f>(VLOOKUP(A10,TradesEquity!$1:$1048576,40,FALSE))</f>
        <v>GOLDJPJXXXX</v>
      </c>
    </row>
    <row r="11" spans="1:65">
      <c r="A11" s="466">
        <v>2019200240</v>
      </c>
      <c r="D11" s="432" t="s">
        <v>2027</v>
      </c>
      <c r="F11" s="433">
        <f>VLOOKUP(A11,TradesEquity!$1:$1048576,2,FALSE)</f>
        <v>43858</v>
      </c>
      <c r="H11" s="433">
        <f>VLOOKUP(A11,TradesEquity!$1:$1048576,21,FALSE)</f>
        <v>43860</v>
      </c>
      <c r="I11" s="434" t="str">
        <f>IF(VLOOKUP(A11,TradesEquity!$1:$1048576,3,FALSE)="BUY","B","S")</f>
        <v>B</v>
      </c>
      <c r="J11" s="434" t="str">
        <f>VLOOKUP(A11,TradesEquity!$1:$1048576,5,FALSE)</f>
        <v>KR7096771001</v>
      </c>
      <c r="K11" s="432" t="s">
        <v>19</v>
      </c>
      <c r="L11" s="435" t="s">
        <v>2028</v>
      </c>
      <c r="AE11" s="436" t="str">
        <f>VLOOKUP(A11,TradesEquity!$1:$1048576,10,FALSE)</f>
        <v>KRW</v>
      </c>
      <c r="AF11" s="436" t="str">
        <f t="shared" si="1"/>
        <v>KRW</v>
      </c>
      <c r="AG11" s="436" t="str">
        <f t="shared" si="0"/>
        <v>KRW</v>
      </c>
      <c r="AH11" s="436" t="str">
        <f t="shared" si="0"/>
        <v>KRW</v>
      </c>
      <c r="AI11" s="436">
        <f>ABS(VLOOKUP(A11,TradesEquity!$1:$1048576,13,FALSE))</f>
        <v>670</v>
      </c>
      <c r="AJ11" s="437">
        <v>0</v>
      </c>
      <c r="AK11" s="437">
        <v>1</v>
      </c>
      <c r="AL11" s="436">
        <f>VLOOKUP(A11,TradesEquity!$1:$1048576,11,FALSE)</f>
        <v>93516.865699999995</v>
      </c>
      <c r="AM11" s="437">
        <v>1</v>
      </c>
      <c r="AN11" s="436">
        <f>ABS(VLOOKUP(A11,TradesEquity!$1:$1048576,14,FALSE))</f>
        <v>62656300.018999994</v>
      </c>
      <c r="AO11" s="436">
        <f>ABS(VLOOKUP(A11,TradesEquity!$1:$1048576,15,FALSE))</f>
        <v>93984</v>
      </c>
      <c r="AP11" s="438">
        <f>ABS(VLOOKUP(A11,TradesEquity!$1:$1048576,16,FALSE))</f>
        <v>0</v>
      </c>
      <c r="AQ11" s="367">
        <v>0</v>
      </c>
      <c r="AR11" s="367">
        <v>0</v>
      </c>
      <c r="AS11" s="367">
        <v>0</v>
      </c>
      <c r="AT11" s="367">
        <v>0</v>
      </c>
      <c r="AU11" s="367">
        <v>0</v>
      </c>
      <c r="AV11" s="438">
        <f>ABS(VLOOKUP(A11,TradesEquity!$1:$1048576,18,FALSE))</f>
        <v>62750284.018999994</v>
      </c>
      <c r="AW11" s="439">
        <v>0</v>
      </c>
      <c r="AX11" s="440">
        <v>4542</v>
      </c>
      <c r="AY11" s="441" t="s">
        <v>2029</v>
      </c>
      <c r="AZ11" s="442" t="e">
        <f>(VLOOKUP(A11,TradesEquity!$1:$1048576,29,FALSE))</f>
        <v>#N/A</v>
      </c>
      <c r="BA11" s="442" t="e">
        <f>(VLOOKUP(A11,TradesEquity!$1:$1048576,30,FALSE))</f>
        <v>#N/A</v>
      </c>
      <c r="BB11" s="442" t="e">
        <f>(VLOOKUP(A11,TradesEquity!$1:$1048576,31,FALSE))</f>
        <v>#N/A</v>
      </c>
      <c r="BC11" s="442" t="e">
        <f>(VLOOKUP(A11,TradesEquity!$1:$1048576,32,FALSE))</f>
        <v>#N/A</v>
      </c>
      <c r="BI11" s="465" t="e">
        <f>(VLOOKUP(A11,TradesEquity!$1:$1048576,38,FALSE))</f>
        <v>#N/A</v>
      </c>
      <c r="BJ11" s="465" t="e">
        <f>(VLOOKUP(A11,TradesEquity!$1:$1048576,39,FALSE))</f>
        <v>#N/A</v>
      </c>
      <c r="BK11" s="442" t="e">
        <f>(VLOOKUP(A11,TradesEquity!$1:$1048576,40,FALSE))</f>
        <v>#N/A</v>
      </c>
    </row>
    <row r="12" spans="1:65">
      <c r="A12" s="466">
        <v>2019200241</v>
      </c>
      <c r="D12" s="432" t="s">
        <v>2027</v>
      </c>
      <c r="F12" s="433">
        <f>VLOOKUP(A12,TradesEquity!$1:$1048576,2,FALSE)</f>
        <v>43860</v>
      </c>
      <c r="H12" s="433">
        <f>VLOOKUP(A12,TradesEquity!$1:$1048576,21,FALSE)</f>
        <v>43864</v>
      </c>
      <c r="I12" s="434" t="str">
        <f>IF(VLOOKUP(A12,TradesEquity!$1:$1048576,3,FALSE)="BUY","B","S")</f>
        <v>B</v>
      </c>
      <c r="J12" s="434" t="str">
        <f>VLOOKUP(A12,TradesEquity!$1:$1048576,5,FALSE)</f>
        <v>JP3627400009</v>
      </c>
      <c r="K12" s="432" t="s">
        <v>19</v>
      </c>
      <c r="L12" s="435" t="s">
        <v>2028</v>
      </c>
      <c r="AE12" s="436" t="str">
        <f>VLOOKUP(A12,TradesEquity!$1:$1048576,10,FALSE)</f>
        <v>JPY</v>
      </c>
      <c r="AF12" s="436" t="str">
        <f t="shared" si="1"/>
        <v>JPY</v>
      </c>
      <c r="AG12" s="436" t="str">
        <f t="shared" si="0"/>
        <v>JPY</v>
      </c>
      <c r="AH12" s="436" t="str">
        <f t="shared" si="0"/>
        <v>JPY</v>
      </c>
      <c r="AI12" s="436">
        <f>ABS(VLOOKUP(A12,TradesEquity!$1:$1048576,13,FALSE))</f>
        <v>1700</v>
      </c>
      <c r="AJ12" s="437">
        <v>0</v>
      </c>
      <c r="AK12" s="437">
        <v>1</v>
      </c>
      <c r="AL12" s="436">
        <f>VLOOKUP(A12,TradesEquity!$1:$1048576,11,FALSE)</f>
        <v>2077.4058799999998</v>
      </c>
      <c r="AM12" s="437">
        <v>1</v>
      </c>
      <c r="AN12" s="436">
        <f>ABS(VLOOKUP(A12,TradesEquity!$1:$1048576,14,FALSE))</f>
        <v>3531589.9959999998</v>
      </c>
      <c r="AO12" s="436">
        <f>ABS(VLOOKUP(A12,TradesEquity!$1:$1048576,15,FALSE))</f>
        <v>1059</v>
      </c>
      <c r="AP12" s="438">
        <f>ABS(VLOOKUP(A12,TradesEquity!$1:$1048576,16,FALSE))</f>
        <v>0</v>
      </c>
      <c r="AQ12" s="367">
        <v>0</v>
      </c>
      <c r="AR12" s="367">
        <v>0</v>
      </c>
      <c r="AS12" s="367">
        <v>0</v>
      </c>
      <c r="AT12" s="367">
        <v>0</v>
      </c>
      <c r="AU12" s="367">
        <v>0</v>
      </c>
      <c r="AV12" s="438">
        <f>ABS(VLOOKUP(A12,TradesEquity!$1:$1048576,18,FALSE))</f>
        <v>3532648.9959999998</v>
      </c>
      <c r="AW12" s="439">
        <v>0</v>
      </c>
      <c r="AX12" s="440">
        <v>4542</v>
      </c>
      <c r="AY12" s="441" t="s">
        <v>2029</v>
      </c>
      <c r="AZ12" s="442" t="str">
        <f>(VLOOKUP(A12,TradesEquity!$1:$1048576,29,FALSE))</f>
        <v>GSILGB2XXXX</v>
      </c>
      <c r="BA12" s="442" t="str">
        <f>(VLOOKUP(A12,TradesEquity!$1:$1048576,30,FALSE))</f>
        <v>JJSDJPJTXXX</v>
      </c>
      <c r="BB12" s="442">
        <f>(VLOOKUP(A12,TradesEquity!$1:$1048576,31,FALSE))</f>
        <v>6530490016</v>
      </c>
      <c r="BC12" s="442" t="str">
        <f>(VLOOKUP(A12,TradesEquity!$1:$1048576,32,FALSE))</f>
        <v>N</v>
      </c>
      <c r="BI12" s="465" t="str">
        <f>(VLOOKUP(A12,TradesEquity!$1:$1048576,38,FALSE))</f>
        <v xml:space="preserve">                  </v>
      </c>
      <c r="BJ12" s="465" t="str">
        <f>(VLOOKUP(A12,TradesEquity!$1:$1048576,39,FALSE))</f>
        <v xml:space="preserve">                          </v>
      </c>
      <c r="BK12" s="442" t="str">
        <f>(VLOOKUP(A12,TradesEquity!$1:$1048576,40,FALSE))</f>
        <v>GOLDJPJXXXX</v>
      </c>
    </row>
    <row r="13" spans="1:65">
      <c r="A13" s="466">
        <v>2019200242</v>
      </c>
      <c r="D13" s="432" t="s">
        <v>2027</v>
      </c>
      <c r="F13" s="433">
        <f>VLOOKUP(A13,TradesEquity!$1:$1048576,2,FALSE)</f>
        <v>43860</v>
      </c>
      <c r="H13" s="433">
        <f>VLOOKUP(A13,TradesEquity!$1:$1048576,21,FALSE)</f>
        <v>43864</v>
      </c>
      <c r="I13" s="434" t="str">
        <f>IF(VLOOKUP(A13,TradesEquity!$1:$1048576,3,FALSE)="BUY","B","S")</f>
        <v>B</v>
      </c>
      <c r="J13" s="434" t="str">
        <f>VLOOKUP(A13,TradesEquity!$1:$1048576,5,FALSE)</f>
        <v>AU000000WSA9</v>
      </c>
      <c r="K13" s="432" t="s">
        <v>19</v>
      </c>
      <c r="L13" s="435" t="s">
        <v>2028</v>
      </c>
      <c r="AE13" s="436" t="str">
        <f>VLOOKUP(A13,TradesEquity!$1:$1048576,10,FALSE)</f>
        <v>AUD</v>
      </c>
      <c r="AF13" s="436" t="str">
        <f t="shared" si="1"/>
        <v>AUD</v>
      </c>
      <c r="AG13" s="436" t="str">
        <f t="shared" si="1"/>
        <v>AUD</v>
      </c>
      <c r="AH13" s="436" t="str">
        <f t="shared" si="1"/>
        <v>AUD</v>
      </c>
      <c r="AI13" s="436">
        <f>ABS(VLOOKUP(A13,TradesEquity!$1:$1048576,13,FALSE))</f>
        <v>22000</v>
      </c>
      <c r="AJ13" s="437">
        <v>0</v>
      </c>
      <c r="AK13" s="437">
        <v>1</v>
      </c>
      <c r="AL13" s="436">
        <f>VLOOKUP(A13,TradesEquity!$1:$1048576,11,FALSE)</f>
        <v>2.6088399999999998</v>
      </c>
      <c r="AM13" s="437">
        <v>1</v>
      </c>
      <c r="AN13" s="436">
        <f>ABS(VLOOKUP(A13,TradesEquity!$1:$1048576,14,FALSE))</f>
        <v>57394.479999999996</v>
      </c>
      <c r="AO13" s="436">
        <f>ABS(VLOOKUP(A13,TradesEquity!$1:$1048576,15,FALSE))</f>
        <v>17.22</v>
      </c>
      <c r="AP13" s="438">
        <f>ABS(VLOOKUP(A13,TradesEquity!$1:$1048576,16,FALSE))</f>
        <v>0</v>
      </c>
      <c r="AQ13" s="367">
        <v>0</v>
      </c>
      <c r="AR13" s="367">
        <v>0</v>
      </c>
      <c r="AS13" s="367">
        <v>0</v>
      </c>
      <c r="AT13" s="367">
        <v>0</v>
      </c>
      <c r="AU13" s="367">
        <v>0</v>
      </c>
      <c r="AV13" s="438">
        <f>ABS(VLOOKUP(A13,TradesEquity!$1:$1048576,18,FALSE))</f>
        <v>57411.7</v>
      </c>
      <c r="AW13" s="439">
        <v>0</v>
      </c>
      <c r="AX13" s="440">
        <v>4542</v>
      </c>
      <c r="AY13" s="441" t="s">
        <v>2029</v>
      </c>
      <c r="AZ13" s="442" t="str">
        <f>(VLOOKUP(A13,TradesEquity!$1:$1048576,29,FALSE))</f>
        <v>GSILGB2XXXX</v>
      </c>
      <c r="BA13" s="442" t="str">
        <f>(VLOOKUP(A13,TradesEquity!$1:$1048576,30,FALSE))</f>
        <v>CAETAU21</v>
      </c>
      <c r="BB13" s="442" t="str">
        <f>(VLOOKUP(A13,TradesEquity!$1:$1048576,31,FALSE))</f>
        <v>011-109048-061</v>
      </c>
      <c r="BC13" s="442" t="str">
        <f>(VLOOKUP(A13,TradesEquity!$1:$1048576,32,FALSE))</f>
        <v>N</v>
      </c>
      <c r="BI13" s="465" t="str">
        <f>(VLOOKUP(A13,TradesEquity!$1:$1048576,38,FALSE))</f>
        <v xml:space="preserve">        </v>
      </c>
      <c r="BJ13" s="465" t="str">
        <f>(VLOOKUP(A13,TradesEquity!$1:$1048576,39,FALSE))</f>
        <v xml:space="preserve">        </v>
      </c>
      <c r="BK13" s="442" t="str">
        <f>(VLOOKUP(A13,TradesEquity!$1:$1048576,40,FALSE))</f>
        <v>HKBAAU2SSYD</v>
      </c>
    </row>
    <row r="14" spans="1:65">
      <c r="A14" s="466">
        <v>2019200243</v>
      </c>
      <c r="D14" s="432" t="s">
        <v>2027</v>
      </c>
      <c r="F14" s="433">
        <f>VLOOKUP(A14,TradesEquity!$1:$1048576,2,FALSE)</f>
        <v>43860</v>
      </c>
      <c r="H14" s="433">
        <f>VLOOKUP(A14,TradesEquity!$1:$1048576,21,FALSE)</f>
        <v>43864</v>
      </c>
      <c r="I14" s="434" t="str">
        <f>IF(VLOOKUP(A14,TradesEquity!$1:$1048576,3,FALSE)="BUY","B","S")</f>
        <v>B</v>
      </c>
      <c r="J14" s="434" t="str">
        <f>VLOOKUP(A14,TradesEquity!$1:$1048576,5,FALSE)</f>
        <v>US35671D8570</v>
      </c>
      <c r="K14" s="432" t="s">
        <v>19</v>
      </c>
      <c r="L14" s="435" t="s">
        <v>2028</v>
      </c>
      <c r="AE14" s="436" t="str">
        <f>VLOOKUP(A14,TradesEquity!$1:$1048576,10,FALSE)</f>
        <v>USD</v>
      </c>
      <c r="AF14" s="436" t="str">
        <f t="shared" si="1"/>
        <v>USD</v>
      </c>
      <c r="AG14" s="436" t="str">
        <f t="shared" si="1"/>
        <v>USD</v>
      </c>
      <c r="AH14" s="436" t="str">
        <f t="shared" si="1"/>
        <v>USD</v>
      </c>
      <c r="AI14" s="436">
        <f>ABS(VLOOKUP(A14,TradesEquity!$1:$1048576,13,FALSE))</f>
        <v>4200</v>
      </c>
      <c r="AJ14" s="437">
        <v>0</v>
      </c>
      <c r="AK14" s="437">
        <v>1</v>
      </c>
      <c r="AL14" s="436">
        <f>VLOOKUP(A14,TradesEquity!$1:$1048576,11,FALSE)</f>
        <v>11.138999999999999</v>
      </c>
      <c r="AM14" s="437">
        <v>1</v>
      </c>
      <c r="AN14" s="436">
        <f>ABS(VLOOKUP(A14,TradesEquity!$1:$1048576,14,FALSE))</f>
        <v>46783.799999999996</v>
      </c>
      <c r="AO14" s="436">
        <f>ABS(VLOOKUP(A14,TradesEquity!$1:$1048576,15,FALSE))</f>
        <v>11.7</v>
      </c>
      <c r="AP14" s="438">
        <f>ABS(VLOOKUP(A14,TradesEquity!$1:$1048576,16,FALSE))</f>
        <v>0</v>
      </c>
      <c r="AQ14" s="367">
        <v>0</v>
      </c>
      <c r="AR14" s="367">
        <v>0</v>
      </c>
      <c r="AS14" s="367">
        <v>0</v>
      </c>
      <c r="AT14" s="367">
        <v>0</v>
      </c>
      <c r="AU14" s="367">
        <v>0</v>
      </c>
      <c r="AV14" s="438">
        <f>ABS(VLOOKUP(A14,TradesEquity!$1:$1048576,18,FALSE))</f>
        <v>46795.499999999993</v>
      </c>
      <c r="AW14" s="439">
        <v>0</v>
      </c>
      <c r="AX14" s="440">
        <v>4542</v>
      </c>
      <c r="AY14" s="441" t="s">
        <v>2029</v>
      </c>
      <c r="AZ14" s="442" t="str">
        <f>(VLOOKUP(A14,TradesEquity!$1:$1048576,29,FALSE))</f>
        <v>GSILGB2XXXX</v>
      </c>
      <c r="BA14" s="442" t="str">
        <f>(VLOOKUP(A14,TradesEquity!$1:$1048576,30,FALSE))</f>
        <v>DTCYUS33</v>
      </c>
      <c r="BB14" s="442" t="str">
        <f>(VLOOKUP(A14,TradesEquity!$1:$1048576,31,FALSE))</f>
        <v xml:space="preserve">        </v>
      </c>
      <c r="BC14" s="442" t="str">
        <f>(VLOOKUP(A14,TradesEquity!$1:$1048576,32,FALSE))</f>
        <v>N</v>
      </c>
      <c r="BI14" s="465" t="str">
        <f>(VLOOKUP(A14,TradesEquity!$1:$1048576,38,FALSE))</f>
        <v>DTCYID</v>
      </c>
      <c r="BJ14" s="465">
        <f>(VLOOKUP(A14,TradesEquity!$1:$1048576,39,FALSE))</f>
        <v>5208</v>
      </c>
      <c r="BK14" s="442" t="str">
        <f>(VLOOKUP(A14,TradesEquity!$1:$1048576,40,FALSE))</f>
        <v xml:space="preserve">        </v>
      </c>
    </row>
    <row r="15" spans="1:65">
      <c r="A15" s="468">
        <v>2019200244</v>
      </c>
      <c r="D15" s="432" t="s">
        <v>2027</v>
      </c>
      <c r="F15" s="433">
        <f>VLOOKUP(A15,TradesEquity!$1:$1048576,2,FALSE)</f>
        <v>43868</v>
      </c>
      <c r="H15" s="433">
        <f>VLOOKUP(A15,TradesEquity!$1:$1048576,21,FALSE)</f>
        <v>43872</v>
      </c>
      <c r="I15" s="434" t="str">
        <f>IF(VLOOKUP(A15,TradesEquity!$1:$1048576,3,FALSE)="BUY","B","S")</f>
        <v>S</v>
      </c>
      <c r="J15" s="434" t="str">
        <f>VLOOKUP(A15,TradesEquity!$1:$1048576,5,FALSE)</f>
        <v>KR7006401004</v>
      </c>
      <c r="K15" s="432" t="s">
        <v>19</v>
      </c>
      <c r="L15" s="435" t="s">
        <v>2028</v>
      </c>
      <c r="AE15" s="436" t="str">
        <f>VLOOKUP(A15,TradesEquity!$1:$1048576,10,FALSE)</f>
        <v>KRW</v>
      </c>
      <c r="AF15" s="436" t="str">
        <f t="shared" si="1"/>
        <v>KRW</v>
      </c>
      <c r="AG15" s="436" t="str">
        <f t="shared" si="1"/>
        <v>KRW</v>
      </c>
      <c r="AH15" s="436" t="str">
        <f t="shared" si="1"/>
        <v>KRW</v>
      </c>
      <c r="AI15" s="436">
        <f>ABS(VLOOKUP(A15,TradesEquity!$1:$1048576,13,FALSE))</f>
        <v>840</v>
      </c>
      <c r="AJ15" s="437">
        <v>0</v>
      </c>
      <c r="AK15" s="437">
        <v>1</v>
      </c>
      <c r="AL15" s="436">
        <f>VLOOKUP(A15,TradesEquity!$1:$1048576,11,FALSE)</f>
        <v>156500</v>
      </c>
      <c r="AM15" s="437">
        <v>1</v>
      </c>
      <c r="AN15" s="436">
        <f>ABS(VLOOKUP(A15,TradesEquity!$1:$1048576,14,FALSE))</f>
        <v>131460000</v>
      </c>
      <c r="AO15" s="436">
        <f>ABS(VLOOKUP(A15,TradesEquity!$1:$1048576,15,FALSE))</f>
        <v>197190</v>
      </c>
      <c r="AP15" s="438">
        <f>ABS(VLOOKUP(A15,TradesEquity!$1:$1048576,16,FALSE))</f>
        <v>328642</v>
      </c>
      <c r="AQ15" s="367">
        <v>0</v>
      </c>
      <c r="AR15" s="367">
        <v>0</v>
      </c>
      <c r="AS15" s="367">
        <v>0</v>
      </c>
      <c r="AT15" s="367">
        <v>0</v>
      </c>
      <c r="AU15" s="367">
        <v>0</v>
      </c>
      <c r="AV15" s="438">
        <f>ABS(VLOOKUP(A15,TradesEquity!$1:$1048576,18,FALSE))</f>
        <v>130934168</v>
      </c>
      <c r="AW15" s="439">
        <v>0</v>
      </c>
      <c r="AX15" s="440">
        <v>4542</v>
      </c>
      <c r="AY15" s="441" t="s">
        <v>2029</v>
      </c>
      <c r="AZ15" s="442" t="e">
        <f>(VLOOKUP(A15,TradesEquity!$1:$1048576,29,FALSE))</f>
        <v>#N/A</v>
      </c>
      <c r="BA15" s="442" t="e">
        <f>(VLOOKUP(A15,TradesEquity!$1:$1048576,30,FALSE))</f>
        <v>#N/A</v>
      </c>
      <c r="BB15" s="442" t="e">
        <f>(VLOOKUP(A15,TradesEquity!$1:$1048576,31,FALSE))</f>
        <v>#N/A</v>
      </c>
      <c r="BC15" s="442" t="e">
        <f>(VLOOKUP(A15,TradesEquity!$1:$1048576,32,FALSE))</f>
        <v>#N/A</v>
      </c>
      <c r="BI15" s="465" t="e">
        <f>(VLOOKUP(A15,TradesEquity!$1:$1048576,38,FALSE))</f>
        <v>#N/A</v>
      </c>
      <c r="BJ15" s="465" t="e">
        <f>(VLOOKUP(A15,TradesEquity!$1:$1048576,39,FALSE))</f>
        <v>#N/A</v>
      </c>
      <c r="BK15" s="442" t="e">
        <f>(VLOOKUP(A15,TradesEquity!$1:$1048576,40,FALSE))</f>
        <v>#N/A</v>
      </c>
    </row>
    <row r="16" spans="1:65">
      <c r="A16" s="468">
        <v>2019200245</v>
      </c>
      <c r="D16" s="432" t="s">
        <v>2027</v>
      </c>
      <c r="F16" s="433">
        <f>VLOOKUP(A16,TradesEquity!$1:$1048576,2,FALSE)</f>
        <v>43871</v>
      </c>
      <c r="H16" s="433">
        <f>VLOOKUP(A16,TradesEquity!$1:$1048576,21,FALSE)</f>
        <v>43873</v>
      </c>
      <c r="I16" s="434" t="str">
        <f>IF(VLOOKUP(A16,TradesEquity!$1:$1048576,3,FALSE)="BUY","B","S")</f>
        <v>S</v>
      </c>
      <c r="J16" s="434" t="str">
        <f>VLOOKUP(A16,TradesEquity!$1:$1048576,5,FALSE)</f>
        <v>DE0006231004</v>
      </c>
      <c r="K16" s="432" t="s">
        <v>19</v>
      </c>
      <c r="L16" s="435" t="s">
        <v>2028</v>
      </c>
      <c r="AE16" s="436" t="str">
        <f>VLOOKUP(A16,TradesEquity!$1:$1048576,10,FALSE)</f>
        <v>EUR</v>
      </c>
      <c r="AF16" s="436" t="str">
        <f t="shared" si="1"/>
        <v>EUR</v>
      </c>
      <c r="AG16" s="436" t="str">
        <f t="shared" si="1"/>
        <v>EUR</v>
      </c>
      <c r="AH16" s="436" t="str">
        <f t="shared" si="1"/>
        <v>EUR</v>
      </c>
      <c r="AI16" s="436">
        <f>ABS(VLOOKUP(A16,TradesEquity!$1:$1048576,13,FALSE))</f>
        <v>2000</v>
      </c>
      <c r="AJ16" s="437">
        <v>0</v>
      </c>
      <c r="AK16" s="437">
        <v>1</v>
      </c>
      <c r="AL16" s="436">
        <f>VLOOKUP(A16,TradesEquity!$1:$1048576,11,FALSE)</f>
        <v>21.685009999999998</v>
      </c>
      <c r="AM16" s="437">
        <v>1</v>
      </c>
      <c r="AN16" s="436">
        <f>ABS(VLOOKUP(A16,TradesEquity!$1:$1048576,14,FALSE))</f>
        <v>43370.02</v>
      </c>
      <c r="AO16" s="436">
        <f>ABS(VLOOKUP(A16,TradesEquity!$1:$1048576,15,FALSE))</f>
        <v>26.02</v>
      </c>
      <c r="AP16" s="438">
        <f>ABS(VLOOKUP(A16,TradesEquity!$1:$1048576,16,FALSE))</f>
        <v>0</v>
      </c>
      <c r="AQ16" s="367">
        <v>0</v>
      </c>
      <c r="AR16" s="367">
        <v>0</v>
      </c>
      <c r="AS16" s="367">
        <v>0</v>
      </c>
      <c r="AT16" s="367">
        <v>0</v>
      </c>
      <c r="AU16" s="367">
        <v>0</v>
      </c>
      <c r="AV16" s="438">
        <f>ABS(VLOOKUP(A16,TradesEquity!$1:$1048576,18,FALSE))</f>
        <v>43344</v>
      </c>
      <c r="AW16" s="439">
        <v>0</v>
      </c>
      <c r="AX16" s="440">
        <v>4542</v>
      </c>
      <c r="AY16" s="441" t="s">
        <v>2029</v>
      </c>
      <c r="AZ16" s="442" t="str">
        <f>(VLOOKUP(A16,TradesEquity!$1:$1048576,29,FALSE))</f>
        <v>GSILGB2XXXX</v>
      </c>
      <c r="BA16" s="442" t="str">
        <f>(VLOOKUP(A16,TradesEquity!$1:$1048576,30,FALSE))</f>
        <v>DAKVDEFFXXX</v>
      </c>
      <c r="BB16" s="442" t="str">
        <f>(VLOOKUP(A16,TradesEquity!$1:$1048576,31,FALSE))</f>
        <v>DAKV7372000</v>
      </c>
      <c r="BC16" s="442" t="str">
        <f>(VLOOKUP(A16,TradesEquity!$1:$1048576,32,FALSE))</f>
        <v>N</v>
      </c>
      <c r="BI16" s="465" t="str">
        <f>(VLOOKUP(A16,TradesEquity!$1:$1048576,38,FALSE))</f>
        <v xml:space="preserve">        </v>
      </c>
      <c r="BJ16" s="465" t="str">
        <f>(VLOOKUP(A16,TradesEquity!$1:$1048576,39,FALSE))</f>
        <v xml:space="preserve">        </v>
      </c>
      <c r="BK16" s="442" t="str">
        <f>(VLOOKUP(A16,TradesEquity!$1:$1048576,40,FALSE))</f>
        <v>CITIDEFFXXX</v>
      </c>
    </row>
    <row r="17" spans="1:63">
      <c r="A17" s="468">
        <v>2019200246</v>
      </c>
      <c r="D17" s="432" t="s">
        <v>2027</v>
      </c>
      <c r="F17" s="433">
        <f>VLOOKUP(A17,TradesEquity!$1:$1048576,2,FALSE)</f>
        <v>43871</v>
      </c>
      <c r="H17" s="433">
        <f>VLOOKUP(A17,TradesEquity!$1:$1048576,21,FALSE)</f>
        <v>43873</v>
      </c>
      <c r="I17" s="434" t="str">
        <f>IF(VLOOKUP(A17,TradesEquity!$1:$1048576,3,FALSE)="BUY","B","S")</f>
        <v>B</v>
      </c>
      <c r="J17" s="434" t="str">
        <f>VLOOKUP(A17,TradesEquity!$1:$1048576,5,FALSE)</f>
        <v>FR0013176526</v>
      </c>
      <c r="K17" s="432" t="s">
        <v>19</v>
      </c>
      <c r="L17" s="435" t="s">
        <v>2028</v>
      </c>
      <c r="AE17" s="436" t="str">
        <f>VLOOKUP(A17,TradesEquity!$1:$1048576,10,FALSE)</f>
        <v>EUR</v>
      </c>
      <c r="AF17" s="436" t="str">
        <f t="shared" si="1"/>
        <v>EUR</v>
      </c>
      <c r="AG17" s="436" t="str">
        <f t="shared" si="1"/>
        <v>EUR</v>
      </c>
      <c r="AH17" s="436" t="str">
        <f t="shared" si="1"/>
        <v>EUR</v>
      </c>
      <c r="AI17" s="436">
        <f>ABS(VLOOKUP(A17,TradesEquity!$1:$1048576,13,FALSE))</f>
        <v>2500</v>
      </c>
      <c r="AJ17" s="437">
        <v>0</v>
      </c>
      <c r="AK17" s="437">
        <v>1</v>
      </c>
      <c r="AL17" s="436">
        <f>VLOOKUP(A17,TradesEquity!$1:$1048576,11,FALSE)</f>
        <v>26.95439</v>
      </c>
      <c r="AM17" s="437">
        <v>1</v>
      </c>
      <c r="AN17" s="436">
        <f>ABS(VLOOKUP(A17,TradesEquity!$1:$1048576,14,FALSE))</f>
        <v>67385.975000000006</v>
      </c>
      <c r="AO17" s="436">
        <f>ABS(VLOOKUP(A17,TradesEquity!$1:$1048576,15,FALSE))</f>
        <v>40.43</v>
      </c>
      <c r="AP17" s="438">
        <f>ABS(VLOOKUP(A17,TradesEquity!$1:$1048576,16,FALSE))</f>
        <v>202.16</v>
      </c>
      <c r="AQ17" s="367">
        <v>0</v>
      </c>
      <c r="AR17" s="367">
        <v>0</v>
      </c>
      <c r="AS17" s="367">
        <v>0</v>
      </c>
      <c r="AT17" s="367">
        <v>0</v>
      </c>
      <c r="AU17" s="367">
        <v>0</v>
      </c>
      <c r="AV17" s="438">
        <f>ABS(VLOOKUP(A17,TradesEquity!$1:$1048576,18,FALSE))</f>
        <v>67628.565000000002</v>
      </c>
      <c r="AW17" s="439">
        <v>0</v>
      </c>
      <c r="AX17" s="440">
        <v>4542</v>
      </c>
      <c r="AY17" s="441" t="s">
        <v>2029</v>
      </c>
      <c r="AZ17" s="442" t="str">
        <f>(VLOOKUP(A17,TradesEquity!$1:$1048576,29,FALSE))</f>
        <v>GSILGB2XXXX</v>
      </c>
      <c r="BA17" s="442" t="str">
        <f>(VLOOKUP(A17,TradesEquity!$1:$1048576,30,FALSE))</f>
        <v>SICVFRPPXXX</v>
      </c>
      <c r="BB17" s="442" t="str">
        <f>(VLOOKUP(A17,TradesEquity!$1:$1048576,31,FALSE))</f>
        <v>SICVPARBFRPPXXX000L10</v>
      </c>
      <c r="BC17" s="442" t="str">
        <f>(VLOOKUP(A17,TradesEquity!$1:$1048576,32,FALSE))</f>
        <v>N</v>
      </c>
      <c r="BI17" s="465" t="str">
        <f>(VLOOKUP(A17,TradesEquity!$1:$1048576,38,FALSE))</f>
        <v xml:space="preserve">        </v>
      </c>
      <c r="BJ17" s="465" t="str">
        <f>(VLOOKUP(A17,TradesEquity!$1:$1048576,39,FALSE))</f>
        <v xml:space="preserve">        </v>
      </c>
      <c r="BK17" s="442" t="str">
        <f>(VLOOKUP(A17,TradesEquity!$1:$1048576,40,FALSE))</f>
        <v>PARBFRPPXXX</v>
      </c>
    </row>
    <row r="18" spans="1:63">
      <c r="A18" s="468">
        <v>2019200248</v>
      </c>
      <c r="D18" s="432" t="s">
        <v>2027</v>
      </c>
      <c r="F18" s="433">
        <f>VLOOKUP(A18,TradesEquity!$1:$1048576,2,FALSE)</f>
        <v>43872</v>
      </c>
      <c r="H18" s="433">
        <f>VLOOKUP(A18,TradesEquity!$1:$1048576,21,FALSE)</f>
        <v>43874</v>
      </c>
      <c r="I18" s="434" t="str">
        <f>IF(VLOOKUP(A18,TradesEquity!$1:$1048576,3,FALSE)="BUY","B","S")</f>
        <v>B</v>
      </c>
      <c r="J18" s="434" t="str">
        <f>VLOOKUP(A18,TradesEquity!$1:$1048576,5,FALSE)</f>
        <v>KR7042600007</v>
      </c>
      <c r="K18" s="432" t="s">
        <v>19</v>
      </c>
      <c r="L18" s="435" t="s">
        <v>2028</v>
      </c>
      <c r="AE18" s="436" t="str">
        <f>VLOOKUP(A18,TradesEquity!$1:$1048576,10,FALSE)</f>
        <v>KRW</v>
      </c>
      <c r="AF18" s="436" t="str">
        <f t="shared" si="1"/>
        <v>KRW</v>
      </c>
      <c r="AG18" s="436" t="str">
        <f t="shared" si="1"/>
        <v>KRW</v>
      </c>
      <c r="AH18" s="436" t="str">
        <f t="shared" si="1"/>
        <v>KRW</v>
      </c>
      <c r="AI18" s="436">
        <f>ABS(VLOOKUP(A18,TradesEquity!$1:$1048576,13,FALSE))</f>
        <v>17000</v>
      </c>
      <c r="AJ18" s="437">
        <v>0</v>
      </c>
      <c r="AK18" s="437">
        <v>1</v>
      </c>
      <c r="AL18" s="436">
        <f>VLOOKUP(A18,TradesEquity!$1:$1048576,11,FALSE)</f>
        <v>3418.7653</v>
      </c>
      <c r="AM18" s="437">
        <v>1</v>
      </c>
      <c r="AN18" s="436">
        <f>ABS(VLOOKUP(A18,TradesEquity!$1:$1048576,14,FALSE))</f>
        <v>58119010.100000001</v>
      </c>
      <c r="AO18" s="436">
        <f>ABS(VLOOKUP(A18,TradesEquity!$1:$1048576,15,FALSE))</f>
        <v>87179</v>
      </c>
      <c r="AP18" s="438">
        <f>ABS(VLOOKUP(A18,TradesEquity!$1:$1048576,16,FALSE))</f>
        <v>0</v>
      </c>
      <c r="AQ18" s="367">
        <v>0</v>
      </c>
      <c r="AR18" s="367">
        <v>0</v>
      </c>
      <c r="AS18" s="367">
        <v>0</v>
      </c>
      <c r="AT18" s="367">
        <v>0</v>
      </c>
      <c r="AU18" s="367">
        <v>0</v>
      </c>
      <c r="AV18" s="438">
        <f>ABS(VLOOKUP(A18,TradesEquity!$1:$1048576,18,FALSE))</f>
        <v>58206189.100000001</v>
      </c>
      <c r="AW18" s="439">
        <v>0</v>
      </c>
      <c r="AX18" s="440">
        <v>4542</v>
      </c>
      <c r="AY18" s="441" t="s">
        <v>2029</v>
      </c>
      <c r="AZ18" s="442" t="e">
        <f>(VLOOKUP(A18,TradesEquity!$1:$1048576,29,FALSE))</f>
        <v>#N/A</v>
      </c>
      <c r="BA18" s="442" t="e">
        <f>(VLOOKUP(A18,TradesEquity!$1:$1048576,30,FALSE))</f>
        <v>#N/A</v>
      </c>
      <c r="BB18" s="442" t="e">
        <f>(VLOOKUP(A18,TradesEquity!$1:$1048576,31,FALSE))</f>
        <v>#N/A</v>
      </c>
      <c r="BC18" s="442" t="e">
        <f>(VLOOKUP(A18,TradesEquity!$1:$1048576,32,FALSE))</f>
        <v>#N/A</v>
      </c>
      <c r="BI18" s="465" t="e">
        <f>(VLOOKUP(A18,TradesEquity!$1:$1048576,38,FALSE))</f>
        <v>#N/A</v>
      </c>
      <c r="BJ18" s="465" t="e">
        <f>(VLOOKUP(A18,TradesEquity!$1:$1048576,39,FALSE))</f>
        <v>#N/A</v>
      </c>
      <c r="BK18" s="442" t="e">
        <f>(VLOOKUP(A18,TradesEquity!$1:$1048576,40,FALSE))</f>
        <v>#N/A</v>
      </c>
    </row>
    <row r="19" spans="1:63">
      <c r="A19" s="468">
        <v>2019200249</v>
      </c>
      <c r="D19" s="432" t="s">
        <v>2027</v>
      </c>
      <c r="F19" s="433">
        <f>VLOOKUP(A19,TradesEquity!$1:$1048576,2,FALSE)</f>
        <v>43872</v>
      </c>
      <c r="H19" s="433">
        <f>VLOOKUP(A19,TradesEquity!$1:$1048576,21,FALSE)</f>
        <v>43874</v>
      </c>
      <c r="I19" s="434" t="str">
        <f>IF(VLOOKUP(A19,TradesEquity!$1:$1048576,3,FALSE)="BUY","B","S")</f>
        <v>B</v>
      </c>
      <c r="J19" s="434" t="str">
        <f>VLOOKUP(A19,TradesEquity!$1:$1048576,5,FALSE)</f>
        <v>KR7042600007</v>
      </c>
      <c r="K19" s="432" t="s">
        <v>19</v>
      </c>
      <c r="L19" s="435" t="s">
        <v>2028</v>
      </c>
      <c r="AE19" s="436" t="str">
        <f>VLOOKUP(A19,TradesEquity!$1:$1048576,10,FALSE)</f>
        <v>KRW</v>
      </c>
      <c r="AF19" s="436" t="str">
        <f t="shared" si="1"/>
        <v>KRW</v>
      </c>
      <c r="AG19" s="436" t="str">
        <f t="shared" si="1"/>
        <v>KRW</v>
      </c>
      <c r="AH19" s="436" t="str">
        <f t="shared" si="1"/>
        <v>KRW</v>
      </c>
      <c r="AI19" s="436">
        <f>ABS(VLOOKUP(A19,TradesEquity!$1:$1048576,13,FALSE))</f>
        <v>580</v>
      </c>
      <c r="AJ19" s="437">
        <v>0</v>
      </c>
      <c r="AK19" s="437">
        <v>1</v>
      </c>
      <c r="AL19" s="436">
        <f>VLOOKUP(A19,TradesEquity!$1:$1048576,11,FALSE)</f>
        <v>3390</v>
      </c>
      <c r="AM19" s="437">
        <v>1</v>
      </c>
      <c r="AN19" s="436">
        <f>ABS(VLOOKUP(A19,TradesEquity!$1:$1048576,14,FALSE))</f>
        <v>1966200</v>
      </c>
      <c r="AO19" s="436">
        <f>ABS(VLOOKUP(A19,TradesEquity!$1:$1048576,15,FALSE))</f>
        <v>2949</v>
      </c>
      <c r="AP19" s="438">
        <f>ABS(VLOOKUP(A19,TradesEquity!$1:$1048576,16,FALSE))</f>
        <v>0</v>
      </c>
      <c r="AQ19" s="367">
        <v>0</v>
      </c>
      <c r="AR19" s="367">
        <v>0</v>
      </c>
      <c r="AS19" s="367">
        <v>0</v>
      </c>
      <c r="AT19" s="367">
        <v>0</v>
      </c>
      <c r="AU19" s="367">
        <v>0</v>
      </c>
      <c r="AV19" s="438">
        <f>ABS(VLOOKUP(A19,TradesEquity!$1:$1048576,18,FALSE))</f>
        <v>1969149</v>
      </c>
      <c r="AW19" s="439">
        <v>0</v>
      </c>
      <c r="AX19" s="440">
        <v>4542</v>
      </c>
      <c r="AY19" s="441" t="s">
        <v>2029</v>
      </c>
      <c r="AZ19" s="442" t="e">
        <f>(VLOOKUP(A19,TradesEquity!$1:$1048576,29,FALSE))</f>
        <v>#N/A</v>
      </c>
      <c r="BA19" s="442" t="e">
        <f>(VLOOKUP(A19,TradesEquity!$1:$1048576,30,FALSE))</f>
        <v>#N/A</v>
      </c>
      <c r="BB19" s="442" t="e">
        <f>(VLOOKUP(A19,TradesEquity!$1:$1048576,31,FALSE))</f>
        <v>#N/A</v>
      </c>
      <c r="BC19" s="442" t="e">
        <f>(VLOOKUP(A19,TradesEquity!$1:$1048576,32,FALSE))</f>
        <v>#N/A</v>
      </c>
      <c r="BI19" s="465" t="e">
        <f>(VLOOKUP(A19,TradesEquity!$1:$1048576,38,FALSE))</f>
        <v>#N/A</v>
      </c>
      <c r="BJ19" s="465" t="e">
        <f>(VLOOKUP(A19,TradesEquity!$1:$1048576,39,FALSE))</f>
        <v>#N/A</v>
      </c>
      <c r="BK19" s="442" t="e">
        <f>(VLOOKUP(A19,TradesEquity!$1:$1048576,40,FALSE))</f>
        <v>#N/A</v>
      </c>
    </row>
    <row r="20" spans="1:63">
      <c r="A20" s="468">
        <v>2019200247</v>
      </c>
      <c r="D20" s="432" t="s">
        <v>2027</v>
      </c>
      <c r="F20" s="433">
        <f>VLOOKUP(A20,TradesEquity!$1:$1048576,2,FALSE)</f>
        <v>43872</v>
      </c>
      <c r="H20" s="433">
        <f>VLOOKUP(A20,TradesEquity!$1:$1048576,21,FALSE)</f>
        <v>43874</v>
      </c>
      <c r="I20" s="434" t="str">
        <f>IF(VLOOKUP(A20,TradesEquity!$1:$1048576,3,FALSE)="BUY","B","S")</f>
        <v>B</v>
      </c>
      <c r="J20" s="434" t="str">
        <f>VLOOKUP(A20,TradesEquity!$1:$1048576,5,FALSE)</f>
        <v>AU000000WSA9</v>
      </c>
      <c r="K20" s="432" t="s">
        <v>19</v>
      </c>
      <c r="L20" s="435" t="s">
        <v>2028</v>
      </c>
      <c r="AE20" s="436" t="str">
        <f>VLOOKUP(A20,TradesEquity!$1:$1048576,10,FALSE)</f>
        <v>AUD</v>
      </c>
      <c r="AF20" s="436" t="str">
        <f t="shared" si="1"/>
        <v>AUD</v>
      </c>
      <c r="AG20" s="436" t="str">
        <f t="shared" si="1"/>
        <v>AUD</v>
      </c>
      <c r="AH20" s="436" t="str">
        <f t="shared" si="1"/>
        <v>AUD</v>
      </c>
      <c r="AI20" s="436">
        <f>ABS(VLOOKUP(A20,TradesEquity!$1:$1048576,13,FALSE))</f>
        <v>22000</v>
      </c>
      <c r="AJ20" s="437">
        <v>0</v>
      </c>
      <c r="AK20" s="437">
        <v>1</v>
      </c>
      <c r="AL20" s="436">
        <f>VLOOKUP(A20,TradesEquity!$1:$1048576,11,FALSE)</f>
        <v>2.5236999999999998</v>
      </c>
      <c r="AM20" s="437">
        <v>1</v>
      </c>
      <c r="AN20" s="436">
        <f>ABS(VLOOKUP(A20,TradesEquity!$1:$1048576,14,FALSE))</f>
        <v>55521.399999999994</v>
      </c>
      <c r="AO20" s="436">
        <f>ABS(VLOOKUP(A20,TradesEquity!$1:$1048576,15,FALSE))</f>
        <v>33.31</v>
      </c>
      <c r="AP20" s="438">
        <f>ABS(VLOOKUP(A20,TradesEquity!$1:$1048576,16,FALSE))</f>
        <v>0</v>
      </c>
      <c r="AQ20" s="367">
        <v>0</v>
      </c>
      <c r="AR20" s="367">
        <v>0</v>
      </c>
      <c r="AS20" s="367">
        <v>0</v>
      </c>
      <c r="AT20" s="367">
        <v>0</v>
      </c>
      <c r="AU20" s="367">
        <v>0</v>
      </c>
      <c r="AV20" s="438">
        <f>ABS(VLOOKUP(A20,TradesEquity!$1:$1048576,18,FALSE))</f>
        <v>55554.709999999992</v>
      </c>
      <c r="AW20" s="439">
        <v>0</v>
      </c>
      <c r="AX20" s="440">
        <v>4542</v>
      </c>
      <c r="AY20" s="441" t="s">
        <v>2029</v>
      </c>
      <c r="AZ20" s="442" t="str">
        <f>(VLOOKUP(A20,TradesEquity!$1:$1048576,29,FALSE))</f>
        <v>GSILGB2XXXX</v>
      </c>
      <c r="BA20" s="442" t="str">
        <f>(VLOOKUP(A20,TradesEquity!$1:$1048576,30,FALSE))</f>
        <v>CAETAU21</v>
      </c>
      <c r="BB20" s="442" t="str">
        <f>(VLOOKUP(A20,TradesEquity!$1:$1048576,31,FALSE))</f>
        <v>011-109048-061</v>
      </c>
      <c r="BC20" s="442" t="str">
        <f>(VLOOKUP(A20,TradesEquity!$1:$1048576,32,FALSE))</f>
        <v>N</v>
      </c>
      <c r="BI20" s="465" t="str">
        <f>(VLOOKUP(A20,TradesEquity!$1:$1048576,38,FALSE))</f>
        <v xml:space="preserve">        </v>
      </c>
      <c r="BJ20" s="465" t="str">
        <f>(VLOOKUP(A20,TradesEquity!$1:$1048576,39,FALSE))</f>
        <v xml:space="preserve">        </v>
      </c>
      <c r="BK20" s="442" t="str">
        <f>(VLOOKUP(A20,TradesEquity!$1:$1048576,40,FALSE))</f>
        <v>HKBAAU2SSYD</v>
      </c>
    </row>
    <row r="21" spans="1:63">
      <c r="A21" s="468">
        <v>2019200250</v>
      </c>
      <c r="D21" s="432" t="s">
        <v>2027</v>
      </c>
      <c r="F21" s="433">
        <f>VLOOKUP(A21,TradesEquity!$1:$1048576,2,FALSE)</f>
        <v>43872</v>
      </c>
      <c r="H21" s="433">
        <f>VLOOKUP(A21,TradesEquity!$1:$1048576,21,FALSE)</f>
        <v>43874</v>
      </c>
      <c r="I21" s="434" t="str">
        <f>IF(VLOOKUP(A21,TradesEquity!$1:$1048576,3,FALSE)="BUY","B","S")</f>
        <v>B</v>
      </c>
      <c r="J21" s="434" t="str">
        <f>VLOOKUP(A21,TradesEquity!$1:$1048576,5,FALSE)</f>
        <v>DE0005439004</v>
      </c>
      <c r="K21" s="432" t="s">
        <v>19</v>
      </c>
      <c r="L21" s="435" t="s">
        <v>2028</v>
      </c>
      <c r="AE21" s="436" t="str">
        <f>VLOOKUP(A21,TradesEquity!$1:$1048576,10,FALSE)</f>
        <v>EUR</v>
      </c>
      <c r="AF21" s="436" t="str">
        <f t="shared" si="1"/>
        <v>EUR</v>
      </c>
      <c r="AG21" s="436" t="str">
        <f t="shared" si="1"/>
        <v>EUR</v>
      </c>
      <c r="AH21" s="436" t="str">
        <f t="shared" si="1"/>
        <v>EUR</v>
      </c>
      <c r="AI21" s="436">
        <f>ABS(VLOOKUP(A21,TradesEquity!$1:$1048576,13,FALSE))</f>
        <v>420</v>
      </c>
      <c r="AJ21" s="437">
        <v>0</v>
      </c>
      <c r="AK21" s="437">
        <v>1</v>
      </c>
      <c r="AL21" s="436">
        <f>VLOOKUP(A21,TradesEquity!$1:$1048576,11,FALSE)</f>
        <v>103.9361</v>
      </c>
      <c r="AM21" s="437">
        <v>1</v>
      </c>
      <c r="AN21" s="436">
        <f>ABS(VLOOKUP(A21,TradesEquity!$1:$1048576,14,FALSE))</f>
        <v>43653.161999999997</v>
      </c>
      <c r="AO21" s="436">
        <f>ABS(VLOOKUP(A21,TradesEquity!$1:$1048576,15,FALSE))</f>
        <v>26.19</v>
      </c>
      <c r="AP21" s="438">
        <f>ABS(VLOOKUP(A21,TradesEquity!$1:$1048576,16,FALSE))</f>
        <v>0</v>
      </c>
      <c r="AQ21" s="367">
        <v>0</v>
      </c>
      <c r="AR21" s="367">
        <v>0</v>
      </c>
      <c r="AS21" s="367">
        <v>0</v>
      </c>
      <c r="AT21" s="367">
        <v>0</v>
      </c>
      <c r="AU21" s="367">
        <v>0</v>
      </c>
      <c r="AV21" s="438">
        <f>ABS(VLOOKUP(A21,TradesEquity!$1:$1048576,18,FALSE))</f>
        <v>43679.351999999999</v>
      </c>
      <c r="AW21" s="439">
        <v>0</v>
      </c>
      <c r="AX21" s="440">
        <v>4542</v>
      </c>
      <c r="AY21" s="441" t="s">
        <v>2029</v>
      </c>
      <c r="AZ21" s="442" t="str">
        <f>(VLOOKUP(A21,TradesEquity!$1:$1048576,29,FALSE))</f>
        <v>GSILGB2XXXX</v>
      </c>
      <c r="BA21" s="442" t="str">
        <f>(VLOOKUP(A21,TradesEquity!$1:$1048576,30,FALSE))</f>
        <v>DAKVDEFFXXX</v>
      </c>
      <c r="BB21" s="442" t="str">
        <f>(VLOOKUP(A21,TradesEquity!$1:$1048576,31,FALSE))</f>
        <v>DAKV7372000</v>
      </c>
      <c r="BC21" s="442" t="str">
        <f>(VLOOKUP(A21,TradesEquity!$1:$1048576,32,FALSE))</f>
        <v>N</v>
      </c>
      <c r="BI21" s="465" t="str">
        <f>(VLOOKUP(A21,TradesEquity!$1:$1048576,38,FALSE))</f>
        <v xml:space="preserve">        </v>
      </c>
      <c r="BJ21" s="465" t="str">
        <f>(VLOOKUP(A21,TradesEquity!$1:$1048576,39,FALSE))</f>
        <v xml:space="preserve">        </v>
      </c>
      <c r="BK21" s="442" t="str">
        <f>(VLOOKUP(A21,TradesEquity!$1:$1048576,40,FALSE))</f>
        <v>CITIDEFFXXX</v>
      </c>
    </row>
    <row r="22" spans="1:63">
      <c r="A22" s="468">
        <v>2019200251</v>
      </c>
      <c r="D22" s="432" t="s">
        <v>2027</v>
      </c>
      <c r="F22" s="433">
        <f>VLOOKUP(A22,TradesEquity!$1:$1048576,2,FALSE)</f>
        <v>43873</v>
      </c>
      <c r="H22" s="433">
        <f>VLOOKUP(A22,TradesEquity!$1:$1048576,21,FALSE)</f>
        <v>43875</v>
      </c>
      <c r="I22" s="434" t="str">
        <f>IF(VLOOKUP(A22,TradesEquity!$1:$1048576,3,FALSE)="BUY","B","S")</f>
        <v>S</v>
      </c>
      <c r="J22" s="434" t="str">
        <f>VLOOKUP(A22,TradesEquity!$1:$1048576,5,FALSE)</f>
        <v>KR7006401004</v>
      </c>
      <c r="K22" s="432" t="s">
        <v>19</v>
      </c>
      <c r="L22" s="435" t="s">
        <v>2028</v>
      </c>
      <c r="AE22" s="436" t="str">
        <f>VLOOKUP(A22,TradesEquity!$1:$1048576,10,FALSE)</f>
        <v>KRW</v>
      </c>
      <c r="AF22" s="436" t="str">
        <f t="shared" si="1"/>
        <v>KRW</v>
      </c>
      <c r="AG22" s="436" t="str">
        <f t="shared" si="1"/>
        <v>KRW</v>
      </c>
      <c r="AH22" s="436" t="str">
        <f t="shared" si="1"/>
        <v>KRW</v>
      </c>
      <c r="AI22" s="436">
        <f>ABS(VLOOKUP(A22,TradesEquity!$1:$1048576,13,FALSE))</f>
        <v>321</v>
      </c>
      <c r="AJ22" s="437">
        <v>0</v>
      </c>
      <c r="AK22" s="437">
        <v>1</v>
      </c>
      <c r="AL22" s="436">
        <f>VLOOKUP(A22,TradesEquity!$1:$1048576,11,FALSE)</f>
        <v>182000</v>
      </c>
      <c r="AM22" s="437">
        <v>1</v>
      </c>
      <c r="AN22" s="436">
        <f>ABS(VLOOKUP(A22,TradesEquity!$1:$1048576,14,FALSE))</f>
        <v>58422000</v>
      </c>
      <c r="AO22" s="436">
        <f>ABS(VLOOKUP(A22,TradesEquity!$1:$1048576,15,FALSE))</f>
        <v>87633</v>
      </c>
      <c r="AP22" s="438">
        <f>ABS(VLOOKUP(A22,TradesEquity!$1:$1048576,16,FALSE))</f>
        <v>146055</v>
      </c>
      <c r="AQ22" s="367">
        <v>0</v>
      </c>
      <c r="AR22" s="367">
        <v>0</v>
      </c>
      <c r="AS22" s="367">
        <v>0</v>
      </c>
      <c r="AT22" s="367">
        <v>0</v>
      </c>
      <c r="AU22" s="367">
        <v>0</v>
      </c>
      <c r="AV22" s="438">
        <f>ABS(VLOOKUP(A22,TradesEquity!$1:$1048576,18,FALSE))</f>
        <v>58188312</v>
      </c>
      <c r="AW22" s="439">
        <v>0</v>
      </c>
      <c r="AX22" s="440">
        <v>4542</v>
      </c>
      <c r="AY22" s="441" t="s">
        <v>2029</v>
      </c>
      <c r="AZ22" s="442" t="e">
        <f>(VLOOKUP(A22,TradesEquity!$1:$1048576,29,FALSE))</f>
        <v>#N/A</v>
      </c>
      <c r="BA22" s="442" t="e">
        <f>(VLOOKUP(A22,TradesEquity!$1:$1048576,30,FALSE))</f>
        <v>#N/A</v>
      </c>
      <c r="BB22" s="442" t="e">
        <f>(VLOOKUP(A22,TradesEquity!$1:$1048576,31,FALSE))</f>
        <v>#N/A</v>
      </c>
      <c r="BC22" s="442" t="e">
        <f>(VLOOKUP(A22,TradesEquity!$1:$1048576,32,FALSE))</f>
        <v>#N/A</v>
      </c>
      <c r="BI22" s="465" t="e">
        <f>(VLOOKUP(A22,TradesEquity!$1:$1048576,38,FALSE))</f>
        <v>#N/A</v>
      </c>
      <c r="BJ22" s="465" t="e">
        <f>(VLOOKUP(A22,TradesEquity!$1:$1048576,39,FALSE))</f>
        <v>#N/A</v>
      </c>
      <c r="BK22" s="442" t="e">
        <f>(VLOOKUP(A22,TradesEquity!$1:$1048576,40,FALSE))</f>
        <v>#N/A</v>
      </c>
    </row>
    <row r="23" spans="1:63">
      <c r="A23" s="468">
        <v>2019200252</v>
      </c>
      <c r="D23" s="432" t="s">
        <v>2027</v>
      </c>
      <c r="F23" s="433">
        <f>VLOOKUP(A23,TradesEquity!$1:$1048576,2,FALSE)</f>
        <v>43873</v>
      </c>
      <c r="H23" s="433">
        <f>VLOOKUP(A23,TradesEquity!$1:$1048576,21,FALSE)</f>
        <v>43875</v>
      </c>
      <c r="I23" s="434" t="str">
        <f>IF(VLOOKUP(A23,TradesEquity!$1:$1048576,3,FALSE)="BUY","B","S")</f>
        <v>B</v>
      </c>
      <c r="J23" s="434" t="str">
        <f>VLOOKUP(A23,TradesEquity!$1:$1048576,5,FALSE)</f>
        <v>JP3692000007</v>
      </c>
      <c r="K23" s="432" t="s">
        <v>19</v>
      </c>
      <c r="L23" s="435" t="s">
        <v>2028</v>
      </c>
      <c r="AE23" s="436" t="str">
        <f>VLOOKUP(A23,TradesEquity!$1:$1048576,10,FALSE)</f>
        <v>JPY</v>
      </c>
      <c r="AF23" s="436" t="str">
        <f t="shared" si="1"/>
        <v>JPY</v>
      </c>
      <c r="AG23" s="436" t="str">
        <f t="shared" si="1"/>
        <v>JPY</v>
      </c>
      <c r="AH23" s="436" t="str">
        <f t="shared" si="1"/>
        <v>JPY</v>
      </c>
      <c r="AI23" s="436">
        <f>ABS(VLOOKUP(A23,TradesEquity!$1:$1048576,13,FALSE))</f>
        <v>1200</v>
      </c>
      <c r="AJ23" s="437">
        <v>0</v>
      </c>
      <c r="AK23" s="437">
        <v>1</v>
      </c>
      <c r="AL23" s="436">
        <f>VLOOKUP(A23,TradesEquity!$1:$1048576,11,FALSE)</f>
        <v>1026.25</v>
      </c>
      <c r="AM23" s="437">
        <v>1</v>
      </c>
      <c r="AN23" s="436">
        <f>ABS(VLOOKUP(A23,TradesEquity!$1:$1048576,14,FALSE))</f>
        <v>1231500</v>
      </c>
      <c r="AO23" s="436">
        <f>ABS(VLOOKUP(A23,TradesEquity!$1:$1048576,15,FALSE))</f>
        <v>739</v>
      </c>
      <c r="AP23" s="438">
        <f>ABS(VLOOKUP(A23,TradesEquity!$1:$1048576,16,FALSE))</f>
        <v>0</v>
      </c>
      <c r="AQ23" s="367">
        <v>0</v>
      </c>
      <c r="AR23" s="367">
        <v>0</v>
      </c>
      <c r="AS23" s="367">
        <v>0</v>
      </c>
      <c r="AT23" s="367">
        <v>0</v>
      </c>
      <c r="AU23" s="367">
        <v>0</v>
      </c>
      <c r="AV23" s="438">
        <f>ABS(VLOOKUP(A23,TradesEquity!$1:$1048576,18,FALSE))</f>
        <v>1232239</v>
      </c>
      <c r="AW23" s="439">
        <v>0</v>
      </c>
      <c r="AX23" s="440">
        <v>4542</v>
      </c>
      <c r="AY23" s="441" t="s">
        <v>2029</v>
      </c>
      <c r="AZ23" s="442" t="str">
        <f>(VLOOKUP(A23,TradesEquity!$1:$1048576,29,FALSE))</f>
        <v>GSILGB2XXXX</v>
      </c>
      <c r="BA23" s="442" t="str">
        <f>(VLOOKUP(A23,TradesEquity!$1:$1048576,30,FALSE))</f>
        <v>JJSDJPJTXXX</v>
      </c>
      <c r="BB23" s="442">
        <f>(VLOOKUP(A23,TradesEquity!$1:$1048576,31,FALSE))</f>
        <v>6530490016</v>
      </c>
      <c r="BC23" s="442" t="str">
        <f>(VLOOKUP(A23,TradesEquity!$1:$1048576,32,FALSE))</f>
        <v>N</v>
      </c>
      <c r="BI23" s="465" t="str">
        <f>(VLOOKUP(A23,TradesEquity!$1:$1048576,38,FALSE))</f>
        <v xml:space="preserve">                  </v>
      </c>
      <c r="BJ23" s="465" t="str">
        <f>(VLOOKUP(A23,TradesEquity!$1:$1048576,39,FALSE))</f>
        <v xml:space="preserve">                          </v>
      </c>
      <c r="BK23" s="442" t="str">
        <f>(VLOOKUP(A23,TradesEquity!$1:$1048576,40,FALSE))</f>
        <v>GOLDJPJXXXX</v>
      </c>
    </row>
    <row r="24" spans="1:63">
      <c r="A24" s="468">
        <v>2019200253</v>
      </c>
      <c r="D24" s="432" t="s">
        <v>2027</v>
      </c>
      <c r="F24" s="433">
        <f>VLOOKUP(A24,TradesEquity!$1:$1048576,2,FALSE)</f>
        <v>43873</v>
      </c>
      <c r="H24" s="433">
        <f>VLOOKUP(A24,TradesEquity!$1:$1048576,21,FALSE)</f>
        <v>43875</v>
      </c>
      <c r="I24" s="434" t="str">
        <f>IF(VLOOKUP(A24,TradesEquity!$1:$1048576,3,FALSE)="BUY","B","S")</f>
        <v>B</v>
      </c>
      <c r="J24" s="434" t="str">
        <f>VLOOKUP(A24,TradesEquity!$1:$1048576,5,FALSE)</f>
        <v>JP3111200006</v>
      </c>
      <c r="K24" s="432" t="s">
        <v>19</v>
      </c>
      <c r="L24" s="435" t="s">
        <v>2028</v>
      </c>
      <c r="AE24" s="436" t="str">
        <f>VLOOKUP(A24,TradesEquity!$1:$1048576,10,FALSE)</f>
        <v>JPY</v>
      </c>
      <c r="AF24" s="436" t="str">
        <f t="shared" si="1"/>
        <v>JPY</v>
      </c>
      <c r="AG24" s="436" t="str">
        <f t="shared" si="1"/>
        <v>JPY</v>
      </c>
      <c r="AH24" s="436" t="str">
        <f t="shared" si="1"/>
        <v>JPY</v>
      </c>
      <c r="AI24" s="436">
        <f>ABS(VLOOKUP(A24,TradesEquity!$1:$1048576,13,FALSE))</f>
        <v>6700</v>
      </c>
      <c r="AJ24" s="437">
        <v>0</v>
      </c>
      <c r="AK24" s="437">
        <v>1</v>
      </c>
      <c r="AL24" s="436">
        <f>VLOOKUP(A24,TradesEquity!$1:$1048576,11,FALSE)</f>
        <v>1070</v>
      </c>
      <c r="AM24" s="437">
        <v>1</v>
      </c>
      <c r="AN24" s="436">
        <f>ABS(VLOOKUP(A24,TradesEquity!$1:$1048576,14,FALSE))</f>
        <v>7169000</v>
      </c>
      <c r="AO24" s="436">
        <f>ABS(VLOOKUP(A24,TradesEquity!$1:$1048576,15,FALSE))</f>
        <v>4301</v>
      </c>
      <c r="AP24" s="438">
        <f>ABS(VLOOKUP(A24,TradesEquity!$1:$1048576,16,FALSE))</f>
        <v>0</v>
      </c>
      <c r="AQ24" s="367">
        <v>0</v>
      </c>
      <c r="AR24" s="367">
        <v>0</v>
      </c>
      <c r="AS24" s="367">
        <v>0</v>
      </c>
      <c r="AT24" s="367">
        <v>0</v>
      </c>
      <c r="AU24" s="367">
        <v>0</v>
      </c>
      <c r="AV24" s="438">
        <f>ABS(VLOOKUP(A24,TradesEquity!$1:$1048576,18,FALSE))</f>
        <v>7173301</v>
      </c>
      <c r="AW24" s="439">
        <v>0</v>
      </c>
      <c r="AX24" s="440">
        <v>4542</v>
      </c>
      <c r="AY24" s="441" t="s">
        <v>2029</v>
      </c>
      <c r="AZ24" s="442" t="str">
        <f>(VLOOKUP(A24,TradesEquity!$1:$1048576,29,FALSE))</f>
        <v>GSILGB2XXXX</v>
      </c>
      <c r="BA24" s="442" t="str">
        <f>(VLOOKUP(A24,TradesEquity!$1:$1048576,30,FALSE))</f>
        <v>JJSDJPJTXXX</v>
      </c>
      <c r="BB24" s="442">
        <f>(VLOOKUP(A24,TradesEquity!$1:$1048576,31,FALSE))</f>
        <v>6530490016</v>
      </c>
      <c r="BC24" s="442" t="str">
        <f>(VLOOKUP(A24,TradesEquity!$1:$1048576,32,FALSE))</f>
        <v>N</v>
      </c>
      <c r="BI24" s="465" t="str">
        <f>(VLOOKUP(A24,TradesEquity!$1:$1048576,38,FALSE))</f>
        <v xml:space="preserve">                  </v>
      </c>
      <c r="BJ24" s="465" t="str">
        <f>(VLOOKUP(A24,TradesEquity!$1:$1048576,39,FALSE))</f>
        <v xml:space="preserve">                          </v>
      </c>
      <c r="BK24" s="442" t="str">
        <f>(VLOOKUP(A24,TradesEquity!$1:$1048576,40,FALSE))</f>
        <v>GOLDJPJXXXX</v>
      </c>
    </row>
    <row r="25" spans="1:63">
      <c r="A25" s="468">
        <v>2019200254</v>
      </c>
      <c r="D25" s="432" t="s">
        <v>2027</v>
      </c>
      <c r="F25" s="433">
        <f>VLOOKUP(A25,TradesEquity!$1:$1048576,2,FALSE)</f>
        <v>43874</v>
      </c>
      <c r="H25" s="433">
        <f>VLOOKUP(A25,TradesEquity!$1:$1048576,21,FALSE)</f>
        <v>43878</v>
      </c>
      <c r="I25" s="434" t="str">
        <f>IF(VLOOKUP(A25,TradesEquity!$1:$1048576,3,FALSE)="BUY","B","S")</f>
        <v>B</v>
      </c>
      <c r="J25" s="434" t="str">
        <f>VLOOKUP(A25,TradesEquity!$1:$1048576,5,FALSE)</f>
        <v>JP3692000007</v>
      </c>
      <c r="K25" s="432" t="s">
        <v>19</v>
      </c>
      <c r="L25" s="435" t="s">
        <v>2028</v>
      </c>
      <c r="AE25" s="436" t="str">
        <f>VLOOKUP(A25,TradesEquity!$1:$1048576,10,FALSE)</f>
        <v>JPY</v>
      </c>
      <c r="AF25" s="436" t="str">
        <f t="shared" si="1"/>
        <v>JPY</v>
      </c>
      <c r="AG25" s="436" t="str">
        <f t="shared" si="1"/>
        <v>JPY</v>
      </c>
      <c r="AH25" s="436" t="str">
        <f t="shared" si="1"/>
        <v>JPY</v>
      </c>
      <c r="AI25" s="436">
        <f>ABS(VLOOKUP(A25,TradesEquity!$1:$1048576,13,FALSE))</f>
        <v>2100</v>
      </c>
      <c r="AJ25" s="437">
        <v>0</v>
      </c>
      <c r="AK25" s="437">
        <v>1</v>
      </c>
      <c r="AL25" s="436">
        <f>VLOOKUP(A25,TradesEquity!$1:$1048576,11,FALSE)</f>
        <v>1014.2381</v>
      </c>
      <c r="AM25" s="437">
        <v>1</v>
      </c>
      <c r="AN25" s="436">
        <f>ABS(VLOOKUP(A25,TradesEquity!$1:$1048576,14,FALSE))</f>
        <v>2129900.0100000002</v>
      </c>
      <c r="AO25" s="436">
        <f>ABS(VLOOKUP(A25,TradesEquity!$1:$1048576,15,FALSE))</f>
        <v>1278</v>
      </c>
      <c r="AP25" s="438">
        <f>ABS(VLOOKUP(A25,TradesEquity!$1:$1048576,16,FALSE))</f>
        <v>0</v>
      </c>
      <c r="AQ25" s="367">
        <v>0</v>
      </c>
      <c r="AR25" s="367">
        <v>0</v>
      </c>
      <c r="AS25" s="367">
        <v>0</v>
      </c>
      <c r="AT25" s="367">
        <v>0</v>
      </c>
      <c r="AU25" s="367">
        <v>0</v>
      </c>
      <c r="AV25" s="438">
        <f>ABS(VLOOKUP(A25,TradesEquity!$1:$1048576,18,FALSE))</f>
        <v>2131178.0100000002</v>
      </c>
      <c r="AW25" s="439">
        <v>0</v>
      </c>
      <c r="AX25" s="440">
        <v>4542</v>
      </c>
      <c r="AY25" s="441" t="s">
        <v>2029</v>
      </c>
      <c r="AZ25" s="442" t="str">
        <f>(VLOOKUP(A25,TradesEquity!$1:$1048576,29,FALSE))</f>
        <v>GSILGB2XXXX</v>
      </c>
      <c r="BA25" s="442" t="str">
        <f>(VLOOKUP(A25,TradesEquity!$1:$1048576,30,FALSE))</f>
        <v>JJSDJPJTXXX</v>
      </c>
      <c r="BB25" s="442">
        <f>(VLOOKUP(A25,TradesEquity!$1:$1048576,31,FALSE))</f>
        <v>6530490016</v>
      </c>
      <c r="BC25" s="442" t="str">
        <f>(VLOOKUP(A25,TradesEquity!$1:$1048576,32,FALSE))</f>
        <v>N</v>
      </c>
      <c r="BI25" s="465" t="str">
        <f>(VLOOKUP(A25,TradesEquity!$1:$1048576,38,FALSE))</f>
        <v xml:space="preserve">                  </v>
      </c>
      <c r="BJ25" s="465" t="str">
        <f>(VLOOKUP(A25,TradesEquity!$1:$1048576,39,FALSE))</f>
        <v xml:space="preserve">                          </v>
      </c>
      <c r="BK25" s="442" t="str">
        <f>(VLOOKUP(A25,TradesEquity!$1:$1048576,40,FALSE))</f>
        <v>GOLDJPJXXXX</v>
      </c>
    </row>
    <row r="26" spans="1:63">
      <c r="A26" s="468">
        <v>2019200255</v>
      </c>
      <c r="D26" s="432" t="s">
        <v>2027</v>
      </c>
      <c r="F26" s="433">
        <f>VLOOKUP(A26,TradesEquity!$1:$1048576,2,FALSE)</f>
        <v>43875</v>
      </c>
      <c r="H26" s="433">
        <f>VLOOKUP(A26,TradesEquity!$1:$1048576,21,FALSE)</f>
        <v>43879</v>
      </c>
      <c r="I26" s="434" t="str">
        <f>IF(VLOOKUP(A26,TradesEquity!$1:$1048576,3,FALSE)="BUY","B","S")</f>
        <v>B</v>
      </c>
      <c r="J26" s="434" t="str">
        <f>VLOOKUP(A26,TradesEquity!$1:$1048576,5,FALSE)</f>
        <v>JP3692000007</v>
      </c>
      <c r="K26" s="432" t="s">
        <v>19</v>
      </c>
      <c r="L26" s="435" t="s">
        <v>2028</v>
      </c>
      <c r="AE26" s="436" t="str">
        <f>VLOOKUP(A26,TradesEquity!$1:$1048576,10,FALSE)</f>
        <v>JPY</v>
      </c>
      <c r="AF26" s="436" t="str">
        <f t="shared" si="1"/>
        <v>JPY</v>
      </c>
      <c r="AG26" s="436" t="str">
        <f t="shared" si="1"/>
        <v>JPY</v>
      </c>
      <c r="AH26" s="436" t="str">
        <f t="shared" si="1"/>
        <v>JPY</v>
      </c>
      <c r="AI26" s="436">
        <f>ABS(VLOOKUP(A26,TradesEquity!$1:$1048576,13,FALSE))</f>
        <v>4200</v>
      </c>
      <c r="AJ26" s="437">
        <v>0</v>
      </c>
      <c r="AK26" s="437">
        <v>1</v>
      </c>
      <c r="AL26" s="436">
        <f>VLOOKUP(A26,TradesEquity!$1:$1048576,11,FALSE)</f>
        <v>991.44047999999998</v>
      </c>
      <c r="AM26" s="437">
        <v>1</v>
      </c>
      <c r="AN26" s="436">
        <f>ABS(VLOOKUP(A26,TradesEquity!$1:$1048576,14,FALSE))</f>
        <v>4164050.0159999998</v>
      </c>
      <c r="AO26" s="436">
        <f>ABS(VLOOKUP(A26,TradesEquity!$1:$1048576,15,FALSE))</f>
        <v>2498</v>
      </c>
      <c r="AP26" s="438">
        <f>ABS(VLOOKUP(A26,TradesEquity!$1:$1048576,16,FALSE))</f>
        <v>0</v>
      </c>
      <c r="AQ26" s="367">
        <v>0</v>
      </c>
      <c r="AR26" s="367">
        <v>0</v>
      </c>
      <c r="AS26" s="367">
        <v>0</v>
      </c>
      <c r="AT26" s="367">
        <v>0</v>
      </c>
      <c r="AU26" s="367">
        <v>0</v>
      </c>
      <c r="AV26" s="438">
        <f>ABS(VLOOKUP(A26,TradesEquity!$1:$1048576,18,FALSE))</f>
        <v>4166548.0159999998</v>
      </c>
      <c r="AW26" s="439">
        <v>0</v>
      </c>
      <c r="AX26" s="440">
        <v>4542</v>
      </c>
      <c r="AY26" s="441" t="s">
        <v>2029</v>
      </c>
      <c r="AZ26" s="442" t="str">
        <f>(VLOOKUP(A26,TradesEquity!$1:$1048576,29,FALSE))</f>
        <v>GSILGB2XXXX</v>
      </c>
      <c r="BA26" s="442" t="str">
        <f>(VLOOKUP(A26,TradesEquity!$1:$1048576,30,FALSE))</f>
        <v>JJSDJPJTXXX</v>
      </c>
      <c r="BB26" s="442">
        <f>(VLOOKUP(A26,TradesEquity!$1:$1048576,31,FALSE))</f>
        <v>6530490016</v>
      </c>
      <c r="BC26" s="442" t="str">
        <f>(VLOOKUP(A26,TradesEquity!$1:$1048576,32,FALSE))</f>
        <v>N</v>
      </c>
      <c r="BI26" s="465" t="str">
        <f>(VLOOKUP(A26,TradesEquity!$1:$1048576,38,FALSE))</f>
        <v xml:space="preserve">                  </v>
      </c>
      <c r="BJ26" s="465" t="str">
        <f>(VLOOKUP(A26,TradesEquity!$1:$1048576,39,FALSE))</f>
        <v xml:space="preserve">                          </v>
      </c>
      <c r="BK26" s="442" t="str">
        <f>(VLOOKUP(A26,TradesEquity!$1:$1048576,40,FALSE))</f>
        <v>GOLDJPJXXXX</v>
      </c>
    </row>
    <row r="27" spans="1:63">
      <c r="A27" s="468">
        <v>2019200256</v>
      </c>
      <c r="D27" s="432" t="s">
        <v>2027</v>
      </c>
      <c r="F27" s="433">
        <f>VLOOKUP(A27,TradesEquity!$1:$1048576,2,FALSE)</f>
        <v>43881</v>
      </c>
      <c r="H27" s="433">
        <f>VLOOKUP(A27,TradesEquity!$1:$1048576,21,FALSE)</f>
        <v>43885</v>
      </c>
      <c r="I27" s="434" t="str">
        <f>IF(VLOOKUP(A27,TradesEquity!$1:$1048576,3,FALSE)="BUY","B","S")</f>
        <v>B</v>
      </c>
      <c r="J27" s="434" t="str">
        <f>VLOOKUP(A27,TradesEquity!$1:$1048576,5,FALSE)</f>
        <v>FR0000131757</v>
      </c>
      <c r="K27" s="432" t="s">
        <v>19</v>
      </c>
      <c r="L27" s="435" t="s">
        <v>2028</v>
      </c>
      <c r="AE27" s="436" t="str">
        <f>VLOOKUP(A27,TradesEquity!$1:$1048576,10,FALSE)</f>
        <v>EUR</v>
      </c>
      <c r="AF27" s="436" t="str">
        <f t="shared" si="1"/>
        <v>EUR</v>
      </c>
      <c r="AG27" s="436" t="str">
        <f t="shared" si="1"/>
        <v>EUR</v>
      </c>
      <c r="AH27" s="436" t="str">
        <f t="shared" si="1"/>
        <v>EUR</v>
      </c>
      <c r="AI27" s="436">
        <f>ABS(VLOOKUP(A27,TradesEquity!$1:$1048576,13,FALSE))</f>
        <v>1300</v>
      </c>
      <c r="AJ27" s="437">
        <v>0</v>
      </c>
      <c r="AK27" s="437">
        <v>1</v>
      </c>
      <c r="AL27" s="436">
        <f>VLOOKUP(A27,TradesEquity!$1:$1048576,11,FALSE)</f>
        <v>32.887500000000003</v>
      </c>
      <c r="AM27" s="437">
        <v>1</v>
      </c>
      <c r="AN27" s="436">
        <f>ABS(VLOOKUP(A27,TradesEquity!$1:$1048576,14,FALSE))</f>
        <v>42753.750000000007</v>
      </c>
      <c r="AO27" s="436">
        <f>ABS(VLOOKUP(A27,TradesEquity!$1:$1048576,15,FALSE))</f>
        <v>25.65</v>
      </c>
      <c r="AP27" s="438">
        <f>ABS(VLOOKUP(A27,TradesEquity!$1:$1048576,16,FALSE))</f>
        <v>128.26</v>
      </c>
      <c r="AQ27" s="367">
        <v>0</v>
      </c>
      <c r="AR27" s="367">
        <v>0</v>
      </c>
      <c r="AS27" s="367">
        <v>0</v>
      </c>
      <c r="AT27" s="367">
        <v>0</v>
      </c>
      <c r="AU27" s="367">
        <v>0</v>
      </c>
      <c r="AV27" s="438">
        <f>ABS(VLOOKUP(A27,TradesEquity!$1:$1048576,18,FALSE))</f>
        <v>42907.660000000011</v>
      </c>
      <c r="AW27" s="439">
        <v>0</v>
      </c>
      <c r="AX27" s="440">
        <v>4542</v>
      </c>
      <c r="AY27" s="441" t="s">
        <v>2029</v>
      </c>
      <c r="AZ27" s="442" t="str">
        <f>(VLOOKUP(A27,TradesEquity!$1:$1048576,29,FALSE))</f>
        <v>GSILGB2XXXX</v>
      </c>
      <c r="BA27" s="442" t="str">
        <f>(VLOOKUP(A27,TradesEquity!$1:$1048576,30,FALSE))</f>
        <v>SICVFRPPXXX</v>
      </c>
      <c r="BB27" s="442" t="str">
        <f>(VLOOKUP(A27,TradesEquity!$1:$1048576,31,FALSE))</f>
        <v>SICVPARBFRPPXXX000L10</v>
      </c>
      <c r="BC27" s="442" t="str">
        <f>(VLOOKUP(A27,TradesEquity!$1:$1048576,32,FALSE))</f>
        <v>N</v>
      </c>
      <c r="BI27" s="465" t="str">
        <f>(VLOOKUP(A27,TradesEquity!$1:$1048576,38,FALSE))</f>
        <v xml:space="preserve">        </v>
      </c>
      <c r="BJ27" s="465" t="str">
        <f>(VLOOKUP(A27,TradesEquity!$1:$1048576,39,FALSE))</f>
        <v xml:space="preserve">        </v>
      </c>
      <c r="BK27" s="442" t="str">
        <f>(VLOOKUP(A27,TradesEquity!$1:$1048576,40,FALSE))</f>
        <v>PARBFRPPXXX</v>
      </c>
    </row>
    <row r="28" spans="1:63">
      <c r="A28" s="468">
        <v>2019200257</v>
      </c>
      <c r="D28" s="432" t="s">
        <v>2027</v>
      </c>
      <c r="F28" s="433">
        <f>VLOOKUP(A28,TradesEquity!$1:$1048576,2,FALSE)</f>
        <v>43885</v>
      </c>
      <c r="H28" s="433">
        <f>VLOOKUP(A28,TradesEquity!$1:$1048576,21,FALSE)</f>
        <v>43887</v>
      </c>
      <c r="I28" s="434" t="str">
        <f>IF(VLOOKUP(A28,TradesEquity!$1:$1048576,3,FALSE)="BUY","B","S")</f>
        <v>B</v>
      </c>
      <c r="J28" s="434" t="str">
        <f>VLOOKUP(A28,TradesEquity!$1:$1048576,5,FALSE)</f>
        <v>DE0007664039</v>
      </c>
      <c r="K28" s="432" t="s">
        <v>19</v>
      </c>
      <c r="L28" s="435" t="s">
        <v>2028</v>
      </c>
      <c r="AE28" s="436" t="str">
        <f>VLOOKUP(A28,TradesEquity!$1:$1048576,10,FALSE)</f>
        <v>EUR</v>
      </c>
      <c r="AF28" s="436" t="str">
        <f t="shared" si="1"/>
        <v>EUR</v>
      </c>
      <c r="AG28" s="436" t="str">
        <f t="shared" si="1"/>
        <v>EUR</v>
      </c>
      <c r="AH28" s="436" t="str">
        <f t="shared" si="1"/>
        <v>EUR</v>
      </c>
      <c r="AI28" s="436">
        <f>ABS(VLOOKUP(A28,TradesEquity!$1:$1048576,13,FALSE))</f>
        <v>400</v>
      </c>
      <c r="AJ28" s="437">
        <v>0</v>
      </c>
      <c r="AK28" s="437">
        <v>1</v>
      </c>
      <c r="AL28" s="436">
        <f>VLOOKUP(A28,TradesEquity!$1:$1048576,11,FALSE)</f>
        <v>158.07650000000001</v>
      </c>
      <c r="AM28" s="437">
        <v>1</v>
      </c>
      <c r="AN28" s="436">
        <f>ABS(VLOOKUP(A28,TradesEquity!$1:$1048576,14,FALSE))</f>
        <v>63230.600000000006</v>
      </c>
      <c r="AO28" s="436">
        <f>ABS(VLOOKUP(A28,TradesEquity!$1:$1048576,15,FALSE))</f>
        <v>31.62</v>
      </c>
      <c r="AP28" s="438">
        <f>ABS(VLOOKUP(A28,TradesEquity!$1:$1048576,16,FALSE))</f>
        <v>0</v>
      </c>
      <c r="AQ28" s="367">
        <v>0</v>
      </c>
      <c r="AR28" s="367">
        <v>0</v>
      </c>
      <c r="AS28" s="367">
        <v>0</v>
      </c>
      <c r="AT28" s="367">
        <v>0</v>
      </c>
      <c r="AU28" s="367">
        <v>0</v>
      </c>
      <c r="AV28" s="438">
        <f>ABS(VLOOKUP(A28,TradesEquity!$1:$1048576,18,FALSE))</f>
        <v>63262.220000000008</v>
      </c>
      <c r="AW28" s="439">
        <v>0</v>
      </c>
      <c r="AX28" s="440">
        <v>4542</v>
      </c>
      <c r="AY28" s="441" t="s">
        <v>2029</v>
      </c>
      <c r="AZ28" s="442" t="str">
        <f>(VLOOKUP(A28,TradesEquity!$1:$1048576,29,FALSE))</f>
        <v>PAREFRPPXXX</v>
      </c>
      <c r="BA28" s="442" t="str">
        <f>(VLOOKUP(A28,TradesEquity!$1:$1048576,30,FALSE))</f>
        <v>DAKVDEFFXXX</v>
      </c>
      <c r="BB28" s="442" t="str">
        <f>(VLOOKUP(A28,TradesEquity!$1:$1048576,31,FALSE))</f>
        <v>DAKV 8448</v>
      </c>
      <c r="BC28" s="442" t="str">
        <f>(VLOOKUP(A28,TradesEquity!$1:$1048576,32,FALSE))</f>
        <v>N</v>
      </c>
      <c r="BI28" s="465" t="str">
        <f>(VLOOKUP(A28,TradesEquity!$1:$1048576,38,FALSE))</f>
        <v xml:space="preserve">        </v>
      </c>
      <c r="BJ28" s="465" t="str">
        <f>(VLOOKUP(A28,TradesEquity!$1:$1048576,39,FALSE))</f>
        <v xml:space="preserve">        </v>
      </c>
      <c r="BK28" s="442" t="str">
        <f>(VLOOKUP(A28,TradesEquity!$1:$1048576,40,FALSE))</f>
        <v>SGABCHZZ448</v>
      </c>
    </row>
    <row r="29" spans="1:63">
      <c r="A29" s="468">
        <v>2019200258</v>
      </c>
      <c r="D29" s="432" t="s">
        <v>2027</v>
      </c>
      <c r="F29" s="433">
        <f>VLOOKUP(A29,TradesEquity!$1:$1048576,2,FALSE)</f>
        <v>43885</v>
      </c>
      <c r="H29" s="433">
        <f>VLOOKUP(A29,TradesEquity!$1:$1048576,21,FALSE)</f>
        <v>43887</v>
      </c>
      <c r="I29" s="434" t="str">
        <f>IF(VLOOKUP(A29,TradesEquity!$1:$1048576,3,FALSE)="BUY","B","S")</f>
        <v>B</v>
      </c>
      <c r="J29" s="434" t="str">
        <f>VLOOKUP(A29,TradesEquity!$1:$1048576,5,FALSE)</f>
        <v>FR0013176526</v>
      </c>
      <c r="K29" s="432" t="s">
        <v>19</v>
      </c>
      <c r="L29" s="435" t="s">
        <v>2028</v>
      </c>
      <c r="AE29" s="436" t="str">
        <f>VLOOKUP(A29,TradesEquity!$1:$1048576,10,FALSE)</f>
        <v>EUR</v>
      </c>
      <c r="AF29" s="436" t="str">
        <f t="shared" si="1"/>
        <v>EUR</v>
      </c>
      <c r="AG29" s="436" t="str">
        <f t="shared" si="1"/>
        <v>EUR</v>
      </c>
      <c r="AH29" s="436" t="str">
        <f t="shared" si="1"/>
        <v>EUR</v>
      </c>
      <c r="AI29" s="436">
        <f>ABS(VLOOKUP(A29,TradesEquity!$1:$1048576,13,FALSE))</f>
        <v>1300</v>
      </c>
      <c r="AJ29" s="437">
        <v>0</v>
      </c>
      <c r="AK29" s="437">
        <v>1</v>
      </c>
      <c r="AL29" s="436">
        <f>VLOOKUP(A29,TradesEquity!$1:$1048576,11,FALSE)</f>
        <v>25.2135</v>
      </c>
      <c r="AM29" s="437">
        <v>1</v>
      </c>
      <c r="AN29" s="436">
        <f>ABS(VLOOKUP(A29,TradesEquity!$1:$1048576,14,FALSE))</f>
        <v>32777.550000000003</v>
      </c>
      <c r="AO29" s="436">
        <f>ABS(VLOOKUP(A29,TradesEquity!$1:$1048576,15,FALSE))</f>
        <v>16.39</v>
      </c>
      <c r="AP29" s="438">
        <f>ABS(VLOOKUP(A29,TradesEquity!$1:$1048576,16,FALSE))</f>
        <v>98.33</v>
      </c>
      <c r="AQ29" s="367">
        <v>0</v>
      </c>
      <c r="AR29" s="367">
        <v>0</v>
      </c>
      <c r="AS29" s="367">
        <v>0</v>
      </c>
      <c r="AT29" s="367">
        <v>0</v>
      </c>
      <c r="AU29" s="367">
        <v>0</v>
      </c>
      <c r="AV29" s="438">
        <f>ABS(VLOOKUP(A29,TradesEquity!$1:$1048576,18,FALSE))</f>
        <v>32892.270000000004</v>
      </c>
      <c r="AW29" s="439">
        <v>0</v>
      </c>
      <c r="AX29" s="440">
        <v>4542</v>
      </c>
      <c r="AY29" s="441" t="s">
        <v>2029</v>
      </c>
      <c r="AZ29" s="442" t="str">
        <f>(VLOOKUP(A29,TradesEquity!$1:$1048576,29,FALSE))</f>
        <v>JBBRFRPPXXX</v>
      </c>
      <c r="BA29" s="442" t="str">
        <f>(VLOOKUP(A29,TradesEquity!$1:$1048576,30,FALSE))</f>
        <v>SICVFRPPXXX</v>
      </c>
      <c r="BB29" s="442" t="str">
        <f>(VLOOKUP(A29,TradesEquity!$1:$1048576,31,FALSE))</f>
        <v>SICVPAREFRPPKCH000L10</v>
      </c>
      <c r="BC29" s="442" t="str">
        <f>(VLOOKUP(A29,TradesEquity!$1:$1048576,32,FALSE))</f>
        <v>N</v>
      </c>
      <c r="BI29" s="465" t="str">
        <f>(VLOOKUP(A29,TradesEquity!$1:$1048576,38,FALSE))</f>
        <v xml:space="preserve">        </v>
      </c>
      <c r="BJ29" s="465" t="str">
        <f>(VLOOKUP(A29,TradesEquity!$1:$1048576,39,FALSE))</f>
        <v xml:space="preserve">        </v>
      </c>
      <c r="BK29" s="442" t="str">
        <f>(VLOOKUP(A29,TradesEquity!$1:$1048576,40,FALSE))</f>
        <v>PAREFRPPKCH</v>
      </c>
    </row>
    <row r="30" spans="1:63">
      <c r="A30" s="468">
        <v>2019200259</v>
      </c>
      <c r="D30" s="432" t="s">
        <v>2027</v>
      </c>
      <c r="F30" s="433">
        <f>VLOOKUP(A30,TradesEquity!$1:$1048576,2,FALSE)</f>
        <v>43886</v>
      </c>
      <c r="H30" s="433">
        <f>VLOOKUP(A30,TradesEquity!$1:$1048576,21,FALSE)</f>
        <v>43888</v>
      </c>
      <c r="I30" s="434" t="str">
        <f>IF(VLOOKUP(A30,TradesEquity!$1:$1048576,3,FALSE)="BUY","B","S")</f>
        <v>B</v>
      </c>
      <c r="J30" s="434" t="str">
        <f>VLOOKUP(A30,TradesEquity!$1:$1048576,5,FALSE)</f>
        <v>US3434121022</v>
      </c>
      <c r="K30" s="432" t="s">
        <v>19</v>
      </c>
      <c r="L30" s="435" t="s">
        <v>2028</v>
      </c>
      <c r="AE30" s="436" t="str">
        <f>VLOOKUP(A30,TradesEquity!$1:$1048576,10,FALSE)</f>
        <v>USD</v>
      </c>
      <c r="AF30" s="436" t="str">
        <f t="shared" si="1"/>
        <v>USD</v>
      </c>
      <c r="AG30" s="436" t="str">
        <f t="shared" si="1"/>
        <v>USD</v>
      </c>
      <c r="AH30" s="436" t="str">
        <f t="shared" si="1"/>
        <v>USD</v>
      </c>
      <c r="AI30" s="436">
        <f>ABS(VLOOKUP(A30,TradesEquity!$1:$1048576,13,FALSE))</f>
        <v>2200</v>
      </c>
      <c r="AJ30" s="437">
        <v>0</v>
      </c>
      <c r="AK30" s="437">
        <v>1</v>
      </c>
      <c r="AL30" s="436">
        <f>VLOOKUP(A30,TradesEquity!$1:$1048576,11,FALSE)</f>
        <v>12.64432</v>
      </c>
      <c r="AM30" s="437">
        <v>1</v>
      </c>
      <c r="AN30" s="436">
        <f>ABS(VLOOKUP(A30,TradesEquity!$1:$1048576,14,FALSE))</f>
        <v>27817.504000000001</v>
      </c>
      <c r="AO30" s="436">
        <f>ABS(VLOOKUP(A30,TradesEquity!$1:$1048576,15,FALSE))</f>
        <v>13.91</v>
      </c>
      <c r="AP30" s="438">
        <f>ABS(VLOOKUP(A30,TradesEquity!$1:$1048576,16,FALSE))</f>
        <v>0</v>
      </c>
      <c r="AQ30" s="367">
        <v>0</v>
      </c>
      <c r="AR30" s="367">
        <v>0</v>
      </c>
      <c r="AS30" s="367">
        <v>0</v>
      </c>
      <c r="AT30" s="367">
        <v>0</v>
      </c>
      <c r="AU30" s="367">
        <v>0</v>
      </c>
      <c r="AV30" s="438">
        <f>ABS(VLOOKUP(A30,TradesEquity!$1:$1048576,18,FALSE))</f>
        <v>27831.414000000001</v>
      </c>
      <c r="AW30" s="439">
        <v>0</v>
      </c>
      <c r="AX30" s="440">
        <v>4542</v>
      </c>
      <c r="AY30" s="441" t="s">
        <v>2029</v>
      </c>
      <c r="AZ30" s="442" t="str">
        <f>(VLOOKUP(A30,TradesEquity!$1:$1048576,29,FALSE))</f>
        <v>GSILGB2XXXX</v>
      </c>
      <c r="BA30" s="442" t="str">
        <f>(VLOOKUP(A30,TradesEquity!$1:$1048576,30,FALSE))</f>
        <v>DTCYUS33</v>
      </c>
      <c r="BB30" s="442" t="str">
        <f>(VLOOKUP(A30,TradesEquity!$1:$1048576,31,FALSE))</f>
        <v xml:space="preserve">        </v>
      </c>
      <c r="BC30" s="442" t="str">
        <f>(VLOOKUP(A30,TradesEquity!$1:$1048576,32,FALSE))</f>
        <v>N</v>
      </c>
      <c r="BI30" s="465" t="str">
        <f>(VLOOKUP(A30,TradesEquity!$1:$1048576,38,FALSE))</f>
        <v>DTCYID</v>
      </c>
      <c r="BJ30" s="465">
        <f>(VLOOKUP(A30,TradesEquity!$1:$1048576,39,FALSE))</f>
        <v>5208</v>
      </c>
      <c r="BK30" s="442" t="str">
        <f>(VLOOKUP(A30,TradesEquity!$1:$1048576,40,FALSE))</f>
        <v xml:space="preserve">        </v>
      </c>
    </row>
    <row r="31" spans="1:63">
      <c r="A31" s="468">
        <v>2019200260</v>
      </c>
      <c r="D31" s="432" t="s">
        <v>2027</v>
      </c>
      <c r="F31" s="433">
        <f>VLOOKUP(A31,TradesEquity!$1:$1048576,2,FALSE)</f>
        <v>43888</v>
      </c>
      <c r="H31" s="433">
        <f>VLOOKUP(A31,TradesEquity!$1:$1048576,21,FALSE)</f>
        <v>43892</v>
      </c>
      <c r="I31" s="434" t="str">
        <f>IF(VLOOKUP(A31,TradesEquity!$1:$1048576,3,FALSE)="BUY","B","S")</f>
        <v>B</v>
      </c>
      <c r="J31" s="434" t="str">
        <f>VLOOKUP(A31,TradesEquity!$1:$1048576,5,FALSE)</f>
        <v>US3434121022</v>
      </c>
      <c r="K31" s="432" t="s">
        <v>19</v>
      </c>
      <c r="L31" s="435" t="s">
        <v>2028</v>
      </c>
      <c r="AE31" s="436" t="str">
        <f>VLOOKUP(A31,TradesEquity!$1:$1048576,10,FALSE)</f>
        <v>USD</v>
      </c>
      <c r="AF31" s="436" t="str">
        <f t="shared" si="1"/>
        <v>USD</v>
      </c>
      <c r="AG31" s="436" t="str">
        <f t="shared" si="1"/>
        <v>USD</v>
      </c>
      <c r="AH31" s="436" t="str">
        <f t="shared" si="1"/>
        <v>USD</v>
      </c>
      <c r="AI31" s="436">
        <f>ABS(VLOOKUP(A31,TradesEquity!$1:$1048576,13,FALSE))</f>
        <v>4200</v>
      </c>
      <c r="AJ31" s="437">
        <v>0</v>
      </c>
      <c r="AK31" s="437">
        <v>1</v>
      </c>
      <c r="AL31" s="436">
        <f>VLOOKUP(A31,TradesEquity!$1:$1048576,11,FALSE)</f>
        <v>9.99512</v>
      </c>
      <c r="AM31" s="437">
        <v>1</v>
      </c>
      <c r="AN31" s="436">
        <f>ABS(VLOOKUP(A31,TradesEquity!$1:$1048576,14,FALSE))</f>
        <v>41979.504000000001</v>
      </c>
      <c r="AO31" s="436">
        <f>ABS(VLOOKUP(A31,TradesEquity!$1:$1048576,15,FALSE))</f>
        <v>20.99</v>
      </c>
      <c r="AP31" s="438">
        <f>ABS(VLOOKUP(A31,TradesEquity!$1:$1048576,16,FALSE))</f>
        <v>0</v>
      </c>
      <c r="AQ31" s="367">
        <v>0</v>
      </c>
      <c r="AR31" s="367">
        <v>0</v>
      </c>
      <c r="AS31" s="367">
        <v>0</v>
      </c>
      <c r="AT31" s="367">
        <v>0</v>
      </c>
      <c r="AU31" s="367">
        <v>0</v>
      </c>
      <c r="AV31" s="438">
        <f>ABS(VLOOKUP(A31,TradesEquity!$1:$1048576,18,FALSE))</f>
        <v>42000.493999999999</v>
      </c>
      <c r="AW31" s="439">
        <v>0</v>
      </c>
      <c r="AX31" s="440">
        <v>4542</v>
      </c>
      <c r="AY31" s="441" t="s">
        <v>2029</v>
      </c>
      <c r="AZ31" s="442" t="str">
        <f>(VLOOKUP(A31,TradesEquity!$1:$1048576,29,FALSE))</f>
        <v>GSILGB2XXXX</v>
      </c>
      <c r="BA31" s="442" t="str">
        <f>(VLOOKUP(A31,TradesEquity!$1:$1048576,30,FALSE))</f>
        <v>DTCYUS33</v>
      </c>
      <c r="BB31" s="442" t="str">
        <f>(VLOOKUP(A31,TradesEquity!$1:$1048576,31,FALSE))</f>
        <v xml:space="preserve">        </v>
      </c>
      <c r="BC31" s="442" t="str">
        <f>(VLOOKUP(A31,TradesEquity!$1:$1048576,32,FALSE))</f>
        <v>N</v>
      </c>
      <c r="BI31" s="465" t="str">
        <f>(VLOOKUP(A31,TradesEquity!$1:$1048576,38,FALSE))</f>
        <v>DTCYID</v>
      </c>
      <c r="BJ31" s="465">
        <f>(VLOOKUP(A31,TradesEquity!$1:$1048576,39,FALSE))</f>
        <v>5208</v>
      </c>
      <c r="BK31" s="442" t="str">
        <f>(VLOOKUP(A31,TradesEquity!$1:$1048576,40,FALSE))</f>
        <v xml:space="preserve">        </v>
      </c>
    </row>
    <row r="32" spans="1:63">
      <c r="A32" s="468">
        <v>2019200261</v>
      </c>
      <c r="D32" s="432" t="s">
        <v>2027</v>
      </c>
      <c r="F32" s="433">
        <f>VLOOKUP(A32,TradesEquity!$1:$1048576,2,FALSE)</f>
        <v>43889</v>
      </c>
      <c r="H32" s="433">
        <f>VLOOKUP(A32,TradesEquity!$1:$1048576,21,FALSE)</f>
        <v>43893</v>
      </c>
      <c r="I32" s="434" t="str">
        <f>IF(VLOOKUP(A32,TradesEquity!$1:$1048576,3,FALSE)="BUY","B","S")</f>
        <v>B</v>
      </c>
      <c r="J32" s="434" t="str">
        <f>VLOOKUP(A32,TradesEquity!$1:$1048576,5,FALSE)</f>
        <v>DE0007664039</v>
      </c>
      <c r="K32" s="432" t="s">
        <v>19</v>
      </c>
      <c r="L32" s="435" t="s">
        <v>2028</v>
      </c>
      <c r="AE32" s="436" t="str">
        <f>VLOOKUP(A32,TradesEquity!$1:$1048576,10,FALSE)</f>
        <v>EUR</v>
      </c>
      <c r="AF32" s="436" t="str">
        <f t="shared" si="1"/>
        <v>EUR</v>
      </c>
      <c r="AG32" s="436" t="str">
        <f t="shared" si="1"/>
        <v>EUR</v>
      </c>
      <c r="AH32" s="436" t="str">
        <f t="shared" si="1"/>
        <v>EUR</v>
      </c>
      <c r="AI32" s="436">
        <f>ABS(VLOOKUP(A32,TradesEquity!$1:$1048576,13,FALSE))</f>
        <v>370</v>
      </c>
      <c r="AJ32" s="437">
        <v>0</v>
      </c>
      <c r="AK32" s="437">
        <v>1</v>
      </c>
      <c r="AL32" s="436">
        <f>VLOOKUP(A32,TradesEquity!$1:$1048576,11,FALSE)</f>
        <v>143.66499999999999</v>
      </c>
      <c r="AM32" s="437">
        <v>1</v>
      </c>
      <c r="AN32" s="436">
        <f>ABS(VLOOKUP(A32,TradesEquity!$1:$1048576,14,FALSE))</f>
        <v>53156.049999999996</v>
      </c>
      <c r="AO32" s="436">
        <f>ABS(VLOOKUP(A32,TradesEquity!$1:$1048576,15,FALSE))</f>
        <v>26.58</v>
      </c>
      <c r="AP32" s="438">
        <f>ABS(VLOOKUP(A32,TradesEquity!$1:$1048576,16,FALSE))</f>
        <v>0</v>
      </c>
      <c r="AQ32" s="367">
        <v>0</v>
      </c>
      <c r="AR32" s="367">
        <v>0</v>
      </c>
      <c r="AS32" s="367">
        <v>0</v>
      </c>
      <c r="AT32" s="367">
        <v>0</v>
      </c>
      <c r="AU32" s="367">
        <v>0</v>
      </c>
      <c r="AV32" s="438">
        <f>ABS(VLOOKUP(A32,TradesEquity!$1:$1048576,18,FALSE))</f>
        <v>53182.63</v>
      </c>
      <c r="AW32" s="439">
        <v>0</v>
      </c>
      <c r="AX32" s="440">
        <v>4542</v>
      </c>
      <c r="AY32" s="441" t="s">
        <v>2029</v>
      </c>
      <c r="AZ32" s="442" t="str">
        <f>(VLOOKUP(A32,TradesEquity!$1:$1048576,29,FALSE))</f>
        <v>PAREFRPPXXX</v>
      </c>
      <c r="BA32" s="442" t="str">
        <f>(VLOOKUP(A32,TradesEquity!$1:$1048576,30,FALSE))</f>
        <v>DAKVDEFFXXX</v>
      </c>
      <c r="BB32" s="442" t="str">
        <f>(VLOOKUP(A32,TradesEquity!$1:$1048576,31,FALSE))</f>
        <v>DAKV 8448</v>
      </c>
      <c r="BC32" s="442" t="str">
        <f>(VLOOKUP(A32,TradesEquity!$1:$1048576,32,FALSE))</f>
        <v>N</v>
      </c>
      <c r="BI32" s="465" t="str">
        <f>(VLOOKUP(A32,TradesEquity!$1:$1048576,38,FALSE))</f>
        <v xml:space="preserve">        </v>
      </c>
      <c r="BJ32" s="465" t="str">
        <f>(VLOOKUP(A32,TradesEquity!$1:$1048576,39,FALSE))</f>
        <v xml:space="preserve">        </v>
      </c>
      <c r="BK32" s="442" t="str">
        <f>(VLOOKUP(A32,TradesEquity!$1:$1048576,40,FALSE))</f>
        <v>SGABCHZZ448</v>
      </c>
    </row>
    <row r="33" spans="1:63">
      <c r="A33" s="468">
        <v>2019200262</v>
      </c>
      <c r="D33" s="432" t="s">
        <v>2027</v>
      </c>
      <c r="F33" s="433">
        <f>VLOOKUP(A33,TradesEquity!$1:$1048576,2,FALSE)</f>
        <v>43889</v>
      </c>
      <c r="H33" s="433">
        <f>VLOOKUP(A33,TradesEquity!$1:$1048576,21,FALSE)</f>
        <v>43893</v>
      </c>
      <c r="I33" s="434" t="str">
        <f>IF(VLOOKUP(A33,TradesEquity!$1:$1048576,3,FALSE)="BUY","B","S")</f>
        <v>B</v>
      </c>
      <c r="J33" s="434" t="str">
        <f>VLOOKUP(A33,TradesEquity!$1:$1048576,5,FALSE)</f>
        <v>FR0000131906</v>
      </c>
      <c r="K33" s="432" t="s">
        <v>19</v>
      </c>
      <c r="L33" s="435" t="s">
        <v>2028</v>
      </c>
      <c r="AE33" s="436" t="str">
        <f>VLOOKUP(A33,TradesEquity!$1:$1048576,10,FALSE)</f>
        <v>EUR</v>
      </c>
      <c r="AF33" s="436" t="str">
        <f t="shared" si="1"/>
        <v>EUR</v>
      </c>
      <c r="AG33" s="436" t="str">
        <f t="shared" si="1"/>
        <v>EUR</v>
      </c>
      <c r="AH33" s="436" t="str">
        <f t="shared" si="1"/>
        <v>EUR</v>
      </c>
      <c r="AI33" s="436">
        <f>ABS(VLOOKUP(A33,TradesEquity!$1:$1048576,13,FALSE))</f>
        <v>2000</v>
      </c>
      <c r="AJ33" s="437">
        <v>0</v>
      </c>
      <c r="AK33" s="437">
        <v>1</v>
      </c>
      <c r="AL33" s="436">
        <f>VLOOKUP(A33,TradesEquity!$1:$1048576,11,FALSE)</f>
        <v>26.145900000000001</v>
      </c>
      <c r="AM33" s="437">
        <v>1</v>
      </c>
      <c r="AN33" s="436">
        <f>ABS(VLOOKUP(A33,TradesEquity!$1:$1048576,14,FALSE))</f>
        <v>52291.8</v>
      </c>
      <c r="AO33" s="436">
        <f>ABS(VLOOKUP(A33,TradesEquity!$1:$1048576,15,FALSE))</f>
        <v>26.15</v>
      </c>
      <c r="AP33" s="438">
        <f>ABS(VLOOKUP(A33,TradesEquity!$1:$1048576,16,FALSE))</f>
        <v>156.88</v>
      </c>
      <c r="AQ33" s="367">
        <v>0</v>
      </c>
      <c r="AR33" s="367">
        <v>0</v>
      </c>
      <c r="AS33" s="367">
        <v>0</v>
      </c>
      <c r="AT33" s="367">
        <v>0</v>
      </c>
      <c r="AU33" s="367">
        <v>0</v>
      </c>
      <c r="AV33" s="438">
        <f>ABS(VLOOKUP(A33,TradesEquity!$1:$1048576,18,FALSE))</f>
        <v>52474.83</v>
      </c>
      <c r="AW33" s="439">
        <v>0</v>
      </c>
      <c r="AX33" s="440">
        <v>4542</v>
      </c>
      <c r="AY33" s="441" t="s">
        <v>2029</v>
      </c>
      <c r="AZ33" s="442" t="str">
        <f>(VLOOKUP(A33,TradesEquity!$1:$1048576,29,FALSE))</f>
        <v>JBBRFRPPXXX</v>
      </c>
      <c r="BA33" s="442" t="str">
        <f>(VLOOKUP(A33,TradesEquity!$1:$1048576,30,FALSE))</f>
        <v>SICVFRPPXXX</v>
      </c>
      <c r="BB33" s="442" t="str">
        <f>(VLOOKUP(A33,TradesEquity!$1:$1048576,31,FALSE))</f>
        <v>SICVPAREFRPPKCH000L10</v>
      </c>
      <c r="BC33" s="442" t="str">
        <f>(VLOOKUP(A33,TradesEquity!$1:$1048576,32,FALSE))</f>
        <v>N</v>
      </c>
      <c r="BI33" s="465" t="str">
        <f>(VLOOKUP(A33,TradesEquity!$1:$1048576,38,FALSE))</f>
        <v xml:space="preserve">        </v>
      </c>
      <c r="BJ33" s="465" t="str">
        <f>(VLOOKUP(A33,TradesEquity!$1:$1048576,39,FALSE))</f>
        <v xml:space="preserve">        </v>
      </c>
      <c r="BK33" s="442" t="str">
        <f>(VLOOKUP(A33,TradesEquity!$1:$1048576,40,FALSE))</f>
        <v>PAREFRPPKCH</v>
      </c>
    </row>
    <row r="34" spans="1:63">
      <c r="A34" s="468">
        <v>2019200263</v>
      </c>
      <c r="D34" s="432" t="s">
        <v>2027</v>
      </c>
      <c r="F34" s="433">
        <f>VLOOKUP(A34,TradesEquity!$1:$1048576,2,FALSE)</f>
        <v>43889</v>
      </c>
      <c r="H34" s="433">
        <f>VLOOKUP(A34,TradesEquity!$1:$1048576,21,FALSE)</f>
        <v>43893</v>
      </c>
      <c r="I34" s="434" t="str">
        <f>IF(VLOOKUP(A34,TradesEquity!$1:$1048576,3,FALSE)="BUY","B","S")</f>
        <v>S</v>
      </c>
      <c r="J34" s="434" t="str">
        <f>VLOOKUP(A34,TradesEquity!$1:$1048576,5,FALSE)</f>
        <v>DE0005190003</v>
      </c>
      <c r="K34" s="432" t="s">
        <v>19</v>
      </c>
      <c r="L34" s="435" t="s">
        <v>2028</v>
      </c>
      <c r="AE34" s="436" t="str">
        <f>VLOOKUP(A34,TradesEquity!$1:$1048576,10,FALSE)</f>
        <v>EUR</v>
      </c>
      <c r="AF34" s="436" t="str">
        <f t="shared" si="1"/>
        <v>EUR</v>
      </c>
      <c r="AG34" s="436" t="str">
        <f t="shared" si="1"/>
        <v>EUR</v>
      </c>
      <c r="AH34" s="436" t="str">
        <f t="shared" si="1"/>
        <v>EUR</v>
      </c>
      <c r="AI34" s="436">
        <f>ABS(VLOOKUP(A34,TradesEquity!$1:$1048576,13,FALSE))</f>
        <v>1000</v>
      </c>
      <c r="AJ34" s="437">
        <v>0</v>
      </c>
      <c r="AK34" s="437">
        <v>1</v>
      </c>
      <c r="AL34" s="436">
        <f>VLOOKUP(A34,TradesEquity!$1:$1048576,11,FALSE)</f>
        <v>57.8249</v>
      </c>
      <c r="AM34" s="437">
        <v>1</v>
      </c>
      <c r="AN34" s="436">
        <f>ABS(VLOOKUP(A34,TradesEquity!$1:$1048576,14,FALSE))</f>
        <v>57824.9</v>
      </c>
      <c r="AO34" s="436">
        <f>ABS(VLOOKUP(A34,TradesEquity!$1:$1048576,15,FALSE))</f>
        <v>28.91</v>
      </c>
      <c r="AP34" s="438">
        <f>ABS(VLOOKUP(A34,TradesEquity!$1:$1048576,16,FALSE))</f>
        <v>0</v>
      </c>
      <c r="AQ34" s="367">
        <v>0</v>
      </c>
      <c r="AR34" s="367">
        <v>0</v>
      </c>
      <c r="AS34" s="367">
        <v>0</v>
      </c>
      <c r="AT34" s="367">
        <v>0</v>
      </c>
      <c r="AU34" s="367">
        <v>0</v>
      </c>
      <c r="AV34" s="438">
        <f>ABS(VLOOKUP(A34,TradesEquity!$1:$1048576,18,FALSE))</f>
        <v>57795.99</v>
      </c>
      <c r="AW34" s="439">
        <v>0</v>
      </c>
      <c r="AX34" s="440">
        <v>4542</v>
      </c>
      <c r="AY34" s="441" t="s">
        <v>2029</v>
      </c>
      <c r="AZ34" s="442" t="str">
        <f>(VLOOKUP(A34,TradesEquity!$1:$1048576,29,FALSE))</f>
        <v>PAREFRPPXXX</v>
      </c>
      <c r="BA34" s="442" t="str">
        <f>(VLOOKUP(A34,TradesEquity!$1:$1048576,30,FALSE))</f>
        <v>DAKVDEFFXXX</v>
      </c>
      <c r="BB34" s="442" t="str">
        <f>(VLOOKUP(A34,TradesEquity!$1:$1048576,31,FALSE))</f>
        <v>DAKV 8448</v>
      </c>
      <c r="BC34" s="442" t="str">
        <f>(VLOOKUP(A34,TradesEquity!$1:$1048576,32,FALSE))</f>
        <v>N</v>
      </c>
      <c r="BI34" s="465" t="str">
        <f>(VLOOKUP(A34,TradesEquity!$1:$1048576,38,FALSE))</f>
        <v xml:space="preserve">        </v>
      </c>
      <c r="BJ34" s="465" t="str">
        <f>(VLOOKUP(A34,TradesEquity!$1:$1048576,39,FALSE))</f>
        <v xml:space="preserve">        </v>
      </c>
      <c r="BK34" s="442" t="str">
        <f>(VLOOKUP(A34,TradesEquity!$1:$1048576,40,FALSE))</f>
        <v>SGABCHZZ448</v>
      </c>
    </row>
    <row r="35" spans="1:63">
      <c r="A35" s="468">
        <v>2019200264</v>
      </c>
      <c r="D35" s="432" t="s">
        <v>2027</v>
      </c>
      <c r="F35" s="433">
        <f>VLOOKUP(A35,TradesEquity!$1:$1048576,2,FALSE)</f>
        <v>43894</v>
      </c>
      <c r="H35" s="433">
        <f>VLOOKUP(A35,TradesEquity!$1:$1048576,21,FALSE)</f>
        <v>43896</v>
      </c>
      <c r="I35" s="434" t="str">
        <f>IF(VLOOKUP(A35,TradesEquity!$1:$1048576,3,FALSE)="BUY","B","S")</f>
        <v>B</v>
      </c>
      <c r="J35" s="434" t="str">
        <f>VLOOKUP(A35,TradesEquity!$1:$1048576,5,FALSE)</f>
        <v>AU000000WSA9</v>
      </c>
      <c r="K35" s="432" t="s">
        <v>19</v>
      </c>
      <c r="L35" s="435" t="s">
        <v>2028</v>
      </c>
      <c r="AE35" s="436" t="str">
        <f>VLOOKUP(A35,TradesEquity!$1:$1048576,10,FALSE)</f>
        <v>AUD</v>
      </c>
      <c r="AF35" s="436" t="str">
        <f t="shared" si="1"/>
        <v>AUD</v>
      </c>
      <c r="AG35" s="436" t="str">
        <f t="shared" si="1"/>
        <v>AUD</v>
      </c>
      <c r="AH35" s="436" t="str">
        <f t="shared" si="1"/>
        <v>AUD</v>
      </c>
      <c r="AI35" s="436">
        <f>ABS(VLOOKUP(A35,TradesEquity!$1:$1048576,13,FALSE))</f>
        <v>17000</v>
      </c>
      <c r="AJ35" s="437">
        <v>0</v>
      </c>
      <c r="AK35" s="437">
        <v>1</v>
      </c>
      <c r="AL35" s="436">
        <f>VLOOKUP(A35,TradesEquity!$1:$1048576,11,FALSE)</f>
        <v>2.4169200000000002</v>
      </c>
      <c r="AM35" s="437">
        <v>1</v>
      </c>
      <c r="AN35" s="436">
        <f>ABS(VLOOKUP(A35,TradesEquity!$1:$1048576,14,FALSE))</f>
        <v>41087.64</v>
      </c>
      <c r="AO35" s="436">
        <f>ABS(VLOOKUP(A35,TradesEquity!$1:$1048576,15,FALSE))</f>
        <v>24.65</v>
      </c>
      <c r="AP35" s="438">
        <f>ABS(VLOOKUP(A35,TradesEquity!$1:$1048576,16,FALSE))</f>
        <v>0</v>
      </c>
      <c r="AQ35" s="367">
        <v>0</v>
      </c>
      <c r="AR35" s="367">
        <v>0</v>
      </c>
      <c r="AS35" s="367">
        <v>0</v>
      </c>
      <c r="AT35" s="367">
        <v>0</v>
      </c>
      <c r="AU35" s="367">
        <v>0</v>
      </c>
      <c r="AV35" s="438">
        <f>ABS(VLOOKUP(A35,TradesEquity!$1:$1048576,18,FALSE))</f>
        <v>41112.29</v>
      </c>
      <c r="AW35" s="439">
        <v>0</v>
      </c>
      <c r="AX35" s="440">
        <v>4542</v>
      </c>
      <c r="AY35" s="441" t="s">
        <v>2029</v>
      </c>
      <c r="AZ35" s="442" t="str">
        <f>(VLOOKUP(A35,TradesEquity!$1:$1048576,29,FALSE))</f>
        <v>GSILGB2XXXX</v>
      </c>
      <c r="BA35" s="442" t="str">
        <f>(VLOOKUP(A35,TradesEquity!$1:$1048576,30,FALSE))</f>
        <v>CAETAU21</v>
      </c>
      <c r="BB35" s="442" t="str">
        <f>(VLOOKUP(A35,TradesEquity!$1:$1048576,31,FALSE))</f>
        <v>011-109048-061</v>
      </c>
      <c r="BC35" s="442" t="str">
        <f>(VLOOKUP(A35,TradesEquity!$1:$1048576,32,FALSE))</f>
        <v>N</v>
      </c>
      <c r="BI35" s="465" t="str">
        <f>(VLOOKUP(A35,TradesEquity!$1:$1048576,38,FALSE))</f>
        <v xml:space="preserve">        </v>
      </c>
      <c r="BJ35" s="465" t="str">
        <f>(VLOOKUP(A35,TradesEquity!$1:$1048576,39,FALSE))</f>
        <v xml:space="preserve">        </v>
      </c>
      <c r="BK35" s="442" t="str">
        <f>(VLOOKUP(A35,TradesEquity!$1:$1048576,40,FALSE))</f>
        <v>HKBAAU2SSYD</v>
      </c>
    </row>
    <row r="36" spans="1:63">
      <c r="A36" s="468">
        <v>2019200265</v>
      </c>
      <c r="D36" s="432" t="s">
        <v>2027</v>
      </c>
      <c r="F36" s="433">
        <f>VLOOKUP(A36,TradesEquity!$1:$1048576,2,FALSE)</f>
        <v>43894</v>
      </c>
      <c r="H36" s="433">
        <f>VLOOKUP(A36,TradesEquity!$1:$1048576,21,FALSE)</f>
        <v>43896</v>
      </c>
      <c r="I36" s="434" t="str">
        <f>IF(VLOOKUP(A36,TradesEquity!$1:$1048576,3,FALSE)="BUY","B","S")</f>
        <v>B</v>
      </c>
      <c r="J36" s="434" t="str">
        <f>VLOOKUP(A36,TradesEquity!$1:$1048576,5,FALSE)</f>
        <v>JP3402600005</v>
      </c>
      <c r="K36" s="432" t="s">
        <v>19</v>
      </c>
      <c r="L36" s="435" t="s">
        <v>2028</v>
      </c>
      <c r="AE36" s="436" t="str">
        <f>VLOOKUP(A36,TradesEquity!$1:$1048576,10,FALSE)</f>
        <v>JPY</v>
      </c>
      <c r="AF36" s="436" t="str">
        <f t="shared" si="1"/>
        <v>JPY</v>
      </c>
      <c r="AG36" s="436" t="str">
        <f t="shared" si="1"/>
        <v>JPY</v>
      </c>
      <c r="AH36" s="436" t="str">
        <f t="shared" si="1"/>
        <v>JPY</v>
      </c>
      <c r="AI36" s="436">
        <f>ABS(VLOOKUP(A36,TradesEquity!$1:$1048576,13,FALSE))</f>
        <v>4200</v>
      </c>
      <c r="AJ36" s="437">
        <v>0</v>
      </c>
      <c r="AK36" s="437">
        <v>1</v>
      </c>
      <c r="AL36" s="436">
        <f>VLOOKUP(A36,TradesEquity!$1:$1048576,11,FALSE)</f>
        <v>2625</v>
      </c>
      <c r="AM36" s="437">
        <v>1</v>
      </c>
      <c r="AN36" s="436">
        <f>ABS(VLOOKUP(A36,TradesEquity!$1:$1048576,14,FALSE))</f>
        <v>11025000</v>
      </c>
      <c r="AO36" s="436">
        <f>ABS(VLOOKUP(A36,TradesEquity!$1:$1048576,15,FALSE))</f>
        <v>6615</v>
      </c>
      <c r="AP36" s="438">
        <f>ABS(VLOOKUP(A36,TradesEquity!$1:$1048576,16,FALSE))</f>
        <v>0</v>
      </c>
      <c r="AQ36" s="367">
        <v>0</v>
      </c>
      <c r="AR36" s="367">
        <v>0</v>
      </c>
      <c r="AS36" s="367">
        <v>0</v>
      </c>
      <c r="AT36" s="367">
        <v>0</v>
      </c>
      <c r="AU36" s="367">
        <v>0</v>
      </c>
      <c r="AV36" s="438">
        <f>ABS(VLOOKUP(A36,TradesEquity!$1:$1048576,18,FALSE))</f>
        <v>11031615</v>
      </c>
      <c r="AW36" s="439">
        <v>0</v>
      </c>
      <c r="AX36" s="440">
        <v>4542</v>
      </c>
      <c r="AY36" s="441" t="s">
        <v>2029</v>
      </c>
      <c r="AZ36" s="442" t="str">
        <f>(VLOOKUP(A36,TradesEquity!$1:$1048576,29,FALSE))</f>
        <v>GSILGB2XXXX</v>
      </c>
      <c r="BA36" s="442" t="str">
        <f>(VLOOKUP(A36,TradesEquity!$1:$1048576,30,FALSE))</f>
        <v>JJSDJPJTXXX</v>
      </c>
      <c r="BB36" s="442">
        <f>(VLOOKUP(A36,TradesEquity!$1:$1048576,31,FALSE))</f>
        <v>6530490016</v>
      </c>
      <c r="BC36" s="442" t="str">
        <f>(VLOOKUP(A36,TradesEquity!$1:$1048576,32,FALSE))</f>
        <v>N</v>
      </c>
      <c r="BI36" s="465" t="str">
        <f>(VLOOKUP(A36,TradesEquity!$1:$1048576,38,FALSE))</f>
        <v xml:space="preserve">                  </v>
      </c>
      <c r="BJ36" s="465" t="str">
        <f>(VLOOKUP(A36,TradesEquity!$1:$1048576,39,FALSE))</f>
        <v xml:space="preserve">                          </v>
      </c>
      <c r="BK36" s="442" t="str">
        <f>(VLOOKUP(A36,TradesEquity!$1:$1048576,40,FALSE))</f>
        <v>GOLDJPJXXXX</v>
      </c>
    </row>
    <row r="37" spans="1:63">
      <c r="A37" s="468">
        <v>2019200266</v>
      </c>
      <c r="D37" s="432" t="s">
        <v>2027</v>
      </c>
      <c r="F37" s="433">
        <f>VLOOKUP(A37,TradesEquity!$1:$1048576,2,FALSE)</f>
        <v>43899</v>
      </c>
      <c r="H37" s="433">
        <f>VLOOKUP(A37,TradesEquity!$1:$1048576,21,FALSE)</f>
        <v>43902</v>
      </c>
      <c r="I37" s="434" t="str">
        <f>IF(VLOOKUP(A37,TradesEquity!$1:$1048576,3,FALSE)="BUY","B","S")</f>
        <v>S</v>
      </c>
      <c r="J37" s="434" t="str">
        <f>VLOOKUP(A37,TradesEquity!$1:$1048576,5,FALSE)</f>
        <v>KR7006400006</v>
      </c>
      <c r="K37" s="432" t="s">
        <v>19</v>
      </c>
      <c r="L37" s="435" t="s">
        <v>2028</v>
      </c>
      <c r="AE37" s="436" t="str">
        <f>VLOOKUP(A37,TradesEquity!$1:$1048576,10,FALSE)</f>
        <v>KRW</v>
      </c>
      <c r="AF37" s="436" t="str">
        <f t="shared" si="1"/>
        <v>KRW</v>
      </c>
      <c r="AG37" s="436" t="str">
        <f t="shared" si="1"/>
        <v>KRW</v>
      </c>
      <c r="AH37" s="436" t="str">
        <f t="shared" si="1"/>
        <v>KRW</v>
      </c>
      <c r="AI37" s="436">
        <f>ABS(VLOOKUP(A37,TradesEquity!$1:$1048576,13,FALSE))</f>
        <v>400</v>
      </c>
      <c r="AJ37" s="437">
        <v>0</v>
      </c>
      <c r="AK37" s="437">
        <v>1</v>
      </c>
      <c r="AL37" s="436">
        <f>VLOOKUP(A37,TradesEquity!$1:$1048576,11,FALSE)</f>
        <v>289000</v>
      </c>
      <c r="AM37" s="437">
        <v>1</v>
      </c>
      <c r="AN37" s="436">
        <f>ABS(VLOOKUP(A37,TradesEquity!$1:$1048576,14,FALSE))</f>
        <v>115600000</v>
      </c>
      <c r="AO37" s="436">
        <f>ABS(VLOOKUP(A37,TradesEquity!$1:$1048576,15,FALSE))</f>
        <v>173400</v>
      </c>
      <c r="AP37" s="438">
        <f>ABS(VLOOKUP(A37,TradesEquity!$1:$1048576,16,FALSE))</f>
        <v>289000</v>
      </c>
      <c r="AQ37" s="367">
        <v>0</v>
      </c>
      <c r="AR37" s="367">
        <v>0</v>
      </c>
      <c r="AS37" s="367">
        <v>0</v>
      </c>
      <c r="AT37" s="367">
        <v>0</v>
      </c>
      <c r="AU37" s="367">
        <v>0</v>
      </c>
      <c r="AV37" s="438">
        <f>ABS(VLOOKUP(A37,TradesEquity!$1:$1048576,18,FALSE))</f>
        <v>115137600</v>
      </c>
      <c r="AW37" s="439">
        <v>0</v>
      </c>
      <c r="AX37" s="440">
        <v>4542</v>
      </c>
      <c r="AY37" s="441" t="s">
        <v>2029</v>
      </c>
      <c r="AZ37" s="442" t="e">
        <f>(VLOOKUP(A37,TradesEquity!$1:$1048576,29,FALSE))</f>
        <v>#N/A</v>
      </c>
      <c r="BA37" s="442" t="e">
        <f>(VLOOKUP(A37,TradesEquity!$1:$1048576,30,FALSE))</f>
        <v>#N/A</v>
      </c>
      <c r="BB37" s="442" t="e">
        <f>(VLOOKUP(A37,TradesEquity!$1:$1048576,31,FALSE))</f>
        <v>#N/A</v>
      </c>
      <c r="BC37" s="442" t="e">
        <f>(VLOOKUP(A37,TradesEquity!$1:$1048576,32,FALSE))</f>
        <v>#N/A</v>
      </c>
      <c r="BI37" s="465" t="e">
        <f>(VLOOKUP(A37,TradesEquity!$1:$1048576,38,FALSE))</f>
        <v>#N/A</v>
      </c>
      <c r="BJ37" s="465" t="e">
        <f>(VLOOKUP(A37,TradesEquity!$1:$1048576,39,FALSE))</f>
        <v>#N/A</v>
      </c>
      <c r="BK37" s="442" t="e">
        <f>(VLOOKUP(A37,TradesEquity!$1:$1048576,40,FALSE))</f>
        <v>#N/A</v>
      </c>
    </row>
    <row r="38" spans="1:63">
      <c r="A38" s="468">
        <v>2019200267</v>
      </c>
      <c r="D38" s="432" t="s">
        <v>2027</v>
      </c>
      <c r="F38" s="433">
        <f>VLOOKUP(A38,TradesEquity!$1:$1048576,2,FALSE)</f>
        <v>43915</v>
      </c>
      <c r="H38" s="433">
        <f>VLOOKUP(A38,TradesEquity!$1:$1048576,21,FALSE)</f>
        <v>43918</v>
      </c>
      <c r="I38" s="434" t="str">
        <f>IF(VLOOKUP(A38,TradesEquity!$1:$1048576,3,FALSE)="BUY","B","S")</f>
        <v>B</v>
      </c>
      <c r="J38" s="434" t="str">
        <f>VLOOKUP(A38,TradesEquity!$1:$1048576,5,FALSE)</f>
        <v>US55315J1025</v>
      </c>
      <c r="K38" s="432" t="s">
        <v>19</v>
      </c>
      <c r="L38" s="435" t="s">
        <v>2028</v>
      </c>
      <c r="AE38" s="436" t="str">
        <f>VLOOKUP(A38,TradesEquity!$1:$1048576,10,FALSE)</f>
        <v>USD</v>
      </c>
      <c r="AF38" s="436" t="str">
        <f t="shared" si="1"/>
        <v>USD</v>
      </c>
      <c r="AG38" s="436" t="str">
        <f t="shared" si="1"/>
        <v>USD</v>
      </c>
      <c r="AH38" s="436" t="str">
        <f t="shared" si="1"/>
        <v>USD</v>
      </c>
      <c r="AI38" s="436">
        <f>ABS(VLOOKUP(A38,TradesEquity!$1:$1048576,13,FALSE))</f>
        <v>1970</v>
      </c>
      <c r="AJ38" s="437">
        <v>0</v>
      </c>
      <c r="AK38" s="437">
        <v>1</v>
      </c>
      <c r="AL38" s="436">
        <f>VLOOKUP(A38,TradesEquity!$1:$1048576,11,FALSE)</f>
        <v>24.22437</v>
      </c>
      <c r="AM38" s="437">
        <v>1</v>
      </c>
      <c r="AN38" s="436">
        <f>ABS(VLOOKUP(A38,TradesEquity!$1:$1048576,14,FALSE))</f>
        <v>47722.008900000001</v>
      </c>
      <c r="AO38" s="436">
        <f>ABS(VLOOKUP(A38,TradesEquity!$1:$1048576,15,FALSE))</f>
        <v>28.63</v>
      </c>
      <c r="AP38" s="438">
        <f>ABS(VLOOKUP(A38,TradesEquity!$1:$1048576,16,FALSE))</f>
        <v>0</v>
      </c>
      <c r="AQ38" s="367">
        <v>0</v>
      </c>
      <c r="AR38" s="367">
        <v>0</v>
      </c>
      <c r="AS38" s="367">
        <v>0</v>
      </c>
      <c r="AT38" s="367">
        <v>0</v>
      </c>
      <c r="AU38" s="367">
        <v>0</v>
      </c>
      <c r="AV38" s="438">
        <f>ABS(VLOOKUP(A38,TradesEquity!$1:$1048576,18,FALSE))</f>
        <v>47750.638899999998</v>
      </c>
      <c r="AW38" s="439">
        <v>0</v>
      </c>
      <c r="AX38" s="440">
        <v>4542</v>
      </c>
      <c r="AY38" s="441" t="s">
        <v>2029</v>
      </c>
      <c r="AZ38" s="442" t="str">
        <f>(VLOOKUP(A38,TradesEquity!$1:$1048576,29,FALSE))</f>
        <v>GSILGB2XXXX</v>
      </c>
      <c r="BA38" s="442" t="str">
        <f>(VLOOKUP(A38,TradesEquity!$1:$1048576,30,FALSE))</f>
        <v>DTCYUS33</v>
      </c>
      <c r="BB38" s="442" t="str">
        <f>(VLOOKUP(A38,TradesEquity!$1:$1048576,31,FALSE))</f>
        <v xml:space="preserve">        </v>
      </c>
      <c r="BC38" s="442" t="str">
        <f>(VLOOKUP(A38,TradesEquity!$1:$1048576,32,FALSE))</f>
        <v>N</v>
      </c>
      <c r="BI38" s="465" t="str">
        <f>(VLOOKUP(A38,TradesEquity!$1:$1048576,38,FALSE))</f>
        <v>DTCYID</v>
      </c>
      <c r="BJ38" s="465">
        <f>(VLOOKUP(A38,TradesEquity!$1:$1048576,39,FALSE))</f>
        <v>5208</v>
      </c>
      <c r="BK38" s="442" t="str">
        <f>(VLOOKUP(A38,TradesEquity!$1:$1048576,40,FALSE))</f>
        <v xml:space="preserve">        </v>
      </c>
    </row>
    <row r="39" spans="1:63">
      <c r="A39" s="468">
        <v>2019200268</v>
      </c>
      <c r="D39" s="432" t="s">
        <v>2027</v>
      </c>
      <c r="F39" s="433">
        <f>VLOOKUP(A39,TradesEquity!$1:$1048576,2,FALSE)</f>
        <v>43931</v>
      </c>
      <c r="H39" s="433">
        <f>VLOOKUP(A39,TradesEquity!$1:$1048576,21,FALSE)</f>
        <v>43935</v>
      </c>
      <c r="I39" s="434" t="str">
        <f>IF(VLOOKUP(A39,TradesEquity!$1:$1048576,3,FALSE)="BUY","B","S")</f>
        <v>B</v>
      </c>
      <c r="J39" s="434" t="str">
        <f>VLOOKUP(A39,TradesEquity!$1:$1048576,5,FALSE)</f>
        <v>JP3111200006</v>
      </c>
      <c r="K39" s="432" t="s">
        <v>19</v>
      </c>
      <c r="L39" s="435" t="s">
        <v>2028</v>
      </c>
      <c r="AE39" s="436" t="str">
        <f>VLOOKUP(A39,TradesEquity!$1:$1048576,10,FALSE)</f>
        <v>JPY</v>
      </c>
      <c r="AF39" s="436" t="str">
        <f t="shared" si="1"/>
        <v>JPY</v>
      </c>
      <c r="AG39" s="436" t="str">
        <f t="shared" si="1"/>
        <v>JPY</v>
      </c>
      <c r="AH39" s="436" t="str">
        <f t="shared" si="1"/>
        <v>JPY</v>
      </c>
      <c r="AI39" s="436">
        <f>ABS(VLOOKUP(A39,TradesEquity!$1:$1048576,13,FALSE))</f>
        <v>6700</v>
      </c>
      <c r="AJ39" s="437">
        <v>0</v>
      </c>
      <c r="AK39" s="437">
        <v>1</v>
      </c>
      <c r="AL39" s="436">
        <f>VLOOKUP(A39,TradesEquity!$1:$1048576,11,FALSE)</f>
        <v>718.54055000000005</v>
      </c>
      <c r="AM39" s="437">
        <v>1</v>
      </c>
      <c r="AN39" s="436">
        <f>ABS(VLOOKUP(A39,TradesEquity!$1:$1048576,14,FALSE))</f>
        <v>4814221.6850000005</v>
      </c>
      <c r="AO39" s="436">
        <f>ABS(VLOOKUP(A39,TradesEquity!$1:$1048576,15,FALSE))</f>
        <v>1444</v>
      </c>
      <c r="AP39" s="438">
        <f>ABS(VLOOKUP(A39,TradesEquity!$1:$1048576,16,FALSE))</f>
        <v>0</v>
      </c>
      <c r="AQ39" s="367">
        <v>0</v>
      </c>
      <c r="AR39" s="367">
        <v>0</v>
      </c>
      <c r="AS39" s="367">
        <v>0</v>
      </c>
      <c r="AT39" s="367">
        <v>0</v>
      </c>
      <c r="AU39" s="367">
        <v>0</v>
      </c>
      <c r="AV39" s="438">
        <f>ABS(VLOOKUP(A39,TradesEquity!$1:$1048576,18,FALSE))</f>
        <v>4815665.6850000005</v>
      </c>
      <c r="AW39" s="439">
        <v>0</v>
      </c>
      <c r="AX39" s="440">
        <v>4542</v>
      </c>
      <c r="AY39" s="441" t="s">
        <v>2029</v>
      </c>
      <c r="AZ39" s="442" t="str">
        <f>(VLOOKUP(A39,TradesEquity!$1:$1048576,29,FALSE))</f>
        <v>GSILGB2XXXX</v>
      </c>
      <c r="BA39" s="442" t="str">
        <f>(VLOOKUP(A39,TradesEquity!$1:$1048576,30,FALSE))</f>
        <v>JJSDJPJTXXX</v>
      </c>
      <c r="BB39" s="442">
        <f>(VLOOKUP(A39,TradesEquity!$1:$1048576,31,FALSE))</f>
        <v>6530490016</v>
      </c>
      <c r="BC39" s="442" t="str">
        <f>(VLOOKUP(A39,TradesEquity!$1:$1048576,32,FALSE))</f>
        <v>N</v>
      </c>
      <c r="BI39" s="465" t="str">
        <f>(VLOOKUP(A39,TradesEquity!$1:$1048576,38,FALSE))</f>
        <v xml:space="preserve">                  </v>
      </c>
      <c r="BJ39" s="465" t="str">
        <f>(VLOOKUP(A39,TradesEquity!$1:$1048576,39,FALSE))</f>
        <v xml:space="preserve">                          </v>
      </c>
      <c r="BK39" s="442" t="str">
        <f>(VLOOKUP(A39,TradesEquity!$1:$1048576,40,FALSE))</f>
        <v>GOLDJPJXXXX</v>
      </c>
    </row>
    <row r="40" spans="1:63">
      <c r="A40" s="468">
        <v>2019200269</v>
      </c>
      <c r="D40" s="432" t="s">
        <v>2027</v>
      </c>
      <c r="F40" s="433">
        <f>VLOOKUP(A40,TradesEquity!$1:$1048576,2,FALSE)</f>
        <v>43949</v>
      </c>
      <c r="H40" s="433">
        <f>VLOOKUP(A40,TradesEquity!$1:$1048576,21,FALSE)</f>
        <v>43952</v>
      </c>
      <c r="I40" s="434" t="str">
        <f>IF(VLOOKUP(A40,TradesEquity!$1:$1048576,3,FALSE)="BUY","B","S")</f>
        <v>B</v>
      </c>
      <c r="J40" s="434" t="str">
        <f>VLOOKUP(A40,TradesEquity!$1:$1048576,5,FALSE)</f>
        <v>AU000000SYR9</v>
      </c>
      <c r="K40" s="432" t="s">
        <v>19</v>
      </c>
      <c r="L40" s="435" t="s">
        <v>2028</v>
      </c>
      <c r="AE40" s="436" t="str">
        <f>VLOOKUP(A40,TradesEquity!$1:$1048576,10,FALSE)</f>
        <v>AUD</v>
      </c>
      <c r="AF40" s="436" t="str">
        <f t="shared" si="1"/>
        <v>AUD</v>
      </c>
      <c r="AG40" s="436" t="str">
        <f t="shared" si="1"/>
        <v>AUD</v>
      </c>
      <c r="AH40" s="436" t="str">
        <f t="shared" si="1"/>
        <v>AUD</v>
      </c>
      <c r="AI40" s="436">
        <f>ABS(VLOOKUP(A40,TradesEquity!$1:$1048576,13,FALSE))</f>
        <v>220000</v>
      </c>
      <c r="AJ40" s="437">
        <v>0</v>
      </c>
      <c r="AK40" s="437">
        <v>1</v>
      </c>
      <c r="AL40" s="436">
        <f>VLOOKUP(A40,TradesEquity!$1:$1048576,11,FALSE)</f>
        <v>0.23427999999999999</v>
      </c>
      <c r="AM40" s="437">
        <v>1</v>
      </c>
      <c r="AN40" s="436">
        <f>ABS(VLOOKUP(A40,TradesEquity!$1:$1048576,14,FALSE))</f>
        <v>51541.599999999999</v>
      </c>
      <c r="AO40" s="436">
        <f>ABS(VLOOKUP(A40,TradesEquity!$1:$1048576,15,FALSE))</f>
        <v>30.93</v>
      </c>
      <c r="AP40" s="438">
        <f>ABS(VLOOKUP(A40,TradesEquity!$1:$1048576,16,FALSE))</f>
        <v>0</v>
      </c>
      <c r="AQ40" s="367">
        <v>0</v>
      </c>
      <c r="AR40" s="367">
        <v>0</v>
      </c>
      <c r="AS40" s="367">
        <v>0</v>
      </c>
      <c r="AT40" s="367">
        <v>0</v>
      </c>
      <c r="AU40" s="367">
        <v>0</v>
      </c>
      <c r="AV40" s="438">
        <f>ABS(VLOOKUP(A40,TradesEquity!$1:$1048576,18,FALSE))</f>
        <v>51572.53</v>
      </c>
      <c r="AW40" s="439">
        <v>0</v>
      </c>
      <c r="AX40" s="440">
        <v>4542</v>
      </c>
      <c r="AY40" s="441" t="s">
        <v>2029</v>
      </c>
      <c r="AZ40" s="442" t="str">
        <f>(VLOOKUP(A40,TradesEquity!$1:$1048576,29,FALSE))</f>
        <v>GSILGB2XXXX</v>
      </c>
      <c r="BA40" s="442" t="str">
        <f>(VLOOKUP(A40,TradesEquity!$1:$1048576,30,FALSE))</f>
        <v>CAETAU21</v>
      </c>
      <c r="BB40" s="442" t="str">
        <f>(VLOOKUP(A40,TradesEquity!$1:$1048576,31,FALSE))</f>
        <v>011-109048-061</v>
      </c>
      <c r="BC40" s="442" t="str">
        <f>(VLOOKUP(A40,TradesEquity!$1:$1048576,32,FALSE))</f>
        <v>N</v>
      </c>
      <c r="BI40" s="465" t="str">
        <f>(VLOOKUP(A40,TradesEquity!$1:$1048576,38,FALSE))</f>
        <v xml:space="preserve">        </v>
      </c>
      <c r="BJ40" s="465" t="str">
        <f>(VLOOKUP(A40,TradesEquity!$1:$1048576,39,FALSE))</f>
        <v xml:space="preserve">        </v>
      </c>
      <c r="BK40" s="442" t="str">
        <f>(VLOOKUP(A40,TradesEquity!$1:$1048576,40,FALSE))</f>
        <v>HKBAAU2SSYD</v>
      </c>
    </row>
    <row r="41" spans="1:63">
      <c r="A41" s="468">
        <v>2019200270</v>
      </c>
      <c r="D41" s="432" t="s">
        <v>2027</v>
      </c>
      <c r="F41" s="433">
        <f>VLOOKUP(A41,TradesEquity!$1:$1048576,2,FALSE)</f>
        <v>43971</v>
      </c>
      <c r="H41" s="433">
        <f>VLOOKUP(A41,TradesEquity!$1:$1048576,21,FALSE)</f>
        <v>43973</v>
      </c>
      <c r="I41" s="434" t="str">
        <f>IF(VLOOKUP(A41,TradesEquity!$1:$1048576,3,FALSE)="BUY","B","S")</f>
        <v>B</v>
      </c>
      <c r="J41" s="434" t="str">
        <f>VLOOKUP(A41,TradesEquity!$1:$1048576,5,FALSE)</f>
        <v>AU000000WSA9</v>
      </c>
      <c r="K41" s="432" t="s">
        <v>19</v>
      </c>
      <c r="L41" s="435" t="s">
        <v>2028</v>
      </c>
      <c r="AE41" s="436" t="str">
        <f>VLOOKUP(A41,TradesEquity!$1:$1048576,10,FALSE)</f>
        <v>AUD</v>
      </c>
      <c r="AF41" s="436" t="str">
        <f t="shared" si="1"/>
        <v>AUD</v>
      </c>
      <c r="AG41" s="436" t="str">
        <f t="shared" si="1"/>
        <v>AUD</v>
      </c>
      <c r="AH41" s="436" t="str">
        <f t="shared" si="1"/>
        <v>AUD</v>
      </c>
      <c r="AI41" s="436">
        <f>ABS(VLOOKUP(A41,TradesEquity!$1:$1048576,13,FALSE))</f>
        <v>42000</v>
      </c>
      <c r="AJ41" s="437">
        <v>0</v>
      </c>
      <c r="AK41" s="437">
        <v>1</v>
      </c>
      <c r="AL41" s="436">
        <f>VLOOKUP(A41,TradesEquity!$1:$1048576,11,FALSE)</f>
        <v>2.2915899999999998</v>
      </c>
      <c r="AM41" s="437">
        <v>1</v>
      </c>
      <c r="AN41" s="436">
        <f>ABS(VLOOKUP(A41,TradesEquity!$1:$1048576,14,FALSE))</f>
        <v>96246.779999999984</v>
      </c>
      <c r="AO41" s="436">
        <f>ABS(VLOOKUP(A41,TradesEquity!$1:$1048576,15,FALSE))</f>
        <v>57.75</v>
      </c>
      <c r="AP41" s="438">
        <f>ABS(VLOOKUP(A41,TradesEquity!$1:$1048576,16,FALSE))</f>
        <v>0</v>
      </c>
      <c r="AQ41" s="367">
        <v>0</v>
      </c>
      <c r="AR41" s="367">
        <v>0</v>
      </c>
      <c r="AS41" s="367">
        <v>0</v>
      </c>
      <c r="AT41" s="367">
        <v>0</v>
      </c>
      <c r="AU41" s="367">
        <v>0</v>
      </c>
      <c r="AV41" s="438">
        <f>ABS(VLOOKUP(A41,TradesEquity!$1:$1048576,18,FALSE))</f>
        <v>96304.529999999984</v>
      </c>
      <c r="AW41" s="439">
        <v>0</v>
      </c>
      <c r="AX41" s="440">
        <v>4542</v>
      </c>
      <c r="AY41" s="441" t="s">
        <v>2029</v>
      </c>
      <c r="AZ41" s="442" t="str">
        <f>(VLOOKUP(A41,TradesEquity!$1:$1048576,29,FALSE))</f>
        <v>GSILGB2XXXX</v>
      </c>
      <c r="BA41" s="442" t="str">
        <f>(VLOOKUP(A41,TradesEquity!$1:$1048576,30,FALSE))</f>
        <v>CAETAU21</v>
      </c>
      <c r="BB41" s="442" t="str">
        <f>(VLOOKUP(A41,TradesEquity!$1:$1048576,31,FALSE))</f>
        <v>011-109048-061</v>
      </c>
      <c r="BC41" s="442" t="str">
        <f>(VLOOKUP(A41,TradesEquity!$1:$1048576,32,FALSE))</f>
        <v>N</v>
      </c>
      <c r="BI41" s="465" t="str">
        <f>(VLOOKUP(A41,TradesEquity!$1:$1048576,38,FALSE))</f>
        <v xml:space="preserve">        </v>
      </c>
      <c r="BJ41" s="465" t="str">
        <f>(VLOOKUP(A41,TradesEquity!$1:$1048576,39,FALSE))</f>
        <v xml:space="preserve">        </v>
      </c>
      <c r="BK41" s="442" t="str">
        <f>(VLOOKUP(A41,TradesEquity!$1:$1048576,40,FALSE))</f>
        <v>HKBAAU2SSYD</v>
      </c>
    </row>
    <row r="42" spans="1:63">
      <c r="A42" s="468">
        <v>2019200271</v>
      </c>
      <c r="D42" s="432" t="s">
        <v>2027</v>
      </c>
      <c r="F42" s="433">
        <f>VLOOKUP(A42,TradesEquity!$1:$1048576,2,FALSE)</f>
        <v>43971</v>
      </c>
      <c r="H42" s="433">
        <f>VLOOKUP(A42,TradesEquity!$1:$1048576,21,FALSE)</f>
        <v>43973</v>
      </c>
      <c r="I42" s="434" t="str">
        <f>IF(VLOOKUP(A42,TradesEquity!$1:$1048576,3,FALSE)="BUY","B","S")</f>
        <v>S</v>
      </c>
      <c r="J42" s="434" t="str">
        <f>VLOOKUP(A42,TradesEquity!$1:$1048576,5,FALSE)</f>
        <v>KR7006401004</v>
      </c>
      <c r="K42" s="432" t="s">
        <v>19</v>
      </c>
      <c r="L42" s="435" t="s">
        <v>2028</v>
      </c>
      <c r="AE42" s="436" t="str">
        <f>VLOOKUP(A42,TradesEquity!$1:$1048576,10,FALSE)</f>
        <v>KRW</v>
      </c>
      <c r="AF42" s="436" t="str">
        <f t="shared" si="1"/>
        <v>KRW</v>
      </c>
      <c r="AG42" s="436" t="str">
        <f t="shared" si="1"/>
        <v>KRW</v>
      </c>
      <c r="AH42" s="436" t="str">
        <f t="shared" si="1"/>
        <v>KRW</v>
      </c>
      <c r="AI42" s="436">
        <f>ABS(VLOOKUP(A42,TradesEquity!$1:$1048576,13,FALSE))</f>
        <v>400</v>
      </c>
      <c r="AJ42" s="437">
        <v>0</v>
      </c>
      <c r="AK42" s="437">
        <v>1</v>
      </c>
      <c r="AL42" s="436">
        <f>VLOOKUP(A42,TradesEquity!$1:$1048576,11,FALSE)</f>
        <v>168690</v>
      </c>
      <c r="AM42" s="437">
        <v>1</v>
      </c>
      <c r="AN42" s="436">
        <f>ABS(VLOOKUP(A42,TradesEquity!$1:$1048576,14,FALSE))</f>
        <v>67476000</v>
      </c>
      <c r="AO42" s="436">
        <f>ABS(VLOOKUP(A42,TradesEquity!$1:$1048576,15,FALSE))</f>
        <v>101214</v>
      </c>
      <c r="AP42" s="438">
        <f>ABS(VLOOKUP(A42,TradesEquity!$1:$1048576,16,FALSE))</f>
        <v>168653</v>
      </c>
      <c r="AQ42" s="367">
        <v>0</v>
      </c>
      <c r="AR42" s="367">
        <v>0</v>
      </c>
      <c r="AS42" s="367">
        <v>0</v>
      </c>
      <c r="AT42" s="367">
        <v>0</v>
      </c>
      <c r="AU42" s="367">
        <v>0</v>
      </c>
      <c r="AV42" s="438">
        <f>ABS(VLOOKUP(A42,TradesEquity!$1:$1048576,18,FALSE))</f>
        <v>67206133</v>
      </c>
      <c r="AW42" s="439">
        <v>0</v>
      </c>
      <c r="AX42" s="440">
        <v>4542</v>
      </c>
      <c r="AY42" s="441" t="s">
        <v>2029</v>
      </c>
      <c r="AZ42" s="442" t="e">
        <f>(VLOOKUP(A42,TradesEquity!$1:$1048576,29,FALSE))</f>
        <v>#N/A</v>
      </c>
      <c r="BA42" s="442" t="e">
        <f>(VLOOKUP(A42,TradesEquity!$1:$1048576,30,FALSE))</f>
        <v>#N/A</v>
      </c>
      <c r="BB42" s="442" t="e">
        <f>(VLOOKUP(A42,TradesEquity!$1:$1048576,31,FALSE))</f>
        <v>#N/A</v>
      </c>
      <c r="BC42" s="442" t="e">
        <f>(VLOOKUP(A42,TradesEquity!$1:$1048576,32,FALSE))</f>
        <v>#N/A</v>
      </c>
      <c r="BI42" s="465" t="e">
        <f>(VLOOKUP(A42,TradesEquity!$1:$1048576,38,FALSE))</f>
        <v>#N/A</v>
      </c>
      <c r="BJ42" s="465" t="e">
        <f>(VLOOKUP(A42,TradesEquity!$1:$1048576,39,FALSE))</f>
        <v>#N/A</v>
      </c>
      <c r="BK42" s="442" t="e">
        <f>(VLOOKUP(A42,TradesEquity!$1:$1048576,40,FALSE))</f>
        <v>#N/A</v>
      </c>
    </row>
    <row r="43" spans="1:63" s="485" customFormat="1">
      <c r="A43" s="484">
        <v>2019200272</v>
      </c>
      <c r="D43" s="486" t="s">
        <v>2027</v>
      </c>
      <c r="F43" s="487">
        <f>VLOOKUP(A43,TradesEquity!$1:$1048576,2,FALSE)</f>
        <v>43973</v>
      </c>
      <c r="H43" s="487">
        <f>VLOOKUP(A43,TradesEquity!$1:$1048576,21,FALSE)</f>
        <v>43977</v>
      </c>
      <c r="I43" s="488" t="str">
        <f>IF(VLOOKUP(A43,TradesEquity!$1:$1048576,3,FALSE)="BUY","B","S")</f>
        <v>B</v>
      </c>
      <c r="J43" s="488" t="str">
        <f>VLOOKUP(A43,TradesEquity!$1:$1048576,5,FALSE)</f>
        <v>AU000000WSA9</v>
      </c>
      <c r="K43" s="486" t="s">
        <v>19</v>
      </c>
      <c r="L43" s="489" t="s">
        <v>2028</v>
      </c>
      <c r="AE43" s="490" t="str">
        <f>VLOOKUP(A43,TradesEquity!$1:$1048576,10,FALSE)</f>
        <v>AUD</v>
      </c>
      <c r="AF43" s="490" t="str">
        <f t="shared" si="1"/>
        <v>AUD</v>
      </c>
      <c r="AG43" s="490" t="str">
        <f t="shared" si="1"/>
        <v>AUD</v>
      </c>
      <c r="AH43" s="490" t="str">
        <f t="shared" si="1"/>
        <v>AUD</v>
      </c>
      <c r="AI43" s="490">
        <f>ABS(VLOOKUP(A43,TradesEquity!$1:$1048576,13,FALSE))</f>
        <v>22000</v>
      </c>
      <c r="AJ43" s="491">
        <v>0</v>
      </c>
      <c r="AK43" s="491">
        <v>1</v>
      </c>
      <c r="AL43" s="490">
        <f>VLOOKUP(A43,TradesEquity!$1:$1048576,11,FALSE)</f>
        <v>2.2707000000000002</v>
      </c>
      <c r="AM43" s="491">
        <v>1</v>
      </c>
      <c r="AN43" s="490">
        <f>ABS(VLOOKUP(A43,TradesEquity!$1:$1048576,14,FALSE))</f>
        <v>49955.4</v>
      </c>
      <c r="AO43" s="490">
        <f>ABS(VLOOKUP(A43,TradesEquity!$1:$1048576,15,FALSE))</f>
        <v>29.97</v>
      </c>
      <c r="AP43" s="491">
        <f>ABS(VLOOKUP(A43,TradesEquity!$1:$1048576,16,FALSE))</f>
        <v>0</v>
      </c>
      <c r="AQ43" s="492">
        <v>0</v>
      </c>
      <c r="AR43" s="492">
        <v>0</v>
      </c>
      <c r="AS43" s="492">
        <v>0</v>
      </c>
      <c r="AT43" s="492">
        <v>0</v>
      </c>
      <c r="AU43" s="492">
        <v>0</v>
      </c>
      <c r="AV43" s="491">
        <f>ABS(VLOOKUP(A43,TradesEquity!$1:$1048576,18,FALSE))</f>
        <v>49985.37</v>
      </c>
      <c r="AW43" s="492">
        <v>0</v>
      </c>
      <c r="AX43" s="493">
        <v>4542</v>
      </c>
      <c r="AY43" s="489" t="s">
        <v>2029</v>
      </c>
      <c r="AZ43" s="491" t="str">
        <f>(VLOOKUP(A43,TradesEquity!$1:$1048576,29,FALSE))</f>
        <v>GSILGB2XXXX</v>
      </c>
      <c r="BA43" s="491" t="str">
        <f>(VLOOKUP(A43,TradesEquity!$1:$1048576,30,FALSE))</f>
        <v>CAETAU21</v>
      </c>
      <c r="BB43" s="491" t="str">
        <f>(VLOOKUP(A43,TradesEquity!$1:$1048576,31,FALSE))</f>
        <v>011-109048-061</v>
      </c>
      <c r="BC43" s="491" t="str">
        <f>(VLOOKUP(A43,TradesEquity!$1:$1048576,32,FALSE))</f>
        <v>N</v>
      </c>
      <c r="BI43" s="494" t="str">
        <f>(VLOOKUP(A43,TradesEquity!$1:$1048576,38,FALSE))</f>
        <v xml:space="preserve">        </v>
      </c>
      <c r="BJ43" s="494" t="str">
        <f>(VLOOKUP(A43,TradesEquity!$1:$1048576,39,FALSE))</f>
        <v xml:space="preserve">        </v>
      </c>
      <c r="BK43" s="491" t="str">
        <f>(VLOOKUP(A43,TradesEquity!$1:$1048576,40,FALSE))</f>
        <v>HKBAAU2SSYD</v>
      </c>
    </row>
    <row r="44" spans="1:63" s="485" customFormat="1">
      <c r="A44" s="484">
        <v>2019200273</v>
      </c>
      <c r="D44" s="486" t="s">
        <v>2027</v>
      </c>
      <c r="F44" s="487">
        <f>VLOOKUP(A44,TradesEquity!$1:$1048576,2,FALSE)</f>
        <v>43973</v>
      </c>
      <c r="H44" s="487">
        <f>VLOOKUP(A44,TradesEquity!$1:$1048576,21,FALSE)</f>
        <v>43977</v>
      </c>
      <c r="I44" s="488" t="str">
        <f>IF(VLOOKUP(A44,TradesEquity!$1:$1048576,3,FALSE)="BUY","B","S")</f>
        <v>B</v>
      </c>
      <c r="J44" s="488" t="str">
        <f>VLOOKUP(A44,TradesEquity!$1:$1048576,5,FALSE)</f>
        <v>AU000000SYR9</v>
      </c>
      <c r="K44" s="486" t="s">
        <v>19</v>
      </c>
      <c r="L44" s="489" t="s">
        <v>2028</v>
      </c>
      <c r="AE44" s="490" t="str">
        <f>VLOOKUP(A44,TradesEquity!$1:$1048576,10,FALSE)</f>
        <v>AUD</v>
      </c>
      <c r="AF44" s="490" t="str">
        <f t="shared" si="1"/>
        <v>AUD</v>
      </c>
      <c r="AG44" s="490" t="str">
        <f t="shared" si="1"/>
        <v>AUD</v>
      </c>
      <c r="AH44" s="490" t="str">
        <f t="shared" si="1"/>
        <v>AUD</v>
      </c>
      <c r="AI44" s="490">
        <f>ABS(VLOOKUP(A44,TradesEquity!$1:$1048576,13,FALSE))</f>
        <v>260000</v>
      </c>
      <c r="AJ44" s="491">
        <v>0</v>
      </c>
      <c r="AK44" s="491">
        <v>1</v>
      </c>
      <c r="AL44" s="490">
        <f>VLOOKUP(A44,TradesEquity!$1:$1048576,11,FALSE)</f>
        <v>0.30391000000000001</v>
      </c>
      <c r="AM44" s="491">
        <v>1</v>
      </c>
      <c r="AN44" s="490">
        <f>ABS(VLOOKUP(A44,TradesEquity!$1:$1048576,14,FALSE))</f>
        <v>79016.600000000006</v>
      </c>
      <c r="AO44" s="490">
        <f>ABS(VLOOKUP(A44,TradesEquity!$1:$1048576,15,FALSE))</f>
        <v>47.41</v>
      </c>
      <c r="AP44" s="491">
        <f>ABS(VLOOKUP(A44,TradesEquity!$1:$1048576,16,FALSE))</f>
        <v>0</v>
      </c>
      <c r="AQ44" s="492">
        <v>0</v>
      </c>
      <c r="AR44" s="492">
        <v>0</v>
      </c>
      <c r="AS44" s="492">
        <v>0</v>
      </c>
      <c r="AT44" s="492">
        <v>0</v>
      </c>
      <c r="AU44" s="492">
        <v>0</v>
      </c>
      <c r="AV44" s="491">
        <f>ABS(VLOOKUP(A44,TradesEquity!$1:$1048576,18,FALSE))</f>
        <v>79064.010000000009</v>
      </c>
      <c r="AW44" s="492">
        <v>0</v>
      </c>
      <c r="AX44" s="493">
        <v>4542</v>
      </c>
      <c r="AY44" s="489" t="s">
        <v>2029</v>
      </c>
      <c r="AZ44" s="491" t="str">
        <f>(VLOOKUP(A44,TradesEquity!$1:$1048576,29,FALSE))</f>
        <v>GSILGB2XXXX</v>
      </c>
      <c r="BA44" s="491" t="str">
        <f>(VLOOKUP(A44,TradesEquity!$1:$1048576,30,FALSE))</f>
        <v>CAETAU21</v>
      </c>
      <c r="BB44" s="491" t="str">
        <f>(VLOOKUP(A44,TradesEquity!$1:$1048576,31,FALSE))</f>
        <v>011-109048-061</v>
      </c>
      <c r="BC44" s="491" t="str">
        <f>(VLOOKUP(A44,TradesEquity!$1:$1048576,32,FALSE))</f>
        <v>N</v>
      </c>
      <c r="BI44" s="494" t="str">
        <f>(VLOOKUP(A44,TradesEquity!$1:$1048576,38,FALSE))</f>
        <v xml:space="preserve">        </v>
      </c>
      <c r="BJ44" s="494" t="str">
        <f>(VLOOKUP(A44,TradesEquity!$1:$1048576,39,FALSE))</f>
        <v xml:space="preserve">        </v>
      </c>
      <c r="BK44" s="491" t="str">
        <f>(VLOOKUP(A44,TradesEquity!$1:$1048576,40,FALSE))</f>
        <v>HKBAAU2SSYD</v>
      </c>
    </row>
    <row r="45" spans="1:63">
      <c r="A45" s="495">
        <v>2019200274</v>
      </c>
      <c r="D45" s="432" t="s">
        <v>2027</v>
      </c>
      <c r="F45" s="433">
        <f>VLOOKUP(A45,TradesEquity!$1:$1048576,2,FALSE)</f>
        <v>43979</v>
      </c>
      <c r="H45" s="433">
        <f>VLOOKUP(A45,TradesEquity!$1:$1048576,21,FALSE)</f>
        <v>43984</v>
      </c>
      <c r="I45" s="434" t="str">
        <f>IF(VLOOKUP(A45,TradesEquity!$1:$1048576,3,FALSE)="BUY","B","S")</f>
        <v>B</v>
      </c>
      <c r="J45" s="434" t="str">
        <f>VLOOKUP(A45,TradesEquity!$1:$1048576,5,FALSE)</f>
        <v>JP3866800000</v>
      </c>
      <c r="K45" s="432" t="s">
        <v>19</v>
      </c>
      <c r="L45" s="435" t="s">
        <v>2028</v>
      </c>
      <c r="AE45" s="436" t="str">
        <f>VLOOKUP(A45,TradesEquity!$1:$1048576,10,FALSE)</f>
        <v>JPY</v>
      </c>
      <c r="AF45" s="436" t="str">
        <f t="shared" si="1"/>
        <v>JPY</v>
      </c>
      <c r="AG45" s="436" t="str">
        <f t="shared" si="1"/>
        <v>JPY</v>
      </c>
      <c r="AH45" s="436" t="str">
        <f t="shared" si="1"/>
        <v>JPY</v>
      </c>
      <c r="AI45" s="436">
        <f>ABS(VLOOKUP(A45,TradesEquity!$1:$1048576,13,FALSE))</f>
        <v>11000</v>
      </c>
      <c r="AJ45" s="437">
        <v>0</v>
      </c>
      <c r="AK45" s="437">
        <v>1</v>
      </c>
      <c r="AL45" s="436">
        <f>VLOOKUP(A45,TradesEquity!$1:$1048576,11,FALSE)</f>
        <v>961.1</v>
      </c>
      <c r="AM45" s="437">
        <v>1</v>
      </c>
      <c r="AN45" s="436">
        <f>ABS(VLOOKUP(A45,TradesEquity!$1:$1048576,14,FALSE))</f>
        <v>10572100</v>
      </c>
      <c r="AO45" s="436">
        <f>ABS(VLOOKUP(A45,TradesEquity!$1:$1048576,15,FALSE))</f>
        <v>6343</v>
      </c>
      <c r="AP45" s="438">
        <f>ABS(VLOOKUP(A45,TradesEquity!$1:$1048576,16,FALSE))</f>
        <v>0</v>
      </c>
      <c r="AQ45" s="367">
        <v>0</v>
      </c>
      <c r="AR45" s="367">
        <v>0</v>
      </c>
      <c r="AS45" s="367">
        <v>0</v>
      </c>
      <c r="AT45" s="367">
        <v>0</v>
      </c>
      <c r="AU45" s="367">
        <v>0</v>
      </c>
      <c r="AV45" s="438">
        <f>ABS(VLOOKUP(A45,TradesEquity!$1:$1048576,18,FALSE))</f>
        <v>10578443</v>
      </c>
      <c r="AW45" s="439">
        <v>0</v>
      </c>
      <c r="AX45" s="440">
        <v>4542</v>
      </c>
      <c r="AY45" s="441" t="s">
        <v>2029</v>
      </c>
      <c r="AZ45" s="442" t="str">
        <f>(VLOOKUP(A45,TradesEquity!$1:$1048576,29,FALSE))</f>
        <v>GSILGB2XXXX</v>
      </c>
      <c r="BA45" s="442" t="str">
        <f>(VLOOKUP(A45,TradesEquity!$1:$1048576,30,FALSE))</f>
        <v>JJSDJPJTXXX</v>
      </c>
      <c r="BB45" s="442">
        <f>(VLOOKUP(A45,TradesEquity!$1:$1048576,31,FALSE))</f>
        <v>6530490016</v>
      </c>
      <c r="BC45" s="442" t="str">
        <f>(VLOOKUP(A45,TradesEquity!$1:$1048576,32,FALSE))</f>
        <v>N</v>
      </c>
      <c r="BI45" s="465" t="str">
        <f>(VLOOKUP(A45,TradesEquity!$1:$1048576,38,FALSE))</f>
        <v xml:space="preserve">                  </v>
      </c>
      <c r="BJ45" s="465" t="str">
        <f>(VLOOKUP(A45,TradesEquity!$1:$1048576,39,FALSE))</f>
        <v xml:space="preserve">                          </v>
      </c>
      <c r="BK45" s="442" t="str">
        <f>(VLOOKUP(A45,TradesEquity!$1:$1048576,40,FALSE))</f>
        <v>GOLDJPJXXXX</v>
      </c>
    </row>
    <row r="46" spans="1:63">
      <c r="A46" s="495">
        <v>2019200275</v>
      </c>
      <c r="D46" s="432" t="s">
        <v>2027</v>
      </c>
      <c r="F46" s="433">
        <f>VLOOKUP(A46,TradesEquity!$1:$1048576,2,FALSE)</f>
        <v>43979</v>
      </c>
      <c r="H46" s="433">
        <f>VLOOKUP(A46,TradesEquity!$1:$1048576,21,FALSE)</f>
        <v>43984</v>
      </c>
      <c r="I46" s="434" t="str">
        <f>IF(VLOOKUP(A46,TradesEquity!$1:$1048576,3,FALSE)="BUY","B","S")</f>
        <v>S</v>
      </c>
      <c r="J46" s="434" t="str">
        <f>VLOOKUP(A46,TradesEquity!$1:$1048576,5,FALSE)</f>
        <v>JP3701200002</v>
      </c>
      <c r="K46" s="432" t="s">
        <v>19</v>
      </c>
      <c r="L46" s="435" t="s">
        <v>2028</v>
      </c>
      <c r="AE46" s="436" t="str">
        <f>VLOOKUP(A46,TradesEquity!$1:$1048576,10,FALSE)</f>
        <v>JPY</v>
      </c>
      <c r="AF46" s="436" t="str">
        <f t="shared" si="1"/>
        <v>JPY</v>
      </c>
      <c r="AG46" s="436" t="str">
        <f t="shared" si="1"/>
        <v>JPY</v>
      </c>
      <c r="AH46" s="436" t="str">
        <f t="shared" si="1"/>
        <v>JPY</v>
      </c>
      <c r="AI46" s="436">
        <f>ABS(VLOOKUP(A46,TradesEquity!$1:$1048576,13,FALSE))</f>
        <v>4000</v>
      </c>
      <c r="AJ46" s="437">
        <v>0</v>
      </c>
      <c r="AK46" s="437">
        <v>1</v>
      </c>
      <c r="AL46" s="436">
        <f>VLOOKUP(A46,TradesEquity!$1:$1048576,11,FALSE)</f>
        <v>1600</v>
      </c>
      <c r="AM46" s="437">
        <v>1</v>
      </c>
      <c r="AN46" s="436">
        <f>ABS(VLOOKUP(A46,TradesEquity!$1:$1048576,14,FALSE))</f>
        <v>6400000</v>
      </c>
      <c r="AO46" s="436">
        <f>ABS(VLOOKUP(A46,TradesEquity!$1:$1048576,15,FALSE))</f>
        <v>3840</v>
      </c>
      <c r="AP46" s="438">
        <f>ABS(VLOOKUP(A46,TradesEquity!$1:$1048576,16,FALSE))</f>
        <v>0</v>
      </c>
      <c r="AQ46" s="367">
        <v>0</v>
      </c>
      <c r="AR46" s="367">
        <v>0</v>
      </c>
      <c r="AS46" s="367">
        <v>0</v>
      </c>
      <c r="AT46" s="367">
        <v>0</v>
      </c>
      <c r="AU46" s="367">
        <v>0</v>
      </c>
      <c r="AV46" s="438">
        <f>ABS(VLOOKUP(A46,TradesEquity!$1:$1048576,18,FALSE))</f>
        <v>6396160</v>
      </c>
      <c r="AW46" s="439">
        <v>0</v>
      </c>
      <c r="AX46" s="440">
        <v>4542</v>
      </c>
      <c r="AY46" s="441" t="s">
        <v>2029</v>
      </c>
      <c r="AZ46" s="442" t="str">
        <f>(VLOOKUP(A46,TradesEquity!$1:$1048576,29,FALSE))</f>
        <v>GSILGB2XXXX</v>
      </c>
      <c r="BA46" s="442" t="str">
        <f>(VLOOKUP(A46,TradesEquity!$1:$1048576,30,FALSE))</f>
        <v>JJSDJPJTXXX</v>
      </c>
      <c r="BB46" s="442">
        <f>(VLOOKUP(A46,TradesEquity!$1:$1048576,31,FALSE))</f>
        <v>6530490016</v>
      </c>
      <c r="BC46" s="442" t="str">
        <f>(VLOOKUP(A46,TradesEquity!$1:$1048576,32,FALSE))</f>
        <v>N</v>
      </c>
      <c r="BI46" s="465" t="str">
        <f>(VLOOKUP(A46,TradesEquity!$1:$1048576,38,FALSE))</f>
        <v xml:space="preserve">                  </v>
      </c>
      <c r="BJ46" s="465" t="str">
        <f>(VLOOKUP(A46,TradesEquity!$1:$1048576,39,FALSE))</f>
        <v xml:space="preserve">                          </v>
      </c>
      <c r="BK46" s="442" t="str">
        <f>(VLOOKUP(A46,TradesEquity!$1:$1048576,40,FALSE))</f>
        <v>GOLDJPJXXXX</v>
      </c>
    </row>
    <row r="47" spans="1:63">
      <c r="A47" s="495">
        <v>2019200277</v>
      </c>
      <c r="D47" s="432" t="s">
        <v>2027</v>
      </c>
      <c r="F47" s="433">
        <f>VLOOKUP(A47,TradesEquity!$1:$1048576,2,FALSE)</f>
        <v>43986</v>
      </c>
      <c r="H47" s="433">
        <f>VLOOKUP(A47,TradesEquity!$1:$1048576,21,FALSE)</f>
        <v>43990</v>
      </c>
      <c r="I47" s="434" t="str">
        <f>IF(VLOOKUP(A47,TradesEquity!$1:$1048576,3,FALSE)="BUY","B","S")</f>
        <v>B</v>
      </c>
      <c r="J47" s="434" t="str">
        <f>VLOOKUP(A47,TradesEquity!$1:$1048576,5,FALSE)</f>
        <v>US3843135084</v>
      </c>
      <c r="K47" s="432" t="s">
        <v>19</v>
      </c>
      <c r="L47" s="435" t="s">
        <v>2028</v>
      </c>
      <c r="AE47" s="436" t="str">
        <f>VLOOKUP(A47,TradesEquity!$1:$1048576,10,FALSE)</f>
        <v>USD</v>
      </c>
      <c r="AF47" s="436" t="str">
        <f t="shared" si="1"/>
        <v>USD</v>
      </c>
      <c r="AG47" s="436" t="str">
        <f t="shared" si="1"/>
        <v>USD</v>
      </c>
      <c r="AH47" s="436" t="str">
        <f t="shared" si="1"/>
        <v>USD</v>
      </c>
      <c r="AI47" s="436">
        <f>ABS(VLOOKUP(A47,TradesEquity!$1:$1048576,13,FALSE))</f>
        <v>6700</v>
      </c>
      <c r="AJ47" s="437">
        <v>0</v>
      </c>
      <c r="AK47" s="437">
        <v>1</v>
      </c>
      <c r="AL47" s="436">
        <f>VLOOKUP(A47,TradesEquity!$1:$1048576,11,FALSE)</f>
        <v>8.1206300000000002</v>
      </c>
      <c r="AM47" s="437">
        <v>1</v>
      </c>
      <c r="AN47" s="436">
        <f>ABS(VLOOKUP(A47,TradesEquity!$1:$1048576,14,FALSE))</f>
        <v>54408.221000000005</v>
      </c>
      <c r="AO47" s="436">
        <f>ABS(VLOOKUP(A47,TradesEquity!$1:$1048576,15,FALSE))</f>
        <v>27.2</v>
      </c>
      <c r="AP47" s="438">
        <f>ABS(VLOOKUP(A47,TradesEquity!$1:$1048576,16,FALSE))</f>
        <v>0</v>
      </c>
      <c r="AQ47" s="367">
        <v>0</v>
      </c>
      <c r="AR47" s="367">
        <v>0</v>
      </c>
      <c r="AS47" s="367">
        <v>0</v>
      </c>
      <c r="AT47" s="367">
        <v>0</v>
      </c>
      <c r="AU47" s="367">
        <v>0</v>
      </c>
      <c r="AV47" s="438">
        <f>ABS(VLOOKUP(A47,TradesEquity!$1:$1048576,18,FALSE))</f>
        <v>54435.421000000002</v>
      </c>
      <c r="AW47" s="439">
        <v>0</v>
      </c>
      <c r="AX47" s="440">
        <v>4542</v>
      </c>
      <c r="AY47" s="441" t="s">
        <v>2029</v>
      </c>
      <c r="AZ47" s="442" t="str">
        <f>(VLOOKUP(A47,TradesEquity!$1:$1048576,29,FALSE))</f>
        <v>GSILGB2XXXX</v>
      </c>
      <c r="BA47" s="442" t="str">
        <f>(VLOOKUP(A47,TradesEquity!$1:$1048576,30,FALSE))</f>
        <v>DTCYUS33</v>
      </c>
      <c r="BB47" s="442" t="str">
        <f>(VLOOKUP(A47,TradesEquity!$1:$1048576,31,FALSE))</f>
        <v xml:space="preserve">        </v>
      </c>
      <c r="BC47" s="442" t="str">
        <f>(VLOOKUP(A47,TradesEquity!$1:$1048576,32,FALSE))</f>
        <v>N</v>
      </c>
      <c r="BI47" s="465" t="str">
        <f>(VLOOKUP(A47,TradesEquity!$1:$1048576,38,FALSE))</f>
        <v>DTCYID</v>
      </c>
      <c r="BJ47" s="465">
        <f>(VLOOKUP(A47,TradesEquity!$1:$1048576,39,FALSE))</f>
        <v>5208</v>
      </c>
      <c r="BK47" s="442" t="str">
        <f>(VLOOKUP(A47,TradesEquity!$1:$1048576,40,FALSE))</f>
        <v xml:space="preserve">        </v>
      </c>
    </row>
    <row r="48" spans="1:63">
      <c r="A48" s="495">
        <v>2019200278</v>
      </c>
      <c r="D48" s="432" t="s">
        <v>2027</v>
      </c>
      <c r="F48" s="433" t="e">
        <f>VLOOKUP(A48,TradesEquity!$1:$1048576,2,FALSE)</f>
        <v>#N/A</v>
      </c>
      <c r="H48" s="433" t="e">
        <f>VLOOKUP(A48,TradesEquity!$1:$1048576,21,FALSE)</f>
        <v>#N/A</v>
      </c>
      <c r="I48" s="434" t="e">
        <f>IF(VLOOKUP(A48,TradesEquity!$1:$1048576,3,FALSE)="BUY","B","S")</f>
        <v>#N/A</v>
      </c>
      <c r="J48" s="434" t="e">
        <f>VLOOKUP(A48,TradesEquity!$1:$1048576,5,FALSE)</f>
        <v>#N/A</v>
      </c>
      <c r="K48" s="432" t="s">
        <v>19</v>
      </c>
      <c r="L48" s="435" t="s">
        <v>2028</v>
      </c>
      <c r="AE48" s="436" t="e">
        <f>VLOOKUP(A48,TradesEquity!$1:$1048576,10,FALSE)</f>
        <v>#N/A</v>
      </c>
      <c r="AF48" s="436" t="e">
        <f t="shared" si="1"/>
        <v>#N/A</v>
      </c>
      <c r="AG48" s="436" t="e">
        <f t="shared" si="1"/>
        <v>#N/A</v>
      </c>
      <c r="AH48" s="436" t="e">
        <f t="shared" si="1"/>
        <v>#N/A</v>
      </c>
      <c r="AI48" s="436" t="e">
        <f>ABS(VLOOKUP(A48,TradesEquity!$1:$1048576,13,FALSE))</f>
        <v>#N/A</v>
      </c>
      <c r="AJ48" s="437">
        <v>0</v>
      </c>
      <c r="AK48" s="437">
        <v>1</v>
      </c>
      <c r="AL48" s="436" t="e">
        <f>VLOOKUP(A48,TradesEquity!$1:$1048576,11,FALSE)</f>
        <v>#N/A</v>
      </c>
      <c r="AM48" s="437">
        <v>1</v>
      </c>
      <c r="AN48" s="436" t="e">
        <f>ABS(VLOOKUP(A48,TradesEquity!$1:$1048576,14,FALSE))</f>
        <v>#N/A</v>
      </c>
      <c r="AO48" s="436" t="e">
        <f>ABS(VLOOKUP(A48,TradesEquity!$1:$1048576,15,FALSE))</f>
        <v>#N/A</v>
      </c>
      <c r="AP48" s="438" t="e">
        <f>ABS(VLOOKUP(A48,TradesEquity!$1:$1048576,16,FALSE))</f>
        <v>#N/A</v>
      </c>
      <c r="AQ48" s="367">
        <v>0</v>
      </c>
      <c r="AR48" s="367">
        <v>0</v>
      </c>
      <c r="AS48" s="367">
        <v>0</v>
      </c>
      <c r="AT48" s="367">
        <v>0</v>
      </c>
      <c r="AU48" s="367">
        <v>0</v>
      </c>
      <c r="AV48" s="438" t="e">
        <f>ABS(VLOOKUP(A48,TradesEquity!$1:$1048576,18,FALSE))</f>
        <v>#N/A</v>
      </c>
      <c r="AW48" s="439">
        <v>0</v>
      </c>
      <c r="AX48" s="440">
        <v>4542</v>
      </c>
      <c r="AY48" s="441" t="s">
        <v>2029</v>
      </c>
      <c r="AZ48" s="442" t="e">
        <f>(VLOOKUP(A48,TradesEquity!$1:$1048576,29,FALSE))</f>
        <v>#N/A</v>
      </c>
      <c r="BA48" s="442" t="e">
        <f>(VLOOKUP(A48,TradesEquity!$1:$1048576,30,FALSE))</f>
        <v>#N/A</v>
      </c>
      <c r="BB48" s="442" t="e">
        <f>(VLOOKUP(A48,TradesEquity!$1:$1048576,31,FALSE))</f>
        <v>#N/A</v>
      </c>
      <c r="BC48" s="442" t="e">
        <f>(VLOOKUP(A48,TradesEquity!$1:$1048576,32,FALSE))</f>
        <v>#N/A</v>
      </c>
      <c r="BI48" s="465" t="e">
        <f>(VLOOKUP(A48,TradesEquity!$1:$1048576,38,FALSE))</f>
        <v>#N/A</v>
      </c>
      <c r="BJ48" s="465" t="e">
        <f>(VLOOKUP(A48,TradesEquity!$1:$1048576,39,FALSE))</f>
        <v>#N/A</v>
      </c>
      <c r="BK48" s="442" t="e">
        <f>(VLOOKUP(A48,TradesEquity!$1:$1048576,40,FALSE))</f>
        <v>#N/A</v>
      </c>
    </row>
    <row r="49" spans="1:63">
      <c r="A49" s="495">
        <v>2019200279</v>
      </c>
      <c r="D49" s="432" t="s">
        <v>2027</v>
      </c>
      <c r="F49" s="433">
        <f>VLOOKUP(A49,TradesEquity!$1:$1048576,2,FALSE)</f>
        <v>43987</v>
      </c>
      <c r="H49" s="433">
        <f>VLOOKUP(A49,TradesEquity!$1:$1048576,21,FALSE)</f>
        <v>43992</v>
      </c>
      <c r="I49" s="434" t="str">
        <f>IF(VLOOKUP(A49,TradesEquity!$1:$1048576,3,FALSE)="BUY","B","S")</f>
        <v>B</v>
      </c>
      <c r="J49" s="434" t="str">
        <f>VLOOKUP(A49,TradesEquity!$1:$1048576,5,FALSE)</f>
        <v>AU000000SYR9</v>
      </c>
      <c r="K49" s="432" t="s">
        <v>19</v>
      </c>
      <c r="L49" s="435" t="s">
        <v>2028</v>
      </c>
      <c r="AE49" s="436" t="str">
        <f>VLOOKUP(A49,TradesEquity!$1:$1048576,10,FALSE)</f>
        <v>AUD</v>
      </c>
      <c r="AF49" s="436" t="str">
        <f t="shared" si="1"/>
        <v>AUD</v>
      </c>
      <c r="AG49" s="436" t="str">
        <f t="shared" si="1"/>
        <v>AUD</v>
      </c>
      <c r="AH49" s="436" t="str">
        <f t="shared" si="1"/>
        <v>AUD</v>
      </c>
      <c r="AI49" s="436">
        <f>ABS(VLOOKUP(A49,TradesEquity!$1:$1048576,13,FALSE))</f>
        <v>170000</v>
      </c>
      <c r="AJ49" s="437">
        <v>0</v>
      </c>
      <c r="AK49" s="437">
        <v>1</v>
      </c>
      <c r="AL49" s="436">
        <f>VLOOKUP(A49,TradesEquity!$1:$1048576,11,FALSE)</f>
        <v>0.33176</v>
      </c>
      <c r="AM49" s="437">
        <v>1</v>
      </c>
      <c r="AN49" s="436">
        <f>ABS(VLOOKUP(A49,TradesEquity!$1:$1048576,14,FALSE))</f>
        <v>56399.199999999997</v>
      </c>
      <c r="AO49" s="436">
        <f>ABS(VLOOKUP(A49,TradesEquity!$1:$1048576,15,FALSE))</f>
        <v>33.840000000000003</v>
      </c>
      <c r="AP49" s="438">
        <f>ABS(VLOOKUP(A49,TradesEquity!$1:$1048576,16,FALSE))</f>
        <v>0</v>
      </c>
      <c r="AQ49" s="367">
        <v>0</v>
      </c>
      <c r="AR49" s="367">
        <v>0</v>
      </c>
      <c r="AS49" s="367">
        <v>0</v>
      </c>
      <c r="AT49" s="367">
        <v>0</v>
      </c>
      <c r="AU49" s="367">
        <v>0</v>
      </c>
      <c r="AV49" s="438">
        <f>ABS(VLOOKUP(A49,TradesEquity!$1:$1048576,18,FALSE))</f>
        <v>56433.039999999994</v>
      </c>
      <c r="AW49" s="439">
        <v>0</v>
      </c>
      <c r="AX49" s="440">
        <v>4542</v>
      </c>
      <c r="AY49" s="441" t="s">
        <v>2029</v>
      </c>
      <c r="AZ49" s="442" t="str">
        <f>(VLOOKUP(A49,TradesEquity!$1:$1048576,29,FALSE))</f>
        <v>GSILGB2XXXX</v>
      </c>
      <c r="BA49" s="442" t="str">
        <f>(VLOOKUP(A49,TradesEquity!$1:$1048576,30,FALSE))</f>
        <v>CAETAU21</v>
      </c>
      <c r="BB49" s="442" t="str">
        <f>(VLOOKUP(A49,TradesEquity!$1:$1048576,31,FALSE))</f>
        <v>011-109048-061</v>
      </c>
      <c r="BC49" s="442" t="str">
        <f>(VLOOKUP(A49,TradesEquity!$1:$1048576,32,FALSE))</f>
        <v>N</v>
      </c>
      <c r="BI49" s="465" t="str">
        <f>(VLOOKUP(A49,TradesEquity!$1:$1048576,38,FALSE))</f>
        <v xml:space="preserve">        </v>
      </c>
      <c r="BJ49" s="465" t="str">
        <f>(VLOOKUP(A49,TradesEquity!$1:$1048576,39,FALSE))</f>
        <v xml:space="preserve">        </v>
      </c>
      <c r="BK49" s="442" t="str">
        <f>(VLOOKUP(A49,TradesEquity!$1:$1048576,40,FALSE))</f>
        <v>HKBAAU2SSYD</v>
      </c>
    </row>
    <row r="50" spans="1:63">
      <c r="A50" s="495">
        <v>2019200280</v>
      </c>
      <c r="D50" s="432" t="s">
        <v>2027</v>
      </c>
      <c r="F50" s="433">
        <f>VLOOKUP(A50,TradesEquity!$1:$1048576,2,FALSE)</f>
        <v>43987</v>
      </c>
      <c r="H50" s="433">
        <f>VLOOKUP(A50,TradesEquity!$1:$1048576,21,FALSE)</f>
        <v>43992</v>
      </c>
      <c r="I50" s="434" t="str">
        <f>IF(VLOOKUP(A50,TradesEquity!$1:$1048576,3,FALSE)="BUY","B","S")</f>
        <v>B</v>
      </c>
      <c r="J50" s="434" t="str">
        <f>VLOOKUP(A50,TradesEquity!$1:$1048576,5,FALSE)</f>
        <v>AU000000WSA9</v>
      </c>
      <c r="K50" s="432" t="s">
        <v>19</v>
      </c>
      <c r="L50" s="435" t="s">
        <v>2028</v>
      </c>
      <c r="AE50" s="436" t="str">
        <f>VLOOKUP(A50,TradesEquity!$1:$1048576,10,FALSE)</f>
        <v>AUD</v>
      </c>
      <c r="AF50" s="436" t="str">
        <f t="shared" si="1"/>
        <v>AUD</v>
      </c>
      <c r="AG50" s="436" t="str">
        <f t="shared" si="1"/>
        <v>AUD</v>
      </c>
      <c r="AH50" s="436" t="str">
        <f t="shared" si="1"/>
        <v>AUD</v>
      </c>
      <c r="AI50" s="436">
        <f>ABS(VLOOKUP(A50,TradesEquity!$1:$1048576,13,FALSE))</f>
        <v>22000</v>
      </c>
      <c r="AJ50" s="437">
        <v>0</v>
      </c>
      <c r="AK50" s="437">
        <v>1</v>
      </c>
      <c r="AL50" s="436">
        <f>VLOOKUP(A50,TradesEquity!$1:$1048576,11,FALSE)</f>
        <v>2.3755199999999999</v>
      </c>
      <c r="AM50" s="437">
        <v>1</v>
      </c>
      <c r="AN50" s="436">
        <f>ABS(VLOOKUP(A50,TradesEquity!$1:$1048576,14,FALSE))</f>
        <v>52261.439999999995</v>
      </c>
      <c r="AO50" s="436">
        <f>ABS(VLOOKUP(A50,TradesEquity!$1:$1048576,15,FALSE))</f>
        <v>31.36</v>
      </c>
      <c r="AP50" s="438">
        <f>ABS(VLOOKUP(A50,TradesEquity!$1:$1048576,16,FALSE))</f>
        <v>0</v>
      </c>
      <c r="AQ50" s="367">
        <v>0</v>
      </c>
      <c r="AR50" s="367">
        <v>0</v>
      </c>
      <c r="AS50" s="367">
        <v>0</v>
      </c>
      <c r="AT50" s="367">
        <v>0</v>
      </c>
      <c r="AU50" s="367">
        <v>0</v>
      </c>
      <c r="AV50" s="438">
        <f>ABS(VLOOKUP(A50,TradesEquity!$1:$1048576,18,FALSE))</f>
        <v>52292.799999999996</v>
      </c>
      <c r="AW50" s="439">
        <v>0</v>
      </c>
      <c r="AX50" s="440">
        <v>4542</v>
      </c>
      <c r="AY50" s="441" t="s">
        <v>2029</v>
      </c>
      <c r="AZ50" s="442" t="str">
        <f>(VLOOKUP(A50,TradesEquity!$1:$1048576,29,FALSE))</f>
        <v>GSILGB2XXXX</v>
      </c>
      <c r="BA50" s="442" t="str">
        <f>(VLOOKUP(A50,TradesEquity!$1:$1048576,30,FALSE))</f>
        <v>CAETAU21</v>
      </c>
      <c r="BB50" s="442" t="str">
        <f>(VLOOKUP(A50,TradesEquity!$1:$1048576,31,FALSE))</f>
        <v>011-109048-061</v>
      </c>
      <c r="BC50" s="442" t="str">
        <f>(VLOOKUP(A50,TradesEquity!$1:$1048576,32,FALSE))</f>
        <v>N</v>
      </c>
      <c r="BI50" s="465" t="str">
        <f>(VLOOKUP(A50,TradesEquity!$1:$1048576,38,FALSE))</f>
        <v xml:space="preserve">        </v>
      </c>
      <c r="BJ50" s="465" t="str">
        <f>(VLOOKUP(A50,TradesEquity!$1:$1048576,39,FALSE))</f>
        <v xml:space="preserve">        </v>
      </c>
      <c r="BK50" s="442" t="str">
        <f>(VLOOKUP(A50,TradesEquity!$1:$1048576,40,FALSE))</f>
        <v>HKBAAU2SSYD</v>
      </c>
    </row>
    <row r="51" spans="1:63">
      <c r="A51" s="495">
        <v>2019200282</v>
      </c>
      <c r="D51" s="432" t="s">
        <v>2027</v>
      </c>
      <c r="F51" s="433">
        <f>VLOOKUP(A51,TradesEquity!$1:$1048576,2,FALSE)</f>
        <v>43993</v>
      </c>
      <c r="H51" s="433">
        <f>VLOOKUP(A51,TradesEquity!$1:$1048576,21,FALSE)</f>
        <v>43998</v>
      </c>
      <c r="I51" s="434" t="str">
        <f>IF(VLOOKUP(A51,TradesEquity!$1:$1048576,3,FALSE)="BUY","B","S")</f>
        <v>S</v>
      </c>
      <c r="J51" s="434" t="str">
        <f>VLOOKUP(A51,TradesEquity!$1:$1048576,5,FALSE)</f>
        <v>KR7006401004</v>
      </c>
      <c r="K51" s="432" t="s">
        <v>19</v>
      </c>
      <c r="L51" s="435" t="s">
        <v>2028</v>
      </c>
      <c r="AE51" s="436" t="str">
        <f>VLOOKUP(A51,TradesEquity!$1:$1048576,10,FALSE)</f>
        <v>KRW</v>
      </c>
      <c r="AF51" s="436" t="str">
        <f t="shared" si="1"/>
        <v>KRW</v>
      </c>
      <c r="AG51" s="436" t="str">
        <f t="shared" si="1"/>
        <v>KRW</v>
      </c>
      <c r="AH51" s="436" t="str">
        <f t="shared" si="1"/>
        <v>KRW</v>
      </c>
      <c r="AI51" s="436">
        <f>ABS(VLOOKUP(A51,TradesEquity!$1:$1048576,13,FALSE))</f>
        <v>690</v>
      </c>
      <c r="AJ51" s="437">
        <v>0</v>
      </c>
      <c r="AK51" s="437">
        <v>1</v>
      </c>
      <c r="AL51" s="436">
        <f>VLOOKUP(A51,TradesEquity!$1:$1048576,11,FALSE)</f>
        <v>254000</v>
      </c>
      <c r="AM51" s="437">
        <v>1</v>
      </c>
      <c r="AN51" s="436">
        <f>ABS(VLOOKUP(A51,TradesEquity!$1:$1048576,14,FALSE))</f>
        <v>175260000</v>
      </c>
      <c r="AO51" s="436">
        <f>ABS(VLOOKUP(A51,TradesEquity!$1:$1048576,15,FALSE))</f>
        <v>262890</v>
      </c>
      <c r="AP51" s="438">
        <f>ABS(VLOOKUP(A51,TradesEquity!$1:$1048576,16,FALSE))</f>
        <v>438150</v>
      </c>
      <c r="AQ51" s="367">
        <v>0</v>
      </c>
      <c r="AR51" s="367">
        <v>0</v>
      </c>
      <c r="AS51" s="367">
        <v>0</v>
      </c>
      <c r="AT51" s="367">
        <v>0</v>
      </c>
      <c r="AU51" s="367">
        <v>0</v>
      </c>
      <c r="AV51" s="438">
        <f>ABS(VLOOKUP(A51,TradesEquity!$1:$1048576,18,FALSE))</f>
        <v>174558960</v>
      </c>
      <c r="AW51" s="439">
        <v>0</v>
      </c>
      <c r="AX51" s="440">
        <v>4542</v>
      </c>
      <c r="AY51" s="441" t="s">
        <v>2029</v>
      </c>
      <c r="AZ51" s="442" t="e">
        <f>(VLOOKUP(A51,TradesEquity!$1:$1048576,29,FALSE))</f>
        <v>#N/A</v>
      </c>
      <c r="BA51" s="442" t="e">
        <f>(VLOOKUP(A51,TradesEquity!$1:$1048576,30,FALSE))</f>
        <v>#N/A</v>
      </c>
      <c r="BB51" s="442" t="e">
        <f>(VLOOKUP(A51,TradesEquity!$1:$1048576,31,FALSE))</f>
        <v>#N/A</v>
      </c>
      <c r="BC51" s="442" t="e">
        <f>(VLOOKUP(A51,TradesEquity!$1:$1048576,32,FALSE))</f>
        <v>#N/A</v>
      </c>
      <c r="BI51" s="465" t="e">
        <f>(VLOOKUP(A51,TradesEquity!$1:$1048576,38,FALSE))</f>
        <v>#N/A</v>
      </c>
      <c r="BJ51" s="465" t="e">
        <f>(VLOOKUP(A51,TradesEquity!$1:$1048576,39,FALSE))</f>
        <v>#N/A</v>
      </c>
      <c r="BK51" s="442" t="e">
        <f>(VLOOKUP(A51,TradesEquity!$1:$1048576,40,FALSE))</f>
        <v>#N/A</v>
      </c>
    </row>
    <row r="52" spans="1:63">
      <c r="A52" s="495">
        <v>2019200283</v>
      </c>
      <c r="D52" s="432" t="s">
        <v>2027</v>
      </c>
      <c r="F52" s="433">
        <f>VLOOKUP(A52,TradesEquity!$1:$1048576,2,FALSE)</f>
        <v>44000</v>
      </c>
      <c r="H52" s="433">
        <f>VLOOKUP(A52,TradesEquity!$1:$1048576,21,FALSE)</f>
        <v>44004</v>
      </c>
      <c r="I52" s="434" t="str">
        <f>IF(VLOOKUP(A52,TradesEquity!$1:$1048576,3,FALSE)="BUY","B","S")</f>
        <v>B</v>
      </c>
      <c r="J52" s="434" t="str">
        <f>VLOOKUP(A52,TradesEquity!$1:$1048576,5,FALSE)</f>
        <v>KR7064960008</v>
      </c>
      <c r="K52" s="432" t="s">
        <v>19</v>
      </c>
      <c r="L52" s="435" t="s">
        <v>2028</v>
      </c>
      <c r="AE52" s="436" t="str">
        <f>VLOOKUP(A52,TradesEquity!$1:$1048576,10,FALSE)</f>
        <v>KRW</v>
      </c>
      <c r="AF52" s="436" t="str">
        <f t="shared" si="1"/>
        <v>KRW</v>
      </c>
      <c r="AG52" s="436" t="str">
        <f t="shared" si="1"/>
        <v>KRW</v>
      </c>
      <c r="AH52" s="436" t="str">
        <f t="shared" si="1"/>
        <v>KRW</v>
      </c>
      <c r="AI52" s="436">
        <f>ABS(VLOOKUP(A52,TradesEquity!$1:$1048576,13,FALSE))</f>
        <v>2200</v>
      </c>
      <c r="AJ52" s="437">
        <v>0</v>
      </c>
      <c r="AK52" s="437">
        <v>1</v>
      </c>
      <c r="AL52" s="436">
        <f>VLOOKUP(A52,TradesEquity!$1:$1048576,11,FALSE)</f>
        <v>41466.9545</v>
      </c>
      <c r="AM52" s="437">
        <v>1</v>
      </c>
      <c r="AN52" s="436">
        <f>ABS(VLOOKUP(A52,TradesEquity!$1:$1048576,14,FALSE))</f>
        <v>91227299.900000006</v>
      </c>
      <c r="AO52" s="436">
        <f>ABS(VLOOKUP(A52,TradesEquity!$1:$1048576,15,FALSE))</f>
        <v>136841</v>
      </c>
      <c r="AP52" s="438">
        <f>ABS(VLOOKUP(A52,TradesEquity!$1:$1048576,16,FALSE))</f>
        <v>0</v>
      </c>
      <c r="AQ52" s="367">
        <v>0</v>
      </c>
      <c r="AR52" s="367">
        <v>0</v>
      </c>
      <c r="AS52" s="367">
        <v>0</v>
      </c>
      <c r="AT52" s="367">
        <v>0</v>
      </c>
      <c r="AU52" s="367">
        <v>0</v>
      </c>
      <c r="AV52" s="438">
        <f>ABS(VLOOKUP(A52,TradesEquity!$1:$1048576,18,FALSE))</f>
        <v>91364140.900000006</v>
      </c>
      <c r="AW52" s="439">
        <v>0</v>
      </c>
      <c r="AX52" s="440">
        <v>4542</v>
      </c>
      <c r="AY52" s="441" t="s">
        <v>2029</v>
      </c>
      <c r="AZ52" s="442" t="str">
        <f>(VLOOKUP(A52,TradesEquity!$1:$1048576,29,FALSE))</f>
        <v>SAMCKRS1XXX</v>
      </c>
      <c r="BA52" s="442" t="str">
        <f>(VLOOKUP(A52,TradesEquity!$1:$1048576,30,FALSE))</f>
        <v>KSDCKRSEXXX</v>
      </c>
      <c r="BB52" s="442" t="str">
        <f>(VLOOKUP(A52,TradesEquity!$1:$1048576,31,FALSE))</f>
        <v>30-00</v>
      </c>
      <c r="BC52" s="442" t="str">
        <f>(VLOOKUP(A52,TradesEquity!$1:$1048576,32,FALSE))</f>
        <v>N</v>
      </c>
      <c r="BI52" s="465">
        <f>(VLOOKUP(A52,TradesEquity!$1:$1048576,38,FALSE))</f>
        <v>0</v>
      </c>
      <c r="BJ52" s="465">
        <f>(VLOOKUP(A52,TradesEquity!$1:$1048576,39,FALSE))</f>
        <v>0</v>
      </c>
      <c r="BK52" s="442" t="str">
        <f>(VLOOKUP(A52,TradesEquity!$1:$1048576,40,FALSE))</f>
        <v>SAMCKRS1XXX</v>
      </c>
    </row>
    <row r="53" spans="1:63">
      <c r="A53" s="495">
        <v>2019200284</v>
      </c>
      <c r="D53" s="432" t="s">
        <v>2027</v>
      </c>
      <c r="F53" s="433">
        <f>VLOOKUP(A53,TradesEquity!$1:$1048576,2,FALSE)</f>
        <v>44000</v>
      </c>
      <c r="H53" s="433">
        <f>VLOOKUP(A53,TradesEquity!$1:$1048576,21,FALSE)</f>
        <v>44004</v>
      </c>
      <c r="I53" s="434" t="str">
        <f>IF(VLOOKUP(A53,TradesEquity!$1:$1048576,3,FALSE)="BUY","B","S")</f>
        <v>S</v>
      </c>
      <c r="J53" s="434" t="str">
        <f>VLOOKUP(A53,TradesEquity!$1:$1048576,5,FALSE)</f>
        <v>JP3701200002</v>
      </c>
      <c r="K53" s="432" t="s">
        <v>19</v>
      </c>
      <c r="L53" s="435" t="s">
        <v>2028</v>
      </c>
      <c r="AE53" s="436" t="str">
        <f>VLOOKUP(A53,TradesEquity!$1:$1048576,10,FALSE)</f>
        <v>JPY</v>
      </c>
      <c r="AF53" s="436" t="str">
        <f t="shared" si="1"/>
        <v>JPY</v>
      </c>
      <c r="AG53" s="436" t="str">
        <f t="shared" si="1"/>
        <v>JPY</v>
      </c>
      <c r="AH53" s="436" t="str">
        <f t="shared" si="1"/>
        <v>JPY</v>
      </c>
      <c r="AI53" s="436">
        <f>ABS(VLOOKUP(A53,TradesEquity!$1:$1048576,13,FALSE))</f>
        <v>4000</v>
      </c>
      <c r="AJ53" s="437">
        <v>0</v>
      </c>
      <c r="AK53" s="437">
        <v>1</v>
      </c>
      <c r="AL53" s="436">
        <f>VLOOKUP(A53,TradesEquity!$1:$1048576,11,FALSE)</f>
        <v>1767.5625</v>
      </c>
      <c r="AM53" s="437">
        <v>1</v>
      </c>
      <c r="AN53" s="436">
        <f>ABS(VLOOKUP(A53,TradesEquity!$1:$1048576,14,FALSE))</f>
        <v>7070250</v>
      </c>
      <c r="AO53" s="436">
        <f>ABS(VLOOKUP(A53,TradesEquity!$1:$1048576,15,FALSE))</f>
        <v>4242</v>
      </c>
      <c r="AP53" s="438">
        <f>ABS(VLOOKUP(A53,TradesEquity!$1:$1048576,16,FALSE))</f>
        <v>0</v>
      </c>
      <c r="AQ53" s="367">
        <v>0</v>
      </c>
      <c r="AR53" s="367">
        <v>0</v>
      </c>
      <c r="AS53" s="367">
        <v>0</v>
      </c>
      <c r="AT53" s="367">
        <v>0</v>
      </c>
      <c r="AU53" s="367">
        <v>0</v>
      </c>
      <c r="AV53" s="438">
        <f>ABS(VLOOKUP(A53,TradesEquity!$1:$1048576,18,FALSE))</f>
        <v>7066008</v>
      </c>
      <c r="AW53" s="439">
        <v>0</v>
      </c>
      <c r="AX53" s="440">
        <v>4542</v>
      </c>
      <c r="AY53" s="441" t="s">
        <v>2029</v>
      </c>
      <c r="AZ53" s="442" t="str">
        <f>(VLOOKUP(A53,TradesEquity!$1:$1048576,29,FALSE))</f>
        <v>GSILGB2XXXX</v>
      </c>
      <c r="BA53" s="442" t="str">
        <f>(VLOOKUP(A53,TradesEquity!$1:$1048576,30,FALSE))</f>
        <v>JJSDJPJTXXX</v>
      </c>
      <c r="BB53" s="442">
        <f>(VLOOKUP(A53,TradesEquity!$1:$1048576,31,FALSE))</f>
        <v>6530490016</v>
      </c>
      <c r="BC53" s="442" t="str">
        <f>(VLOOKUP(A53,TradesEquity!$1:$1048576,32,FALSE))</f>
        <v>N</v>
      </c>
      <c r="BI53" s="465" t="str">
        <f>(VLOOKUP(A53,TradesEquity!$1:$1048576,38,FALSE))</f>
        <v xml:space="preserve">                  </v>
      </c>
      <c r="BJ53" s="465" t="str">
        <f>(VLOOKUP(A53,TradesEquity!$1:$1048576,39,FALSE))</f>
        <v xml:space="preserve">                          </v>
      </c>
      <c r="BK53" s="442" t="str">
        <f>(VLOOKUP(A53,TradesEquity!$1:$1048576,40,FALSE))</f>
        <v>GOLDJPJXXXX</v>
      </c>
    </row>
    <row r="54" spans="1:63">
      <c r="A54" s="495">
        <v>2019200285</v>
      </c>
      <c r="D54" s="432" t="s">
        <v>2027</v>
      </c>
      <c r="F54" s="433">
        <f>VLOOKUP(A54,TradesEquity!$1:$1048576,2,FALSE)</f>
        <v>44000</v>
      </c>
      <c r="H54" s="433">
        <f>VLOOKUP(A54,TradesEquity!$1:$1048576,21,FALSE)</f>
        <v>44004</v>
      </c>
      <c r="I54" s="434" t="str">
        <f>IF(VLOOKUP(A54,TradesEquity!$1:$1048576,3,FALSE)="BUY","B","S")</f>
        <v>B</v>
      </c>
      <c r="J54" s="434" t="str">
        <f>VLOOKUP(A54,TradesEquity!$1:$1048576,5,FALSE)</f>
        <v>CNE100000296</v>
      </c>
      <c r="K54" s="432" t="s">
        <v>19</v>
      </c>
      <c r="L54" s="435" t="s">
        <v>2028</v>
      </c>
      <c r="AE54" s="436" t="str">
        <f>VLOOKUP(A54,TradesEquity!$1:$1048576,10,FALSE)</f>
        <v>HKD</v>
      </c>
      <c r="AF54" s="436" t="str">
        <f t="shared" si="1"/>
        <v>HKD</v>
      </c>
      <c r="AG54" s="436" t="str">
        <f t="shared" si="1"/>
        <v>HKD</v>
      </c>
      <c r="AH54" s="436" t="str">
        <f t="shared" si="1"/>
        <v>HKD</v>
      </c>
      <c r="AI54" s="436">
        <f>ABS(VLOOKUP(A54,TradesEquity!$1:$1048576,13,FALSE))</f>
        <v>11000</v>
      </c>
      <c r="AJ54" s="437">
        <v>0</v>
      </c>
      <c r="AK54" s="437">
        <v>1</v>
      </c>
      <c r="AL54" s="436">
        <f>VLOOKUP(A54,TradesEquity!$1:$1048576,11,FALSE)</f>
        <v>58.329549999999998</v>
      </c>
      <c r="AM54" s="437">
        <v>1</v>
      </c>
      <c r="AN54" s="436">
        <f>ABS(VLOOKUP(A54,TradesEquity!$1:$1048576,14,FALSE))</f>
        <v>641625.04999999993</v>
      </c>
      <c r="AO54" s="436">
        <f>ABS(VLOOKUP(A54,TradesEquity!$1:$1048576,15,FALSE))</f>
        <v>384.98</v>
      </c>
      <c r="AP54" s="438">
        <f>ABS(VLOOKUP(A54,TradesEquity!$1:$1048576,16,FALSE))</f>
        <v>691.4</v>
      </c>
      <c r="AQ54" s="367">
        <v>0</v>
      </c>
      <c r="AR54" s="367">
        <v>0</v>
      </c>
      <c r="AS54" s="367">
        <v>0</v>
      </c>
      <c r="AT54" s="367">
        <v>0</v>
      </c>
      <c r="AU54" s="367">
        <v>0</v>
      </c>
      <c r="AV54" s="438">
        <f>ABS(VLOOKUP(A54,TradesEquity!$1:$1048576,18,FALSE))</f>
        <v>642701.42999999993</v>
      </c>
      <c r="AW54" s="439">
        <v>0</v>
      </c>
      <c r="AX54" s="440">
        <v>4542</v>
      </c>
      <c r="AY54" s="441" t="s">
        <v>2029</v>
      </c>
      <c r="AZ54" s="442" t="e">
        <f>(VLOOKUP(A54,TradesEquity!$1:$1048576,29,FALSE))</f>
        <v>#N/A</v>
      </c>
      <c r="BA54" s="442" t="e">
        <f>(VLOOKUP(A54,TradesEquity!$1:$1048576,30,FALSE))</f>
        <v>#N/A</v>
      </c>
      <c r="BB54" s="442" t="e">
        <f>(VLOOKUP(A54,TradesEquity!$1:$1048576,31,FALSE))</f>
        <v>#N/A</v>
      </c>
      <c r="BC54" s="442" t="e">
        <f>(VLOOKUP(A54,TradesEquity!$1:$1048576,32,FALSE))</f>
        <v>#N/A</v>
      </c>
      <c r="BI54" s="465" t="e">
        <f>(VLOOKUP(A54,TradesEquity!$1:$1048576,38,FALSE))</f>
        <v>#N/A</v>
      </c>
      <c r="BJ54" s="465" t="e">
        <f>(VLOOKUP(A54,TradesEquity!$1:$1048576,39,FALSE))</f>
        <v>#N/A</v>
      </c>
      <c r="BK54" s="442" t="e">
        <f>(VLOOKUP(A54,TradesEquity!$1:$1048576,40,FALSE))</f>
        <v>#N/A</v>
      </c>
    </row>
    <row r="55" spans="1:63">
      <c r="A55" s="495">
        <v>2019200286</v>
      </c>
      <c r="D55" s="432" t="s">
        <v>2027</v>
      </c>
      <c r="F55" s="433">
        <f>VLOOKUP(A55,TradesEquity!$1:$1048576,2,FALSE)</f>
        <v>44001</v>
      </c>
      <c r="H55" s="433">
        <f>VLOOKUP(A55,TradesEquity!$1:$1048576,21,FALSE)</f>
        <v>44005</v>
      </c>
      <c r="I55" s="434" t="str">
        <f>IF(VLOOKUP(A55,TradesEquity!$1:$1048576,3,FALSE)="BUY","B","S")</f>
        <v>B</v>
      </c>
      <c r="J55" s="434" t="str">
        <f>VLOOKUP(A55,TradesEquity!$1:$1048576,5,FALSE)</f>
        <v>JP3866800000</v>
      </c>
      <c r="K55" s="432" t="s">
        <v>19</v>
      </c>
      <c r="L55" s="435" t="s">
        <v>2028</v>
      </c>
      <c r="AE55" s="436" t="str">
        <f>VLOOKUP(A55,TradesEquity!$1:$1048576,10,FALSE)</f>
        <v>JPY</v>
      </c>
      <c r="AF55" s="436" t="str">
        <f t="shared" si="1"/>
        <v>JPY</v>
      </c>
      <c r="AG55" s="436" t="str">
        <f t="shared" si="1"/>
        <v>JPY</v>
      </c>
      <c r="AH55" s="436" t="str">
        <f t="shared" si="1"/>
        <v>JPY</v>
      </c>
      <c r="AI55" s="436">
        <f>ABS(VLOOKUP(A55,TradesEquity!$1:$1048576,13,FALSE))</f>
        <v>11000</v>
      </c>
      <c r="AJ55" s="437">
        <v>0</v>
      </c>
      <c r="AK55" s="437">
        <v>1</v>
      </c>
      <c r="AL55" s="436">
        <f>VLOOKUP(A55,TradesEquity!$1:$1048576,11,FALSE)</f>
        <v>965.13670000000002</v>
      </c>
      <c r="AM55" s="437">
        <v>1</v>
      </c>
      <c r="AN55" s="436">
        <f>ABS(VLOOKUP(A55,TradesEquity!$1:$1048576,14,FALSE))</f>
        <v>10616503.700000001</v>
      </c>
      <c r="AO55" s="436">
        <f>ABS(VLOOKUP(A55,TradesEquity!$1:$1048576,15,FALSE))</f>
        <v>6370</v>
      </c>
      <c r="AP55" s="438">
        <f>ABS(VLOOKUP(A55,TradesEquity!$1:$1048576,16,FALSE))</f>
        <v>0</v>
      </c>
      <c r="AQ55" s="367">
        <v>0</v>
      </c>
      <c r="AR55" s="367">
        <v>0</v>
      </c>
      <c r="AS55" s="367">
        <v>0</v>
      </c>
      <c r="AT55" s="367">
        <v>0</v>
      </c>
      <c r="AU55" s="367">
        <v>0</v>
      </c>
      <c r="AV55" s="438">
        <f>ABS(VLOOKUP(A55,TradesEquity!$1:$1048576,18,FALSE))</f>
        <v>10622873.700000001</v>
      </c>
      <c r="AW55" s="439">
        <v>0</v>
      </c>
      <c r="AX55" s="440">
        <v>4542</v>
      </c>
      <c r="AY55" s="441" t="s">
        <v>2029</v>
      </c>
      <c r="AZ55" s="442" t="str">
        <f>(VLOOKUP(A55,TradesEquity!$1:$1048576,29,FALSE))</f>
        <v>GSILGB2XXXX</v>
      </c>
      <c r="BA55" s="442" t="str">
        <f>(VLOOKUP(A55,TradesEquity!$1:$1048576,30,FALSE))</f>
        <v>JJSDJPJTXXX</v>
      </c>
      <c r="BB55" s="442">
        <f>(VLOOKUP(A55,TradesEquity!$1:$1048576,31,FALSE))</f>
        <v>6530490016</v>
      </c>
      <c r="BC55" s="442" t="str">
        <f>(VLOOKUP(A55,TradesEquity!$1:$1048576,32,FALSE))</f>
        <v>N</v>
      </c>
      <c r="BI55" s="465" t="str">
        <f>(VLOOKUP(A55,TradesEquity!$1:$1048576,38,FALSE))</f>
        <v xml:space="preserve">                  </v>
      </c>
      <c r="BJ55" s="465" t="str">
        <f>(VLOOKUP(A55,TradesEquity!$1:$1048576,39,FALSE))</f>
        <v xml:space="preserve">                          </v>
      </c>
      <c r="BK55" s="442" t="str">
        <f>(VLOOKUP(A55,TradesEquity!$1:$1048576,40,FALSE))</f>
        <v>GOLDJPJXXXX</v>
      </c>
    </row>
    <row r="56" spans="1:63">
      <c r="A56" s="495">
        <v>2019200287</v>
      </c>
      <c r="D56" s="432" t="s">
        <v>2027</v>
      </c>
      <c r="F56" s="433">
        <f>VLOOKUP(A56,TradesEquity!$1:$1048576,2,FALSE)</f>
        <v>44008</v>
      </c>
      <c r="H56" s="433">
        <f>VLOOKUP(A56,TradesEquity!$1:$1048576,21,FALSE)</f>
        <v>44012</v>
      </c>
      <c r="I56" s="434" t="str">
        <f>IF(VLOOKUP(A56,TradesEquity!$1:$1048576,3,FALSE)="BUY","B","S")</f>
        <v>B</v>
      </c>
      <c r="J56" s="434" t="str">
        <f>VLOOKUP(A56,TradesEquity!$1:$1048576,5,FALSE)</f>
        <v>JP3866800000</v>
      </c>
      <c r="K56" s="432" t="s">
        <v>19</v>
      </c>
      <c r="L56" s="435" t="s">
        <v>2028</v>
      </c>
      <c r="AE56" s="436" t="str">
        <f>VLOOKUP(A56,TradesEquity!$1:$1048576,10,FALSE)</f>
        <v>JPY</v>
      </c>
      <c r="AF56" s="436" t="str">
        <f t="shared" si="1"/>
        <v>JPY</v>
      </c>
      <c r="AG56" s="436" t="str">
        <f t="shared" si="1"/>
        <v>JPY</v>
      </c>
      <c r="AH56" s="436" t="str">
        <f t="shared" si="1"/>
        <v>JPY</v>
      </c>
      <c r="AI56" s="436">
        <f>ABS(VLOOKUP(A56,TradesEquity!$1:$1048576,13,FALSE))</f>
        <v>11000</v>
      </c>
      <c r="AJ56" s="437">
        <v>0</v>
      </c>
      <c r="AK56" s="437">
        <v>1</v>
      </c>
      <c r="AL56" s="436">
        <f>VLOOKUP(A56,TradesEquity!$1:$1048576,11,FALSE)</f>
        <v>928.7</v>
      </c>
      <c r="AM56" s="437">
        <v>1</v>
      </c>
      <c r="AN56" s="436">
        <f>ABS(VLOOKUP(A56,TradesEquity!$1:$1048576,14,FALSE))</f>
        <v>10215700</v>
      </c>
      <c r="AO56" s="436">
        <f>ABS(VLOOKUP(A56,TradesEquity!$1:$1048576,15,FALSE))</f>
        <v>6129</v>
      </c>
      <c r="AP56" s="438">
        <f>ABS(VLOOKUP(A56,TradesEquity!$1:$1048576,16,FALSE))</f>
        <v>0</v>
      </c>
      <c r="AQ56" s="367">
        <v>0</v>
      </c>
      <c r="AR56" s="367">
        <v>0</v>
      </c>
      <c r="AS56" s="367">
        <v>0</v>
      </c>
      <c r="AT56" s="367">
        <v>0</v>
      </c>
      <c r="AU56" s="367">
        <v>0</v>
      </c>
      <c r="AV56" s="438">
        <f>ABS(VLOOKUP(A56,TradesEquity!$1:$1048576,18,FALSE))</f>
        <v>10221829</v>
      </c>
      <c r="AW56" s="439">
        <v>0</v>
      </c>
      <c r="AX56" s="440">
        <v>4542</v>
      </c>
      <c r="AY56" s="441" t="s">
        <v>2029</v>
      </c>
      <c r="AZ56" s="442" t="str">
        <f>(VLOOKUP(A56,TradesEquity!$1:$1048576,29,FALSE))</f>
        <v>GSILGB2XXXX</v>
      </c>
      <c r="BA56" s="442" t="str">
        <f>(VLOOKUP(A56,TradesEquity!$1:$1048576,30,FALSE))</f>
        <v>JJSDJPJTXXX</v>
      </c>
      <c r="BB56" s="442">
        <f>(VLOOKUP(A56,TradesEquity!$1:$1048576,31,FALSE))</f>
        <v>6530490016</v>
      </c>
      <c r="BC56" s="442" t="str">
        <f>(VLOOKUP(A56,TradesEquity!$1:$1048576,32,FALSE))</f>
        <v>N</v>
      </c>
      <c r="BI56" s="465" t="str">
        <f>(VLOOKUP(A56,TradesEquity!$1:$1048576,38,FALSE))</f>
        <v xml:space="preserve">                  </v>
      </c>
      <c r="BJ56" s="465" t="str">
        <f>(VLOOKUP(A56,TradesEquity!$1:$1048576,39,FALSE))</f>
        <v xml:space="preserve">                          </v>
      </c>
      <c r="BK56" s="442" t="str">
        <f>(VLOOKUP(A56,TradesEquity!$1:$1048576,40,FALSE))</f>
        <v>GOLDJPJXXXX</v>
      </c>
    </row>
    <row r="57" spans="1:63">
      <c r="A57" s="468">
        <f>(A56+1)</f>
        <v>2019200288</v>
      </c>
      <c r="D57" s="432" t="s">
        <v>2027</v>
      </c>
      <c r="F57" s="433">
        <f>VLOOKUP(A57,TradesEquity!$1:$1048576,2,FALSE)</f>
        <v>44048</v>
      </c>
      <c r="H57" s="433">
        <f>VLOOKUP(A57,TradesEquity!$1:$1048576,21,FALSE)</f>
        <v>44053</v>
      </c>
      <c r="I57" s="434" t="str">
        <f>IF(VLOOKUP(A57,TradesEquity!$1:$1048576,3,FALSE)="BUY","B","S")</f>
        <v>S</v>
      </c>
      <c r="J57" s="434" t="str">
        <f>VLOOKUP(A57,TradesEquity!$1:$1048576,5,FALSE)</f>
        <v>KR7051911006</v>
      </c>
      <c r="K57" s="432" t="s">
        <v>19</v>
      </c>
      <c r="L57" s="435" t="s">
        <v>2028</v>
      </c>
      <c r="AE57" s="436" t="str">
        <f>VLOOKUP(A57,TradesEquity!$1:$1048576,10,FALSE)</f>
        <v>KRW</v>
      </c>
      <c r="AF57" s="436" t="str">
        <f t="shared" si="1"/>
        <v>KRW</v>
      </c>
      <c r="AG57" s="436" t="str">
        <f t="shared" si="1"/>
        <v>KRW</v>
      </c>
      <c r="AH57" s="436" t="str">
        <f t="shared" si="1"/>
        <v>KRW</v>
      </c>
      <c r="AI57" s="436">
        <f>ABS(VLOOKUP(A57,TradesEquity!$1:$1048576,13,FALSE))</f>
        <v>450</v>
      </c>
      <c r="AJ57" s="437">
        <v>0</v>
      </c>
      <c r="AK57" s="437">
        <v>1</v>
      </c>
      <c r="AL57" s="436">
        <f>VLOOKUP(A57,TradesEquity!$1:$1048576,11,FALSE)</f>
        <v>373000</v>
      </c>
      <c r="AM57" s="437">
        <v>1</v>
      </c>
      <c r="AN57" s="436">
        <f>ABS(VLOOKUP(A57,TradesEquity!$1:$1048576,14,FALSE))</f>
        <v>167850000</v>
      </c>
      <c r="AO57" s="436">
        <f>ABS(VLOOKUP(A57,TradesEquity!$1:$1048576,15,FALSE))</f>
        <v>251775</v>
      </c>
      <c r="AP57" s="438">
        <f>ABS(VLOOKUP(A57,TradesEquity!$1:$1048576,16,FALSE))</f>
        <v>419624</v>
      </c>
      <c r="AQ57" s="367">
        <v>0</v>
      </c>
      <c r="AR57" s="367">
        <v>0</v>
      </c>
      <c r="AS57" s="367">
        <v>0</v>
      </c>
      <c r="AT57" s="367">
        <v>0</v>
      </c>
      <c r="AU57" s="367">
        <v>0</v>
      </c>
      <c r="AV57" s="438">
        <f>ABS(VLOOKUP(A57,TradesEquity!$1:$1048576,18,FALSE))</f>
        <v>167178601</v>
      </c>
      <c r="AW57" s="439">
        <v>0</v>
      </c>
      <c r="AX57" s="440">
        <v>4542</v>
      </c>
      <c r="AY57" s="441" t="s">
        <v>2029</v>
      </c>
      <c r="AZ57" s="442" t="e">
        <f>(VLOOKUP(A57,TradesEquity!$1:$1048576,29,FALSE))</f>
        <v>#N/A</v>
      </c>
      <c r="BA57" s="442" t="e">
        <f>(VLOOKUP(A57,TradesEquity!$1:$1048576,30,FALSE))</f>
        <v>#N/A</v>
      </c>
      <c r="BB57" s="442" t="e">
        <f>(VLOOKUP(A57,TradesEquity!$1:$1048576,31,FALSE))</f>
        <v>#N/A</v>
      </c>
      <c r="BC57" s="442" t="e">
        <f>(VLOOKUP(A57,TradesEquity!$1:$1048576,32,FALSE))</f>
        <v>#N/A</v>
      </c>
      <c r="BI57" s="465" t="e">
        <f>(VLOOKUP(A57,TradesEquity!$1:$1048576,38,FALSE))</f>
        <v>#N/A</v>
      </c>
      <c r="BJ57" s="465" t="e">
        <f>(VLOOKUP(A57,TradesEquity!$1:$1048576,39,FALSE))</f>
        <v>#N/A</v>
      </c>
      <c r="BK57" s="442" t="e">
        <f>(VLOOKUP(A57,TradesEquity!$1:$1048576,40,FALSE))</f>
        <v>#N/A</v>
      </c>
    </row>
    <row r="58" spans="1:63">
      <c r="A58" s="468">
        <f>(A57+1)</f>
        <v>2019200289</v>
      </c>
      <c r="D58" s="432" t="s">
        <v>2027</v>
      </c>
      <c r="F58" s="433">
        <f>VLOOKUP(A58,TradesEquity!$1:$1048576,2,FALSE)</f>
        <v>44048</v>
      </c>
      <c r="H58" s="433">
        <f>VLOOKUP(A58,TradesEquity!$1:$1048576,21,FALSE)</f>
        <v>44050</v>
      </c>
      <c r="I58" s="434" t="str">
        <f>IF(VLOOKUP(A58,TradesEquity!$1:$1048576,3,FALSE)="BUY","B","S")</f>
        <v>B</v>
      </c>
      <c r="J58" s="434" t="str">
        <f>VLOOKUP(A58,TradesEquity!$1:$1048576,5,FALSE)</f>
        <v>DE000A2E4LE9</v>
      </c>
      <c r="K58" s="432" t="s">
        <v>19</v>
      </c>
      <c r="L58" s="435" t="s">
        <v>2028</v>
      </c>
      <c r="AE58" s="436" t="str">
        <f>VLOOKUP(A58,TradesEquity!$1:$1048576,10,FALSE)</f>
        <v>EUR</v>
      </c>
      <c r="AF58" s="436" t="str">
        <f t="shared" si="1"/>
        <v>EUR</v>
      </c>
      <c r="AG58" s="436" t="str">
        <f t="shared" si="1"/>
        <v>EUR</v>
      </c>
      <c r="AH58" s="436" t="str">
        <f t="shared" si="1"/>
        <v>EUR</v>
      </c>
      <c r="AI58" s="436">
        <f>ABS(VLOOKUP(A58,TradesEquity!$1:$1048576,13,FALSE))</f>
        <v>6680</v>
      </c>
      <c r="AJ58" s="437">
        <v>0</v>
      </c>
      <c r="AK58" s="437">
        <v>1</v>
      </c>
      <c r="AL58" s="436">
        <f>VLOOKUP(A58,TradesEquity!$1:$1048576,11,FALSE)</f>
        <v>3.3862000000000001</v>
      </c>
      <c r="AM58" s="437">
        <v>1</v>
      </c>
      <c r="AN58" s="436">
        <f>ABS(VLOOKUP(A58,TradesEquity!$1:$1048576,14,FALSE))</f>
        <v>22619.815999999999</v>
      </c>
      <c r="AO58" s="436">
        <f>ABS(VLOOKUP(A58,TradesEquity!$1:$1048576,15,FALSE))</f>
        <v>13.57</v>
      </c>
      <c r="AP58" s="438">
        <f>ABS(VLOOKUP(A58,TradesEquity!$1:$1048576,16,FALSE))</f>
        <v>0</v>
      </c>
      <c r="AQ58" s="367">
        <v>0</v>
      </c>
      <c r="AR58" s="367">
        <v>0</v>
      </c>
      <c r="AS58" s="367">
        <v>0</v>
      </c>
      <c r="AT58" s="367">
        <v>0</v>
      </c>
      <c r="AU58" s="367">
        <v>0</v>
      </c>
      <c r="AV58" s="438">
        <f>ABS(VLOOKUP(A58,TradesEquity!$1:$1048576,18,FALSE))</f>
        <v>22633.385999999999</v>
      </c>
      <c r="AW58" s="439">
        <v>0</v>
      </c>
      <c r="AX58" s="440">
        <v>4542</v>
      </c>
      <c r="AY58" s="441" t="s">
        <v>2029</v>
      </c>
      <c r="AZ58" s="442" t="str">
        <f>(VLOOKUP(A58,TradesEquity!$1:$1048576,29,FALSE))</f>
        <v>EMSIITM1XXX</v>
      </c>
      <c r="BA58" s="442" t="str">
        <f>(VLOOKUP(A58,TradesEquity!$1:$1048576,30,FALSE))</f>
        <v>DAKVDEFFXXX</v>
      </c>
      <c r="BB58" s="442" t="str">
        <f>(VLOOKUP(A58,TradesEquity!$1:$1048576,31,FALSE))</f>
        <v>DAKV8135000</v>
      </c>
      <c r="BC58" s="442" t="str">
        <f>(VLOOKUP(A58,TradesEquity!$1:$1048576,32,FALSE))</f>
        <v>N</v>
      </c>
      <c r="BI58" s="465" t="str">
        <f>(VLOOKUP(A58,TradesEquity!$1:$1048576,38,FALSE))</f>
        <v xml:space="preserve">        </v>
      </c>
      <c r="BJ58" s="465" t="str">
        <f>(VLOOKUP(A58,TradesEquity!$1:$1048576,39,FALSE))</f>
        <v xml:space="preserve">        </v>
      </c>
      <c r="BK58" s="442" t="str">
        <f>(VLOOKUP(A58,TradesEquity!$1:$1048576,40,FALSE))</f>
        <v>BCITITMMD03</v>
      </c>
    </row>
    <row r="59" spans="1:63">
      <c r="A59" s="468">
        <f>(A58+1)</f>
        <v>2019200290</v>
      </c>
      <c r="D59" s="432" t="s">
        <v>2027</v>
      </c>
      <c r="F59" s="433">
        <f>VLOOKUP(A59,TradesEquity!$1:$1048576,2,FALSE)</f>
        <v>44048</v>
      </c>
      <c r="H59" s="433">
        <f>VLOOKUP(A59,TradesEquity!$1:$1048576,21,FALSE)</f>
        <v>44054</v>
      </c>
      <c r="I59" s="434" t="str">
        <f>IF(VLOOKUP(A59,TradesEquity!$1:$1048576,3,FALSE)="BUY","B","S")</f>
        <v>B</v>
      </c>
      <c r="J59" s="434" t="str">
        <f>VLOOKUP(A59,TradesEquity!$1:$1048576,5,FALSE)</f>
        <v>JP3368000000</v>
      </c>
      <c r="K59" s="432" t="s">
        <v>19</v>
      </c>
      <c r="L59" s="435" t="s">
        <v>2028</v>
      </c>
      <c r="AE59" s="436" t="str">
        <f>VLOOKUP(A59,TradesEquity!$1:$1048576,10,FALSE)</f>
        <v>JPY</v>
      </c>
      <c r="AF59" s="436" t="str">
        <f t="shared" si="1"/>
        <v>JPY</v>
      </c>
      <c r="AG59" s="436" t="str">
        <f t="shared" si="1"/>
        <v>JPY</v>
      </c>
      <c r="AH59" s="436" t="str">
        <f t="shared" si="1"/>
        <v>JPY</v>
      </c>
      <c r="AI59" s="436">
        <f>ABS(VLOOKUP(A59,TradesEquity!$1:$1048576,13,FALSE))</f>
        <v>4200</v>
      </c>
      <c r="AJ59" s="437">
        <v>0</v>
      </c>
      <c r="AK59" s="437">
        <v>1</v>
      </c>
      <c r="AL59" s="436">
        <f>VLOOKUP(A59,TradesEquity!$1:$1048576,11,FALSE)</f>
        <v>2238.92976</v>
      </c>
      <c r="AM59" s="437">
        <v>1</v>
      </c>
      <c r="AN59" s="436">
        <f>ABS(VLOOKUP(A59,TradesEquity!$1:$1048576,14,FALSE))</f>
        <v>9403504.9920000006</v>
      </c>
      <c r="AO59" s="436">
        <f>ABS(VLOOKUP(A59,TradesEquity!$1:$1048576,15,FALSE))</f>
        <v>5642</v>
      </c>
      <c r="AP59" s="438">
        <f>ABS(VLOOKUP(A59,TradesEquity!$1:$1048576,16,FALSE))</f>
        <v>0</v>
      </c>
      <c r="AQ59" s="367">
        <v>0</v>
      </c>
      <c r="AR59" s="367">
        <v>0</v>
      </c>
      <c r="AS59" s="367">
        <v>0</v>
      </c>
      <c r="AT59" s="367">
        <v>0</v>
      </c>
      <c r="AU59" s="367">
        <v>0</v>
      </c>
      <c r="AV59" s="438">
        <f>ABS(VLOOKUP(A59,TradesEquity!$1:$1048576,18,FALSE))</f>
        <v>9409146.9920000006</v>
      </c>
      <c r="AW59" s="439">
        <v>0</v>
      </c>
      <c r="AX59" s="440">
        <v>4542</v>
      </c>
      <c r="AY59" s="441" t="s">
        <v>2029</v>
      </c>
      <c r="AZ59" s="442" t="str">
        <f>(VLOOKUP(A59,TradesEquity!$1:$1048576,29,FALSE))</f>
        <v>GSILGB2XXXX</v>
      </c>
      <c r="BA59" s="442" t="str">
        <f>(VLOOKUP(A59,TradesEquity!$1:$1048576,30,FALSE))</f>
        <v>JJSDJPJTXXX</v>
      </c>
      <c r="BB59" s="442">
        <f>(VLOOKUP(A59,TradesEquity!$1:$1048576,31,FALSE))</f>
        <v>6530490016</v>
      </c>
      <c r="BC59" s="442" t="str">
        <f>(VLOOKUP(A59,TradesEquity!$1:$1048576,32,FALSE))</f>
        <v>N</v>
      </c>
      <c r="BI59" s="465" t="str">
        <f>(VLOOKUP(A59,TradesEquity!$1:$1048576,38,FALSE))</f>
        <v xml:space="preserve">                  </v>
      </c>
      <c r="BJ59" s="465" t="str">
        <f>(VLOOKUP(A59,TradesEquity!$1:$1048576,39,FALSE))</f>
        <v xml:space="preserve">                          </v>
      </c>
      <c r="BK59" s="442" t="str">
        <f>(VLOOKUP(A59,TradesEquity!$1:$1048576,40,FALSE))</f>
        <v>GOLDJPJXXXX</v>
      </c>
    </row>
    <row r="60" spans="1:63">
      <c r="A60" s="468">
        <f>(A59+1)</f>
        <v>2019200291</v>
      </c>
      <c r="D60" s="432" t="s">
        <v>2027</v>
      </c>
      <c r="F60" s="433">
        <f>VLOOKUP(A60,TradesEquity!$1:$1048576,2,FALSE)</f>
        <v>44049</v>
      </c>
      <c r="H60" s="433">
        <f>VLOOKUP(A60,TradesEquity!$1:$1048576,21,FALSE)</f>
        <v>44053</v>
      </c>
      <c r="I60" s="434" t="str">
        <f>IF(VLOOKUP(A60,TradesEquity!$1:$1048576,3,FALSE)="BUY","B","S")</f>
        <v>B</v>
      </c>
      <c r="J60" s="434" t="str">
        <f>VLOOKUP(A60,TradesEquity!$1:$1048576,5,FALSE)</f>
        <v>DE000A2E4LE9</v>
      </c>
      <c r="K60" s="432" t="s">
        <v>19</v>
      </c>
      <c r="L60" s="435" t="s">
        <v>2028</v>
      </c>
      <c r="AE60" s="436" t="str">
        <f>VLOOKUP(A60,TradesEquity!$1:$1048576,10,FALSE)</f>
        <v>EUR</v>
      </c>
      <c r="AF60" s="436" t="str">
        <f t="shared" ref="AF60:AH95" si="2">AE60</f>
        <v>EUR</v>
      </c>
      <c r="AG60" s="436" t="str">
        <f t="shared" si="2"/>
        <v>EUR</v>
      </c>
      <c r="AH60" s="436" t="str">
        <f t="shared" si="2"/>
        <v>EUR</v>
      </c>
      <c r="AI60" s="436">
        <f>ABS(VLOOKUP(A60,TradesEquity!$1:$1048576,13,FALSE))</f>
        <v>6320</v>
      </c>
      <c r="AJ60" s="437">
        <v>0</v>
      </c>
      <c r="AK60" s="437">
        <v>1</v>
      </c>
      <c r="AL60" s="436">
        <f>VLOOKUP(A60,TradesEquity!$1:$1048576,11,FALSE)</f>
        <v>3.4358</v>
      </c>
      <c r="AM60" s="437">
        <v>1</v>
      </c>
      <c r="AN60" s="436">
        <f>ABS(VLOOKUP(A60,TradesEquity!$1:$1048576,14,FALSE))</f>
        <v>21714.256000000001</v>
      </c>
      <c r="AO60" s="436">
        <f>ABS(VLOOKUP(A60,TradesEquity!$1:$1048576,15,FALSE))</f>
        <v>13.03</v>
      </c>
      <c r="AP60" s="438">
        <f>ABS(VLOOKUP(A60,TradesEquity!$1:$1048576,16,FALSE))</f>
        <v>0</v>
      </c>
      <c r="AQ60" s="367">
        <v>0</v>
      </c>
      <c r="AR60" s="367">
        <v>0</v>
      </c>
      <c r="AS60" s="367">
        <v>0</v>
      </c>
      <c r="AT60" s="367">
        <v>0</v>
      </c>
      <c r="AU60" s="367">
        <v>0</v>
      </c>
      <c r="AV60" s="438">
        <f>ABS(VLOOKUP(A60,TradesEquity!$1:$1048576,18,FALSE))</f>
        <v>21727.286</v>
      </c>
      <c r="AW60" s="439">
        <v>0</v>
      </c>
      <c r="AX60" s="440">
        <v>4542</v>
      </c>
      <c r="AY60" s="441" t="s">
        <v>2029</v>
      </c>
      <c r="AZ60" s="442" t="str">
        <f>(VLOOKUP(A60,TradesEquity!$1:$1048576,29,FALSE))</f>
        <v>EMSIITM1XXX</v>
      </c>
      <c r="BA60" s="442" t="str">
        <f>(VLOOKUP(A60,TradesEquity!$1:$1048576,30,FALSE))</f>
        <v>DAKVDEFFXXX</v>
      </c>
      <c r="BB60" s="442" t="str">
        <f>(VLOOKUP(A60,TradesEquity!$1:$1048576,31,FALSE))</f>
        <v>DAKV8135000</v>
      </c>
      <c r="BC60" s="442" t="str">
        <f>(VLOOKUP(A60,TradesEquity!$1:$1048576,32,FALSE))</f>
        <v>N</v>
      </c>
      <c r="BI60" s="465" t="str">
        <f>(VLOOKUP(A60,TradesEquity!$1:$1048576,38,FALSE))</f>
        <v xml:space="preserve">        </v>
      </c>
      <c r="BJ60" s="465" t="str">
        <f>(VLOOKUP(A60,TradesEquity!$1:$1048576,39,FALSE))</f>
        <v xml:space="preserve">        </v>
      </c>
      <c r="BK60" s="442" t="str">
        <f>(VLOOKUP(A60,TradesEquity!$1:$1048576,40,FALSE))</f>
        <v>BCITITMMD03</v>
      </c>
    </row>
    <row r="61" spans="1:63">
      <c r="A61" s="468">
        <v>2019200292</v>
      </c>
      <c r="C61" s="501"/>
      <c r="D61" s="432" t="s">
        <v>2027</v>
      </c>
      <c r="F61" s="433">
        <f>VLOOKUP(A61,TradesEquity!$1:$1048576,2,FALSE)</f>
        <v>44050</v>
      </c>
      <c r="H61" s="433">
        <f>VLOOKUP(A61,TradesEquity!$1:$1048576,21,FALSE)</f>
        <v>44055</v>
      </c>
      <c r="I61" s="434" t="str">
        <f>IF(VLOOKUP(A61,TradesEquity!$1:$1048576,3,FALSE)="BUY","B","S")</f>
        <v>S</v>
      </c>
      <c r="J61" s="434" t="str">
        <f>VLOOKUP(A61,TradesEquity!$1:$1048576,5,FALSE)</f>
        <v>KR7051911006</v>
      </c>
      <c r="K61" s="432" t="s">
        <v>19</v>
      </c>
      <c r="L61" s="435" t="s">
        <v>2028</v>
      </c>
      <c r="AE61" s="436" t="str">
        <f>VLOOKUP(A61,TradesEquity!$1:$1048576,10,FALSE)</f>
        <v>KRW</v>
      </c>
      <c r="AF61" s="436" t="str">
        <f t="shared" si="2"/>
        <v>KRW</v>
      </c>
      <c r="AG61" s="436" t="str">
        <f t="shared" si="2"/>
        <v>KRW</v>
      </c>
      <c r="AH61" s="436" t="str">
        <f t="shared" si="2"/>
        <v>KRW</v>
      </c>
      <c r="AI61" s="436">
        <f>ABS(VLOOKUP(A61,TradesEquity!$1:$1048576,13,FALSE))</f>
        <v>380</v>
      </c>
      <c r="AJ61" s="437">
        <v>0</v>
      </c>
      <c r="AK61" s="437">
        <v>1</v>
      </c>
      <c r="AL61" s="436">
        <f>VLOOKUP(A61,TradesEquity!$1:$1048576,11,FALSE)</f>
        <v>439000</v>
      </c>
      <c r="AM61" s="437">
        <v>1</v>
      </c>
      <c r="AN61" s="436">
        <f>ABS(VLOOKUP(A61,TradesEquity!$1:$1048576,14,FALSE))</f>
        <v>166820000</v>
      </c>
      <c r="AO61" s="436">
        <f>ABS(VLOOKUP(A61,TradesEquity!$1:$1048576,15,FALSE))</f>
        <v>250230</v>
      </c>
      <c r="AP61" s="438">
        <f>ABS(VLOOKUP(A61,TradesEquity!$1:$1048576,16,FALSE))</f>
        <v>417050</v>
      </c>
      <c r="AQ61" s="367">
        <v>0</v>
      </c>
      <c r="AR61" s="367">
        <v>0</v>
      </c>
      <c r="AS61" s="367">
        <v>0</v>
      </c>
      <c r="AT61" s="367">
        <v>0</v>
      </c>
      <c r="AU61" s="367">
        <v>0</v>
      </c>
      <c r="AV61" s="438">
        <f>ABS(VLOOKUP(A61,TradesEquity!$1:$1048576,18,FALSE))</f>
        <v>166152720</v>
      </c>
      <c r="AW61" s="439">
        <v>0</v>
      </c>
      <c r="AX61" s="440">
        <v>4542</v>
      </c>
      <c r="AY61" s="441" t="s">
        <v>2029</v>
      </c>
      <c r="AZ61" s="442" t="e">
        <f>(VLOOKUP(A61,TradesEquity!$1:$1048576,29,FALSE))</f>
        <v>#N/A</v>
      </c>
      <c r="BA61" s="442" t="e">
        <f>(VLOOKUP(A61,TradesEquity!$1:$1048576,30,FALSE))</f>
        <v>#N/A</v>
      </c>
      <c r="BB61" s="442" t="e">
        <f>(VLOOKUP(A61,TradesEquity!$1:$1048576,31,FALSE))</f>
        <v>#N/A</v>
      </c>
      <c r="BC61" s="442" t="e">
        <f>(VLOOKUP(A61,TradesEquity!$1:$1048576,32,FALSE))</f>
        <v>#N/A</v>
      </c>
      <c r="BI61" s="465" t="e">
        <f>(VLOOKUP(A61,TradesEquity!$1:$1048576,38,FALSE))</f>
        <v>#N/A</v>
      </c>
      <c r="BJ61" s="465" t="e">
        <f>(VLOOKUP(A61,TradesEquity!$1:$1048576,39,FALSE))</f>
        <v>#N/A</v>
      </c>
      <c r="BK61" s="442" t="e">
        <f>(VLOOKUP(A61,TradesEquity!$1:$1048576,40,FALSE))</f>
        <v>#N/A</v>
      </c>
    </row>
    <row r="62" spans="1:63">
      <c r="A62" s="501">
        <v>2019200293</v>
      </c>
      <c r="D62" s="432" t="s">
        <v>2027</v>
      </c>
      <c r="F62" s="433">
        <f>VLOOKUP(A62,TradesEquity!$1:$1048576,2,FALSE)</f>
        <v>44055</v>
      </c>
      <c r="H62" s="433">
        <f>VLOOKUP(A62,TradesEquity!$1:$1048576,21,FALSE)</f>
        <v>44061</v>
      </c>
      <c r="I62" s="434" t="str">
        <f>IF(VLOOKUP(A62,TradesEquity!$1:$1048576,3,FALSE)="BUY","B","S")</f>
        <v>S</v>
      </c>
      <c r="J62" s="434" t="str">
        <f>VLOOKUP(A62,TradesEquity!$1:$1048576,5,FALSE)</f>
        <v>KR7051911006</v>
      </c>
      <c r="K62" s="432" t="s">
        <v>19</v>
      </c>
      <c r="L62" s="435" t="s">
        <v>2028</v>
      </c>
      <c r="AE62" s="436" t="str">
        <f>VLOOKUP(A62,TradesEquity!$1:$1048576,10,FALSE)</f>
        <v>KRW</v>
      </c>
      <c r="AF62" s="436" t="str">
        <f t="shared" si="2"/>
        <v>KRW</v>
      </c>
      <c r="AG62" s="436" t="str">
        <f t="shared" si="2"/>
        <v>KRW</v>
      </c>
      <c r="AH62" s="436" t="str">
        <f t="shared" si="2"/>
        <v>KRW</v>
      </c>
      <c r="AI62" s="436">
        <f>ABS(VLOOKUP(A62,TradesEquity!$1:$1048576,13,FALSE))</f>
        <v>420</v>
      </c>
      <c r="AJ62" s="437">
        <v>0</v>
      </c>
      <c r="AK62" s="437">
        <v>1</v>
      </c>
      <c r="AL62" s="436">
        <f>VLOOKUP(A62,TradesEquity!$1:$1048576,11,FALSE)</f>
        <v>406500</v>
      </c>
      <c r="AM62" s="437">
        <v>1</v>
      </c>
      <c r="AN62" s="436">
        <f>ABS(VLOOKUP(A62,TradesEquity!$1:$1048576,14,FALSE))</f>
        <v>170730000</v>
      </c>
      <c r="AO62" s="436">
        <f>ABS(VLOOKUP(A62,TradesEquity!$1:$1048576,15,FALSE))</f>
        <v>256095</v>
      </c>
      <c r="AP62" s="438">
        <f>ABS(VLOOKUP(A62,TradesEquity!$1:$1048576,16,FALSE))</f>
        <v>426825</v>
      </c>
      <c r="AQ62" s="367">
        <v>0</v>
      </c>
      <c r="AR62" s="367">
        <v>0</v>
      </c>
      <c r="AS62" s="367">
        <v>0</v>
      </c>
      <c r="AT62" s="367">
        <v>0</v>
      </c>
      <c r="AU62" s="367">
        <v>0</v>
      </c>
      <c r="AV62" s="438">
        <f>ABS(VLOOKUP(A62,TradesEquity!$1:$1048576,18,FALSE))</f>
        <v>170047080</v>
      </c>
      <c r="AW62" s="439">
        <v>0</v>
      </c>
      <c r="AX62" s="440">
        <v>4542</v>
      </c>
      <c r="AY62" s="441" t="s">
        <v>2029</v>
      </c>
      <c r="AZ62" s="442" t="e">
        <f>(VLOOKUP(A62,TradesEquity!$1:$1048576,29,FALSE))</f>
        <v>#N/A</v>
      </c>
      <c r="BA62" s="442" t="e">
        <f>(VLOOKUP(A62,TradesEquity!$1:$1048576,30,FALSE))</f>
        <v>#N/A</v>
      </c>
      <c r="BB62" s="442" t="e">
        <f>(VLOOKUP(A62,TradesEquity!$1:$1048576,31,FALSE))</f>
        <v>#N/A</v>
      </c>
      <c r="BC62" s="442" t="e">
        <f>(VLOOKUP(A62,TradesEquity!$1:$1048576,32,FALSE))</f>
        <v>#N/A</v>
      </c>
      <c r="BI62" s="465" t="e">
        <f>(VLOOKUP(A62,TradesEquity!$1:$1048576,38,FALSE))</f>
        <v>#N/A</v>
      </c>
      <c r="BJ62" s="465" t="e">
        <f>(VLOOKUP(A62,TradesEquity!$1:$1048576,39,FALSE))</f>
        <v>#N/A</v>
      </c>
      <c r="BK62" s="442" t="e">
        <f>(VLOOKUP(A62,TradesEquity!$1:$1048576,40,FALSE))</f>
        <v>#N/A</v>
      </c>
    </row>
    <row r="63" spans="1:63">
      <c r="A63" s="501">
        <v>2019200294</v>
      </c>
      <c r="D63" s="432" t="s">
        <v>2027</v>
      </c>
      <c r="F63" s="433">
        <f>VLOOKUP(A63,TradesEquity!$1:$1048576,2,FALSE)</f>
        <v>44055</v>
      </c>
      <c r="H63" s="433">
        <f>VLOOKUP(A63,TradesEquity!$1:$1048576,21,FALSE)</f>
        <v>44060</v>
      </c>
      <c r="I63" s="434" t="str">
        <f>IF(VLOOKUP(A63,TradesEquity!$1:$1048576,3,FALSE)="BUY","B","S")</f>
        <v>B</v>
      </c>
      <c r="J63" s="434" t="str">
        <f>VLOOKUP(A63,TradesEquity!$1:$1048576,5,FALSE)</f>
        <v>JP3368000000</v>
      </c>
      <c r="K63" s="432" t="s">
        <v>19</v>
      </c>
      <c r="L63" s="435" t="s">
        <v>2028</v>
      </c>
      <c r="AE63" s="436" t="str">
        <f>VLOOKUP(A63,TradesEquity!$1:$1048576,10,FALSE)</f>
        <v>JPY</v>
      </c>
      <c r="AF63" s="436" t="str">
        <f t="shared" si="2"/>
        <v>JPY</v>
      </c>
      <c r="AG63" s="436" t="str">
        <f t="shared" si="2"/>
        <v>JPY</v>
      </c>
      <c r="AH63" s="436" t="str">
        <f t="shared" si="2"/>
        <v>JPY</v>
      </c>
      <c r="AI63" s="436">
        <f>ABS(VLOOKUP(A63,TradesEquity!$1:$1048576,13,FALSE))</f>
        <v>4200</v>
      </c>
      <c r="AJ63" s="437">
        <v>0</v>
      </c>
      <c r="AK63" s="437">
        <v>1</v>
      </c>
      <c r="AL63" s="436">
        <f>VLOOKUP(A63,TradesEquity!$1:$1048576,11,FALSE)</f>
        <v>2307.0651800000001</v>
      </c>
      <c r="AM63" s="437">
        <v>1</v>
      </c>
      <c r="AN63" s="436">
        <f>ABS(VLOOKUP(A63,TradesEquity!$1:$1048576,14,FALSE))</f>
        <v>9689673.756000001</v>
      </c>
      <c r="AO63" s="436">
        <f>ABS(VLOOKUP(A63,TradesEquity!$1:$1048576,15,FALSE))</f>
        <v>5814</v>
      </c>
      <c r="AP63" s="438">
        <f>ABS(VLOOKUP(A63,TradesEquity!$1:$1048576,16,FALSE))</f>
        <v>0</v>
      </c>
      <c r="AQ63" s="367">
        <v>0</v>
      </c>
      <c r="AR63" s="367">
        <v>0</v>
      </c>
      <c r="AS63" s="367">
        <v>0</v>
      </c>
      <c r="AT63" s="367">
        <v>0</v>
      </c>
      <c r="AU63" s="367">
        <v>0</v>
      </c>
      <c r="AV63" s="438">
        <f>ABS(VLOOKUP(A63,TradesEquity!$1:$1048576,18,FALSE))</f>
        <v>9695487.756000001</v>
      </c>
      <c r="AW63" s="439">
        <v>0</v>
      </c>
      <c r="AX63" s="440">
        <v>4542</v>
      </c>
      <c r="AY63" s="441" t="s">
        <v>2029</v>
      </c>
      <c r="AZ63" s="442" t="str">
        <f>(VLOOKUP(A63,TradesEquity!$1:$1048576,29,FALSE))</f>
        <v>GSILGB2XXXX</v>
      </c>
      <c r="BA63" s="442" t="str">
        <f>(VLOOKUP(A63,TradesEquity!$1:$1048576,30,FALSE))</f>
        <v>JJSDJPJTXXX</v>
      </c>
      <c r="BB63" s="442">
        <f>(VLOOKUP(A63,TradesEquity!$1:$1048576,31,FALSE))</f>
        <v>6530490016</v>
      </c>
      <c r="BC63" s="442" t="str">
        <f>(VLOOKUP(A63,TradesEquity!$1:$1048576,32,FALSE))</f>
        <v>N</v>
      </c>
      <c r="BI63" s="465" t="str">
        <f>(VLOOKUP(A63,TradesEquity!$1:$1048576,38,FALSE))</f>
        <v xml:space="preserve">                  </v>
      </c>
      <c r="BJ63" s="465" t="str">
        <f>(VLOOKUP(A63,TradesEquity!$1:$1048576,39,FALSE))</f>
        <v xml:space="preserve">                          </v>
      </c>
      <c r="BK63" s="442" t="str">
        <f>(VLOOKUP(A63,TradesEquity!$1:$1048576,40,FALSE))</f>
        <v>GOLDJPJXXXX</v>
      </c>
    </row>
    <row r="64" spans="1:63">
      <c r="A64" s="501">
        <v>2019200295</v>
      </c>
      <c r="D64" s="432" t="s">
        <v>2027</v>
      </c>
      <c r="F64" s="433">
        <f>VLOOKUP(A64,TradesEquity!$1:$1048576,2,FALSE)</f>
        <v>44055</v>
      </c>
      <c r="H64" s="433">
        <f>VLOOKUP(A64,TradesEquity!$1:$1048576,21,FALSE)</f>
        <v>44060</v>
      </c>
      <c r="I64" s="434" t="str">
        <f>IF(VLOOKUP(A64,TradesEquity!$1:$1048576,3,FALSE)="BUY","B","S")</f>
        <v>B</v>
      </c>
      <c r="J64" s="434" t="str">
        <f>VLOOKUP(A64,TradesEquity!$1:$1048576,5,FALSE)</f>
        <v>JP3402600005</v>
      </c>
      <c r="K64" s="432" t="s">
        <v>19</v>
      </c>
      <c r="L64" s="435" t="s">
        <v>2028</v>
      </c>
      <c r="AE64" s="436" t="str">
        <f>VLOOKUP(A64,TradesEquity!$1:$1048576,10,FALSE)</f>
        <v>JPY</v>
      </c>
      <c r="AF64" s="436" t="str">
        <f t="shared" si="2"/>
        <v>JPY</v>
      </c>
      <c r="AG64" s="436" t="str">
        <f t="shared" si="2"/>
        <v>JPY</v>
      </c>
      <c r="AH64" s="436" t="str">
        <f t="shared" si="2"/>
        <v>JPY</v>
      </c>
      <c r="AI64" s="436">
        <f>ABS(VLOOKUP(A64,TradesEquity!$1:$1048576,13,FALSE))</f>
        <v>2200</v>
      </c>
      <c r="AJ64" s="437">
        <v>0</v>
      </c>
      <c r="AK64" s="437">
        <v>1</v>
      </c>
      <c r="AL64" s="436">
        <f>VLOOKUP(A64,TradesEquity!$1:$1048576,11,FALSE)</f>
        <v>3375</v>
      </c>
      <c r="AM64" s="437">
        <v>1</v>
      </c>
      <c r="AN64" s="436">
        <f>ABS(VLOOKUP(A64,TradesEquity!$1:$1048576,14,FALSE))</f>
        <v>7425000</v>
      </c>
      <c r="AO64" s="436">
        <f>ABS(VLOOKUP(A64,TradesEquity!$1:$1048576,15,FALSE))</f>
        <v>4455</v>
      </c>
      <c r="AP64" s="438">
        <f>ABS(VLOOKUP(A64,TradesEquity!$1:$1048576,16,FALSE))</f>
        <v>0</v>
      </c>
      <c r="AQ64" s="367">
        <v>0</v>
      </c>
      <c r="AR64" s="367">
        <v>0</v>
      </c>
      <c r="AS64" s="367">
        <v>0</v>
      </c>
      <c r="AT64" s="367">
        <v>0</v>
      </c>
      <c r="AU64" s="367">
        <v>0</v>
      </c>
      <c r="AV64" s="438">
        <f>ABS(VLOOKUP(A64,TradesEquity!$1:$1048576,18,FALSE))</f>
        <v>7429455</v>
      </c>
      <c r="AW64" s="439">
        <v>0</v>
      </c>
      <c r="AX64" s="440">
        <v>4542</v>
      </c>
      <c r="AY64" s="441" t="s">
        <v>2029</v>
      </c>
      <c r="AZ64" s="442" t="str">
        <f>(VLOOKUP(A64,TradesEquity!$1:$1048576,29,FALSE))</f>
        <v>GSILGB2XXXX</v>
      </c>
      <c r="BA64" s="442" t="str">
        <f>(VLOOKUP(A64,TradesEquity!$1:$1048576,30,FALSE))</f>
        <v>JJSDJPJTXXX</v>
      </c>
      <c r="BB64" s="442">
        <f>(VLOOKUP(A64,TradesEquity!$1:$1048576,31,FALSE))</f>
        <v>6530490016</v>
      </c>
      <c r="BC64" s="442" t="str">
        <f>(VLOOKUP(A64,TradesEquity!$1:$1048576,32,FALSE))</f>
        <v>N</v>
      </c>
      <c r="BI64" s="465" t="str">
        <f>(VLOOKUP(A64,TradesEquity!$1:$1048576,38,FALSE))</f>
        <v xml:space="preserve">                  </v>
      </c>
      <c r="BJ64" s="465" t="str">
        <f>(VLOOKUP(A64,TradesEquity!$1:$1048576,39,FALSE))</f>
        <v xml:space="preserve">                          </v>
      </c>
      <c r="BK64" s="442" t="str">
        <f>(VLOOKUP(A64,TradesEquity!$1:$1048576,40,FALSE))</f>
        <v>GOLDJPJXXXX</v>
      </c>
    </row>
    <row r="65" spans="1:63">
      <c r="A65" s="501">
        <v>2019200296</v>
      </c>
      <c r="D65" s="432" t="s">
        <v>2027</v>
      </c>
      <c r="F65" s="433">
        <f>VLOOKUP(A65,TradesEquity!$1:$1048576,2,FALSE)</f>
        <v>44055</v>
      </c>
      <c r="H65" s="433">
        <f>VLOOKUP(A65,TradesEquity!$1:$1048576,21,FALSE)</f>
        <v>44061</v>
      </c>
      <c r="I65" s="434" t="str">
        <f>IF(VLOOKUP(A65,TradesEquity!$1:$1048576,3,FALSE)="BUY","B","S")</f>
        <v>S</v>
      </c>
      <c r="J65" s="434" t="str">
        <f>VLOOKUP(A65,TradesEquity!$1:$1048576,5,FALSE)</f>
        <v>KR7006401004</v>
      </c>
      <c r="K65" s="432" t="s">
        <v>19</v>
      </c>
      <c r="L65" s="435" t="s">
        <v>2028</v>
      </c>
      <c r="AE65" s="436" t="str">
        <f>VLOOKUP(A65,TradesEquity!$1:$1048576,10,FALSE)</f>
        <v>KRW</v>
      </c>
      <c r="AF65" s="436" t="str">
        <f t="shared" si="2"/>
        <v>KRW</v>
      </c>
      <c r="AG65" s="436" t="str">
        <f t="shared" si="2"/>
        <v>KRW</v>
      </c>
      <c r="AH65" s="436" t="str">
        <f t="shared" si="2"/>
        <v>KRW</v>
      </c>
      <c r="AI65" s="436">
        <f>ABS(VLOOKUP(A65,TradesEquity!$1:$1048576,13,FALSE))</f>
        <v>670</v>
      </c>
      <c r="AJ65" s="437">
        <v>0</v>
      </c>
      <c r="AK65" s="437">
        <v>1</v>
      </c>
      <c r="AL65" s="436">
        <f>VLOOKUP(A65,TradesEquity!$1:$1048576,11,FALSE)</f>
        <v>301597.76119400002</v>
      </c>
      <c r="AM65" s="437">
        <v>1</v>
      </c>
      <c r="AN65" s="436">
        <f>ABS(VLOOKUP(A65,TradesEquity!$1:$1048576,14,FALSE))</f>
        <v>202070499.99998</v>
      </c>
      <c r="AO65" s="436">
        <f>ABS(VLOOKUP(A65,TradesEquity!$1:$1048576,15,FALSE))</f>
        <v>303106</v>
      </c>
      <c r="AP65" s="438">
        <f>ABS(VLOOKUP(A65,TradesEquity!$1:$1048576,16,FALSE))</f>
        <v>504973</v>
      </c>
      <c r="AQ65" s="367">
        <v>0</v>
      </c>
      <c r="AR65" s="367">
        <v>0</v>
      </c>
      <c r="AS65" s="367">
        <v>0</v>
      </c>
      <c r="AT65" s="367">
        <v>0</v>
      </c>
      <c r="AU65" s="367">
        <v>0</v>
      </c>
      <c r="AV65" s="438">
        <f>ABS(VLOOKUP(A65,TradesEquity!$1:$1048576,18,FALSE))</f>
        <v>201262420.99998</v>
      </c>
      <c r="AW65" s="439">
        <v>0</v>
      </c>
      <c r="AX65" s="440">
        <v>4542</v>
      </c>
      <c r="AY65" s="441" t="s">
        <v>2029</v>
      </c>
      <c r="AZ65" s="442" t="e">
        <f>(VLOOKUP(A65,TradesEquity!$1:$1048576,29,FALSE))</f>
        <v>#N/A</v>
      </c>
      <c r="BA65" s="442" t="e">
        <f>(VLOOKUP(A65,TradesEquity!$1:$1048576,30,FALSE))</f>
        <v>#N/A</v>
      </c>
      <c r="BB65" s="442" t="e">
        <f>(VLOOKUP(A65,TradesEquity!$1:$1048576,31,FALSE))</f>
        <v>#N/A</v>
      </c>
      <c r="BC65" s="442" t="e">
        <f>(VLOOKUP(A65,TradesEquity!$1:$1048576,32,FALSE))</f>
        <v>#N/A</v>
      </c>
      <c r="BI65" s="465" t="e">
        <f>(VLOOKUP(A65,TradesEquity!$1:$1048576,38,FALSE))</f>
        <v>#N/A</v>
      </c>
      <c r="BJ65" s="465" t="e">
        <f>(VLOOKUP(A65,TradesEquity!$1:$1048576,39,FALSE))</f>
        <v>#N/A</v>
      </c>
      <c r="BK65" s="442" t="e">
        <f>(VLOOKUP(A65,TradesEquity!$1:$1048576,40,FALSE))</f>
        <v>#N/A</v>
      </c>
    </row>
    <row r="66" spans="1:63">
      <c r="A66" s="501">
        <v>2019200297</v>
      </c>
      <c r="D66" s="432" t="s">
        <v>2027</v>
      </c>
      <c r="F66" s="433">
        <f>VLOOKUP(A66,TradesEquity!$1:$1048576,2,FALSE)</f>
        <v>44055</v>
      </c>
      <c r="H66" s="433">
        <f>VLOOKUP(A66,TradesEquity!$1:$1048576,21,FALSE)</f>
        <v>44061</v>
      </c>
      <c r="I66" s="434" t="str">
        <f>IF(VLOOKUP(A66,TradesEquity!$1:$1048576,3,FALSE)="BUY","B","S")</f>
        <v>S</v>
      </c>
      <c r="J66" s="434" t="str">
        <f>VLOOKUP(A66,TradesEquity!$1:$1048576,5,FALSE)</f>
        <v>KR7005420005</v>
      </c>
      <c r="K66" s="432" t="s">
        <v>19</v>
      </c>
      <c r="L66" s="435" t="s">
        <v>2028</v>
      </c>
      <c r="AE66" s="436" t="str">
        <f>VLOOKUP(A66,TradesEquity!$1:$1048576,10,FALSE)</f>
        <v>KRW</v>
      </c>
      <c r="AF66" s="436" t="str">
        <f t="shared" si="2"/>
        <v>KRW</v>
      </c>
      <c r="AG66" s="436" t="str">
        <f t="shared" si="2"/>
        <v>KRW</v>
      </c>
      <c r="AH66" s="436" t="str">
        <f t="shared" si="2"/>
        <v>KRW</v>
      </c>
      <c r="AI66" s="436">
        <f>ABS(VLOOKUP(A66,TradesEquity!$1:$1048576,13,FALSE))</f>
        <v>11000</v>
      </c>
      <c r="AJ66" s="437">
        <v>0</v>
      </c>
      <c r="AK66" s="437">
        <v>1</v>
      </c>
      <c r="AL66" s="436">
        <f>VLOOKUP(A66,TradesEquity!$1:$1048576,11,FALSE)</f>
        <v>12328.886399999999</v>
      </c>
      <c r="AM66" s="437">
        <v>1</v>
      </c>
      <c r="AN66" s="436">
        <f>ABS(VLOOKUP(A66,TradesEquity!$1:$1048576,14,FALSE))</f>
        <v>135617750.40000001</v>
      </c>
      <c r="AO66" s="436">
        <f>ABS(VLOOKUP(A66,TradesEquity!$1:$1048576,15,FALSE))</f>
        <v>203427</v>
      </c>
      <c r="AP66" s="438">
        <f>ABS(VLOOKUP(A66,TradesEquity!$1:$1048576,16,FALSE))</f>
        <v>338980</v>
      </c>
      <c r="AQ66" s="367">
        <v>0</v>
      </c>
      <c r="AR66" s="367">
        <v>0</v>
      </c>
      <c r="AS66" s="367">
        <v>0</v>
      </c>
      <c r="AT66" s="367">
        <v>0</v>
      </c>
      <c r="AU66" s="367">
        <v>0</v>
      </c>
      <c r="AV66" s="438">
        <f>ABS(VLOOKUP(A66,TradesEquity!$1:$1048576,18,FALSE))</f>
        <v>135075343.40000001</v>
      </c>
      <c r="AW66" s="439">
        <v>0</v>
      </c>
      <c r="AX66" s="440">
        <v>4542</v>
      </c>
      <c r="AY66" s="441" t="s">
        <v>2029</v>
      </c>
      <c r="AZ66" s="442" t="e">
        <f>(VLOOKUP(A66,TradesEquity!$1:$1048576,29,FALSE))</f>
        <v>#N/A</v>
      </c>
      <c r="BA66" s="442" t="e">
        <f>(VLOOKUP(A66,TradesEquity!$1:$1048576,30,FALSE))</f>
        <v>#N/A</v>
      </c>
      <c r="BB66" s="442" t="e">
        <f>(VLOOKUP(A66,TradesEquity!$1:$1048576,31,FALSE))</f>
        <v>#N/A</v>
      </c>
      <c r="BC66" s="442" t="e">
        <f>(VLOOKUP(A66,TradesEquity!$1:$1048576,32,FALSE))</f>
        <v>#N/A</v>
      </c>
      <c r="BI66" s="465" t="e">
        <f>(VLOOKUP(A66,TradesEquity!$1:$1048576,38,FALSE))</f>
        <v>#N/A</v>
      </c>
      <c r="BJ66" s="465" t="e">
        <f>(VLOOKUP(A66,TradesEquity!$1:$1048576,39,FALSE))</f>
        <v>#N/A</v>
      </c>
      <c r="BK66" s="442" t="e">
        <f>(VLOOKUP(A66,TradesEquity!$1:$1048576,40,FALSE))</f>
        <v>#N/A</v>
      </c>
    </row>
    <row r="67" spans="1:63">
      <c r="A67" s="501">
        <v>2019200298</v>
      </c>
      <c r="D67" s="432" t="s">
        <v>2027</v>
      </c>
      <c r="F67" s="433">
        <f>VLOOKUP(A67,TradesEquity!$1:$1048576,2,FALSE)</f>
        <v>44055</v>
      </c>
      <c r="H67" s="433">
        <f>VLOOKUP(A67,TradesEquity!$1:$1048576,21,FALSE)</f>
        <v>44057</v>
      </c>
      <c r="I67" s="434" t="str">
        <f>IF(VLOOKUP(A67,TradesEquity!$1:$1048576,3,FALSE)="BUY","B","S")</f>
        <v>S</v>
      </c>
      <c r="J67" s="434" t="str">
        <f>VLOOKUP(A67,TradesEquity!$1:$1048576,5,FALSE)</f>
        <v>US35671D8570</v>
      </c>
      <c r="K67" s="432" t="s">
        <v>19</v>
      </c>
      <c r="L67" s="435" t="s">
        <v>2028</v>
      </c>
      <c r="AE67" s="436" t="str">
        <f>VLOOKUP(A67,TradesEquity!$1:$1048576,10,FALSE)</f>
        <v>USD</v>
      </c>
      <c r="AF67" s="436" t="str">
        <f t="shared" si="2"/>
        <v>USD</v>
      </c>
      <c r="AG67" s="436" t="str">
        <f t="shared" si="2"/>
        <v>USD</v>
      </c>
      <c r="AH67" s="436" t="str">
        <f t="shared" si="2"/>
        <v>USD</v>
      </c>
      <c r="AI67" s="436">
        <f>ABS(VLOOKUP(A67,TradesEquity!$1:$1048576,13,FALSE))</f>
        <v>7400</v>
      </c>
      <c r="AJ67" s="437">
        <v>0</v>
      </c>
      <c r="AK67" s="437">
        <v>1</v>
      </c>
      <c r="AL67" s="436">
        <f>VLOOKUP(A67,TradesEquity!$1:$1048576,11,FALSE)</f>
        <v>14.09831</v>
      </c>
      <c r="AM67" s="437">
        <v>1</v>
      </c>
      <c r="AN67" s="436">
        <f>ABS(VLOOKUP(A67,TradesEquity!$1:$1048576,14,FALSE))</f>
        <v>104327.49399999999</v>
      </c>
      <c r="AO67" s="436">
        <f>ABS(VLOOKUP(A67,TradesEquity!$1:$1048576,15,FALSE))</f>
        <v>52.16</v>
      </c>
      <c r="AP67" s="438">
        <f>ABS(VLOOKUP(A67,TradesEquity!$1:$1048576,16,FALSE))</f>
        <v>2.31</v>
      </c>
      <c r="AQ67" s="367">
        <v>0</v>
      </c>
      <c r="AR67" s="367">
        <v>0</v>
      </c>
      <c r="AS67" s="367">
        <v>0</v>
      </c>
      <c r="AT67" s="367">
        <v>0</v>
      </c>
      <c r="AU67" s="367">
        <v>0</v>
      </c>
      <c r="AV67" s="438">
        <f>ABS(VLOOKUP(A67,TradesEquity!$1:$1048576,18,FALSE))</f>
        <v>104273.02399999999</v>
      </c>
      <c r="AW67" s="439">
        <v>0</v>
      </c>
      <c r="AX67" s="440">
        <v>4542</v>
      </c>
      <c r="AY67" s="441" t="s">
        <v>2029</v>
      </c>
      <c r="AZ67" s="442" t="str">
        <f>(VLOOKUP(A67,TradesEquity!$1:$1048576,29,FALSE))</f>
        <v>GSILGB2XXXX</v>
      </c>
      <c r="BA67" s="442" t="str">
        <f>(VLOOKUP(A67,TradesEquity!$1:$1048576,30,FALSE))</f>
        <v>DTCYUS33</v>
      </c>
      <c r="BB67" s="442" t="str">
        <f>(VLOOKUP(A67,TradesEquity!$1:$1048576,31,FALSE))</f>
        <v xml:space="preserve">        </v>
      </c>
      <c r="BC67" s="442" t="str">
        <f>(VLOOKUP(A67,TradesEquity!$1:$1048576,32,FALSE))</f>
        <v>N</v>
      </c>
      <c r="BI67" s="465" t="str">
        <f>(VLOOKUP(A67,TradesEquity!$1:$1048576,38,FALSE))</f>
        <v>DTCYID</v>
      </c>
      <c r="BJ67" s="465">
        <f>(VLOOKUP(A67,TradesEquity!$1:$1048576,39,FALSE))</f>
        <v>5208</v>
      </c>
      <c r="BK67" s="442" t="str">
        <f>(VLOOKUP(A67,TradesEquity!$1:$1048576,40,FALSE))</f>
        <v xml:space="preserve">        </v>
      </c>
    </row>
    <row r="68" spans="1:63">
      <c r="A68" s="501">
        <v>2019200299</v>
      </c>
      <c r="D68" s="432" t="s">
        <v>2027</v>
      </c>
      <c r="F68" s="433">
        <f>VLOOKUP(A68,TradesEquity!$1:$1048576,2,FALSE)</f>
        <v>44055</v>
      </c>
      <c r="H68" s="433">
        <f>VLOOKUP(A68,TradesEquity!$1:$1048576,21,FALSE)</f>
        <v>44060</v>
      </c>
      <c r="I68" s="434" t="str">
        <f>IF(VLOOKUP(A68,TradesEquity!$1:$1048576,3,FALSE)="BUY","B","S")</f>
        <v>B</v>
      </c>
      <c r="J68" s="434" t="str">
        <f>VLOOKUP(A68,TradesEquity!$1:$1048576,5,FALSE)</f>
        <v>AU000000WSA9</v>
      </c>
      <c r="K68" s="432" t="s">
        <v>19</v>
      </c>
      <c r="L68" s="435" t="s">
        <v>2028</v>
      </c>
      <c r="AE68" s="436" t="str">
        <f>VLOOKUP(A68,TradesEquity!$1:$1048576,10,FALSE)</f>
        <v>AUD</v>
      </c>
      <c r="AF68" s="436" t="str">
        <f t="shared" si="2"/>
        <v>AUD</v>
      </c>
      <c r="AG68" s="436" t="str">
        <f t="shared" si="2"/>
        <v>AUD</v>
      </c>
      <c r="AH68" s="436" t="str">
        <f t="shared" si="2"/>
        <v>AUD</v>
      </c>
      <c r="AI68" s="436">
        <f>ABS(VLOOKUP(A68,TradesEquity!$1:$1048576,13,FALSE))</f>
        <v>42000</v>
      </c>
      <c r="AJ68" s="437">
        <v>0</v>
      </c>
      <c r="AK68" s="437">
        <v>1</v>
      </c>
      <c r="AL68" s="436">
        <f>VLOOKUP(A68,TradesEquity!$1:$1048576,11,FALSE)</f>
        <v>2.46611</v>
      </c>
      <c r="AM68" s="437">
        <v>1</v>
      </c>
      <c r="AN68" s="436">
        <f>ABS(VLOOKUP(A68,TradesEquity!$1:$1048576,14,FALSE))</f>
        <v>103576.62</v>
      </c>
      <c r="AO68" s="436">
        <f>ABS(VLOOKUP(A68,TradesEquity!$1:$1048576,15,FALSE))</f>
        <v>62.15</v>
      </c>
      <c r="AP68" s="438">
        <f>ABS(VLOOKUP(A68,TradesEquity!$1:$1048576,16,FALSE))</f>
        <v>0</v>
      </c>
      <c r="AQ68" s="367">
        <v>0</v>
      </c>
      <c r="AR68" s="367">
        <v>0</v>
      </c>
      <c r="AS68" s="367">
        <v>0</v>
      </c>
      <c r="AT68" s="367">
        <v>0</v>
      </c>
      <c r="AU68" s="367">
        <v>0</v>
      </c>
      <c r="AV68" s="438">
        <f>ABS(VLOOKUP(A68,TradesEquity!$1:$1048576,18,FALSE))</f>
        <v>103638.76999999999</v>
      </c>
      <c r="AW68" s="439">
        <v>0</v>
      </c>
      <c r="AX68" s="440">
        <v>4542</v>
      </c>
      <c r="AY68" s="441" t="s">
        <v>2029</v>
      </c>
      <c r="AZ68" s="442" t="str">
        <f>(VLOOKUP(A68,TradesEquity!$1:$1048576,29,FALSE))</f>
        <v>GSILGB2XXXX</v>
      </c>
      <c r="BA68" s="442" t="str">
        <f>(VLOOKUP(A68,TradesEquity!$1:$1048576,30,FALSE))</f>
        <v>CAETAU21</v>
      </c>
      <c r="BB68" s="442" t="str">
        <f>(VLOOKUP(A68,TradesEquity!$1:$1048576,31,FALSE))</f>
        <v>011-109048-061</v>
      </c>
      <c r="BC68" s="442" t="str">
        <f>(VLOOKUP(A68,TradesEquity!$1:$1048576,32,FALSE))</f>
        <v>N</v>
      </c>
      <c r="BI68" s="465" t="str">
        <f>(VLOOKUP(A68,TradesEquity!$1:$1048576,38,FALSE))</f>
        <v xml:space="preserve">        </v>
      </c>
      <c r="BJ68" s="465" t="str">
        <f>(VLOOKUP(A68,TradesEquity!$1:$1048576,39,FALSE))</f>
        <v xml:space="preserve">        </v>
      </c>
      <c r="BK68" s="442" t="str">
        <f>(VLOOKUP(A68,TradesEquity!$1:$1048576,40,FALSE))</f>
        <v>HKBAAU2SSYD</v>
      </c>
    </row>
    <row r="69" spans="1:63">
      <c r="A69" s="501">
        <v>2019200300</v>
      </c>
      <c r="D69" s="432" t="s">
        <v>2027</v>
      </c>
      <c r="F69" s="433">
        <f>VLOOKUP(A69,TradesEquity!$1:$1048576,2,FALSE)</f>
        <v>44055</v>
      </c>
      <c r="H69" s="433">
        <f>VLOOKUP(A69,TradesEquity!$1:$1048576,21,FALSE)</f>
        <v>44060</v>
      </c>
      <c r="I69" s="434" t="str">
        <f>IF(VLOOKUP(A69,TradesEquity!$1:$1048576,3,FALSE)="BUY","B","S")</f>
        <v>B</v>
      </c>
      <c r="J69" s="434" t="str">
        <f>VLOOKUP(A69,TradesEquity!$1:$1048576,5,FALSE)</f>
        <v>JP3385820000</v>
      </c>
      <c r="K69" s="432" t="s">
        <v>19</v>
      </c>
      <c r="L69" s="435" t="s">
        <v>2028</v>
      </c>
      <c r="AE69" s="436" t="str">
        <f>VLOOKUP(A69,TradesEquity!$1:$1048576,10,FALSE)</f>
        <v>JPY</v>
      </c>
      <c r="AF69" s="436" t="str">
        <f t="shared" si="2"/>
        <v>JPY</v>
      </c>
      <c r="AG69" s="436" t="str">
        <f t="shared" si="2"/>
        <v>JPY</v>
      </c>
      <c r="AH69" s="436" t="str">
        <f t="shared" si="2"/>
        <v>JPY</v>
      </c>
      <c r="AI69" s="436">
        <f>ABS(VLOOKUP(A69,TradesEquity!$1:$1048576,13,FALSE))</f>
        <v>17000</v>
      </c>
      <c r="AJ69" s="437">
        <v>0</v>
      </c>
      <c r="AK69" s="437">
        <v>1</v>
      </c>
      <c r="AL69" s="436">
        <f>VLOOKUP(A69,TradesEquity!$1:$1048576,11,FALSE)</f>
        <v>1832.15824</v>
      </c>
      <c r="AM69" s="437">
        <v>1</v>
      </c>
      <c r="AN69" s="436">
        <f>ABS(VLOOKUP(A69,TradesEquity!$1:$1048576,14,FALSE))</f>
        <v>31146690.079999998</v>
      </c>
      <c r="AO69" s="436">
        <f>ABS(VLOOKUP(A69,TradesEquity!$1:$1048576,15,FALSE))</f>
        <v>18688</v>
      </c>
      <c r="AP69" s="438">
        <f>ABS(VLOOKUP(A69,TradesEquity!$1:$1048576,16,FALSE))</f>
        <v>0</v>
      </c>
      <c r="AQ69" s="367">
        <v>0</v>
      </c>
      <c r="AR69" s="367">
        <v>0</v>
      </c>
      <c r="AS69" s="367">
        <v>0</v>
      </c>
      <c r="AT69" s="367">
        <v>0</v>
      </c>
      <c r="AU69" s="367">
        <v>0</v>
      </c>
      <c r="AV69" s="438">
        <f>ABS(VLOOKUP(A69,TradesEquity!$1:$1048576,18,FALSE))</f>
        <v>31165378.079999998</v>
      </c>
      <c r="AW69" s="439">
        <v>0</v>
      </c>
      <c r="AX69" s="440">
        <v>4542</v>
      </c>
      <c r="AY69" s="441" t="s">
        <v>2029</v>
      </c>
      <c r="AZ69" s="442" t="str">
        <f>(VLOOKUP(A69,TradesEquity!$1:$1048576,29,FALSE))</f>
        <v>GSILGB2XXXX</v>
      </c>
      <c r="BA69" s="442" t="str">
        <f>(VLOOKUP(A69,TradesEquity!$1:$1048576,30,FALSE))</f>
        <v>JJSDJPJTXXX</v>
      </c>
      <c r="BB69" s="442">
        <f>(VLOOKUP(A69,TradesEquity!$1:$1048576,31,FALSE))</f>
        <v>6530490016</v>
      </c>
      <c r="BC69" s="442" t="str">
        <f>(VLOOKUP(A69,TradesEquity!$1:$1048576,32,FALSE))</f>
        <v>N</v>
      </c>
      <c r="BI69" s="465" t="str">
        <f>(VLOOKUP(A69,TradesEquity!$1:$1048576,38,FALSE))</f>
        <v xml:space="preserve">                  </v>
      </c>
      <c r="BJ69" s="465" t="str">
        <f>(VLOOKUP(A69,TradesEquity!$1:$1048576,39,FALSE))</f>
        <v xml:space="preserve">                          </v>
      </c>
      <c r="BK69" s="442" t="str">
        <f>(VLOOKUP(A69,TradesEquity!$1:$1048576,40,FALSE))</f>
        <v>GOLDJPJXXXX</v>
      </c>
    </row>
    <row r="70" spans="1:63">
      <c r="A70" s="501">
        <v>2019200309</v>
      </c>
      <c r="D70" s="432" t="s">
        <v>2027</v>
      </c>
      <c r="F70" s="433">
        <f>VLOOKUP(A70,TradesEquity!$1:$1048576,2,FALSE)</f>
        <v>44062</v>
      </c>
      <c r="H70" s="433">
        <f>VLOOKUP(A70,TradesEquity!$1:$1048576,21,FALSE)</f>
        <v>44067</v>
      </c>
      <c r="I70" s="434" t="str">
        <f>IF(VLOOKUP(A70,TradesEquity!$1:$1048576,3,FALSE)="BUY","B","S")</f>
        <v>B</v>
      </c>
      <c r="J70" s="434" t="str">
        <f>VLOOKUP(A70,TradesEquity!$1:$1048576,5,FALSE)</f>
        <v>JP3402600005</v>
      </c>
      <c r="K70" s="432" t="s">
        <v>19</v>
      </c>
      <c r="L70" s="435" t="s">
        <v>2028</v>
      </c>
      <c r="AE70" s="436" t="str">
        <f>VLOOKUP(A70,TradesEquity!$1:$1048576,10,FALSE)</f>
        <v>JPY</v>
      </c>
      <c r="AF70" s="436" t="str">
        <f t="shared" si="2"/>
        <v>JPY</v>
      </c>
      <c r="AG70" s="436" t="str">
        <f t="shared" si="2"/>
        <v>JPY</v>
      </c>
      <c r="AH70" s="436" t="str">
        <f t="shared" si="2"/>
        <v>JPY</v>
      </c>
      <c r="AI70" s="436">
        <f>ABS(VLOOKUP(A70,TradesEquity!$1:$1048576,13,FALSE))</f>
        <v>2200</v>
      </c>
      <c r="AJ70" s="437">
        <v>0</v>
      </c>
      <c r="AK70" s="437">
        <v>1</v>
      </c>
      <c r="AL70" s="436">
        <f>VLOOKUP(A70,TradesEquity!$1:$1048576,11,FALSE)</f>
        <v>3280.3281299999999</v>
      </c>
      <c r="AM70" s="437">
        <v>1</v>
      </c>
      <c r="AN70" s="436">
        <f>ABS(VLOOKUP(A70,TradesEquity!$1:$1048576,14,FALSE))</f>
        <v>7216721.8859999999</v>
      </c>
      <c r="AO70" s="436">
        <f>ABS(VLOOKUP(A70,TradesEquity!$1:$1048576,15,FALSE))</f>
        <v>4330</v>
      </c>
      <c r="AP70" s="438">
        <f>ABS(VLOOKUP(A70,TradesEquity!$1:$1048576,16,FALSE))</f>
        <v>0</v>
      </c>
      <c r="AQ70" s="367">
        <v>0</v>
      </c>
      <c r="AR70" s="367">
        <v>0</v>
      </c>
      <c r="AS70" s="367">
        <v>0</v>
      </c>
      <c r="AT70" s="367">
        <v>0</v>
      </c>
      <c r="AU70" s="367">
        <v>0</v>
      </c>
      <c r="AV70" s="438">
        <f>ABS(VLOOKUP(A70,TradesEquity!$1:$1048576,18,FALSE))</f>
        <v>7221051.8859999999</v>
      </c>
      <c r="AW70" s="439">
        <v>0</v>
      </c>
      <c r="AX70" s="440">
        <v>4542</v>
      </c>
      <c r="AY70" s="441" t="s">
        <v>2029</v>
      </c>
      <c r="AZ70" s="442" t="str">
        <f>(VLOOKUP(A70,TradesEquity!$1:$1048576,29,FALSE))</f>
        <v>GSILGB2XXXX</v>
      </c>
      <c r="BA70" s="442" t="str">
        <f>(VLOOKUP(A70,TradesEquity!$1:$1048576,30,FALSE))</f>
        <v>JJSDJPJTXXX</v>
      </c>
      <c r="BB70" s="442">
        <f>(VLOOKUP(A70,TradesEquity!$1:$1048576,31,FALSE))</f>
        <v>6530490016</v>
      </c>
      <c r="BC70" s="442" t="str">
        <f>(VLOOKUP(A70,TradesEquity!$1:$1048576,32,FALSE))</f>
        <v>N</v>
      </c>
      <c r="BI70" s="465" t="str">
        <f>(VLOOKUP(A70,TradesEquity!$1:$1048576,38,FALSE))</f>
        <v xml:space="preserve">                  </v>
      </c>
      <c r="BJ70" s="465" t="str">
        <f>(VLOOKUP(A70,TradesEquity!$1:$1048576,39,FALSE))</f>
        <v xml:space="preserve">                          </v>
      </c>
      <c r="BK70" s="442" t="str">
        <f>(VLOOKUP(A70,TradesEquity!$1:$1048576,40,FALSE))</f>
        <v>GOLDJPJXXXX</v>
      </c>
    </row>
    <row r="71" spans="1:63">
      <c r="A71" s="501">
        <v>2019200310</v>
      </c>
      <c r="D71" s="432" t="s">
        <v>2027</v>
      </c>
      <c r="F71" s="433">
        <f>VLOOKUP(A71,TradesEquity!$1:$1048576,2,FALSE)</f>
        <v>44062</v>
      </c>
      <c r="H71" s="433">
        <f>VLOOKUP(A71,TradesEquity!$1:$1048576,21,FALSE)</f>
        <v>44067</v>
      </c>
      <c r="I71" s="434" t="str">
        <f>IF(VLOOKUP(A71,TradesEquity!$1:$1048576,3,FALSE)="BUY","B","S")</f>
        <v>B</v>
      </c>
      <c r="J71" s="434" t="str">
        <f>VLOOKUP(A71,TradesEquity!$1:$1048576,5,FALSE)</f>
        <v>KR7005490008</v>
      </c>
      <c r="K71" s="432" t="s">
        <v>19</v>
      </c>
      <c r="L71" s="435" t="s">
        <v>2028</v>
      </c>
      <c r="AE71" s="436" t="str">
        <f>VLOOKUP(A71,TradesEquity!$1:$1048576,10,FALSE)</f>
        <v>KRW</v>
      </c>
      <c r="AF71" s="436" t="str">
        <f t="shared" si="2"/>
        <v>KRW</v>
      </c>
      <c r="AG71" s="436" t="str">
        <f t="shared" si="2"/>
        <v>KRW</v>
      </c>
      <c r="AH71" s="436" t="str">
        <f t="shared" si="2"/>
        <v>KRW</v>
      </c>
      <c r="AI71" s="436">
        <f>ABS(VLOOKUP(A71,TradesEquity!$1:$1048576,13,FALSE))</f>
        <v>670</v>
      </c>
      <c r="AJ71" s="437">
        <v>0</v>
      </c>
      <c r="AK71" s="437">
        <v>1</v>
      </c>
      <c r="AL71" s="436">
        <f>VLOOKUP(A71,TradesEquity!$1:$1048576,11,FALSE)</f>
        <v>199283.97435900001</v>
      </c>
      <c r="AM71" s="437">
        <v>1</v>
      </c>
      <c r="AN71" s="436">
        <f>ABS(VLOOKUP(A71,TradesEquity!$1:$1048576,14,FALSE))</f>
        <v>133520262.82053001</v>
      </c>
      <c r="AO71" s="436">
        <f>ABS(VLOOKUP(A71,TradesEquity!$1:$1048576,15,FALSE))</f>
        <v>200281</v>
      </c>
      <c r="AP71" s="438">
        <f>ABS(VLOOKUP(A71,TradesEquity!$1:$1048576,16,FALSE))</f>
        <v>0</v>
      </c>
      <c r="AQ71" s="367">
        <v>0</v>
      </c>
      <c r="AR71" s="367">
        <v>0</v>
      </c>
      <c r="AS71" s="367">
        <v>0</v>
      </c>
      <c r="AT71" s="367">
        <v>0</v>
      </c>
      <c r="AU71" s="367">
        <v>0</v>
      </c>
      <c r="AV71" s="438">
        <f>ABS(VLOOKUP(A71,TradesEquity!$1:$1048576,18,FALSE))</f>
        <v>133720543.82053001</v>
      </c>
      <c r="AW71" s="439">
        <v>0</v>
      </c>
      <c r="AX71" s="440">
        <v>4542</v>
      </c>
      <c r="AY71" s="441" t="s">
        <v>2029</v>
      </c>
      <c r="AZ71" s="442" t="e">
        <f>(VLOOKUP(A71,TradesEquity!$1:$1048576,29,FALSE))</f>
        <v>#N/A</v>
      </c>
      <c r="BA71" s="442" t="e">
        <f>(VLOOKUP(A71,TradesEquity!$1:$1048576,30,FALSE))</f>
        <v>#N/A</v>
      </c>
      <c r="BB71" s="442" t="e">
        <f>(VLOOKUP(A71,TradesEquity!$1:$1048576,31,FALSE))</f>
        <v>#N/A</v>
      </c>
      <c r="BC71" s="442" t="e">
        <f>(VLOOKUP(A71,TradesEquity!$1:$1048576,32,FALSE))</f>
        <v>#N/A</v>
      </c>
      <c r="BI71" s="465" t="e">
        <f>(VLOOKUP(A71,TradesEquity!$1:$1048576,38,FALSE))</f>
        <v>#N/A</v>
      </c>
      <c r="BJ71" s="465" t="e">
        <f>(VLOOKUP(A71,TradesEquity!$1:$1048576,39,FALSE))</f>
        <v>#N/A</v>
      </c>
      <c r="BK71" s="442" t="e">
        <f>(VLOOKUP(A71,TradesEquity!$1:$1048576,40,FALSE))</f>
        <v>#N/A</v>
      </c>
    </row>
    <row r="72" spans="1:63">
      <c r="A72" s="501">
        <v>2019200311</v>
      </c>
      <c r="D72" s="432" t="s">
        <v>2027</v>
      </c>
      <c r="F72" s="433" t="e">
        <f>VLOOKUP(A72,TradesEquity!$1:$1048576,2,FALSE)</f>
        <v>#N/A</v>
      </c>
      <c r="H72" s="433" t="e">
        <f>VLOOKUP(A72,TradesEquity!$1:$1048576,21,FALSE)</f>
        <v>#N/A</v>
      </c>
      <c r="I72" s="434" t="e">
        <f>IF(VLOOKUP(A72,TradesEquity!$1:$1048576,3,FALSE)="BUY","B","S")</f>
        <v>#N/A</v>
      </c>
      <c r="J72" s="434" t="e">
        <f>VLOOKUP(A72,TradesEquity!$1:$1048576,5,FALSE)</f>
        <v>#N/A</v>
      </c>
      <c r="K72" s="432" t="s">
        <v>19</v>
      </c>
      <c r="L72" s="435" t="s">
        <v>2028</v>
      </c>
      <c r="AE72" s="436" t="e">
        <f>VLOOKUP(A72,TradesEquity!$1:$1048576,10,FALSE)</f>
        <v>#N/A</v>
      </c>
      <c r="AF72" s="436" t="e">
        <f t="shared" si="2"/>
        <v>#N/A</v>
      </c>
      <c r="AG72" s="436" t="e">
        <f t="shared" si="2"/>
        <v>#N/A</v>
      </c>
      <c r="AH72" s="436" t="e">
        <f t="shared" si="2"/>
        <v>#N/A</v>
      </c>
      <c r="AI72" s="436" t="e">
        <f>ABS(VLOOKUP(A72,TradesEquity!$1:$1048576,13,FALSE))</f>
        <v>#N/A</v>
      </c>
      <c r="AJ72" s="437">
        <v>0</v>
      </c>
      <c r="AK72" s="437">
        <v>1</v>
      </c>
      <c r="AL72" s="436" t="e">
        <f>VLOOKUP(A72,TradesEquity!$1:$1048576,11,FALSE)</f>
        <v>#N/A</v>
      </c>
      <c r="AM72" s="437">
        <v>1</v>
      </c>
      <c r="AN72" s="436" t="e">
        <f>ABS(VLOOKUP(A72,TradesEquity!$1:$1048576,14,FALSE))</f>
        <v>#N/A</v>
      </c>
      <c r="AO72" s="436" t="e">
        <f>ABS(VLOOKUP(A72,TradesEquity!$1:$1048576,15,FALSE))</f>
        <v>#N/A</v>
      </c>
      <c r="AP72" s="438" t="e">
        <f>ABS(VLOOKUP(A72,TradesEquity!$1:$1048576,16,FALSE))</f>
        <v>#N/A</v>
      </c>
      <c r="AQ72" s="367">
        <v>0</v>
      </c>
      <c r="AR72" s="367">
        <v>0</v>
      </c>
      <c r="AS72" s="367">
        <v>0</v>
      </c>
      <c r="AT72" s="367">
        <v>0</v>
      </c>
      <c r="AU72" s="367">
        <v>0</v>
      </c>
      <c r="AV72" s="438" t="e">
        <f>ABS(VLOOKUP(A72,TradesEquity!$1:$1048576,18,FALSE))</f>
        <v>#N/A</v>
      </c>
      <c r="AW72" s="439">
        <v>0</v>
      </c>
      <c r="AX72" s="440">
        <v>4542</v>
      </c>
      <c r="AY72" s="441" t="s">
        <v>2029</v>
      </c>
      <c r="AZ72" s="442" t="e">
        <f>(VLOOKUP(A72,TradesEquity!$1:$1048576,29,FALSE))</f>
        <v>#N/A</v>
      </c>
      <c r="BA72" s="442" t="e">
        <f>(VLOOKUP(A72,TradesEquity!$1:$1048576,30,FALSE))</f>
        <v>#N/A</v>
      </c>
      <c r="BB72" s="442" t="e">
        <f>(VLOOKUP(A72,TradesEquity!$1:$1048576,31,FALSE))</f>
        <v>#N/A</v>
      </c>
      <c r="BC72" s="442" t="e">
        <f>(VLOOKUP(A72,TradesEquity!$1:$1048576,32,FALSE))</f>
        <v>#N/A</v>
      </c>
      <c r="BI72" s="465" t="e">
        <f>(VLOOKUP(A72,TradesEquity!$1:$1048576,38,FALSE))</f>
        <v>#N/A</v>
      </c>
      <c r="BJ72" s="465" t="e">
        <f>(VLOOKUP(A72,TradesEquity!$1:$1048576,39,FALSE))</f>
        <v>#N/A</v>
      </c>
      <c r="BK72" s="442" t="e">
        <f>(VLOOKUP(A72,TradesEquity!$1:$1048576,40,FALSE))</f>
        <v>#N/A</v>
      </c>
    </row>
    <row r="73" spans="1:63">
      <c r="A73" s="501">
        <v>2019200313</v>
      </c>
      <c r="D73" s="432" t="s">
        <v>2027</v>
      </c>
      <c r="F73" s="433">
        <f>VLOOKUP(A73,TradesEquity!$1:$1048576,2,FALSE)</f>
        <v>44068</v>
      </c>
      <c r="H73" s="433">
        <f>VLOOKUP(A73,TradesEquity!$1:$1048576,21,FALSE)</f>
        <v>44070</v>
      </c>
      <c r="I73" s="434" t="str">
        <f>IF(VLOOKUP(A73,TradesEquity!$1:$1048576,3,FALSE)="BUY","B","S")</f>
        <v>S</v>
      </c>
      <c r="J73" s="434" t="str">
        <f>VLOOKUP(A73,TradesEquity!$1:$1048576,5,FALSE)</f>
        <v>KR7006401004</v>
      </c>
      <c r="K73" s="432" t="s">
        <v>19</v>
      </c>
      <c r="L73" s="435" t="s">
        <v>2028</v>
      </c>
      <c r="AE73" s="436" t="str">
        <f>VLOOKUP(A73,TradesEquity!$1:$1048576,10,FALSE)</f>
        <v>KRW</v>
      </c>
      <c r="AF73" s="436" t="str">
        <f t="shared" si="2"/>
        <v>KRW</v>
      </c>
      <c r="AG73" s="436" t="str">
        <f t="shared" si="2"/>
        <v>KRW</v>
      </c>
      <c r="AH73" s="436" t="str">
        <f t="shared" si="2"/>
        <v>KRW</v>
      </c>
      <c r="AI73" s="436">
        <f>ABS(VLOOKUP(A73,TradesEquity!$1:$1048576,13,FALSE))</f>
        <v>330</v>
      </c>
      <c r="AJ73" s="437">
        <v>0</v>
      </c>
      <c r="AK73" s="437">
        <v>1</v>
      </c>
      <c r="AL73" s="436">
        <f>VLOOKUP(A73,TradesEquity!$1:$1048576,11,FALSE)</f>
        <v>263081.81819999998</v>
      </c>
      <c r="AM73" s="437">
        <v>1</v>
      </c>
      <c r="AN73" s="436">
        <f>ABS(VLOOKUP(A73,TradesEquity!$1:$1048576,14,FALSE))</f>
        <v>86817000.005999997</v>
      </c>
      <c r="AO73" s="436">
        <f>ABS(VLOOKUP(A73,TradesEquity!$1:$1048576,15,FALSE))</f>
        <v>130226</v>
      </c>
      <c r="AP73" s="438">
        <f>ABS(VLOOKUP(A73,TradesEquity!$1:$1048576,16,FALSE))</f>
        <v>217013</v>
      </c>
      <c r="AQ73" s="367">
        <v>0</v>
      </c>
      <c r="AR73" s="367">
        <v>0</v>
      </c>
      <c r="AS73" s="367">
        <v>0</v>
      </c>
      <c r="AT73" s="367">
        <v>0</v>
      </c>
      <c r="AU73" s="367">
        <v>0</v>
      </c>
      <c r="AV73" s="438">
        <f>ABS(VLOOKUP(A73,TradesEquity!$1:$1048576,18,FALSE))</f>
        <v>86469761.005999997</v>
      </c>
      <c r="AW73" s="439">
        <v>0</v>
      </c>
      <c r="AX73" s="440">
        <v>4542</v>
      </c>
      <c r="AY73" s="441" t="s">
        <v>2029</v>
      </c>
      <c r="AZ73" s="442" t="e">
        <f>(VLOOKUP(A73,TradesEquity!$1:$1048576,29,FALSE))</f>
        <v>#N/A</v>
      </c>
      <c r="BA73" s="442" t="e">
        <f>(VLOOKUP(A73,TradesEquity!$1:$1048576,30,FALSE))</f>
        <v>#N/A</v>
      </c>
      <c r="BB73" s="442" t="e">
        <f>(VLOOKUP(A73,TradesEquity!$1:$1048576,31,FALSE))</f>
        <v>#N/A</v>
      </c>
      <c r="BC73" s="442" t="e">
        <f>(VLOOKUP(A73,TradesEquity!$1:$1048576,32,FALSE))</f>
        <v>#N/A</v>
      </c>
      <c r="BI73" s="465" t="e">
        <f>(VLOOKUP(A73,TradesEquity!$1:$1048576,38,FALSE))</f>
        <v>#N/A</v>
      </c>
      <c r="BJ73" s="465" t="e">
        <f>(VLOOKUP(A73,TradesEquity!$1:$1048576,39,FALSE))</f>
        <v>#N/A</v>
      </c>
      <c r="BK73" s="442" t="e">
        <f>(VLOOKUP(A73,TradesEquity!$1:$1048576,40,FALSE))</f>
        <v>#N/A</v>
      </c>
    </row>
    <row r="74" spans="1:63">
      <c r="A74" s="501">
        <v>2019200314</v>
      </c>
      <c r="D74" s="432" t="s">
        <v>2027</v>
      </c>
      <c r="F74" s="433">
        <f>VLOOKUP(A74,TradesEquity!$1:$1048576,2,FALSE)</f>
        <v>44068</v>
      </c>
      <c r="H74" s="433">
        <f>VLOOKUP(A74,TradesEquity!$1:$1048576,21,FALSE)</f>
        <v>44070</v>
      </c>
      <c r="I74" s="434" t="str">
        <f>IF(VLOOKUP(A74,TradesEquity!$1:$1048576,3,FALSE)="BUY","B","S")</f>
        <v>S</v>
      </c>
      <c r="J74" s="434" t="str">
        <f>VLOOKUP(A74,TradesEquity!$1:$1048576,5,FALSE)</f>
        <v>KR7051911006</v>
      </c>
      <c r="K74" s="432" t="s">
        <v>19</v>
      </c>
      <c r="L74" s="435" t="s">
        <v>2028</v>
      </c>
      <c r="AE74" s="436" t="str">
        <f>VLOOKUP(A74,TradesEquity!$1:$1048576,10,FALSE)</f>
        <v>KRW</v>
      </c>
      <c r="AF74" s="436" t="str">
        <f t="shared" si="2"/>
        <v>KRW</v>
      </c>
      <c r="AG74" s="436" t="str">
        <f t="shared" si="2"/>
        <v>KRW</v>
      </c>
      <c r="AH74" s="436" t="str">
        <f t="shared" si="2"/>
        <v>KRW</v>
      </c>
      <c r="AI74" s="436">
        <f>ABS(VLOOKUP(A74,TradesEquity!$1:$1048576,13,FALSE))</f>
        <v>430</v>
      </c>
      <c r="AJ74" s="437">
        <v>0</v>
      </c>
      <c r="AK74" s="437">
        <v>1</v>
      </c>
      <c r="AL74" s="436">
        <f>VLOOKUP(A74,TradesEquity!$1:$1048576,11,FALSE)</f>
        <v>371670.9302</v>
      </c>
      <c r="AM74" s="437">
        <v>1</v>
      </c>
      <c r="AN74" s="436">
        <f>ABS(VLOOKUP(A74,TradesEquity!$1:$1048576,14,FALSE))</f>
        <v>159818499.986</v>
      </c>
      <c r="AO74" s="436">
        <f>ABS(VLOOKUP(A74,TradesEquity!$1:$1048576,15,FALSE))</f>
        <v>239728</v>
      </c>
      <c r="AP74" s="438">
        <f>ABS(VLOOKUP(A74,TradesEquity!$1:$1048576,16,FALSE))</f>
        <v>399527</v>
      </c>
      <c r="AQ74" s="367">
        <v>0</v>
      </c>
      <c r="AR74" s="367">
        <v>0</v>
      </c>
      <c r="AS74" s="367">
        <v>0</v>
      </c>
      <c r="AT74" s="367">
        <v>0</v>
      </c>
      <c r="AU74" s="367">
        <v>0</v>
      </c>
      <c r="AV74" s="438">
        <f>ABS(VLOOKUP(A74,TradesEquity!$1:$1048576,18,FALSE))</f>
        <v>159179244.986</v>
      </c>
      <c r="AW74" s="439">
        <v>0</v>
      </c>
      <c r="AX74" s="440">
        <v>4542</v>
      </c>
      <c r="AY74" s="441" t="s">
        <v>2029</v>
      </c>
      <c r="AZ74" s="442" t="str">
        <f>(VLOOKUP(A74,TradesEquity!$1:$1048576,29,FALSE))</f>
        <v>SAMCKRS1XXX</v>
      </c>
      <c r="BA74" s="442" t="str">
        <f>(VLOOKUP(A74,TradesEquity!$1:$1048576,30,FALSE))</f>
        <v>KSDCKRSEXXX</v>
      </c>
      <c r="BB74" s="442" t="str">
        <f>(VLOOKUP(A74,TradesEquity!$1:$1048576,31,FALSE))</f>
        <v>30-00</v>
      </c>
      <c r="BC74" s="442" t="str">
        <f>(VLOOKUP(A74,TradesEquity!$1:$1048576,32,FALSE))</f>
        <v>N</v>
      </c>
      <c r="BI74" s="465">
        <f>(VLOOKUP(A74,TradesEquity!$1:$1048576,38,FALSE))</f>
        <v>0</v>
      </c>
      <c r="BJ74" s="465">
        <f>(VLOOKUP(A74,TradesEquity!$1:$1048576,39,FALSE))</f>
        <v>0</v>
      </c>
      <c r="BK74" s="442" t="str">
        <f>(VLOOKUP(A74,TradesEquity!$1:$1048576,40,FALSE))</f>
        <v>SAMCKRS1XXX</v>
      </c>
    </row>
    <row r="75" spans="1:63">
      <c r="A75" s="501">
        <v>2019200315</v>
      </c>
      <c r="D75" s="432" t="s">
        <v>2027</v>
      </c>
      <c r="F75" s="433">
        <f>VLOOKUP(A75,TradesEquity!$1:$1048576,2,FALSE)</f>
        <v>44069</v>
      </c>
      <c r="H75" s="433">
        <f>VLOOKUP(A75,TradesEquity!$1:$1048576,21,FALSE)</f>
        <v>44071</v>
      </c>
      <c r="I75" s="434" t="str">
        <f>IF(VLOOKUP(A75,TradesEquity!$1:$1048576,3,FALSE)="BUY","B","S")</f>
        <v>S</v>
      </c>
      <c r="J75" s="434" t="str">
        <f>VLOOKUP(A75,TradesEquity!$1:$1048576,5,FALSE)</f>
        <v>KR7051911006</v>
      </c>
      <c r="K75" s="432" t="s">
        <v>19</v>
      </c>
      <c r="L75" s="435" t="s">
        <v>2028</v>
      </c>
      <c r="AE75" s="436" t="str">
        <f>VLOOKUP(A75,TradesEquity!$1:$1048576,10,FALSE)</f>
        <v>KRW</v>
      </c>
      <c r="AF75" s="436" t="str">
        <f t="shared" si="2"/>
        <v>KRW</v>
      </c>
      <c r="AG75" s="436" t="str">
        <f t="shared" si="2"/>
        <v>KRW</v>
      </c>
      <c r="AH75" s="436" t="str">
        <f t="shared" si="2"/>
        <v>KRW</v>
      </c>
      <c r="AI75" s="436">
        <f>ABS(VLOOKUP(A75,TradesEquity!$1:$1048576,13,FALSE))</f>
        <v>300</v>
      </c>
      <c r="AJ75" s="437">
        <v>0</v>
      </c>
      <c r="AK75" s="437">
        <v>1</v>
      </c>
      <c r="AL75" s="436">
        <f>VLOOKUP(A75,TradesEquity!$1:$1048576,11,FALSE)</f>
        <v>374705</v>
      </c>
      <c r="AM75" s="437">
        <v>1</v>
      </c>
      <c r="AN75" s="436">
        <f>ABS(VLOOKUP(A75,TradesEquity!$1:$1048576,14,FALSE))</f>
        <v>112411500</v>
      </c>
      <c r="AO75" s="436">
        <f>ABS(VLOOKUP(A75,TradesEquity!$1:$1048576,15,FALSE))</f>
        <v>168617</v>
      </c>
      <c r="AP75" s="438">
        <f>ABS(VLOOKUP(A75,TradesEquity!$1:$1048576,16,FALSE))</f>
        <v>281020</v>
      </c>
      <c r="AQ75" s="367">
        <v>0</v>
      </c>
      <c r="AR75" s="367">
        <v>0</v>
      </c>
      <c r="AS75" s="367">
        <v>0</v>
      </c>
      <c r="AT75" s="367">
        <v>0</v>
      </c>
      <c r="AU75" s="367">
        <v>0</v>
      </c>
      <c r="AV75" s="438">
        <f>ABS(VLOOKUP(A75,TradesEquity!$1:$1048576,18,FALSE))</f>
        <v>111961863</v>
      </c>
      <c r="AW75" s="439">
        <v>0</v>
      </c>
      <c r="AX75" s="440">
        <v>4542</v>
      </c>
      <c r="AY75" s="441" t="s">
        <v>2029</v>
      </c>
      <c r="AZ75" s="442" t="str">
        <f>(VLOOKUP(A75,TradesEquity!$1:$1048576,29,FALSE))</f>
        <v>SAMCKRS1XXX</v>
      </c>
      <c r="BA75" s="442" t="str">
        <f>(VLOOKUP(A75,TradesEquity!$1:$1048576,30,FALSE))</f>
        <v>KSDCKRSEXXX</v>
      </c>
      <c r="BB75" s="442" t="str">
        <f>(VLOOKUP(A75,TradesEquity!$1:$1048576,31,FALSE))</f>
        <v>30-00</v>
      </c>
      <c r="BC75" s="442" t="str">
        <f>(VLOOKUP(A75,TradesEquity!$1:$1048576,32,FALSE))</f>
        <v>N</v>
      </c>
      <c r="BI75" s="465">
        <f>(VLOOKUP(A75,TradesEquity!$1:$1048576,38,FALSE))</f>
        <v>0</v>
      </c>
      <c r="BJ75" s="465">
        <f>(VLOOKUP(A75,TradesEquity!$1:$1048576,39,FALSE))</f>
        <v>0</v>
      </c>
      <c r="BK75" s="442" t="str">
        <f>(VLOOKUP(A75,TradesEquity!$1:$1048576,40,FALSE))</f>
        <v>SAMCKRS1XXX</v>
      </c>
    </row>
    <row r="76" spans="1:63">
      <c r="A76" s="502">
        <v>2019200316</v>
      </c>
      <c r="D76" s="432" t="s">
        <v>2027</v>
      </c>
      <c r="F76" s="433">
        <f>VLOOKUP(A76,TradesEquity!$1:$1048576,2,FALSE)</f>
        <v>44082</v>
      </c>
      <c r="H76" s="433">
        <f>VLOOKUP(A76,TradesEquity!$1:$1048576,21,FALSE)</f>
        <v>44084</v>
      </c>
      <c r="I76" s="434" t="str">
        <f>IF(VLOOKUP(A76,TradesEquity!$1:$1048576,3,FALSE)="BUY","B","S")</f>
        <v>B</v>
      </c>
      <c r="J76" s="434" t="str">
        <f>VLOOKUP(A76,TradesEquity!$1:$1048576,5,FALSE)</f>
        <v>JP3592200004</v>
      </c>
      <c r="K76" s="432" t="s">
        <v>19</v>
      </c>
      <c r="L76" s="435" t="s">
        <v>2028</v>
      </c>
      <c r="AE76" s="436" t="str">
        <f>VLOOKUP(A76,TradesEquity!$1:$1048576,10,FALSE)</f>
        <v>JPY</v>
      </c>
      <c r="AF76" s="436" t="str">
        <f t="shared" si="2"/>
        <v>JPY</v>
      </c>
      <c r="AG76" s="436" t="str">
        <f t="shared" si="2"/>
        <v>JPY</v>
      </c>
      <c r="AH76" s="436" t="str">
        <f t="shared" si="2"/>
        <v>JPY</v>
      </c>
      <c r="AI76" s="436">
        <f>ABS(VLOOKUP(A76,TradesEquity!$1:$1048576,13,FALSE))</f>
        <v>4200</v>
      </c>
      <c r="AJ76" s="437">
        <v>0</v>
      </c>
      <c r="AK76" s="437">
        <v>1</v>
      </c>
      <c r="AL76" s="436">
        <f>VLOOKUP(A76,TradesEquity!$1:$1048576,11,FALSE)</f>
        <v>3012.2416699999999</v>
      </c>
      <c r="AM76" s="437">
        <v>1</v>
      </c>
      <c r="AN76" s="436">
        <f>ABS(VLOOKUP(A76,TradesEquity!$1:$1048576,14,FALSE))</f>
        <v>12651415.014</v>
      </c>
      <c r="AO76" s="436">
        <f>ABS(VLOOKUP(A76,TradesEquity!$1:$1048576,15,FALSE))</f>
        <v>7591</v>
      </c>
      <c r="AP76" s="438">
        <f>ABS(VLOOKUP(A76,TradesEquity!$1:$1048576,16,FALSE))</f>
        <v>0</v>
      </c>
      <c r="AQ76" s="367">
        <v>0</v>
      </c>
      <c r="AR76" s="367">
        <v>0</v>
      </c>
      <c r="AS76" s="367">
        <v>0</v>
      </c>
      <c r="AT76" s="367">
        <v>0</v>
      </c>
      <c r="AU76" s="367">
        <v>0</v>
      </c>
      <c r="AV76" s="438">
        <f>ABS(VLOOKUP(A76,TradesEquity!$1:$1048576,18,FALSE))</f>
        <v>12659006.014</v>
      </c>
      <c r="AW76" s="439">
        <v>0</v>
      </c>
      <c r="AX76" s="440">
        <v>4542</v>
      </c>
      <c r="AY76" s="441" t="s">
        <v>2029</v>
      </c>
      <c r="AZ76" s="442" t="str">
        <f>(VLOOKUP(A76,TradesEquity!$1:$1048576,29,FALSE))</f>
        <v>GSILGB2XXXX</v>
      </c>
      <c r="BA76" s="442" t="str">
        <f>(VLOOKUP(A76,TradesEquity!$1:$1048576,30,FALSE))</f>
        <v>JJSDJPJTXXX</v>
      </c>
      <c r="BB76" s="442">
        <f>(VLOOKUP(A76,TradesEquity!$1:$1048576,31,FALSE))</f>
        <v>6530490016</v>
      </c>
      <c r="BC76" s="442" t="str">
        <f>(VLOOKUP(A76,TradesEquity!$1:$1048576,32,FALSE))</f>
        <v>N</v>
      </c>
      <c r="BI76" s="465" t="str">
        <f>(VLOOKUP(A76,TradesEquity!$1:$1048576,38,FALSE))</f>
        <v xml:space="preserve">                  </v>
      </c>
      <c r="BJ76" s="465" t="str">
        <f>(VLOOKUP(A76,TradesEquity!$1:$1048576,39,FALSE))</f>
        <v xml:space="preserve">                          </v>
      </c>
      <c r="BK76" s="442" t="str">
        <f>(VLOOKUP(A76,TradesEquity!$1:$1048576,40,FALSE))</f>
        <v>GOLDJPJXXXX</v>
      </c>
    </row>
    <row r="77" spans="1:63">
      <c r="A77" s="502">
        <v>2019200317</v>
      </c>
      <c r="D77" s="432" t="s">
        <v>2027</v>
      </c>
      <c r="F77" s="433">
        <f>VLOOKUP(A77,TradesEquity!$1:$1048576,2,FALSE)</f>
        <v>44090</v>
      </c>
      <c r="H77" s="433">
        <f>VLOOKUP(A77,TradesEquity!$1:$1048576,21,FALSE)</f>
        <v>44092</v>
      </c>
      <c r="I77" s="434" t="str">
        <f>IF(VLOOKUP(A77,TradesEquity!$1:$1048576,3,FALSE)="BUY","B","S")</f>
        <v>B</v>
      </c>
      <c r="J77" s="434" t="str">
        <f>VLOOKUP(A77,TradesEquity!$1:$1048576,5,FALSE)</f>
        <v>KR7056190002</v>
      </c>
      <c r="K77" s="432" t="s">
        <v>19</v>
      </c>
      <c r="L77" s="435" t="s">
        <v>2028</v>
      </c>
      <c r="AE77" s="436" t="str">
        <f>VLOOKUP(A77,TradesEquity!$1:$1048576,10,FALSE)</f>
        <v>KRW</v>
      </c>
      <c r="AF77" s="436" t="str">
        <f t="shared" si="2"/>
        <v>KRW</v>
      </c>
      <c r="AG77" s="436" t="str">
        <f t="shared" si="2"/>
        <v>KRW</v>
      </c>
      <c r="AH77" s="436" t="str">
        <f t="shared" si="2"/>
        <v>KRW</v>
      </c>
      <c r="AI77" s="436">
        <f>ABS(VLOOKUP(A77,TradesEquity!$1:$1048576,13,FALSE))</f>
        <v>4200</v>
      </c>
      <c r="AJ77" s="437">
        <v>0</v>
      </c>
      <c r="AK77" s="437">
        <v>1</v>
      </c>
      <c r="AL77" s="436">
        <f>VLOOKUP(A77,TradesEquity!$1:$1048576,11,FALSE)</f>
        <v>36089.904799999997</v>
      </c>
      <c r="AM77" s="437">
        <v>1</v>
      </c>
      <c r="AN77" s="436">
        <f>ABS(VLOOKUP(A77,TradesEquity!$1:$1048576,14,FALSE))</f>
        <v>151577600.16</v>
      </c>
      <c r="AO77" s="436">
        <f>ABS(VLOOKUP(A77,TradesEquity!$1:$1048576,15,FALSE))</f>
        <v>227366</v>
      </c>
      <c r="AP77" s="438">
        <f>ABS(VLOOKUP(A77,TradesEquity!$1:$1048576,16,FALSE))</f>
        <v>0</v>
      </c>
      <c r="AQ77" s="367">
        <v>0</v>
      </c>
      <c r="AR77" s="367">
        <v>0</v>
      </c>
      <c r="AS77" s="367">
        <v>0</v>
      </c>
      <c r="AT77" s="367">
        <v>0</v>
      </c>
      <c r="AU77" s="367">
        <v>0</v>
      </c>
      <c r="AV77" s="438">
        <f>ABS(VLOOKUP(A77,TradesEquity!$1:$1048576,18,FALSE))</f>
        <v>151804966.16</v>
      </c>
      <c r="AW77" s="439">
        <v>0</v>
      </c>
      <c r="AX77" s="440">
        <v>4542</v>
      </c>
      <c r="AY77" s="441" t="s">
        <v>2029</v>
      </c>
      <c r="AZ77" s="442" t="e">
        <f>(VLOOKUP(A77,TradesEquity!$1:$1048576,29,FALSE))</f>
        <v>#N/A</v>
      </c>
      <c r="BA77" s="442" t="e">
        <f>(VLOOKUP(A77,TradesEquity!$1:$1048576,30,FALSE))</f>
        <v>#N/A</v>
      </c>
      <c r="BB77" s="442" t="e">
        <f>(VLOOKUP(A77,TradesEquity!$1:$1048576,31,FALSE))</f>
        <v>#N/A</v>
      </c>
      <c r="BC77" s="442" t="e">
        <f>(VLOOKUP(A77,TradesEquity!$1:$1048576,32,FALSE))</f>
        <v>#N/A</v>
      </c>
      <c r="BI77" s="465" t="e">
        <f>(VLOOKUP(A77,TradesEquity!$1:$1048576,38,FALSE))</f>
        <v>#N/A</v>
      </c>
      <c r="BJ77" s="465" t="e">
        <f>(VLOOKUP(A77,TradesEquity!$1:$1048576,39,FALSE))</f>
        <v>#N/A</v>
      </c>
      <c r="BK77" s="442" t="e">
        <f>(VLOOKUP(A77,TradesEquity!$1:$1048576,40,FALSE))</f>
        <v>#N/A</v>
      </c>
    </row>
    <row r="78" spans="1:63">
      <c r="A78" s="517">
        <v>2019200318</v>
      </c>
      <c r="D78" s="432" t="s">
        <v>2027</v>
      </c>
      <c r="F78" s="433">
        <f>VLOOKUP(A78,TradesEquity!$1:$1048576,2,FALSE)</f>
        <v>44098</v>
      </c>
      <c r="H78" s="433">
        <f>VLOOKUP(A78,TradesEquity!$1:$1048576,21,FALSE)</f>
        <v>44102</v>
      </c>
      <c r="I78" s="434" t="str">
        <f>IF(VLOOKUP(A78,TradesEquity!$1:$1048576,3,FALSE)="BUY","B","S")</f>
        <v>B</v>
      </c>
      <c r="J78" s="434" t="str">
        <f>VLOOKUP(A78,TradesEquity!$1:$1048576,5,FALSE)</f>
        <v>JP3592200004</v>
      </c>
      <c r="K78" s="432" t="s">
        <v>19</v>
      </c>
      <c r="L78" s="435" t="s">
        <v>2028</v>
      </c>
      <c r="AE78" s="436" t="str">
        <f>VLOOKUP(A78,TradesEquity!$1:$1048576,10,FALSE)</f>
        <v>JPY</v>
      </c>
      <c r="AF78" s="436" t="str">
        <f t="shared" si="2"/>
        <v>JPY</v>
      </c>
      <c r="AG78" s="436" t="str">
        <f t="shared" si="2"/>
        <v>JPY</v>
      </c>
      <c r="AH78" s="436" t="str">
        <f t="shared" si="2"/>
        <v>JPY</v>
      </c>
      <c r="AI78" s="436">
        <f>ABS(VLOOKUP(A78,TradesEquity!$1:$1048576,13,FALSE))</f>
        <v>4200</v>
      </c>
      <c r="AJ78" s="437">
        <v>0</v>
      </c>
      <c r="AK78" s="437">
        <v>1</v>
      </c>
      <c r="AL78" s="436">
        <f>VLOOKUP(A78,TradesEquity!$1:$1048576,11,FALSE)</f>
        <v>2833.3809500000002</v>
      </c>
      <c r="AM78" s="437">
        <v>1</v>
      </c>
      <c r="AN78" s="436">
        <f>ABS(VLOOKUP(A78,TradesEquity!$1:$1048576,14,FALSE))</f>
        <v>11900199.99</v>
      </c>
      <c r="AO78" s="436">
        <f>ABS(VLOOKUP(A78,TradesEquity!$1:$1048576,15,FALSE))</f>
        <v>7140</v>
      </c>
      <c r="AP78" s="438">
        <f>ABS(VLOOKUP(A78,TradesEquity!$1:$1048576,16,FALSE))</f>
        <v>0</v>
      </c>
      <c r="AQ78" s="367">
        <v>0</v>
      </c>
      <c r="AR78" s="367">
        <v>0</v>
      </c>
      <c r="AS78" s="367">
        <v>0</v>
      </c>
      <c r="AT78" s="367">
        <v>0</v>
      </c>
      <c r="AU78" s="367">
        <v>0</v>
      </c>
      <c r="AV78" s="438">
        <f>ABS(VLOOKUP(A78,TradesEquity!$1:$1048576,18,FALSE))</f>
        <v>11907339.99</v>
      </c>
      <c r="AW78" s="439">
        <v>0</v>
      </c>
      <c r="AX78" s="440">
        <v>4542</v>
      </c>
      <c r="AY78" s="441" t="s">
        <v>2029</v>
      </c>
      <c r="AZ78" s="442" t="str">
        <f>(VLOOKUP(A78,TradesEquity!$1:$1048576,29,FALSE))</f>
        <v>GSILGB2XXXX</v>
      </c>
      <c r="BA78" s="442" t="str">
        <f>(VLOOKUP(A78,TradesEquity!$1:$1048576,30,FALSE))</f>
        <v>JJSDJPJTXXX</v>
      </c>
      <c r="BB78" s="442">
        <f>(VLOOKUP(A78,TradesEquity!$1:$1048576,31,FALSE))</f>
        <v>6530490016</v>
      </c>
      <c r="BC78" s="442" t="str">
        <f>(VLOOKUP(A78,TradesEquity!$1:$1048576,32,FALSE))</f>
        <v>N</v>
      </c>
      <c r="BI78" s="465" t="str">
        <f>(VLOOKUP(A78,TradesEquity!$1:$1048576,38,FALSE))</f>
        <v xml:space="preserve">                  </v>
      </c>
      <c r="BJ78" s="465" t="str">
        <f>(VLOOKUP(A78,TradesEquity!$1:$1048576,39,FALSE))</f>
        <v xml:space="preserve">                          </v>
      </c>
      <c r="BK78" s="442" t="str">
        <f>(VLOOKUP(A78,TradesEquity!$1:$1048576,40,FALSE))</f>
        <v>GOLDJPJXXXX</v>
      </c>
    </row>
    <row r="79" spans="1:63">
      <c r="A79" s="517">
        <v>2019200319</v>
      </c>
      <c r="D79" s="432" t="s">
        <v>2027</v>
      </c>
      <c r="F79" s="433">
        <f>VLOOKUP(A79,TradesEquity!$1:$1048576,2,FALSE)</f>
        <v>44098</v>
      </c>
      <c r="H79" s="433">
        <f>VLOOKUP(A79,TradesEquity!$1:$1048576,21,FALSE)</f>
        <v>44102</v>
      </c>
      <c r="I79" s="434" t="str">
        <f>IF(VLOOKUP(A79,TradesEquity!$1:$1048576,3,FALSE)="BUY","B","S")</f>
        <v>S</v>
      </c>
      <c r="J79" s="434" t="str">
        <f>VLOOKUP(A79,TradesEquity!$1:$1048576,5,FALSE)</f>
        <v>KR7042600007</v>
      </c>
      <c r="K79" s="432" t="s">
        <v>19</v>
      </c>
      <c r="L79" s="435" t="s">
        <v>2028</v>
      </c>
      <c r="AE79" s="436" t="str">
        <f>VLOOKUP(A79,TradesEquity!$1:$1048576,10,FALSE)</f>
        <v>KRW</v>
      </c>
      <c r="AF79" s="436" t="str">
        <f t="shared" si="2"/>
        <v>KRW</v>
      </c>
      <c r="AG79" s="436" t="str">
        <f t="shared" si="2"/>
        <v>KRW</v>
      </c>
      <c r="AH79" s="436" t="str">
        <f t="shared" si="2"/>
        <v>KRW</v>
      </c>
      <c r="AI79" s="436">
        <f>ABS(VLOOKUP(A79,TradesEquity!$1:$1048576,13,FALSE))</f>
        <v>33392</v>
      </c>
      <c r="AJ79" s="437">
        <v>0</v>
      </c>
      <c r="AK79" s="437">
        <v>1</v>
      </c>
      <c r="AL79" s="436">
        <f>VLOOKUP(A79,TradesEquity!$1:$1048576,11,FALSE)</f>
        <v>5632.0828000000001</v>
      </c>
      <c r="AM79" s="437">
        <v>1</v>
      </c>
      <c r="AN79" s="436">
        <f>ABS(VLOOKUP(A79,TradesEquity!$1:$1048576,14,FALSE))</f>
        <v>188066508.8576</v>
      </c>
      <c r="AO79" s="436">
        <f>ABS(VLOOKUP(A79,TradesEquity!$1:$1048576,15,FALSE))</f>
        <v>282100</v>
      </c>
      <c r="AP79" s="438">
        <f>ABS(VLOOKUP(A79,TradesEquity!$1:$1048576,16,FALSE))</f>
        <v>470034</v>
      </c>
      <c r="AQ79" s="367">
        <v>0</v>
      </c>
      <c r="AR79" s="367">
        <v>0</v>
      </c>
      <c r="AS79" s="367">
        <v>0</v>
      </c>
      <c r="AT79" s="367">
        <v>0</v>
      </c>
      <c r="AU79" s="367">
        <v>0</v>
      </c>
      <c r="AV79" s="438">
        <f>ABS(VLOOKUP(A79,TradesEquity!$1:$1048576,18,FALSE))</f>
        <v>187314374.8576</v>
      </c>
      <c r="AW79" s="439">
        <v>0</v>
      </c>
      <c r="AX79" s="440">
        <v>4542</v>
      </c>
      <c r="AY79" s="441" t="s">
        <v>2029</v>
      </c>
      <c r="AZ79" s="442" t="e">
        <f>(VLOOKUP(A79,TradesEquity!$1:$1048576,29,FALSE))</f>
        <v>#N/A</v>
      </c>
      <c r="BA79" s="442" t="e">
        <f>(VLOOKUP(A79,TradesEquity!$1:$1048576,30,FALSE))</f>
        <v>#N/A</v>
      </c>
      <c r="BB79" s="442" t="e">
        <f>(VLOOKUP(A79,TradesEquity!$1:$1048576,31,FALSE))</f>
        <v>#N/A</v>
      </c>
      <c r="BC79" s="442" t="e">
        <f>(VLOOKUP(A79,TradesEquity!$1:$1048576,32,FALSE))</f>
        <v>#N/A</v>
      </c>
      <c r="BI79" s="465" t="e">
        <f>(VLOOKUP(A79,TradesEquity!$1:$1048576,38,FALSE))</f>
        <v>#N/A</v>
      </c>
      <c r="BJ79" s="465" t="e">
        <f>(VLOOKUP(A79,TradesEquity!$1:$1048576,39,FALSE))</f>
        <v>#N/A</v>
      </c>
      <c r="BK79" s="442" t="e">
        <f>(VLOOKUP(A79,TradesEquity!$1:$1048576,40,FALSE))</f>
        <v>#N/A</v>
      </c>
    </row>
    <row r="80" spans="1:63">
      <c r="A80" s="517">
        <v>2019200320</v>
      </c>
      <c r="D80" s="432" t="s">
        <v>2027</v>
      </c>
      <c r="F80" s="433">
        <f>VLOOKUP(A80,TradesEquity!$1:$1048576,2,FALSE)</f>
        <v>44098</v>
      </c>
      <c r="H80" s="433">
        <f>VLOOKUP(A80,TradesEquity!$1:$1048576,21,FALSE)</f>
        <v>44102</v>
      </c>
      <c r="I80" s="434" t="str">
        <f>IF(VLOOKUP(A80,TradesEquity!$1:$1048576,3,FALSE)="BUY","B","S")</f>
        <v>B</v>
      </c>
      <c r="J80" s="434" t="str">
        <f>VLOOKUP(A80,TradesEquity!$1:$1048576,5,FALSE)</f>
        <v>US55315J1025</v>
      </c>
      <c r="K80" s="432" t="s">
        <v>19</v>
      </c>
      <c r="L80" s="435" t="s">
        <v>2028</v>
      </c>
      <c r="AE80" s="436" t="str">
        <f>VLOOKUP(A80,TradesEquity!$1:$1048576,10,FALSE)</f>
        <v>USD</v>
      </c>
      <c r="AF80" s="436" t="str">
        <f t="shared" si="2"/>
        <v>USD</v>
      </c>
      <c r="AG80" s="436" t="str">
        <f t="shared" si="2"/>
        <v>USD</v>
      </c>
      <c r="AH80" s="436" t="str">
        <f t="shared" si="2"/>
        <v>USD</v>
      </c>
      <c r="AI80" s="436">
        <f>ABS(VLOOKUP(A80,TradesEquity!$1:$1048576,13,FALSE))</f>
        <v>3500</v>
      </c>
      <c r="AJ80" s="437">
        <v>0</v>
      </c>
      <c r="AK80" s="437">
        <v>1</v>
      </c>
      <c r="AL80" s="436">
        <f>VLOOKUP(A80,TradesEquity!$1:$1048576,11,FALSE)</f>
        <v>24.392399999999999</v>
      </c>
      <c r="AM80" s="437">
        <v>1</v>
      </c>
      <c r="AN80" s="436">
        <f>ABS(VLOOKUP(A80,TradesEquity!$1:$1048576,14,FALSE))</f>
        <v>85373.4</v>
      </c>
      <c r="AO80" s="436">
        <f>ABS(VLOOKUP(A80,TradesEquity!$1:$1048576,15,FALSE))</f>
        <v>42.69</v>
      </c>
      <c r="AP80" s="438">
        <f>ABS(VLOOKUP(A80,TradesEquity!$1:$1048576,16,FALSE))</f>
        <v>0</v>
      </c>
      <c r="AQ80" s="367">
        <v>0</v>
      </c>
      <c r="AR80" s="367">
        <v>0</v>
      </c>
      <c r="AS80" s="367">
        <v>0</v>
      </c>
      <c r="AT80" s="367">
        <v>0</v>
      </c>
      <c r="AU80" s="367">
        <v>0</v>
      </c>
      <c r="AV80" s="438">
        <f>ABS(VLOOKUP(A80,TradesEquity!$1:$1048576,18,FALSE))</f>
        <v>85416.09</v>
      </c>
      <c r="AW80" s="439">
        <v>0</v>
      </c>
      <c r="AX80" s="440">
        <v>4542</v>
      </c>
      <c r="AY80" s="441" t="s">
        <v>2029</v>
      </c>
      <c r="AZ80" s="442" t="e">
        <f>(VLOOKUP(A80,TradesEquity!$1:$1048576,29,FALSE))</f>
        <v>#N/A</v>
      </c>
      <c r="BA80" s="442" t="e">
        <f>(VLOOKUP(A80,TradesEquity!$1:$1048576,30,FALSE))</f>
        <v>#N/A</v>
      </c>
      <c r="BB80" s="442" t="e">
        <f>(VLOOKUP(A80,TradesEquity!$1:$1048576,31,FALSE))</f>
        <v>#N/A</v>
      </c>
      <c r="BC80" s="442" t="e">
        <f>(VLOOKUP(A80,TradesEquity!$1:$1048576,32,FALSE))</f>
        <v>#N/A</v>
      </c>
      <c r="BI80" s="465" t="e">
        <f>(VLOOKUP(A80,TradesEquity!$1:$1048576,38,FALSE))</f>
        <v>#N/A</v>
      </c>
      <c r="BJ80" s="465" t="e">
        <f>(VLOOKUP(A80,TradesEquity!$1:$1048576,39,FALSE))</f>
        <v>#N/A</v>
      </c>
      <c r="BK80" s="442" t="e">
        <f>(VLOOKUP(A80,TradesEquity!$1:$1048576,40,FALSE))</f>
        <v>#N/A</v>
      </c>
    </row>
    <row r="81" spans="1:63">
      <c r="A81" s="517">
        <v>2019200321</v>
      </c>
      <c r="D81" s="432" t="s">
        <v>2027</v>
      </c>
      <c r="F81" s="433">
        <f>VLOOKUP(A81,TradesEquity!$1:$1048576,2,FALSE)</f>
        <v>44099</v>
      </c>
      <c r="H81" s="433">
        <f>VLOOKUP(A81,TradesEquity!$1:$1048576,21,FALSE)</f>
        <v>44103</v>
      </c>
      <c r="I81" s="434" t="str">
        <f>IF(VLOOKUP(A81,TradesEquity!$1:$1048576,3,FALSE)="BUY","B","S")</f>
        <v>B</v>
      </c>
      <c r="J81" s="434" t="str">
        <f>VLOOKUP(A81,TradesEquity!$1:$1048576,5,FALSE)</f>
        <v>JP3271600003</v>
      </c>
      <c r="K81" s="432" t="s">
        <v>19</v>
      </c>
      <c r="L81" s="435" t="s">
        <v>2028</v>
      </c>
      <c r="AE81" s="436" t="str">
        <f>VLOOKUP(A81,TradesEquity!$1:$1048576,10,FALSE)</f>
        <v>JPY</v>
      </c>
      <c r="AF81" s="436" t="str">
        <f t="shared" si="2"/>
        <v>JPY</v>
      </c>
      <c r="AG81" s="436" t="str">
        <f t="shared" si="2"/>
        <v>JPY</v>
      </c>
      <c r="AH81" s="436" t="str">
        <f t="shared" si="2"/>
        <v>JPY</v>
      </c>
      <c r="AI81" s="436">
        <f>ABS(VLOOKUP(A81,TradesEquity!$1:$1048576,13,FALSE))</f>
        <v>1670</v>
      </c>
      <c r="AJ81" s="437">
        <v>0</v>
      </c>
      <c r="AK81" s="437">
        <v>1</v>
      </c>
      <c r="AL81" s="436">
        <f>VLOOKUP(A81,TradesEquity!$1:$1048576,11,FALSE)</f>
        <v>4773.6227500000005</v>
      </c>
      <c r="AM81" s="437">
        <v>1</v>
      </c>
      <c r="AN81" s="436">
        <f>ABS(VLOOKUP(A81,TradesEquity!$1:$1048576,14,FALSE))</f>
        <v>7971949.9925000006</v>
      </c>
      <c r="AO81" s="436">
        <f>ABS(VLOOKUP(A81,TradesEquity!$1:$1048576,15,FALSE))</f>
        <v>4783</v>
      </c>
      <c r="AP81" s="438">
        <f>ABS(VLOOKUP(A81,TradesEquity!$1:$1048576,16,FALSE))</f>
        <v>0</v>
      </c>
      <c r="AQ81" s="367">
        <v>0</v>
      </c>
      <c r="AR81" s="367">
        <v>0</v>
      </c>
      <c r="AS81" s="367">
        <v>0</v>
      </c>
      <c r="AT81" s="367">
        <v>0</v>
      </c>
      <c r="AU81" s="367">
        <v>0</v>
      </c>
      <c r="AV81" s="438">
        <f>ABS(VLOOKUP(A81,TradesEquity!$1:$1048576,18,FALSE))</f>
        <v>7976732.9925000006</v>
      </c>
      <c r="AW81" s="439">
        <v>0</v>
      </c>
      <c r="AX81" s="440">
        <v>4542</v>
      </c>
      <c r="AY81" s="441" t="s">
        <v>2029</v>
      </c>
      <c r="AZ81" s="442" t="str">
        <f>(VLOOKUP(A81,TradesEquity!$1:$1048576,29,FALSE))</f>
        <v>GSILGB2XXXX</v>
      </c>
      <c r="BA81" s="442" t="str">
        <f>(VLOOKUP(A81,TradesEquity!$1:$1048576,30,FALSE))</f>
        <v>JJSDJPJTXXX</v>
      </c>
      <c r="BB81" s="442">
        <f>(VLOOKUP(A81,TradesEquity!$1:$1048576,31,FALSE))</f>
        <v>6530490016</v>
      </c>
      <c r="BC81" s="442" t="str">
        <f>(VLOOKUP(A81,TradesEquity!$1:$1048576,32,FALSE))</f>
        <v>N</v>
      </c>
      <c r="BI81" s="465" t="str">
        <f>(VLOOKUP(A81,TradesEquity!$1:$1048576,38,FALSE))</f>
        <v xml:space="preserve">                  </v>
      </c>
      <c r="BJ81" s="465" t="str">
        <f>(VLOOKUP(A81,TradesEquity!$1:$1048576,39,FALSE))</f>
        <v xml:space="preserve">                          </v>
      </c>
      <c r="BK81" s="442" t="str">
        <f>(VLOOKUP(A81,TradesEquity!$1:$1048576,40,FALSE))</f>
        <v>GOLDJPJXXXX</v>
      </c>
    </row>
    <row r="82" spans="1:63">
      <c r="A82" s="517">
        <v>2019200322</v>
      </c>
      <c r="D82" s="432" t="s">
        <v>2027</v>
      </c>
      <c r="F82" s="433">
        <f>VLOOKUP(A82,TradesEquity!$1:$1048576,2,FALSE)</f>
        <v>44099</v>
      </c>
      <c r="H82" s="433">
        <f>VLOOKUP(A82,TradesEquity!$1:$1048576,21,FALSE)</f>
        <v>44103</v>
      </c>
      <c r="I82" s="434" t="str">
        <f>IF(VLOOKUP(A82,TradesEquity!$1:$1048576,3,FALSE)="BUY","B","S")</f>
        <v>B</v>
      </c>
      <c r="J82" s="434" t="str">
        <f>VLOOKUP(A82,TradesEquity!$1:$1048576,5,FALSE)</f>
        <v>JP3725400000</v>
      </c>
      <c r="K82" s="432" t="s">
        <v>19</v>
      </c>
      <c r="L82" s="435" t="s">
        <v>2028</v>
      </c>
      <c r="AE82" s="436" t="str">
        <f>VLOOKUP(A82,TradesEquity!$1:$1048576,10,FALSE)</f>
        <v>JPY</v>
      </c>
      <c r="AF82" s="436" t="str">
        <f t="shared" si="2"/>
        <v>JPY</v>
      </c>
      <c r="AG82" s="436" t="str">
        <f t="shared" si="2"/>
        <v>JPY</v>
      </c>
      <c r="AH82" s="436" t="str">
        <f t="shared" si="2"/>
        <v>JPY</v>
      </c>
      <c r="AI82" s="436">
        <f>ABS(VLOOKUP(A82,TradesEquity!$1:$1048576,13,FALSE))</f>
        <v>6900</v>
      </c>
      <c r="AJ82" s="437">
        <v>0</v>
      </c>
      <c r="AK82" s="437">
        <v>1</v>
      </c>
      <c r="AL82" s="436">
        <f>VLOOKUP(A82,TradesEquity!$1:$1048576,11,FALSE)</f>
        <v>1162.5029</v>
      </c>
      <c r="AM82" s="437">
        <v>1</v>
      </c>
      <c r="AN82" s="436">
        <f>ABS(VLOOKUP(A82,TradesEquity!$1:$1048576,14,FALSE))</f>
        <v>8021270.0099999998</v>
      </c>
      <c r="AO82" s="436">
        <f>ABS(VLOOKUP(A82,TradesEquity!$1:$1048576,15,FALSE))</f>
        <v>4813</v>
      </c>
      <c r="AP82" s="438">
        <f>ABS(VLOOKUP(A82,TradesEquity!$1:$1048576,16,FALSE))</f>
        <v>0</v>
      </c>
      <c r="AQ82" s="367">
        <v>0</v>
      </c>
      <c r="AR82" s="367">
        <v>0</v>
      </c>
      <c r="AS82" s="367">
        <v>0</v>
      </c>
      <c r="AT82" s="367">
        <v>0</v>
      </c>
      <c r="AU82" s="367">
        <v>0</v>
      </c>
      <c r="AV82" s="438">
        <f>ABS(VLOOKUP(A82,TradesEquity!$1:$1048576,18,FALSE))</f>
        <v>8026083.0099999998</v>
      </c>
      <c r="AW82" s="439">
        <v>0</v>
      </c>
      <c r="AX82" s="440">
        <v>4542</v>
      </c>
      <c r="AY82" s="441" t="s">
        <v>2029</v>
      </c>
      <c r="AZ82" s="442" t="str">
        <f>(VLOOKUP(A82,TradesEquity!$1:$1048576,29,FALSE))</f>
        <v>GSILGB2XXXX</v>
      </c>
      <c r="BA82" s="442" t="str">
        <f>(VLOOKUP(A82,TradesEquity!$1:$1048576,30,FALSE))</f>
        <v>JJSDJPJTXXX</v>
      </c>
      <c r="BB82" s="442">
        <f>(VLOOKUP(A82,TradesEquity!$1:$1048576,31,FALSE))</f>
        <v>6530490016</v>
      </c>
      <c r="BC82" s="442" t="str">
        <f>(VLOOKUP(A82,TradesEquity!$1:$1048576,32,FALSE))</f>
        <v>N</v>
      </c>
      <c r="BI82" s="465" t="str">
        <f>(VLOOKUP(A82,TradesEquity!$1:$1048576,38,FALSE))</f>
        <v xml:space="preserve">                  </v>
      </c>
      <c r="BJ82" s="465" t="str">
        <f>(VLOOKUP(A82,TradesEquity!$1:$1048576,39,FALSE))</f>
        <v xml:space="preserve">                          </v>
      </c>
      <c r="BK82" s="442" t="str">
        <f>(VLOOKUP(A82,TradesEquity!$1:$1048576,40,FALSE))</f>
        <v>GOLDJPJXXXX</v>
      </c>
    </row>
    <row r="83" spans="1:63">
      <c r="A83" s="501">
        <v>2019200323</v>
      </c>
      <c r="D83" s="432" t="s">
        <v>2027</v>
      </c>
      <c r="F83" s="433">
        <f>VLOOKUP(A83,TradesEquity!$1:$1048576,2,FALSE)</f>
        <v>44102</v>
      </c>
      <c r="H83" s="433">
        <f>VLOOKUP(A83,TradesEquity!$1:$1048576,21,FALSE)</f>
        <v>44104</v>
      </c>
      <c r="I83" s="434" t="str">
        <f>IF(VLOOKUP(A83,TradesEquity!$1:$1048576,3,FALSE)="BUY","B","S")</f>
        <v>S</v>
      </c>
      <c r="J83" s="434" t="str">
        <f>VLOOKUP(A83,TradesEquity!$1:$1048576,5,FALSE)</f>
        <v>JP3854650003</v>
      </c>
      <c r="K83" s="432" t="s">
        <v>19</v>
      </c>
      <c r="L83" s="435" t="s">
        <v>2028</v>
      </c>
      <c r="AE83" s="436" t="str">
        <f>VLOOKUP(A83,TradesEquity!$1:$1048576,10,FALSE)</f>
        <v>JPY</v>
      </c>
      <c r="AF83" s="436" t="str">
        <f t="shared" si="2"/>
        <v>JPY</v>
      </c>
      <c r="AG83" s="436" t="str">
        <f t="shared" si="2"/>
        <v>JPY</v>
      </c>
      <c r="AH83" s="436" t="str">
        <f t="shared" si="2"/>
        <v>JPY</v>
      </c>
      <c r="AI83" s="436">
        <f>ABS(VLOOKUP(A83,TradesEquity!$1:$1048576,13,FALSE))</f>
        <v>10000</v>
      </c>
      <c r="AJ83" s="437">
        <v>0</v>
      </c>
      <c r="AK83" s="437">
        <v>1</v>
      </c>
      <c r="AL83" s="436">
        <f>VLOOKUP(A83,TradesEquity!$1:$1048576,11,FALSE)</f>
        <v>530.27</v>
      </c>
      <c r="AM83" s="437">
        <v>1</v>
      </c>
      <c r="AN83" s="436">
        <f>ABS(VLOOKUP(A83,TradesEquity!$1:$1048576,14,FALSE))</f>
        <v>5302700</v>
      </c>
      <c r="AO83" s="436">
        <f>ABS(VLOOKUP(A83,TradesEquity!$1:$1048576,15,FALSE))</f>
        <v>3182</v>
      </c>
      <c r="AP83" s="438">
        <f>ABS(VLOOKUP(A83,TradesEquity!$1:$1048576,16,FALSE))</f>
        <v>0</v>
      </c>
      <c r="AQ83" s="367">
        <v>0</v>
      </c>
      <c r="AR83" s="367">
        <v>0</v>
      </c>
      <c r="AS83" s="367">
        <v>0</v>
      </c>
      <c r="AT83" s="367">
        <v>0</v>
      </c>
      <c r="AU83" s="367">
        <v>0</v>
      </c>
      <c r="AV83" s="438">
        <f>ABS(VLOOKUP(A83,TradesEquity!$1:$1048576,18,FALSE))</f>
        <v>5299518</v>
      </c>
      <c r="AW83" s="439">
        <v>0</v>
      </c>
      <c r="AX83" s="440">
        <v>4542</v>
      </c>
      <c r="AY83" s="441" t="s">
        <v>2029</v>
      </c>
      <c r="AZ83" s="442" t="str">
        <f>(VLOOKUP(A83,TradesEquity!$1:$1048576,29,FALSE))</f>
        <v>GSILGB2XXXX</v>
      </c>
      <c r="BA83" s="442" t="str">
        <f>(VLOOKUP(A83,TradesEquity!$1:$1048576,30,FALSE))</f>
        <v>JJSDJPJTXXX</v>
      </c>
      <c r="BB83" s="442">
        <f>(VLOOKUP(A83,TradesEquity!$1:$1048576,31,FALSE))</f>
        <v>6530490016</v>
      </c>
      <c r="BC83" s="442" t="str">
        <f>(VLOOKUP(A83,TradesEquity!$1:$1048576,32,FALSE))</f>
        <v>N</v>
      </c>
      <c r="BI83" s="465" t="str">
        <f>(VLOOKUP(A83,TradesEquity!$1:$1048576,38,FALSE))</f>
        <v xml:space="preserve">                  </v>
      </c>
      <c r="BJ83" s="465" t="str">
        <f>(VLOOKUP(A83,TradesEquity!$1:$1048576,39,FALSE))</f>
        <v xml:space="preserve">                          </v>
      </c>
      <c r="BK83" s="442" t="str">
        <f>(VLOOKUP(A83,TradesEquity!$1:$1048576,40,FALSE))</f>
        <v>GOLDJPJXXXX</v>
      </c>
    </row>
    <row r="84" spans="1:63">
      <c r="A84" s="501">
        <v>2019200324</v>
      </c>
      <c r="D84" s="432" t="s">
        <v>2027</v>
      </c>
      <c r="F84" s="433">
        <f>VLOOKUP(A84,TradesEquity!$1:$1048576,2,FALSE)</f>
        <v>44102</v>
      </c>
      <c r="H84" s="433">
        <f>VLOOKUP(A84,TradesEquity!$1:$1048576,21,FALSE)</f>
        <v>44109</v>
      </c>
      <c r="I84" s="434" t="str">
        <f>IF(VLOOKUP(A84,TradesEquity!$1:$1048576,3,FALSE)="BUY","B","S")</f>
        <v>B</v>
      </c>
      <c r="J84" s="434" t="str">
        <f>VLOOKUP(A84,TradesEquity!$1:$1048576,5,FALSE)</f>
        <v>KR7036830008</v>
      </c>
      <c r="K84" s="432" t="s">
        <v>19</v>
      </c>
      <c r="L84" s="435" t="s">
        <v>2028</v>
      </c>
      <c r="AE84" s="436" t="str">
        <f>VLOOKUP(A84,TradesEquity!$1:$1048576,10,FALSE)</f>
        <v>KRW</v>
      </c>
      <c r="AF84" s="436" t="str">
        <f t="shared" si="2"/>
        <v>KRW</v>
      </c>
      <c r="AG84" s="436" t="str">
        <f t="shared" si="2"/>
        <v>KRW</v>
      </c>
      <c r="AH84" s="436" t="str">
        <f t="shared" si="2"/>
        <v>KRW</v>
      </c>
      <c r="AI84" s="436">
        <f>ABS(VLOOKUP(A84,TradesEquity!$1:$1048576,13,FALSE))</f>
        <v>1100</v>
      </c>
      <c r="AJ84" s="437">
        <v>0</v>
      </c>
      <c r="AK84" s="437">
        <v>1</v>
      </c>
      <c r="AL84" s="436">
        <f>VLOOKUP(A84,TradesEquity!$1:$1048576,11,FALSE)</f>
        <v>44997.772700000001</v>
      </c>
      <c r="AM84" s="437">
        <v>1</v>
      </c>
      <c r="AN84" s="436">
        <f>ABS(VLOOKUP(A84,TradesEquity!$1:$1048576,14,FALSE))</f>
        <v>49497549.969999999</v>
      </c>
      <c r="AO84" s="436">
        <f>ABS(VLOOKUP(A84,TradesEquity!$1:$1048576,15,FALSE))</f>
        <v>74246</v>
      </c>
      <c r="AP84" s="438">
        <f>ABS(VLOOKUP(A84,TradesEquity!$1:$1048576,16,FALSE))</f>
        <v>0</v>
      </c>
      <c r="AQ84" s="367">
        <v>0</v>
      </c>
      <c r="AR84" s="367">
        <v>0</v>
      </c>
      <c r="AS84" s="367">
        <v>0</v>
      </c>
      <c r="AT84" s="367">
        <v>0</v>
      </c>
      <c r="AU84" s="367">
        <v>0</v>
      </c>
      <c r="AV84" s="438">
        <f>ABS(VLOOKUP(A84,TradesEquity!$1:$1048576,18,FALSE))</f>
        <v>49571795.969999999</v>
      </c>
      <c r="AW84" s="439">
        <v>0</v>
      </c>
      <c r="AX84" s="440">
        <v>4542</v>
      </c>
      <c r="AY84" s="441" t="s">
        <v>2029</v>
      </c>
      <c r="AZ84" s="442" t="e">
        <f>(VLOOKUP(A84,TradesEquity!$1:$1048576,29,FALSE))</f>
        <v>#N/A</v>
      </c>
      <c r="BA84" s="442" t="e">
        <f>(VLOOKUP(A84,TradesEquity!$1:$1048576,30,FALSE))</f>
        <v>#N/A</v>
      </c>
      <c r="BB84" s="442" t="e">
        <f>(VLOOKUP(A84,TradesEquity!$1:$1048576,31,FALSE))</f>
        <v>#N/A</v>
      </c>
      <c r="BC84" s="442" t="e">
        <f>(VLOOKUP(A84,TradesEquity!$1:$1048576,32,FALSE))</f>
        <v>#N/A</v>
      </c>
      <c r="BI84" s="465" t="e">
        <f>(VLOOKUP(A84,TradesEquity!$1:$1048576,38,FALSE))</f>
        <v>#N/A</v>
      </c>
      <c r="BJ84" s="465" t="e">
        <f>(VLOOKUP(A84,TradesEquity!$1:$1048576,39,FALSE))</f>
        <v>#N/A</v>
      </c>
      <c r="BK84" s="442" t="e">
        <f>(VLOOKUP(A84,TradesEquity!$1:$1048576,40,FALSE))</f>
        <v>#N/A</v>
      </c>
    </row>
    <row r="85" spans="1:63">
      <c r="A85" s="501">
        <v>2019200325</v>
      </c>
      <c r="D85" s="432" t="s">
        <v>2027</v>
      </c>
      <c r="F85" s="433">
        <f>VLOOKUP(A85,TradesEquity!$1:$1048576,2,FALSE)</f>
        <v>44102</v>
      </c>
      <c r="H85" s="433">
        <f>VLOOKUP(A85,TradesEquity!$1:$1048576,21,FALSE)</f>
        <v>44104</v>
      </c>
      <c r="I85" s="434" t="str">
        <f>IF(VLOOKUP(A85,TradesEquity!$1:$1048576,3,FALSE)="BUY","B","S")</f>
        <v>S</v>
      </c>
      <c r="J85" s="434" t="str">
        <f>VLOOKUP(A85,TradesEquity!$1:$1048576,5,FALSE)</f>
        <v>JP3551500006</v>
      </c>
      <c r="K85" s="432" t="s">
        <v>19</v>
      </c>
      <c r="L85" s="435" t="s">
        <v>2028</v>
      </c>
      <c r="AE85" s="436" t="str">
        <f>VLOOKUP(A85,TradesEquity!$1:$1048576,10,FALSE)</f>
        <v>JPY</v>
      </c>
      <c r="AF85" s="436" t="str">
        <f t="shared" si="2"/>
        <v>JPY</v>
      </c>
      <c r="AG85" s="436" t="str">
        <f t="shared" si="2"/>
        <v>JPY</v>
      </c>
      <c r="AH85" s="436" t="str">
        <f t="shared" si="2"/>
        <v>JPY</v>
      </c>
      <c r="AI85" s="436">
        <f>ABS(VLOOKUP(A85,TradesEquity!$1:$1048576,13,FALSE))</f>
        <v>1100</v>
      </c>
      <c r="AJ85" s="437">
        <v>0</v>
      </c>
      <c r="AK85" s="437">
        <v>1</v>
      </c>
      <c r="AL85" s="436">
        <f>VLOOKUP(A85,TradesEquity!$1:$1048576,11,FALSE)</f>
        <v>4541.6363600000004</v>
      </c>
      <c r="AM85" s="437">
        <v>1</v>
      </c>
      <c r="AN85" s="436">
        <f>ABS(VLOOKUP(A85,TradesEquity!$1:$1048576,14,FALSE))</f>
        <v>4995799.9960000003</v>
      </c>
      <c r="AO85" s="436">
        <f>ABS(VLOOKUP(A85,TradesEquity!$1:$1048576,15,FALSE))</f>
        <v>2997</v>
      </c>
      <c r="AP85" s="438">
        <f>ABS(VLOOKUP(A85,TradesEquity!$1:$1048576,16,FALSE))</f>
        <v>0</v>
      </c>
      <c r="AQ85" s="367">
        <v>0</v>
      </c>
      <c r="AR85" s="367">
        <v>0</v>
      </c>
      <c r="AS85" s="367">
        <v>0</v>
      </c>
      <c r="AT85" s="367">
        <v>0</v>
      </c>
      <c r="AU85" s="367">
        <v>0</v>
      </c>
      <c r="AV85" s="438">
        <f>ABS(VLOOKUP(A85,TradesEquity!$1:$1048576,18,FALSE))</f>
        <v>4992802.9960000003</v>
      </c>
      <c r="AW85" s="439">
        <v>0</v>
      </c>
      <c r="AX85" s="440">
        <v>4542</v>
      </c>
      <c r="AY85" s="441" t="s">
        <v>2029</v>
      </c>
      <c r="AZ85" s="442" t="str">
        <f>(VLOOKUP(A85,TradesEquity!$1:$1048576,29,FALSE))</f>
        <v>GSILGB2XXXX</v>
      </c>
      <c r="BA85" s="442" t="str">
        <f>(VLOOKUP(A85,TradesEquity!$1:$1048576,30,FALSE))</f>
        <v>JJSDJPJTXXX</v>
      </c>
      <c r="BB85" s="442">
        <f>(VLOOKUP(A85,TradesEquity!$1:$1048576,31,FALSE))</f>
        <v>6530490016</v>
      </c>
      <c r="BC85" s="442" t="str">
        <f>(VLOOKUP(A85,TradesEquity!$1:$1048576,32,FALSE))</f>
        <v>N</v>
      </c>
      <c r="BI85" s="465" t="str">
        <f>(VLOOKUP(A85,TradesEquity!$1:$1048576,38,FALSE))</f>
        <v xml:space="preserve">                  </v>
      </c>
      <c r="BJ85" s="465" t="str">
        <f>(VLOOKUP(A85,TradesEquity!$1:$1048576,39,FALSE))</f>
        <v xml:space="preserve">                          </v>
      </c>
      <c r="BK85" s="442" t="str">
        <f>(VLOOKUP(A85,TradesEquity!$1:$1048576,40,FALSE))</f>
        <v>GOLDJPJXXXX</v>
      </c>
    </row>
    <row r="86" spans="1:63">
      <c r="A86" s="501">
        <v>2019200326</v>
      </c>
      <c r="D86" s="432" t="s">
        <v>2027</v>
      </c>
      <c r="F86" s="433">
        <f>VLOOKUP(A86,TradesEquity!$1:$1048576,2,FALSE)</f>
        <v>44102</v>
      </c>
      <c r="H86" s="433">
        <f>VLOOKUP(A86,TradesEquity!$1:$1048576,21,FALSE)</f>
        <v>44104</v>
      </c>
      <c r="I86" s="434" t="str">
        <f>IF(VLOOKUP(A86,TradesEquity!$1:$1048576,3,FALSE)="BUY","B","S")</f>
        <v>B</v>
      </c>
      <c r="J86" s="434" t="str">
        <f>VLOOKUP(A86,TradesEquity!$1:$1048576,5,FALSE)</f>
        <v>JP3592200004</v>
      </c>
      <c r="K86" s="432" t="s">
        <v>19</v>
      </c>
      <c r="L86" s="435" t="s">
        <v>2028</v>
      </c>
      <c r="AE86" s="436" t="str">
        <f>VLOOKUP(A86,TradesEquity!$1:$1048576,10,FALSE)</f>
        <v>JPY</v>
      </c>
      <c r="AF86" s="436" t="str">
        <f t="shared" si="2"/>
        <v>JPY</v>
      </c>
      <c r="AG86" s="436" t="str">
        <f t="shared" si="2"/>
        <v>JPY</v>
      </c>
      <c r="AH86" s="436" t="str">
        <f t="shared" si="2"/>
        <v>JPY</v>
      </c>
      <c r="AI86" s="436">
        <f>ABS(VLOOKUP(A86,TradesEquity!$1:$1048576,13,FALSE))</f>
        <v>2200</v>
      </c>
      <c r="AJ86" s="437">
        <v>0</v>
      </c>
      <c r="AK86" s="437">
        <v>1</v>
      </c>
      <c r="AL86" s="436">
        <f>VLOOKUP(A86,TradesEquity!$1:$1048576,11,FALSE)</f>
        <v>2699.75938</v>
      </c>
      <c r="AM86" s="437">
        <v>1</v>
      </c>
      <c r="AN86" s="436">
        <f>ABS(VLOOKUP(A86,TradesEquity!$1:$1048576,14,FALSE))</f>
        <v>5939470.6359999999</v>
      </c>
      <c r="AO86" s="436">
        <f>ABS(VLOOKUP(A86,TradesEquity!$1:$1048576,15,FALSE))</f>
        <v>3564</v>
      </c>
      <c r="AP86" s="438">
        <f>ABS(VLOOKUP(A86,TradesEquity!$1:$1048576,16,FALSE))</f>
        <v>0</v>
      </c>
      <c r="AQ86" s="367">
        <v>0</v>
      </c>
      <c r="AR86" s="367">
        <v>0</v>
      </c>
      <c r="AS86" s="367">
        <v>0</v>
      </c>
      <c r="AT86" s="367">
        <v>0</v>
      </c>
      <c r="AU86" s="367">
        <v>0</v>
      </c>
      <c r="AV86" s="438">
        <f>ABS(VLOOKUP(A86,TradesEquity!$1:$1048576,18,FALSE))</f>
        <v>5943034.6359999999</v>
      </c>
      <c r="AW86" s="439">
        <v>0</v>
      </c>
      <c r="AX86" s="440">
        <v>4542</v>
      </c>
      <c r="AY86" s="441" t="s">
        <v>2029</v>
      </c>
      <c r="AZ86" s="442" t="str">
        <f>(VLOOKUP(A86,TradesEquity!$1:$1048576,29,FALSE))</f>
        <v>GSILGB2XXXX</v>
      </c>
      <c r="BA86" s="442" t="str">
        <f>(VLOOKUP(A86,TradesEquity!$1:$1048576,30,FALSE))</f>
        <v>JJSDJPJTXXX</v>
      </c>
      <c r="BB86" s="442">
        <f>(VLOOKUP(A86,TradesEquity!$1:$1048576,31,FALSE))</f>
        <v>6530490016</v>
      </c>
      <c r="BC86" s="442" t="str">
        <f>(VLOOKUP(A86,TradesEquity!$1:$1048576,32,FALSE))</f>
        <v>N</v>
      </c>
      <c r="BI86" s="465" t="str">
        <f>(VLOOKUP(A86,TradesEquity!$1:$1048576,38,FALSE))</f>
        <v xml:space="preserve">                  </v>
      </c>
      <c r="BJ86" s="465" t="str">
        <f>(VLOOKUP(A86,TradesEquity!$1:$1048576,39,FALSE))</f>
        <v xml:space="preserve">                          </v>
      </c>
      <c r="BK86" s="442" t="str">
        <f>(VLOOKUP(A86,TradesEquity!$1:$1048576,40,FALSE))</f>
        <v>GOLDJPJXXXX</v>
      </c>
    </row>
    <row r="87" spans="1:63">
      <c r="A87" s="501">
        <v>2019200327</v>
      </c>
      <c r="D87" s="432" t="s">
        <v>2027</v>
      </c>
      <c r="F87" s="433">
        <f>VLOOKUP(A87,TradesEquity!$1:$1048576,2,FALSE)</f>
        <v>44104</v>
      </c>
      <c r="H87" s="433">
        <f>VLOOKUP(A87,TradesEquity!$1:$1048576,21,FALSE)</f>
        <v>44106</v>
      </c>
      <c r="I87" s="434" t="str">
        <f>IF(VLOOKUP(A87,TradesEquity!$1:$1048576,3,FALSE)="BUY","B","S")</f>
        <v>S</v>
      </c>
      <c r="J87" s="434" t="str">
        <f>VLOOKUP(A87,TradesEquity!$1:$1048576,5,FALSE)</f>
        <v>DE0007100000</v>
      </c>
      <c r="K87" s="432" t="s">
        <v>19</v>
      </c>
      <c r="L87" s="435" t="s">
        <v>2028</v>
      </c>
      <c r="AE87" s="436" t="str">
        <f>VLOOKUP(A87,TradesEquity!$1:$1048576,10,FALSE)</f>
        <v>EUR</v>
      </c>
      <c r="AF87" s="436" t="str">
        <f t="shared" si="2"/>
        <v>EUR</v>
      </c>
      <c r="AG87" s="436" t="str">
        <f t="shared" si="2"/>
        <v>EUR</v>
      </c>
      <c r="AH87" s="436" t="str">
        <f t="shared" si="2"/>
        <v>EUR</v>
      </c>
      <c r="AI87" s="436">
        <f>ABS(VLOOKUP(A87,TradesEquity!$1:$1048576,13,FALSE))</f>
        <v>600</v>
      </c>
      <c r="AJ87" s="437">
        <v>0</v>
      </c>
      <c r="AK87" s="437">
        <v>1</v>
      </c>
      <c r="AL87" s="436">
        <f>VLOOKUP(A87,TradesEquity!$1:$1048576,11,FALSE)</f>
        <v>46.034999999999997</v>
      </c>
      <c r="AM87" s="437">
        <v>1</v>
      </c>
      <c r="AN87" s="436">
        <f>ABS(VLOOKUP(A87,TradesEquity!$1:$1048576,14,FALSE))</f>
        <v>27620.999999999996</v>
      </c>
      <c r="AO87" s="436">
        <f>ABS(VLOOKUP(A87,TradesEquity!$1:$1048576,15,FALSE))</f>
        <v>13.81</v>
      </c>
      <c r="AP87" s="438">
        <f>ABS(VLOOKUP(A87,TradesEquity!$1:$1048576,16,FALSE))</f>
        <v>0</v>
      </c>
      <c r="AQ87" s="367">
        <v>0</v>
      </c>
      <c r="AR87" s="367">
        <v>0</v>
      </c>
      <c r="AS87" s="367">
        <v>0</v>
      </c>
      <c r="AT87" s="367">
        <v>0</v>
      </c>
      <c r="AU87" s="367">
        <v>0</v>
      </c>
      <c r="AV87" s="438">
        <f>ABS(VLOOKUP(A87,TradesEquity!$1:$1048576,18,FALSE))</f>
        <v>27607.189999999995</v>
      </c>
      <c r="AW87" s="439">
        <v>0</v>
      </c>
      <c r="AX87" s="440">
        <v>4542</v>
      </c>
      <c r="AY87" s="441" t="s">
        <v>2029</v>
      </c>
      <c r="AZ87" s="442" t="str">
        <f>(VLOOKUP(A87,TradesEquity!$1:$1048576,29,FALSE))</f>
        <v>PAREFRPPXXX</v>
      </c>
      <c r="BA87" s="442" t="str">
        <f>(VLOOKUP(A87,TradesEquity!$1:$1048576,30,FALSE))</f>
        <v>DAKVDEFFXXX</v>
      </c>
      <c r="BB87" s="442" t="str">
        <f>(VLOOKUP(A87,TradesEquity!$1:$1048576,31,FALSE))</f>
        <v>DAKV 8448</v>
      </c>
      <c r="BC87" s="442" t="str">
        <f>(VLOOKUP(A87,TradesEquity!$1:$1048576,32,FALSE))</f>
        <v>N</v>
      </c>
      <c r="BI87" s="465" t="str">
        <f>(VLOOKUP(A87,TradesEquity!$1:$1048576,38,FALSE))</f>
        <v xml:space="preserve">        </v>
      </c>
      <c r="BJ87" s="465" t="str">
        <f>(VLOOKUP(A87,TradesEquity!$1:$1048576,39,FALSE))</f>
        <v xml:space="preserve">        </v>
      </c>
      <c r="BK87" s="442" t="str">
        <f>(VLOOKUP(A87,TradesEquity!$1:$1048576,40,FALSE))</f>
        <v>SGABCHZZ448</v>
      </c>
    </row>
    <row r="88" spans="1:63">
      <c r="A88" s="501">
        <v>2019200328</v>
      </c>
      <c r="D88" s="432" t="s">
        <v>2027</v>
      </c>
      <c r="F88" s="433">
        <f>VLOOKUP(A88,TradesEquity!$1:$1048576,2,FALSE)</f>
        <v>44106</v>
      </c>
      <c r="H88" s="433">
        <f>VLOOKUP(A88,TradesEquity!$1:$1048576,21,FALSE)</f>
        <v>44110</v>
      </c>
      <c r="I88" s="434" t="str">
        <f>IF(VLOOKUP(A88,TradesEquity!$1:$1048576,3,FALSE)="BUY","B","S")</f>
        <v>B</v>
      </c>
      <c r="J88" s="434" t="str">
        <f>VLOOKUP(A88,TradesEquity!$1:$1048576,5,FALSE)</f>
        <v>JP3866800000</v>
      </c>
      <c r="K88" s="432" t="s">
        <v>19</v>
      </c>
      <c r="L88" s="435" t="s">
        <v>2028</v>
      </c>
      <c r="AE88" s="436" t="str">
        <f>VLOOKUP(A88,TradesEquity!$1:$1048576,10,FALSE)</f>
        <v>JPY</v>
      </c>
      <c r="AF88" s="436" t="str">
        <f t="shared" si="2"/>
        <v>JPY</v>
      </c>
      <c r="AG88" s="436" t="str">
        <f t="shared" si="2"/>
        <v>JPY</v>
      </c>
      <c r="AH88" s="436" t="str">
        <f t="shared" si="2"/>
        <v>JPY</v>
      </c>
      <c r="AI88" s="436">
        <f>ABS(VLOOKUP(A88,TradesEquity!$1:$1048576,13,FALSE))</f>
        <v>8000</v>
      </c>
      <c r="AJ88" s="437">
        <v>0</v>
      </c>
      <c r="AK88" s="437">
        <v>1</v>
      </c>
      <c r="AL88" s="436">
        <f>VLOOKUP(A88,TradesEquity!$1:$1048576,11,FALSE)</f>
        <v>887.85749999999996</v>
      </c>
      <c r="AM88" s="437">
        <v>1</v>
      </c>
      <c r="AN88" s="436">
        <f>ABS(VLOOKUP(A88,TradesEquity!$1:$1048576,14,FALSE))</f>
        <v>7102860</v>
      </c>
      <c r="AO88" s="436">
        <f>ABS(VLOOKUP(A88,TradesEquity!$1:$1048576,15,FALSE))</f>
        <v>3551</v>
      </c>
      <c r="AP88" s="438">
        <f>ABS(VLOOKUP(A88,TradesEquity!$1:$1048576,16,FALSE))</f>
        <v>0</v>
      </c>
      <c r="AQ88" s="367">
        <v>0</v>
      </c>
      <c r="AR88" s="367">
        <v>0</v>
      </c>
      <c r="AS88" s="367">
        <v>0</v>
      </c>
      <c r="AT88" s="367">
        <v>0</v>
      </c>
      <c r="AU88" s="367">
        <v>0</v>
      </c>
      <c r="AV88" s="438">
        <f>ABS(VLOOKUP(A88,TradesEquity!$1:$1048576,18,FALSE))</f>
        <v>7106411</v>
      </c>
      <c r="AW88" s="439">
        <v>0</v>
      </c>
      <c r="AX88" s="440">
        <v>4542</v>
      </c>
      <c r="AY88" s="441" t="s">
        <v>2029</v>
      </c>
      <c r="AZ88" s="442" t="e">
        <f>(VLOOKUP(A88,TradesEquity!$1:$1048576,29,FALSE))</f>
        <v>#N/A</v>
      </c>
      <c r="BA88" s="442" t="e">
        <f>(VLOOKUP(A88,TradesEquity!$1:$1048576,30,FALSE))</f>
        <v>#N/A</v>
      </c>
      <c r="BB88" s="442" t="e">
        <f>(VLOOKUP(A88,TradesEquity!$1:$1048576,31,FALSE))</f>
        <v>#N/A</v>
      </c>
      <c r="BC88" s="442" t="e">
        <f>(VLOOKUP(A88,TradesEquity!$1:$1048576,32,FALSE))</f>
        <v>#N/A</v>
      </c>
      <c r="BI88" s="465" t="e">
        <f>(VLOOKUP(A88,TradesEquity!$1:$1048576,38,FALSE))</f>
        <v>#N/A</v>
      </c>
      <c r="BJ88" s="465" t="e">
        <f>(VLOOKUP(A88,TradesEquity!$1:$1048576,39,FALSE))</f>
        <v>#N/A</v>
      </c>
      <c r="BK88" s="442" t="e">
        <f>(VLOOKUP(A88,TradesEquity!$1:$1048576,40,FALSE))</f>
        <v>#N/A</v>
      </c>
    </row>
    <row r="89" spans="1:63">
      <c r="A89" s="501">
        <v>2019200329</v>
      </c>
      <c r="D89" s="432" t="s">
        <v>2027</v>
      </c>
      <c r="F89" s="433">
        <f>VLOOKUP(A89,TradesEquity!$1:$1048576,2,FALSE)</f>
        <v>44105</v>
      </c>
      <c r="H89" s="433">
        <f>VLOOKUP(A89,TradesEquity!$1:$1048576,21,FALSE)</f>
        <v>44109</v>
      </c>
      <c r="I89" s="434" t="str">
        <f>IF(VLOOKUP(A89,TradesEquity!$1:$1048576,3,FALSE)="BUY","B","S")</f>
        <v>B</v>
      </c>
      <c r="J89" s="434" t="str">
        <f>VLOOKUP(A89,TradesEquity!$1:$1048576,5,FALSE)</f>
        <v>CH0110303119</v>
      </c>
      <c r="K89" s="432" t="s">
        <v>19</v>
      </c>
      <c r="L89" s="435" t="s">
        <v>2028</v>
      </c>
      <c r="AE89" s="436" t="str">
        <f>VLOOKUP(A89,TradesEquity!$1:$1048576,10,FALSE)</f>
        <v>CHF</v>
      </c>
      <c r="AF89" s="436" t="str">
        <f t="shared" si="2"/>
        <v>CHF</v>
      </c>
      <c r="AG89" s="436" t="str">
        <f t="shared" si="2"/>
        <v>CHF</v>
      </c>
      <c r="AH89" s="436" t="str">
        <f t="shared" si="2"/>
        <v>CHF</v>
      </c>
      <c r="AI89" s="436">
        <f>ABS(VLOOKUP(A89,TradesEquity!$1:$1048576,13,FALSE))</f>
        <v>2195</v>
      </c>
      <c r="AJ89" s="437">
        <v>0</v>
      </c>
      <c r="AK89" s="437">
        <v>1</v>
      </c>
      <c r="AL89" s="436">
        <f>VLOOKUP(A89,TradesEquity!$1:$1048576,11,FALSE)</f>
        <v>0.56599999999999995</v>
      </c>
      <c r="AM89" s="437">
        <v>1</v>
      </c>
      <c r="AN89" s="436">
        <f>ABS(VLOOKUP(A89,TradesEquity!$1:$1048576,14,FALSE))</f>
        <v>1242.3699999999999</v>
      </c>
      <c r="AO89" s="436">
        <f>ABS(VLOOKUP(A89,TradesEquity!$1:$1048576,15,FALSE))</f>
        <v>0.75</v>
      </c>
      <c r="AP89" s="438">
        <f>ABS(VLOOKUP(A89,TradesEquity!$1:$1048576,16,FALSE))</f>
        <v>0</v>
      </c>
      <c r="AQ89" s="367">
        <v>0</v>
      </c>
      <c r="AR89" s="367">
        <v>0</v>
      </c>
      <c r="AS89" s="367">
        <v>0</v>
      </c>
      <c r="AT89" s="367">
        <v>0</v>
      </c>
      <c r="AU89" s="367">
        <v>0</v>
      </c>
      <c r="AV89" s="438">
        <f>ABS(VLOOKUP(A89,TradesEquity!$1:$1048576,18,FALSE))</f>
        <v>1243.1199999999999</v>
      </c>
      <c r="AW89" s="439">
        <v>0</v>
      </c>
      <c r="AX89" s="440">
        <v>4542</v>
      </c>
      <c r="AY89" s="441" t="s">
        <v>2029</v>
      </c>
      <c r="AZ89" s="442" t="str">
        <f>(VLOOKUP(A89,TradesEquity!$1:$1048576,29,FALSE))</f>
        <v>BCITITMMXXX</v>
      </c>
      <c r="BA89" s="442" t="str">
        <f>(VLOOKUP(A89,TradesEquity!$1:$1048576,30,FALSE))</f>
        <v>INSECHZZXXX</v>
      </c>
      <c r="BB89" s="442" t="str">
        <f>(VLOOKUP(A89,TradesEquity!$1:$1048576,31,FALSE))</f>
        <v>0835 0951260 75 010</v>
      </c>
      <c r="BC89" s="442" t="str">
        <f>(VLOOKUP(A89,TradesEquity!$1:$1048576,32,FALSE))</f>
        <v>N</v>
      </c>
      <c r="BI89" s="465" t="str">
        <f>(VLOOKUP(A89,TradesEquity!$1:$1048576,38,FALSE))</f>
        <v xml:space="preserve">        </v>
      </c>
      <c r="BJ89" s="465" t="str">
        <f>(VLOOKUP(A89,TradesEquity!$1:$1048576,39,FALSE))</f>
        <v xml:space="preserve">        </v>
      </c>
      <c r="BK89" s="442" t="str">
        <f>(VLOOKUP(A89,TradesEquity!$1:$1048576,40,FALSE))</f>
        <v>CRESCHZZ80A</v>
      </c>
    </row>
    <row r="90" spans="1:63">
      <c r="A90" s="501">
        <v>2019200330</v>
      </c>
      <c r="D90" s="432" t="s">
        <v>2027</v>
      </c>
      <c r="F90" s="433">
        <f>VLOOKUP(A90,TradesEquity!$1:$1048576,2,FALSE)</f>
        <v>44106</v>
      </c>
      <c r="H90" s="433">
        <f>VLOOKUP(A90,TradesEquity!$1:$1048576,21,FALSE)</f>
        <v>44110</v>
      </c>
      <c r="I90" s="434" t="str">
        <f>IF(VLOOKUP(A90,TradesEquity!$1:$1048576,3,FALSE)="BUY","B","S")</f>
        <v>S</v>
      </c>
      <c r="J90" s="434" t="str">
        <f>VLOOKUP(A90,TradesEquity!$1:$1048576,5,FALSE)</f>
        <v>JP3385820000</v>
      </c>
      <c r="K90" s="432" t="s">
        <v>19</v>
      </c>
      <c r="L90" s="435" t="s">
        <v>2028</v>
      </c>
      <c r="AE90" s="436" t="str">
        <f>VLOOKUP(A90,TradesEquity!$1:$1048576,10,FALSE)</f>
        <v>JPY</v>
      </c>
      <c r="AF90" s="436" t="str">
        <f t="shared" si="2"/>
        <v>JPY</v>
      </c>
      <c r="AG90" s="436" t="str">
        <f t="shared" si="2"/>
        <v>JPY</v>
      </c>
      <c r="AH90" s="436" t="str">
        <f t="shared" si="2"/>
        <v>JPY</v>
      </c>
      <c r="AI90" s="436">
        <f>ABS(VLOOKUP(A90,TradesEquity!$1:$1048576,13,FALSE))</f>
        <v>12800</v>
      </c>
      <c r="AJ90" s="437">
        <v>0</v>
      </c>
      <c r="AK90" s="437">
        <v>1</v>
      </c>
      <c r="AL90" s="436">
        <f>VLOOKUP(A90,TradesEquity!$1:$1048576,11,FALSE)</f>
        <v>1787.2701099999999</v>
      </c>
      <c r="AM90" s="437">
        <v>1</v>
      </c>
      <c r="AN90" s="436">
        <f>ABS(VLOOKUP(A90,TradesEquity!$1:$1048576,14,FALSE))</f>
        <v>22877057.408</v>
      </c>
      <c r="AO90" s="436">
        <f>ABS(VLOOKUP(A90,TradesEquity!$1:$1048576,15,FALSE))</f>
        <v>13726</v>
      </c>
      <c r="AP90" s="438">
        <f>ABS(VLOOKUP(A90,TradesEquity!$1:$1048576,16,FALSE))</f>
        <v>0</v>
      </c>
      <c r="AQ90" s="367">
        <v>0</v>
      </c>
      <c r="AR90" s="367">
        <v>0</v>
      </c>
      <c r="AS90" s="367">
        <v>0</v>
      </c>
      <c r="AT90" s="367">
        <v>0</v>
      </c>
      <c r="AU90" s="367">
        <v>0</v>
      </c>
      <c r="AV90" s="438">
        <f>ABS(VLOOKUP(A90,TradesEquity!$1:$1048576,18,FALSE))</f>
        <v>22863331.408</v>
      </c>
      <c r="AW90" s="439">
        <v>0</v>
      </c>
      <c r="AX90" s="440">
        <v>4542</v>
      </c>
      <c r="AY90" s="441" t="s">
        <v>2029</v>
      </c>
      <c r="AZ90" s="442" t="str">
        <f>(VLOOKUP(A90,TradesEquity!$1:$1048576,29,FALSE))</f>
        <v>GSILGB2XXXX</v>
      </c>
      <c r="BA90" s="442" t="str">
        <f>(VLOOKUP(A90,TradesEquity!$1:$1048576,30,FALSE))</f>
        <v>JJSDJPJTXXX</v>
      </c>
      <c r="BB90" s="442">
        <f>(VLOOKUP(A90,TradesEquity!$1:$1048576,31,FALSE))</f>
        <v>6530490016</v>
      </c>
      <c r="BC90" s="442" t="str">
        <f>(VLOOKUP(A90,TradesEquity!$1:$1048576,32,FALSE))</f>
        <v>N</v>
      </c>
      <c r="BI90" s="465" t="str">
        <f>(VLOOKUP(A90,TradesEquity!$1:$1048576,38,FALSE))</f>
        <v xml:space="preserve">                  </v>
      </c>
      <c r="BJ90" s="465" t="str">
        <f>(VLOOKUP(A90,TradesEquity!$1:$1048576,39,FALSE))</f>
        <v xml:space="preserve">                          </v>
      </c>
      <c r="BK90" s="442" t="str">
        <f>(VLOOKUP(A90,TradesEquity!$1:$1048576,40,FALSE))</f>
        <v>GOLDJPJXXXX</v>
      </c>
    </row>
    <row r="91" spans="1:63">
      <c r="A91" s="501">
        <v>2019200331</v>
      </c>
      <c r="D91" s="432" t="s">
        <v>2027</v>
      </c>
      <c r="F91" s="433">
        <f>VLOOKUP(A91,TradesEquity!$1:$1048576,2,FALSE)</f>
        <v>44106</v>
      </c>
      <c r="H91" s="433">
        <f>VLOOKUP(A91,TradesEquity!$1:$1048576,21,FALSE)</f>
        <v>44110</v>
      </c>
      <c r="I91" s="434" t="str">
        <f>IF(VLOOKUP(A91,TradesEquity!$1:$1048576,3,FALSE)="BUY","B","S")</f>
        <v>B</v>
      </c>
      <c r="J91" s="434" t="str">
        <f>VLOOKUP(A91,TradesEquity!$1:$1048576,5,FALSE)</f>
        <v>JP3592200004</v>
      </c>
      <c r="K91" s="432" t="s">
        <v>19</v>
      </c>
      <c r="L91" s="435" t="s">
        <v>2028</v>
      </c>
      <c r="AE91" s="436" t="str">
        <f>VLOOKUP(A91,TradesEquity!$1:$1048576,10,FALSE)</f>
        <v>JPY</v>
      </c>
      <c r="AF91" s="436" t="str">
        <f t="shared" si="2"/>
        <v>JPY</v>
      </c>
      <c r="AG91" s="436" t="str">
        <f t="shared" si="2"/>
        <v>JPY</v>
      </c>
      <c r="AH91" s="436" t="str">
        <f t="shared" si="2"/>
        <v>JPY</v>
      </c>
      <c r="AI91" s="436">
        <f>ABS(VLOOKUP(A91,TradesEquity!$1:$1048576,13,FALSE))</f>
        <v>6400</v>
      </c>
      <c r="AJ91" s="437">
        <v>0</v>
      </c>
      <c r="AK91" s="437">
        <v>1</v>
      </c>
      <c r="AL91" s="436">
        <f>VLOOKUP(A91,TradesEquity!$1:$1048576,11,FALSE)</f>
        <v>2647.5683899999999</v>
      </c>
      <c r="AM91" s="437">
        <v>1</v>
      </c>
      <c r="AN91" s="436">
        <f>ABS(VLOOKUP(A91,TradesEquity!$1:$1048576,14,FALSE))</f>
        <v>16944437.695999999</v>
      </c>
      <c r="AO91" s="436">
        <f>ABS(VLOOKUP(A91,TradesEquity!$1:$1048576,15,FALSE))</f>
        <v>10167</v>
      </c>
      <c r="AP91" s="438">
        <f>ABS(VLOOKUP(A91,TradesEquity!$1:$1048576,16,FALSE))</f>
        <v>0</v>
      </c>
      <c r="AQ91" s="367">
        <v>0</v>
      </c>
      <c r="AR91" s="367">
        <v>0</v>
      </c>
      <c r="AS91" s="367">
        <v>0</v>
      </c>
      <c r="AT91" s="367">
        <v>0</v>
      </c>
      <c r="AU91" s="367">
        <v>0</v>
      </c>
      <c r="AV91" s="438">
        <f>ABS(VLOOKUP(A91,TradesEquity!$1:$1048576,18,FALSE))</f>
        <v>16954604.695999999</v>
      </c>
      <c r="AW91" s="439">
        <v>0</v>
      </c>
      <c r="AX91" s="440">
        <v>4542</v>
      </c>
      <c r="AY91" s="441" t="s">
        <v>2029</v>
      </c>
      <c r="AZ91" s="442" t="str">
        <f>(VLOOKUP(A91,TradesEquity!$1:$1048576,29,FALSE))</f>
        <v>GSILGB2XXXX</v>
      </c>
      <c r="BA91" s="442" t="str">
        <f>(VLOOKUP(A91,TradesEquity!$1:$1048576,30,FALSE))</f>
        <v>JJSDJPJTXXX</v>
      </c>
      <c r="BB91" s="442">
        <f>(VLOOKUP(A91,TradesEquity!$1:$1048576,31,FALSE))</f>
        <v>6530490016</v>
      </c>
      <c r="BC91" s="442" t="str">
        <f>(VLOOKUP(A91,TradesEquity!$1:$1048576,32,FALSE))</f>
        <v>N</v>
      </c>
      <c r="BI91" s="465" t="str">
        <f>(VLOOKUP(A91,TradesEquity!$1:$1048576,38,FALSE))</f>
        <v xml:space="preserve">                  </v>
      </c>
      <c r="BJ91" s="465" t="str">
        <f>(VLOOKUP(A91,TradesEquity!$1:$1048576,39,FALSE))</f>
        <v xml:space="preserve">                          </v>
      </c>
      <c r="BK91" s="442" t="str">
        <f>(VLOOKUP(A91,TradesEquity!$1:$1048576,40,FALSE))</f>
        <v>GOLDJPJXXXX</v>
      </c>
    </row>
    <row r="92" spans="1:63">
      <c r="A92" s="502">
        <v>2019200332</v>
      </c>
      <c r="D92" s="432" t="s">
        <v>2027</v>
      </c>
      <c r="F92" s="433">
        <f>VLOOKUP(A92,TradesEquity!$1:$1048576,2,FALSE)</f>
        <v>44106</v>
      </c>
      <c r="H92" s="433">
        <f>VLOOKUP(A92,TradesEquity!$1:$1048576,21,FALSE)</f>
        <v>44110</v>
      </c>
      <c r="I92" s="434" t="str">
        <f>IF(VLOOKUP(A92,TradesEquity!$1:$1048576,3,FALSE)="BUY","B","S")</f>
        <v>B</v>
      </c>
      <c r="J92" s="434" t="str">
        <f>VLOOKUP(A92,TradesEquity!$1:$1048576,5,FALSE)</f>
        <v>CH0110303119</v>
      </c>
      <c r="K92" s="432" t="s">
        <v>19</v>
      </c>
      <c r="L92" s="435" t="s">
        <v>2028</v>
      </c>
      <c r="AE92" s="436" t="str">
        <f>VLOOKUP(A92,TradesEquity!$1:$1048576,10,FALSE)</f>
        <v>CHF</v>
      </c>
      <c r="AF92" s="436" t="str">
        <f t="shared" si="2"/>
        <v>CHF</v>
      </c>
      <c r="AG92" s="436" t="str">
        <f t="shared" si="2"/>
        <v>CHF</v>
      </c>
      <c r="AH92" s="436" t="str">
        <f t="shared" si="2"/>
        <v>CHF</v>
      </c>
      <c r="AI92" s="436">
        <f>ABS(VLOOKUP(A92,TradesEquity!$1:$1048576,13,FALSE))</f>
        <v>35000</v>
      </c>
      <c r="AJ92" s="437">
        <v>0</v>
      </c>
      <c r="AK92" s="437">
        <v>1</v>
      </c>
      <c r="AL92" s="436">
        <f>VLOOKUP(A92,TradesEquity!$1:$1048576,11,FALSE)</f>
        <v>0.55589999999999995</v>
      </c>
      <c r="AM92" s="437">
        <v>1</v>
      </c>
      <c r="AN92" s="436">
        <f>ABS(VLOOKUP(A92,TradesEquity!$1:$1048576,14,FALSE))</f>
        <v>19456.5</v>
      </c>
      <c r="AO92" s="436">
        <f>ABS(VLOOKUP(A92,TradesEquity!$1:$1048576,15,FALSE))</f>
        <v>11.67</v>
      </c>
      <c r="AP92" s="438">
        <f>ABS(VLOOKUP(A92,TradesEquity!$1:$1048576,16,FALSE))</f>
        <v>0</v>
      </c>
      <c r="AQ92" s="367">
        <v>0</v>
      </c>
      <c r="AR92" s="367">
        <v>0</v>
      </c>
      <c r="AS92" s="367">
        <v>0</v>
      </c>
      <c r="AT92" s="367">
        <v>0</v>
      </c>
      <c r="AU92" s="367">
        <v>0</v>
      </c>
      <c r="AV92" s="438">
        <f>ABS(VLOOKUP(A92,TradesEquity!$1:$1048576,18,FALSE))</f>
        <v>19468.169999999998</v>
      </c>
      <c r="AW92" s="439">
        <v>0</v>
      </c>
      <c r="AX92" s="440">
        <v>4542</v>
      </c>
      <c r="AY92" s="441" t="s">
        <v>2029</v>
      </c>
      <c r="AZ92" s="442" t="str">
        <f>(VLOOKUP(A92,TradesEquity!$1:$1048576,29,FALSE))</f>
        <v>BCITITMMXXX</v>
      </c>
      <c r="BA92" s="442" t="str">
        <f>(VLOOKUP(A92,TradesEquity!$1:$1048576,30,FALSE))</f>
        <v>INSECHZZXXX</v>
      </c>
      <c r="BB92" s="442" t="str">
        <f>(VLOOKUP(A92,TradesEquity!$1:$1048576,31,FALSE))</f>
        <v>0835 0951260 75 010</v>
      </c>
      <c r="BC92" s="442" t="str">
        <f>(VLOOKUP(A92,TradesEquity!$1:$1048576,32,FALSE))</f>
        <v>N</v>
      </c>
      <c r="BI92" s="465" t="str">
        <f>(VLOOKUP(A92,TradesEquity!$1:$1048576,38,FALSE))</f>
        <v xml:space="preserve">        </v>
      </c>
      <c r="BJ92" s="465" t="str">
        <f>(VLOOKUP(A92,TradesEquity!$1:$1048576,39,FALSE))</f>
        <v xml:space="preserve">        </v>
      </c>
      <c r="BK92" s="442" t="str">
        <f>(VLOOKUP(A92,TradesEquity!$1:$1048576,40,FALSE))</f>
        <v>CRESCHZZ80A</v>
      </c>
    </row>
    <row r="93" spans="1:63">
      <c r="A93" s="502">
        <v>2019200333</v>
      </c>
      <c r="D93" s="432" t="s">
        <v>2027</v>
      </c>
      <c r="F93" s="433">
        <f>VLOOKUP(A93,TradesEquity!$1:$1048576,2,FALSE)</f>
        <v>44110</v>
      </c>
      <c r="H93" s="433">
        <f>VLOOKUP(A93,TradesEquity!$1:$1048576,21,FALSE)</f>
        <v>44112</v>
      </c>
      <c r="I93" s="434" t="str">
        <f>IF(VLOOKUP(A93,TradesEquity!$1:$1048576,3,FALSE)="BUY","B","S")</f>
        <v>B</v>
      </c>
      <c r="J93" s="434" t="str">
        <f>VLOOKUP(A93,TradesEquity!$1:$1048576,5,FALSE)</f>
        <v>CH0110303119</v>
      </c>
      <c r="K93" s="432" t="s">
        <v>19</v>
      </c>
      <c r="L93" s="435" t="s">
        <v>2028</v>
      </c>
      <c r="AE93" s="436" t="str">
        <f>VLOOKUP(A93,TradesEquity!$1:$1048576,10,FALSE)</f>
        <v>CHF</v>
      </c>
      <c r="AF93" s="436" t="str">
        <f t="shared" si="2"/>
        <v>CHF</v>
      </c>
      <c r="AG93" s="436" t="str">
        <f t="shared" si="2"/>
        <v>CHF</v>
      </c>
      <c r="AH93" s="436" t="str">
        <f t="shared" si="2"/>
        <v>CHF</v>
      </c>
      <c r="AI93" s="436">
        <f>ABS(VLOOKUP(A93,TradesEquity!$1:$1048576,13,FALSE))</f>
        <v>35000</v>
      </c>
      <c r="AJ93" s="437">
        <v>0</v>
      </c>
      <c r="AK93" s="437">
        <v>1</v>
      </c>
      <c r="AL93" s="436">
        <f>VLOOKUP(A93,TradesEquity!$1:$1048576,11,FALSE)</f>
        <v>0.5504</v>
      </c>
      <c r="AM93" s="437">
        <v>1</v>
      </c>
      <c r="AN93" s="436">
        <f>ABS(VLOOKUP(A93,TradesEquity!$1:$1048576,14,FALSE))</f>
        <v>19264</v>
      </c>
      <c r="AO93" s="436">
        <f>ABS(VLOOKUP(A93,TradesEquity!$1:$1048576,15,FALSE))</f>
        <v>11.56</v>
      </c>
      <c r="AP93" s="438">
        <f>ABS(VLOOKUP(A93,TradesEquity!$1:$1048576,16,FALSE))</f>
        <v>0</v>
      </c>
      <c r="AQ93" s="367">
        <v>0</v>
      </c>
      <c r="AR93" s="367">
        <v>0</v>
      </c>
      <c r="AS93" s="367">
        <v>0</v>
      </c>
      <c r="AT93" s="367">
        <v>0</v>
      </c>
      <c r="AU93" s="367">
        <v>0</v>
      </c>
      <c r="AV93" s="438">
        <f>ABS(VLOOKUP(A93,TradesEquity!$1:$1048576,18,FALSE))</f>
        <v>19275.560000000001</v>
      </c>
      <c r="AW93" s="439">
        <v>0</v>
      </c>
      <c r="AX93" s="440">
        <v>4542</v>
      </c>
      <c r="AY93" s="441" t="s">
        <v>2029</v>
      </c>
      <c r="AZ93" s="442" t="str">
        <f>(VLOOKUP(A93,TradesEquity!$1:$1048576,29,FALSE))</f>
        <v>BCITITMMXXX</v>
      </c>
      <c r="BA93" s="442" t="str">
        <f>(VLOOKUP(A93,TradesEquity!$1:$1048576,30,FALSE))</f>
        <v>INSECHZZXXX</v>
      </c>
      <c r="BB93" s="442" t="str">
        <f>(VLOOKUP(A93,TradesEquity!$1:$1048576,31,FALSE))</f>
        <v>0835 0951260 75 010</v>
      </c>
      <c r="BC93" s="442" t="str">
        <f>(VLOOKUP(A93,TradesEquity!$1:$1048576,32,FALSE))</f>
        <v>N</v>
      </c>
      <c r="BI93" s="442">
        <f>(VLOOKUP(A93,TradesEquity!$1:$1048576,38,FALSE))</f>
        <v>0</v>
      </c>
      <c r="BJ93" s="442">
        <f>(VLOOKUP(A93,TradesEquity!$1:$1048576,39,FALSE))</f>
        <v>0</v>
      </c>
      <c r="BK93" s="442" t="str">
        <f>(VLOOKUP(A93,TradesEquity!$1:$1048576,40,FALSE))</f>
        <v>CRESCHZZ80A</v>
      </c>
    </row>
    <row r="94" spans="1:63">
      <c r="A94" s="502">
        <v>2019200334</v>
      </c>
      <c r="D94" s="432" t="s">
        <v>2027</v>
      </c>
      <c r="F94" s="433">
        <f>VLOOKUP(A94,TradesEquity!$1:$1048576,2,FALSE)</f>
        <v>44137</v>
      </c>
      <c r="H94" s="433">
        <f>VLOOKUP(A94,TradesEquity!$1:$1048576,21,FALSE)</f>
        <v>44140</v>
      </c>
      <c r="I94" s="434" t="str">
        <f>IF(VLOOKUP(A94,TradesEquity!$1:$1048576,3,FALSE)="BUY","B","S")</f>
        <v>S</v>
      </c>
      <c r="J94" s="434" t="str">
        <f>VLOOKUP(A94,TradesEquity!$1:$1048576,5,FALSE)</f>
        <v>JP3897700005</v>
      </c>
      <c r="K94" s="432" t="s">
        <v>19</v>
      </c>
      <c r="L94" s="435" t="s">
        <v>2028</v>
      </c>
      <c r="AE94" s="436" t="str">
        <f>VLOOKUP(A94,TradesEquity!$1:$1048576,10,FALSE)</f>
        <v>JPY</v>
      </c>
      <c r="AF94" s="436" t="str">
        <f t="shared" si="2"/>
        <v>JPY</v>
      </c>
      <c r="AG94" s="436" t="str">
        <f t="shared" si="2"/>
        <v>JPY</v>
      </c>
      <c r="AH94" s="436" t="str">
        <f t="shared" si="2"/>
        <v>JPY</v>
      </c>
      <c r="AI94" s="436">
        <f>ABS(VLOOKUP(A94,TradesEquity!$1:$1048576,13,FALSE))</f>
        <v>20500</v>
      </c>
      <c r="AJ94" s="437">
        <v>0</v>
      </c>
      <c r="AK94" s="437">
        <v>1</v>
      </c>
      <c r="AL94" s="436">
        <f>VLOOKUP(A94,TradesEquity!$1:$1048576,11,FALSE)</f>
        <v>595.59880999999996</v>
      </c>
      <c r="AM94" s="437">
        <v>1</v>
      </c>
      <c r="AN94" s="436">
        <f>ABS(VLOOKUP(A94,TradesEquity!$1:$1048576,14,FALSE))</f>
        <v>12209775.604999999</v>
      </c>
      <c r="AO94" s="436">
        <f>ABS(VLOOKUP(A94,TradesEquity!$1:$1048576,15,FALSE))</f>
        <v>7326</v>
      </c>
      <c r="AP94" s="438">
        <f>ABS(VLOOKUP(A94,TradesEquity!$1:$1048576,16,FALSE))</f>
        <v>0</v>
      </c>
      <c r="AQ94" s="367">
        <v>0</v>
      </c>
      <c r="AR94" s="367">
        <v>0</v>
      </c>
      <c r="AS94" s="367">
        <v>0</v>
      </c>
      <c r="AT94" s="367">
        <v>0</v>
      </c>
      <c r="AU94" s="367">
        <v>0</v>
      </c>
      <c r="AV94" s="438">
        <f>ABS(VLOOKUP(A94,TradesEquity!$1:$1048576,18,FALSE))</f>
        <v>12202449.604999999</v>
      </c>
      <c r="AW94" s="439">
        <v>0</v>
      </c>
      <c r="AX94" s="440">
        <v>4542</v>
      </c>
      <c r="AY94" s="441" t="s">
        <v>2029</v>
      </c>
      <c r="AZ94" s="442" t="str">
        <f>(VLOOKUP(A94,TradesEquity!$1:$1048576,29,FALSE))</f>
        <v>GSILGB2XXXX</v>
      </c>
      <c r="BA94" s="442" t="str">
        <f>(VLOOKUP(A94,TradesEquity!$1:$1048576,30,FALSE))</f>
        <v>JJSDJPJTXXX</v>
      </c>
      <c r="BB94" s="442">
        <f>(VLOOKUP(A94,TradesEquity!$1:$1048576,31,FALSE))</f>
        <v>6530490016</v>
      </c>
      <c r="BC94" s="442" t="str">
        <f>(VLOOKUP(A94,TradesEquity!$1:$1048576,32,FALSE))</f>
        <v>N</v>
      </c>
      <c r="BI94" s="442" t="str">
        <f>(VLOOKUP(A94,TradesEquity!$1:$1048576,38,FALSE))</f>
        <v xml:space="preserve">                  </v>
      </c>
      <c r="BJ94" s="442" t="str">
        <f>(VLOOKUP(A94,TradesEquity!$1:$1048576,39,FALSE))</f>
        <v xml:space="preserve">                          </v>
      </c>
      <c r="BK94" s="442" t="str">
        <f>(VLOOKUP(A94,TradesEquity!$1:$1048576,40,FALSE))</f>
        <v>GOLDJPJXXXX</v>
      </c>
    </row>
    <row r="95" spans="1:63">
      <c r="A95" s="502">
        <v>2019200335</v>
      </c>
      <c r="D95" s="432" t="s">
        <v>2027</v>
      </c>
      <c r="F95" s="433">
        <f>VLOOKUP(A95,TradesEquity!$1:$1048576,2,FALSE)</f>
        <v>44137</v>
      </c>
      <c r="H95" s="433">
        <f>VLOOKUP(A95,TradesEquity!$1:$1048576,21,FALSE)</f>
        <v>44139</v>
      </c>
      <c r="I95" s="434" t="str">
        <f>IF(VLOOKUP(A95,TradesEquity!$1:$1048576,3,FALSE)="BUY","B","S")</f>
        <v>S</v>
      </c>
      <c r="J95" s="434" t="str">
        <f>VLOOKUP(A95,TradesEquity!$1:$1048576,5,FALSE)</f>
        <v>KR7086520004</v>
      </c>
      <c r="K95" s="432" t="s">
        <v>19</v>
      </c>
      <c r="L95" s="435" t="s">
        <v>2028</v>
      </c>
      <c r="AE95" s="436" t="str">
        <f>VLOOKUP(A95,TradesEquity!$1:$1048576,10,FALSE)</f>
        <v>KRW</v>
      </c>
      <c r="AF95" s="436" t="str">
        <f t="shared" si="2"/>
        <v>KRW</v>
      </c>
      <c r="AG95" s="436" t="str">
        <f t="shared" si="2"/>
        <v>KRW</v>
      </c>
      <c r="AH95" s="436" t="str">
        <f t="shared" si="2"/>
        <v>KRW</v>
      </c>
      <c r="AI95" s="436">
        <f>ABS(VLOOKUP(A95,TradesEquity!$1:$1048576,13,FALSE))</f>
        <v>1500</v>
      </c>
      <c r="AJ95" s="437">
        <v>0</v>
      </c>
      <c r="AK95" s="437">
        <v>1</v>
      </c>
      <c r="AL95" s="436">
        <f>VLOOKUP(A95,TradesEquity!$1:$1048576,11,FALSE)</f>
        <v>42943.333333000002</v>
      </c>
      <c r="AM95" s="437">
        <v>1</v>
      </c>
      <c r="AN95" s="436">
        <f>ABS(VLOOKUP(A95,TradesEquity!$1:$1048576,14,FALSE))</f>
        <v>64414999.999500006</v>
      </c>
      <c r="AO95" s="436">
        <f>ABS(VLOOKUP(A95,TradesEquity!$1:$1048576,15,FALSE))</f>
        <v>96623</v>
      </c>
      <c r="AP95" s="438">
        <f>ABS(VLOOKUP(A95,TradesEquity!$1:$1048576,16,FALSE))</f>
        <v>161030</v>
      </c>
      <c r="AQ95" s="367">
        <v>0</v>
      </c>
      <c r="AR95" s="367">
        <v>0</v>
      </c>
      <c r="AS95" s="367">
        <v>0</v>
      </c>
      <c r="AT95" s="367">
        <v>0</v>
      </c>
      <c r="AU95" s="367">
        <v>0</v>
      </c>
      <c r="AV95" s="438">
        <f>ABS(VLOOKUP(A95,TradesEquity!$1:$1048576,18,FALSE))</f>
        <v>64157346.999500006</v>
      </c>
      <c r="AW95" s="439">
        <v>0</v>
      </c>
      <c r="AX95" s="440">
        <v>4542</v>
      </c>
      <c r="AY95" s="441" t="s">
        <v>2029</v>
      </c>
      <c r="AZ95" s="442" t="str">
        <f>(VLOOKUP(A95,TradesEquity!$1:$1048576,29,FALSE))</f>
        <v>GSILGB2XXXX</v>
      </c>
      <c r="BA95" s="442" t="str">
        <f>(VLOOKUP(A95,TradesEquity!$1:$1048576,30,FALSE))</f>
        <v>KSDCKRSE</v>
      </c>
      <c r="BB95" s="442" t="str">
        <f>(VLOOKUP(A95,TradesEquity!$1:$1048576,31,FALSE))</f>
        <v>GSKR30004960</v>
      </c>
      <c r="BC95" s="442" t="str">
        <f>(VLOOKUP(A95,TradesEquity!$1:$1048576,32,FALSE))</f>
        <v>N</v>
      </c>
      <c r="BI95" s="442" t="str">
        <f>(VLOOKUP(A95,TradesEquity!$1:$1048576,38,FALSE))</f>
        <v xml:space="preserve">        </v>
      </c>
      <c r="BJ95" s="442" t="str">
        <f>(VLOOKUP(A95,TradesEquity!$1:$1048576,39,FALSE))</f>
        <v xml:space="preserve">        </v>
      </c>
      <c r="BK95" s="442" t="str">
        <f>(VLOOKUP(A95,TradesEquity!$1:$1048576,40,FALSE))</f>
        <v>SCBLKRSE</v>
      </c>
    </row>
    <row r="96" spans="1:63">
      <c r="A96" s="502">
        <v>2019200336</v>
      </c>
      <c r="D96" s="432" t="s">
        <v>2027</v>
      </c>
      <c r="F96" s="433">
        <f>VLOOKUP(A96,TradesEquity!$1:$1048576,2,FALSE)</f>
        <v>44137</v>
      </c>
      <c r="H96" s="433">
        <f>VLOOKUP(A96,TradesEquity!$1:$1048576,21,FALSE)</f>
        <v>44140</v>
      </c>
      <c r="I96" s="434" t="str">
        <f>IF(VLOOKUP(A96,TradesEquity!$1:$1048576,3,FALSE)="BUY","B","S")</f>
        <v>S</v>
      </c>
      <c r="J96" s="434" t="str">
        <f>VLOOKUP(A96,TradesEquity!$1:$1048576,5,FALSE)</f>
        <v>JP3707000000</v>
      </c>
      <c r="K96" s="432" t="s">
        <v>19</v>
      </c>
      <c r="L96" s="435" t="s">
        <v>2028</v>
      </c>
      <c r="AE96" s="436" t="str">
        <f>VLOOKUP(A96,TradesEquity!$1:$1048576,10,FALSE)</f>
        <v>JPY</v>
      </c>
      <c r="AF96" s="436" t="str">
        <f t="shared" ref="AF96:AH111" si="3">AE96</f>
        <v>JPY</v>
      </c>
      <c r="AG96" s="436" t="str">
        <f t="shared" si="3"/>
        <v>JPY</v>
      </c>
      <c r="AH96" s="436" t="str">
        <f t="shared" si="3"/>
        <v>JPY</v>
      </c>
      <c r="AI96" s="436">
        <f>ABS(VLOOKUP(A96,TradesEquity!$1:$1048576,13,FALSE))</f>
        <v>2200</v>
      </c>
      <c r="AJ96" s="437">
        <v>0</v>
      </c>
      <c r="AK96" s="437">
        <v>1</v>
      </c>
      <c r="AL96" s="436">
        <f>VLOOKUP(A96,TradesEquity!$1:$1048576,11,FALSE)</f>
        <v>1719.4545499999999</v>
      </c>
      <c r="AM96" s="437">
        <v>1</v>
      </c>
      <c r="AN96" s="436">
        <f>ABS(VLOOKUP(A96,TradesEquity!$1:$1048576,14,FALSE))</f>
        <v>3782800.01</v>
      </c>
      <c r="AO96" s="436">
        <f>ABS(VLOOKUP(A96,TradesEquity!$1:$1048576,15,FALSE))</f>
        <v>2270</v>
      </c>
      <c r="AP96" s="438">
        <f>ABS(VLOOKUP(A96,TradesEquity!$1:$1048576,16,FALSE))</f>
        <v>0</v>
      </c>
      <c r="AQ96" s="367">
        <v>0</v>
      </c>
      <c r="AR96" s="367">
        <v>0</v>
      </c>
      <c r="AS96" s="367">
        <v>0</v>
      </c>
      <c r="AT96" s="367">
        <v>0</v>
      </c>
      <c r="AU96" s="367">
        <v>0</v>
      </c>
      <c r="AV96" s="438">
        <f>ABS(VLOOKUP(A96,TradesEquity!$1:$1048576,18,FALSE))</f>
        <v>3780530.01</v>
      </c>
      <c r="AW96" s="439">
        <v>0</v>
      </c>
      <c r="AX96" s="440">
        <v>4542</v>
      </c>
      <c r="AY96" s="441" t="s">
        <v>2029</v>
      </c>
      <c r="AZ96" s="442" t="str">
        <f>(VLOOKUP(A96,TradesEquity!$1:$1048576,29,FALSE))</f>
        <v>GSILGB2XXXX</v>
      </c>
      <c r="BA96" s="442" t="str">
        <f>(VLOOKUP(A96,TradesEquity!$1:$1048576,30,FALSE))</f>
        <v>JJSDJPJTXXX</v>
      </c>
      <c r="BB96" s="442">
        <f>(VLOOKUP(A96,TradesEquity!$1:$1048576,31,FALSE))</f>
        <v>6530490016</v>
      </c>
      <c r="BC96" s="442" t="str">
        <f>(VLOOKUP(A96,TradesEquity!$1:$1048576,32,FALSE))</f>
        <v>N</v>
      </c>
      <c r="BI96" s="442" t="str">
        <f>(VLOOKUP(A96,TradesEquity!$1:$1048576,38,FALSE))</f>
        <v xml:space="preserve">                  </v>
      </c>
      <c r="BJ96" s="442" t="str">
        <f>(VLOOKUP(A96,TradesEquity!$1:$1048576,39,FALSE))</f>
        <v xml:space="preserve">                          </v>
      </c>
      <c r="BK96" s="442" t="str">
        <f>(VLOOKUP(A96,TradesEquity!$1:$1048576,40,FALSE))</f>
        <v>GOLDJPJXXXX</v>
      </c>
    </row>
    <row r="97" spans="1:63">
      <c r="A97" s="502">
        <v>2019200337</v>
      </c>
      <c r="D97" s="432" t="s">
        <v>2027</v>
      </c>
      <c r="F97" s="433">
        <f>VLOOKUP(A97,TradesEquity!$1:$1048576,2,FALSE)</f>
        <v>44137</v>
      </c>
      <c r="H97" s="433">
        <f>VLOOKUP(A97,TradesEquity!$1:$1048576,21,FALSE)</f>
        <v>44140</v>
      </c>
      <c r="I97" s="434" t="str">
        <f>IF(VLOOKUP(A97,TradesEquity!$1:$1048576,3,FALSE)="BUY","B","S")</f>
        <v>S</v>
      </c>
      <c r="J97" s="434" t="str">
        <f>VLOOKUP(A97,TradesEquity!$1:$1048576,5,FALSE)</f>
        <v>JP3158800007</v>
      </c>
      <c r="K97" s="432" t="s">
        <v>19</v>
      </c>
      <c r="L97" s="435" t="s">
        <v>2028</v>
      </c>
      <c r="AE97" s="436" t="str">
        <f>VLOOKUP(A97,TradesEquity!$1:$1048576,10,FALSE)</f>
        <v>JPY</v>
      </c>
      <c r="AF97" s="436" t="str">
        <f t="shared" si="3"/>
        <v>JPY</v>
      </c>
      <c r="AG97" s="436" t="str">
        <f t="shared" si="3"/>
        <v>JPY</v>
      </c>
      <c r="AH97" s="436" t="str">
        <f t="shared" si="3"/>
        <v>JPY</v>
      </c>
      <c r="AI97" s="436">
        <f>ABS(VLOOKUP(A97,TradesEquity!$1:$1048576,13,FALSE))</f>
        <v>4920</v>
      </c>
      <c r="AJ97" s="437">
        <v>0</v>
      </c>
      <c r="AK97" s="437">
        <v>1</v>
      </c>
      <c r="AL97" s="436">
        <f>VLOOKUP(A97,TradesEquity!$1:$1048576,11,FALSE)</f>
        <v>1789.9085399999999</v>
      </c>
      <c r="AM97" s="437">
        <v>1</v>
      </c>
      <c r="AN97" s="436">
        <f>ABS(VLOOKUP(A97,TradesEquity!$1:$1048576,14,FALSE))</f>
        <v>8806350.0167999994</v>
      </c>
      <c r="AO97" s="436">
        <f>ABS(VLOOKUP(A97,TradesEquity!$1:$1048576,15,FALSE))</f>
        <v>5284</v>
      </c>
      <c r="AP97" s="438">
        <f>ABS(VLOOKUP(A97,TradesEquity!$1:$1048576,16,FALSE))</f>
        <v>0</v>
      </c>
      <c r="AQ97" s="367">
        <v>0</v>
      </c>
      <c r="AR97" s="367">
        <v>0</v>
      </c>
      <c r="AS97" s="367">
        <v>0</v>
      </c>
      <c r="AT97" s="367">
        <v>0</v>
      </c>
      <c r="AU97" s="367">
        <v>0</v>
      </c>
      <c r="AV97" s="438">
        <f>ABS(VLOOKUP(A97,TradesEquity!$1:$1048576,18,FALSE))</f>
        <v>8801066.0167999994</v>
      </c>
      <c r="AW97" s="439">
        <v>0</v>
      </c>
      <c r="AX97" s="440">
        <v>4542</v>
      </c>
      <c r="AY97" s="441" t="s">
        <v>2029</v>
      </c>
      <c r="AZ97" s="442" t="str">
        <f>(VLOOKUP(A97,TradesEquity!$1:$1048576,29,FALSE))</f>
        <v>GSILGB2XXXX</v>
      </c>
      <c r="BA97" s="442" t="str">
        <f>(VLOOKUP(A97,TradesEquity!$1:$1048576,30,FALSE))</f>
        <v>JJSDJPJTXXX</v>
      </c>
      <c r="BB97" s="442">
        <f>(VLOOKUP(A97,TradesEquity!$1:$1048576,31,FALSE))</f>
        <v>6530490016</v>
      </c>
      <c r="BC97" s="442" t="str">
        <f>(VLOOKUP(A97,TradesEquity!$1:$1048576,32,FALSE))</f>
        <v>N</v>
      </c>
      <c r="BI97" s="442" t="str">
        <f>(VLOOKUP(A97,TradesEquity!$1:$1048576,38,FALSE))</f>
        <v xml:space="preserve">                  </v>
      </c>
      <c r="BJ97" s="442" t="str">
        <f>(VLOOKUP(A97,TradesEquity!$1:$1048576,39,FALSE))</f>
        <v xml:space="preserve">                          </v>
      </c>
      <c r="BK97" s="442" t="str">
        <f>(VLOOKUP(A97,TradesEquity!$1:$1048576,40,FALSE))</f>
        <v>GOLDJPJXXXX</v>
      </c>
    </row>
    <row r="98" spans="1:63">
      <c r="A98" s="502">
        <v>2019200338</v>
      </c>
      <c r="D98" s="432" t="s">
        <v>2027</v>
      </c>
      <c r="F98" s="433">
        <f>VLOOKUP(A98,TradesEquity!$1:$1048576,2,FALSE)</f>
        <v>44137</v>
      </c>
      <c r="H98" s="433">
        <f>VLOOKUP(A98,TradesEquity!$1:$1048576,21,FALSE)</f>
        <v>44139</v>
      </c>
      <c r="I98" s="434" t="str">
        <f>IF(VLOOKUP(A98,TradesEquity!$1:$1048576,3,FALSE)="BUY","B","S")</f>
        <v>B</v>
      </c>
      <c r="J98" s="434" t="str">
        <f>VLOOKUP(A98,TradesEquity!$1:$1048576,5,FALSE)</f>
        <v>AU000000WSA9</v>
      </c>
      <c r="K98" s="432" t="s">
        <v>19</v>
      </c>
      <c r="L98" s="435" t="s">
        <v>2028</v>
      </c>
      <c r="AE98" s="436" t="str">
        <f>VLOOKUP(A98,TradesEquity!$1:$1048576,10,FALSE)</f>
        <v>AUD</v>
      </c>
      <c r="AF98" s="436" t="str">
        <f t="shared" si="3"/>
        <v>AUD</v>
      </c>
      <c r="AG98" s="436" t="str">
        <f t="shared" si="3"/>
        <v>AUD</v>
      </c>
      <c r="AH98" s="436" t="str">
        <f t="shared" si="3"/>
        <v>AUD</v>
      </c>
      <c r="AI98" s="436">
        <f>ABS(VLOOKUP(A98,TradesEquity!$1:$1048576,13,FALSE))</f>
        <v>120000</v>
      </c>
      <c r="AJ98" s="437">
        <v>0</v>
      </c>
      <c r="AK98" s="437">
        <v>1</v>
      </c>
      <c r="AL98" s="436">
        <f>VLOOKUP(A98,TradesEquity!$1:$1048576,11,FALSE)</f>
        <v>1.94089</v>
      </c>
      <c r="AM98" s="437">
        <v>1</v>
      </c>
      <c r="AN98" s="436">
        <f>ABS(VLOOKUP(A98,TradesEquity!$1:$1048576,14,FALSE))</f>
        <v>232906.8</v>
      </c>
      <c r="AO98" s="436">
        <f>ABS(VLOOKUP(A98,TradesEquity!$1:$1048576,15,FALSE))</f>
        <v>139.74</v>
      </c>
      <c r="AP98" s="438">
        <f>ABS(VLOOKUP(A98,TradesEquity!$1:$1048576,16,FALSE))</f>
        <v>0</v>
      </c>
      <c r="AQ98" s="367">
        <v>0</v>
      </c>
      <c r="AR98" s="367">
        <v>0</v>
      </c>
      <c r="AS98" s="367">
        <v>0</v>
      </c>
      <c r="AT98" s="367">
        <v>0</v>
      </c>
      <c r="AU98" s="367">
        <v>0</v>
      </c>
      <c r="AV98" s="438">
        <f>ABS(VLOOKUP(A98,TradesEquity!$1:$1048576,18,FALSE))</f>
        <v>233046.53999999998</v>
      </c>
      <c r="AW98" s="439">
        <v>0</v>
      </c>
      <c r="AX98" s="440">
        <v>4542</v>
      </c>
      <c r="AY98" s="441" t="s">
        <v>2029</v>
      </c>
      <c r="AZ98" s="442" t="str">
        <f>(VLOOKUP(A98,TradesEquity!$1:$1048576,29,FALSE))</f>
        <v>GSILGB2XXXX</v>
      </c>
      <c r="BA98" s="442" t="str">
        <f>(VLOOKUP(A98,TradesEquity!$1:$1048576,30,FALSE))</f>
        <v>CAETAU21</v>
      </c>
      <c r="BB98" s="442" t="str">
        <f>(VLOOKUP(A98,TradesEquity!$1:$1048576,31,FALSE))</f>
        <v>011-109048-061</v>
      </c>
      <c r="BC98" s="442" t="str">
        <f>(VLOOKUP(A98,TradesEquity!$1:$1048576,32,FALSE))</f>
        <v>N</v>
      </c>
      <c r="BI98" s="442" t="str">
        <f>(VLOOKUP(A98,TradesEquity!$1:$1048576,38,FALSE))</f>
        <v xml:space="preserve">        </v>
      </c>
      <c r="BJ98" s="442" t="str">
        <f>(VLOOKUP(A98,TradesEquity!$1:$1048576,39,FALSE))</f>
        <v xml:space="preserve">        </v>
      </c>
      <c r="BK98" s="442" t="str">
        <f>(VLOOKUP(A98,TradesEquity!$1:$1048576,40,FALSE))</f>
        <v>HKBAAU2SSYD</v>
      </c>
    </row>
    <row r="99" spans="1:63">
      <c r="A99" s="502">
        <v>2019200339</v>
      </c>
      <c r="D99" s="432" t="s">
        <v>2027</v>
      </c>
      <c r="F99" s="433">
        <f>VLOOKUP(A99,TradesEquity!$1:$1048576,2,FALSE)</f>
        <v>44137</v>
      </c>
      <c r="H99" s="433">
        <f>VLOOKUP(A99,TradesEquity!$1:$1048576,21,FALSE)</f>
        <v>44140</v>
      </c>
      <c r="I99" s="434" t="str">
        <f>IF(VLOOKUP(A99,TradesEquity!$1:$1048576,3,FALSE)="BUY","B","S")</f>
        <v>B</v>
      </c>
      <c r="J99" s="434" t="str">
        <f>VLOOKUP(A99,TradesEquity!$1:$1048576,5,FALSE)</f>
        <v>JP3592200004</v>
      </c>
      <c r="K99" s="432" t="s">
        <v>19</v>
      </c>
      <c r="L99" s="435" t="s">
        <v>2028</v>
      </c>
      <c r="AE99" s="436" t="str">
        <f>VLOOKUP(A99,TradesEquity!$1:$1048576,10,FALSE)</f>
        <v>JPY</v>
      </c>
      <c r="AF99" s="436" t="str">
        <f t="shared" si="3"/>
        <v>JPY</v>
      </c>
      <c r="AG99" s="436" t="str">
        <f t="shared" si="3"/>
        <v>JPY</v>
      </c>
      <c r="AH99" s="436" t="str">
        <f t="shared" si="3"/>
        <v>JPY</v>
      </c>
      <c r="AI99" s="436">
        <f>ABS(VLOOKUP(A99,TradesEquity!$1:$1048576,13,FALSE))</f>
        <v>4200</v>
      </c>
      <c r="AJ99" s="437">
        <v>0</v>
      </c>
      <c r="AK99" s="437">
        <v>1</v>
      </c>
      <c r="AL99" s="436">
        <f>VLOOKUP(A99,TradesEquity!$1:$1048576,11,FALSE)</f>
        <v>2607</v>
      </c>
      <c r="AM99" s="437">
        <v>1</v>
      </c>
      <c r="AN99" s="436">
        <f>ABS(VLOOKUP(A99,TradesEquity!$1:$1048576,14,FALSE))</f>
        <v>10949400</v>
      </c>
      <c r="AO99" s="436">
        <f>ABS(VLOOKUP(A99,TradesEquity!$1:$1048576,15,FALSE))</f>
        <v>6570</v>
      </c>
      <c r="AP99" s="438">
        <f>ABS(VLOOKUP(A99,TradesEquity!$1:$1048576,16,FALSE))</f>
        <v>0</v>
      </c>
      <c r="AQ99" s="367">
        <v>0</v>
      </c>
      <c r="AR99" s="367">
        <v>0</v>
      </c>
      <c r="AS99" s="367">
        <v>0</v>
      </c>
      <c r="AT99" s="367">
        <v>0</v>
      </c>
      <c r="AU99" s="367">
        <v>0</v>
      </c>
      <c r="AV99" s="438">
        <f>ABS(VLOOKUP(A99,TradesEquity!$1:$1048576,18,FALSE))</f>
        <v>10955970</v>
      </c>
      <c r="AW99" s="439">
        <v>0</v>
      </c>
      <c r="AX99" s="440">
        <v>4542</v>
      </c>
      <c r="AY99" s="441" t="s">
        <v>2029</v>
      </c>
      <c r="AZ99" s="442" t="str">
        <f>(VLOOKUP(A99,TradesEquity!$1:$1048576,29,FALSE))</f>
        <v>GSILGB2XXXX</v>
      </c>
      <c r="BA99" s="442" t="str">
        <f>(VLOOKUP(A99,TradesEquity!$1:$1048576,30,FALSE))</f>
        <v>JJSDJPJTXXX</v>
      </c>
      <c r="BB99" s="442">
        <f>(VLOOKUP(A99,TradesEquity!$1:$1048576,31,FALSE))</f>
        <v>6530490016</v>
      </c>
      <c r="BC99" s="442" t="str">
        <f>(VLOOKUP(A99,TradesEquity!$1:$1048576,32,FALSE))</f>
        <v>N</v>
      </c>
      <c r="BI99" s="442" t="str">
        <f>(VLOOKUP(A99,TradesEquity!$1:$1048576,38,FALSE))</f>
        <v xml:space="preserve">                  </v>
      </c>
      <c r="BJ99" s="442" t="str">
        <f>(VLOOKUP(A99,TradesEquity!$1:$1048576,39,FALSE))</f>
        <v xml:space="preserve">                          </v>
      </c>
      <c r="BK99" s="442" t="str">
        <f>(VLOOKUP(A99,TradesEquity!$1:$1048576,40,FALSE))</f>
        <v>GOLDJPJXXXX</v>
      </c>
    </row>
    <row r="100" spans="1:63">
      <c r="A100" s="502">
        <v>2019200340</v>
      </c>
      <c r="D100" s="432" t="s">
        <v>2027</v>
      </c>
      <c r="F100" s="433">
        <f>VLOOKUP(A100,TradesEquity!$1:$1048576,2,FALSE)</f>
        <v>44137</v>
      </c>
      <c r="H100" s="433">
        <f>VLOOKUP(A100,TradesEquity!$1:$1048576,21,FALSE)</f>
        <v>44140</v>
      </c>
      <c r="I100" s="434" t="str">
        <f>IF(VLOOKUP(A100,TradesEquity!$1:$1048576,3,FALSE)="BUY","B","S")</f>
        <v>B</v>
      </c>
      <c r="J100" s="434" t="str">
        <f>VLOOKUP(A100,TradesEquity!$1:$1048576,5,FALSE)</f>
        <v>JP3591600006</v>
      </c>
      <c r="K100" s="432" t="s">
        <v>19</v>
      </c>
      <c r="L100" s="435" t="s">
        <v>2028</v>
      </c>
      <c r="AE100" s="436" t="str">
        <f>VLOOKUP(A100,TradesEquity!$1:$1048576,10,FALSE)</f>
        <v>JPY</v>
      </c>
      <c r="AF100" s="436" t="str">
        <f t="shared" si="3"/>
        <v>JPY</v>
      </c>
      <c r="AG100" s="436" t="str">
        <f t="shared" si="3"/>
        <v>JPY</v>
      </c>
      <c r="AH100" s="436" t="str">
        <f t="shared" si="3"/>
        <v>JPY</v>
      </c>
      <c r="AI100" s="436">
        <f>ABS(VLOOKUP(A100,TradesEquity!$1:$1048576,13,FALSE))</f>
        <v>4250</v>
      </c>
      <c r="AJ100" s="437">
        <v>0</v>
      </c>
      <c r="AK100" s="437">
        <v>1</v>
      </c>
      <c r="AL100" s="436">
        <f>VLOOKUP(A100,TradesEquity!$1:$1048576,11,FALSE)</f>
        <v>1080.1529399999999</v>
      </c>
      <c r="AM100" s="437">
        <v>1</v>
      </c>
      <c r="AN100" s="436">
        <f>ABS(VLOOKUP(A100,TradesEquity!$1:$1048576,14,FALSE))</f>
        <v>4590649.9950000001</v>
      </c>
      <c r="AO100" s="436">
        <f>ABS(VLOOKUP(A100,TradesEquity!$1:$1048576,15,FALSE))</f>
        <v>2574</v>
      </c>
      <c r="AP100" s="438">
        <f>ABS(VLOOKUP(A100,TradesEquity!$1:$1048576,16,FALSE))</f>
        <v>0</v>
      </c>
      <c r="AQ100" s="367">
        <v>0</v>
      </c>
      <c r="AR100" s="367">
        <v>0</v>
      </c>
      <c r="AS100" s="367">
        <v>0</v>
      </c>
      <c r="AT100" s="367">
        <v>0</v>
      </c>
      <c r="AU100" s="367">
        <v>0</v>
      </c>
      <c r="AV100" s="438">
        <f>ABS(VLOOKUP(A100,TradesEquity!$1:$1048576,18,FALSE))</f>
        <v>4593223.9950000001</v>
      </c>
      <c r="AW100" s="439">
        <v>0</v>
      </c>
      <c r="AX100" s="440">
        <v>4542</v>
      </c>
      <c r="AY100" s="441" t="s">
        <v>2029</v>
      </c>
      <c r="AZ100" s="442" t="str">
        <f>(VLOOKUP(A100,TradesEquity!$1:$1048576,29,FALSE))</f>
        <v>GSILGB2XXXX</v>
      </c>
      <c r="BA100" s="442" t="str">
        <f>(VLOOKUP(A100,TradesEquity!$1:$1048576,30,FALSE))</f>
        <v>JJSDJPJTXXX</v>
      </c>
      <c r="BB100" s="442">
        <f>(VLOOKUP(A100,TradesEquity!$1:$1048576,31,FALSE))</f>
        <v>6530490016</v>
      </c>
      <c r="BC100" s="442" t="str">
        <f>(VLOOKUP(A100,TradesEquity!$1:$1048576,32,FALSE))</f>
        <v>N</v>
      </c>
      <c r="BI100" s="442" t="str">
        <f>(VLOOKUP(A100,TradesEquity!$1:$1048576,38,FALSE))</f>
        <v xml:space="preserve">                  </v>
      </c>
      <c r="BJ100" s="442" t="str">
        <f>(VLOOKUP(A100,TradesEquity!$1:$1048576,39,FALSE))</f>
        <v xml:space="preserve">                          </v>
      </c>
      <c r="BK100" s="442" t="str">
        <f>(VLOOKUP(A100,TradesEquity!$1:$1048576,40,FALSE))</f>
        <v>GOLDJPJXXXX</v>
      </c>
    </row>
    <row r="101" spans="1:63">
      <c r="A101" s="502">
        <v>2019200344</v>
      </c>
      <c r="D101" s="432" t="s">
        <v>2027</v>
      </c>
      <c r="F101" s="433">
        <f>VLOOKUP(A101,TradesEquity!$1:$1048576,2,FALSE)</f>
        <v>44137</v>
      </c>
      <c r="H101" s="433">
        <f>VLOOKUP(A101,TradesEquity!$1:$1048576,21,FALSE)</f>
        <v>44140</v>
      </c>
      <c r="I101" s="434" t="str">
        <f>IF(VLOOKUP(A101,TradesEquity!$1:$1048576,3,FALSE)="BUY","B","S")</f>
        <v>B</v>
      </c>
      <c r="J101" s="434" t="str">
        <f>VLOOKUP(A101,TradesEquity!$1:$1048576,5,FALSE)</f>
        <v>JP3399720006</v>
      </c>
      <c r="K101" s="432" t="s">
        <v>19</v>
      </c>
      <c r="L101" s="435" t="s">
        <v>2028</v>
      </c>
      <c r="AE101" s="436" t="str">
        <f>VLOOKUP(A101,TradesEquity!$1:$1048576,10,FALSE)</f>
        <v>JPY</v>
      </c>
      <c r="AF101" s="436" t="str">
        <f t="shared" si="3"/>
        <v>JPY</v>
      </c>
      <c r="AG101" s="436" t="str">
        <f t="shared" si="3"/>
        <v>JPY</v>
      </c>
      <c r="AH101" s="436" t="str">
        <f t="shared" si="3"/>
        <v>JPY</v>
      </c>
      <c r="AI101" s="436">
        <f>ABS(VLOOKUP(A101,TradesEquity!$1:$1048576,13,FALSE))</f>
        <v>1150</v>
      </c>
      <c r="AJ101" s="437">
        <v>0</v>
      </c>
      <c r="AK101" s="437">
        <v>1</v>
      </c>
      <c r="AL101" s="436">
        <f>VLOOKUP(A101,TradesEquity!$1:$1048576,11,FALSE)</f>
        <v>2950.3487300000002</v>
      </c>
      <c r="AM101" s="437">
        <v>1</v>
      </c>
      <c r="AN101" s="436">
        <f>ABS(VLOOKUP(A101,TradesEquity!$1:$1048576,14,FALSE))</f>
        <v>3392901.0395</v>
      </c>
      <c r="AO101" s="436">
        <f>ABS(VLOOKUP(A101,TradesEquity!$1:$1048576,15,FALSE))</f>
        <v>2036</v>
      </c>
      <c r="AP101" s="438">
        <f>ABS(VLOOKUP(A101,TradesEquity!$1:$1048576,16,FALSE))</f>
        <v>0</v>
      </c>
      <c r="AQ101" s="367">
        <v>0</v>
      </c>
      <c r="AR101" s="367">
        <v>0</v>
      </c>
      <c r="AS101" s="367">
        <v>0</v>
      </c>
      <c r="AT101" s="367">
        <v>0</v>
      </c>
      <c r="AU101" s="367">
        <v>0</v>
      </c>
      <c r="AV101" s="438">
        <f>ABS(VLOOKUP(A101,TradesEquity!$1:$1048576,18,FALSE))</f>
        <v>3394937.0395</v>
      </c>
      <c r="AW101" s="439">
        <v>0</v>
      </c>
      <c r="AX101" s="440">
        <v>4542</v>
      </c>
      <c r="AY101" s="441" t="s">
        <v>2029</v>
      </c>
      <c r="AZ101" s="442" t="str">
        <f>(VLOOKUP(A101,TradesEquity!$1:$1048576,29,FALSE))</f>
        <v>GSILGB2XXXX</v>
      </c>
      <c r="BA101" s="442" t="str">
        <f>(VLOOKUP(A101,TradesEquity!$1:$1048576,30,FALSE))</f>
        <v>JJSDJPJTXXX</v>
      </c>
      <c r="BB101" s="442">
        <f>(VLOOKUP(A101,TradesEquity!$1:$1048576,31,FALSE))</f>
        <v>6530490016</v>
      </c>
      <c r="BC101" s="442" t="str">
        <f>(VLOOKUP(A101,TradesEquity!$1:$1048576,32,FALSE))</f>
        <v>N</v>
      </c>
      <c r="BI101" s="442" t="str">
        <f>(VLOOKUP(A101,TradesEquity!$1:$1048576,38,FALSE))</f>
        <v xml:space="preserve">                  </v>
      </c>
      <c r="BJ101" s="442" t="str">
        <f>(VLOOKUP(A101,TradesEquity!$1:$1048576,39,FALSE))</f>
        <v xml:space="preserve">                          </v>
      </c>
      <c r="BK101" s="442" t="str">
        <f>(VLOOKUP(A101,TradesEquity!$1:$1048576,40,FALSE))</f>
        <v>GOLDJPJXXXX</v>
      </c>
    </row>
    <row r="102" spans="1:63">
      <c r="A102" s="502">
        <v>2019200345</v>
      </c>
      <c r="D102" s="432" t="s">
        <v>2027</v>
      </c>
      <c r="F102" s="433">
        <f>VLOOKUP(A102,TradesEquity!$1:$1048576,2,FALSE)</f>
        <v>44137</v>
      </c>
      <c r="H102" s="433">
        <f>VLOOKUP(A102,TradesEquity!$1:$1048576,21,FALSE)</f>
        <v>44139</v>
      </c>
      <c r="I102" s="434" t="str">
        <f>IF(VLOOKUP(A102,TradesEquity!$1:$1048576,3,FALSE)="BUY","B","S")</f>
        <v>B</v>
      </c>
      <c r="J102" s="434" t="str">
        <f>VLOOKUP(A102,TradesEquity!$1:$1048576,5,FALSE)</f>
        <v>KR7096770003</v>
      </c>
      <c r="K102" s="432" t="s">
        <v>19</v>
      </c>
      <c r="L102" s="435" t="s">
        <v>2028</v>
      </c>
      <c r="AE102" s="436" t="str">
        <f>VLOOKUP(A102,TradesEquity!$1:$1048576,10,FALSE)</f>
        <v>KRW</v>
      </c>
      <c r="AF102" s="436" t="str">
        <f t="shared" si="3"/>
        <v>KRW</v>
      </c>
      <c r="AG102" s="436" t="str">
        <f t="shared" si="3"/>
        <v>KRW</v>
      </c>
      <c r="AH102" s="436" t="str">
        <f t="shared" si="3"/>
        <v>KRW</v>
      </c>
      <c r="AI102" s="436">
        <f>ABS(VLOOKUP(A102,TradesEquity!$1:$1048576,13,FALSE))</f>
        <v>990</v>
      </c>
      <c r="AJ102" s="437">
        <v>0</v>
      </c>
      <c r="AK102" s="437">
        <v>1</v>
      </c>
      <c r="AL102" s="436">
        <f>VLOOKUP(A102,TradesEquity!$1:$1048576,11,FALSE)</f>
        <v>125073.232323</v>
      </c>
      <c r="AM102" s="437">
        <v>1</v>
      </c>
      <c r="AN102" s="436">
        <f>ABS(VLOOKUP(A102,TradesEquity!$1:$1048576,14,FALSE))</f>
        <v>123822499.99977</v>
      </c>
      <c r="AO102" s="436">
        <f>ABS(VLOOKUP(A102,TradesEquity!$1:$1048576,15,FALSE))</f>
        <v>185734</v>
      </c>
      <c r="AP102" s="438">
        <f>ABS(VLOOKUP(A102,TradesEquity!$1:$1048576,16,FALSE))</f>
        <v>0</v>
      </c>
      <c r="AQ102" s="367">
        <v>0</v>
      </c>
      <c r="AR102" s="367">
        <v>0</v>
      </c>
      <c r="AS102" s="367">
        <v>0</v>
      </c>
      <c r="AT102" s="367">
        <v>0</v>
      </c>
      <c r="AU102" s="367">
        <v>0</v>
      </c>
      <c r="AV102" s="438">
        <f>ABS(VLOOKUP(A102,TradesEquity!$1:$1048576,18,FALSE))</f>
        <v>124008233.99977</v>
      </c>
      <c r="AW102" s="439">
        <v>0</v>
      </c>
      <c r="AX102" s="440">
        <v>4542</v>
      </c>
      <c r="AY102" s="441" t="s">
        <v>2029</v>
      </c>
      <c r="AZ102" s="442" t="e">
        <f>(VLOOKUP(A102,TradesEquity!$1:$1048576,29,FALSE))</f>
        <v>#N/A</v>
      </c>
      <c r="BA102" s="442" t="e">
        <f>(VLOOKUP(A102,TradesEquity!$1:$1048576,30,FALSE))</f>
        <v>#N/A</v>
      </c>
      <c r="BB102" s="442" t="e">
        <f>(VLOOKUP(A102,TradesEquity!$1:$1048576,31,FALSE))</f>
        <v>#N/A</v>
      </c>
      <c r="BC102" s="442" t="e">
        <f>(VLOOKUP(A102,TradesEquity!$1:$1048576,32,FALSE))</f>
        <v>#N/A</v>
      </c>
      <c r="BI102" s="442" t="e">
        <f>(VLOOKUP(A102,TradesEquity!$1:$1048576,38,FALSE))</f>
        <v>#N/A</v>
      </c>
      <c r="BJ102" s="442" t="e">
        <f>(VLOOKUP(A102,TradesEquity!$1:$1048576,39,FALSE))</f>
        <v>#N/A</v>
      </c>
      <c r="BK102" s="442" t="e">
        <f>(VLOOKUP(A102,TradesEquity!$1:$1048576,40,FALSE))</f>
        <v>#N/A</v>
      </c>
    </row>
    <row r="103" spans="1:63">
      <c r="A103" s="502">
        <v>2019200346</v>
      </c>
      <c r="D103" s="432" t="s">
        <v>2027</v>
      </c>
      <c r="F103" s="433">
        <f>VLOOKUP(A103,TradesEquity!$1:$1048576,2,FALSE)</f>
        <v>44137</v>
      </c>
      <c r="H103" s="433">
        <f>VLOOKUP(A103,TradesEquity!$1:$1048576,21,FALSE)</f>
        <v>44139</v>
      </c>
      <c r="I103" s="434" t="str">
        <f>IF(VLOOKUP(A103,TradesEquity!$1:$1048576,3,FALSE)="BUY","B","S")</f>
        <v>S</v>
      </c>
      <c r="J103" s="434" t="str">
        <f>VLOOKUP(A103,TradesEquity!$1:$1048576,5,FALSE)</f>
        <v>CNE100000296</v>
      </c>
      <c r="K103" s="432" t="s">
        <v>19</v>
      </c>
      <c r="L103" s="435" t="s">
        <v>2028</v>
      </c>
      <c r="AE103" s="436" t="str">
        <f>VLOOKUP(A103,TradesEquity!$1:$1048576,10,FALSE)</f>
        <v>HKD</v>
      </c>
      <c r="AF103" s="436" t="str">
        <f t="shared" si="3"/>
        <v>HKD</v>
      </c>
      <c r="AG103" s="436" t="str">
        <f t="shared" si="3"/>
        <v>HKD</v>
      </c>
      <c r="AH103" s="436" t="str">
        <f t="shared" si="3"/>
        <v>HKD</v>
      </c>
      <c r="AI103" s="436">
        <f>ABS(VLOOKUP(A103,TradesEquity!$1:$1048576,13,FALSE))</f>
        <v>11000</v>
      </c>
      <c r="AJ103" s="437">
        <v>0</v>
      </c>
      <c r="AK103" s="437">
        <v>1</v>
      </c>
      <c r="AL103" s="436">
        <f>VLOOKUP(A103,TradesEquity!$1:$1048576,11,FALSE)</f>
        <v>154.69999999999999</v>
      </c>
      <c r="AM103" s="437">
        <v>1</v>
      </c>
      <c r="AN103" s="436">
        <f>ABS(VLOOKUP(A103,TradesEquity!$1:$1048576,14,FALSE))</f>
        <v>1701699.9999999998</v>
      </c>
      <c r="AO103" s="436">
        <f>ABS(VLOOKUP(A103,TradesEquity!$1:$1048576,15,FALSE))</f>
        <v>1021.02</v>
      </c>
      <c r="AP103" s="438">
        <f>ABS(VLOOKUP(A103,TradesEquity!$1:$1048576,16,FALSE))</f>
        <v>1833.04</v>
      </c>
      <c r="AQ103" s="367">
        <v>0</v>
      </c>
      <c r="AR103" s="367">
        <v>0</v>
      </c>
      <c r="AS103" s="367">
        <v>0</v>
      </c>
      <c r="AT103" s="367">
        <v>0</v>
      </c>
      <c r="AU103" s="367">
        <v>0</v>
      </c>
      <c r="AV103" s="438">
        <f>ABS(VLOOKUP(A103,TradesEquity!$1:$1048576,18,FALSE))</f>
        <v>1698845.9399999997</v>
      </c>
      <c r="AW103" s="439">
        <v>0</v>
      </c>
      <c r="AX103" s="440">
        <v>4542</v>
      </c>
      <c r="AY103" s="441" t="s">
        <v>2029</v>
      </c>
      <c r="AZ103" s="442" t="str">
        <f>(VLOOKUP(A103,TradesEquity!$1:$1048576,29,FALSE))</f>
        <v>GSILGB2XXXX</v>
      </c>
      <c r="BA103" s="442" t="str">
        <f>(VLOOKUP(A103,TradesEquity!$1:$1048576,30,FALSE))</f>
        <v>XHKCHKH1XXX</v>
      </c>
      <c r="BB103" s="442" t="str">
        <f>(VLOOKUP(A103,TradesEquity!$1:$1048576,31,FALSE))</f>
        <v xml:space="preserve">        </v>
      </c>
      <c r="BC103" s="442" t="str">
        <f>(VLOOKUP(A103,TradesEquity!$1:$1048576,32,FALSE))</f>
        <v>N</v>
      </c>
      <c r="BI103" s="442" t="str">
        <f>(VLOOKUP(A103,TradesEquity!$1:$1048576,38,FALSE))</f>
        <v>CCASS</v>
      </c>
      <c r="BJ103" s="442" t="str">
        <f>(VLOOKUP(A103,TradesEquity!$1:$1048576,39,FALSE))</f>
        <v>B01451</v>
      </c>
      <c r="BK103" s="442" t="str">
        <f>(VLOOKUP(A103,TradesEquity!$1:$1048576,40,FALSE))</f>
        <v>GSASHKH1XX</v>
      </c>
    </row>
    <row r="104" spans="1:63">
      <c r="A104" s="502">
        <v>2019200347</v>
      </c>
      <c r="D104" s="432" t="s">
        <v>2027</v>
      </c>
      <c r="F104" s="433">
        <f>VLOOKUP(A104,TradesEquity!$1:$1048576,2,FALSE)</f>
        <v>44138</v>
      </c>
      <c r="H104" s="433">
        <f>VLOOKUP(A104,TradesEquity!$1:$1048576,21,FALSE)</f>
        <v>44140</v>
      </c>
      <c r="I104" s="434" t="str">
        <f>IF(VLOOKUP(A104,TradesEquity!$1:$1048576,3,FALSE)="BUY","B","S")</f>
        <v>S</v>
      </c>
      <c r="J104" s="434" t="str">
        <f>VLOOKUP(A104,TradesEquity!$1:$1048576,5,FALSE)</f>
        <v>IT0005424830</v>
      </c>
      <c r="K104" s="432" t="s">
        <v>19</v>
      </c>
      <c r="L104" s="435" t="s">
        <v>2028</v>
      </c>
      <c r="AE104" s="436" t="str">
        <f>VLOOKUP(A104,TradesEquity!$1:$1048576,10,FALSE)</f>
        <v>EUR</v>
      </c>
      <c r="AF104" s="436" t="str">
        <f t="shared" si="3"/>
        <v>EUR</v>
      </c>
      <c r="AG104" s="436" t="str">
        <f t="shared" si="3"/>
        <v>EUR</v>
      </c>
      <c r="AH104" s="436" t="str">
        <f t="shared" si="3"/>
        <v>EUR</v>
      </c>
      <c r="AI104" s="436">
        <f>ABS(VLOOKUP(A104,TradesEquity!$1:$1048576,13,FALSE))</f>
        <v>11000</v>
      </c>
      <c r="AJ104" s="437">
        <v>0</v>
      </c>
      <c r="AK104" s="437">
        <v>1</v>
      </c>
      <c r="AL104" s="436">
        <f>VLOOKUP(A104,TradesEquity!$1:$1048576,11,FALSE)</f>
        <v>2.02</v>
      </c>
      <c r="AM104" s="437">
        <v>1</v>
      </c>
      <c r="AN104" s="436">
        <f>ABS(VLOOKUP(A104,TradesEquity!$1:$1048576,14,FALSE))</f>
        <v>22220</v>
      </c>
      <c r="AO104" s="436">
        <f>ABS(VLOOKUP(A104,TradesEquity!$1:$1048576,15,FALSE))</f>
        <v>13.33</v>
      </c>
      <c r="AP104" s="438">
        <f>ABS(VLOOKUP(A104,TradesEquity!$1:$1048576,16,FALSE))</f>
        <v>0</v>
      </c>
      <c r="AQ104" s="367">
        <v>0</v>
      </c>
      <c r="AR104" s="367">
        <v>0</v>
      </c>
      <c r="AS104" s="367">
        <v>0</v>
      </c>
      <c r="AT104" s="367">
        <v>0</v>
      </c>
      <c r="AU104" s="367">
        <v>0</v>
      </c>
      <c r="AV104" s="438">
        <f>ABS(VLOOKUP(A104,TradesEquity!$1:$1048576,18,FALSE))</f>
        <v>22206.67</v>
      </c>
      <c r="AW104" s="439">
        <v>0</v>
      </c>
      <c r="AX104" s="440">
        <v>4542</v>
      </c>
      <c r="AY104" s="441" t="s">
        <v>2029</v>
      </c>
      <c r="AZ104" s="442" t="str">
        <f>(VLOOKUP(A104,TradesEquity!$1:$1048576,29,FALSE))</f>
        <v>EMSIITM1XXX</v>
      </c>
      <c r="BA104" s="442" t="str">
        <f>(VLOOKUP(A104,TradesEquity!$1:$1048576,30,FALSE))</f>
        <v>MOTIITMMXXX</v>
      </c>
      <c r="BB104" s="442" t="str">
        <f>(VLOOKUP(A104,TradesEquity!$1:$1048576,31,FALSE))</f>
        <v>MOTIBCITITMMXXX6039800</v>
      </c>
      <c r="BC104" s="442" t="str">
        <f>(VLOOKUP(A104,TradesEquity!$1:$1048576,32,FALSE))</f>
        <v>N</v>
      </c>
      <c r="BI104" s="442" t="str">
        <f>(VLOOKUP(A104,TradesEquity!$1:$1048576,38,FALSE))</f>
        <v xml:space="preserve">        </v>
      </c>
      <c r="BJ104" s="442" t="str">
        <f>(VLOOKUP(A104,TradesEquity!$1:$1048576,39,FALSE))</f>
        <v xml:space="preserve">        </v>
      </c>
      <c r="BK104" s="442" t="str">
        <f>(VLOOKUP(A104,TradesEquity!$1:$1048576,40,FALSE))</f>
        <v>BCITITM1T03</v>
      </c>
    </row>
    <row r="105" spans="1:63">
      <c r="A105" s="502">
        <v>2019200348</v>
      </c>
      <c r="D105" s="432" t="s">
        <v>2027</v>
      </c>
      <c r="F105" s="433">
        <f>VLOOKUP(A105,TradesEquity!$1:$1048576,2,FALSE)</f>
        <v>44140</v>
      </c>
      <c r="H105" s="433">
        <f>VLOOKUP(A105,TradesEquity!$1:$1048576,21,FALSE)</f>
        <v>44144</v>
      </c>
      <c r="I105" s="434" t="str">
        <f>IF(VLOOKUP(A105,TradesEquity!$1:$1048576,3,FALSE)="BUY","B","S")</f>
        <v>S</v>
      </c>
      <c r="J105" s="434" t="str">
        <f>VLOOKUP(A105,TradesEquity!$1:$1048576,5,FALSE)</f>
        <v>US0126531013</v>
      </c>
      <c r="K105" s="432" t="s">
        <v>19</v>
      </c>
      <c r="L105" s="435" t="s">
        <v>2028</v>
      </c>
      <c r="AE105" s="436" t="str">
        <f>VLOOKUP(A105,TradesEquity!$1:$1048576,10,FALSE)</f>
        <v>USD</v>
      </c>
      <c r="AF105" s="436" t="str">
        <f t="shared" si="3"/>
        <v>USD</v>
      </c>
      <c r="AG105" s="436" t="str">
        <f t="shared" si="3"/>
        <v>USD</v>
      </c>
      <c r="AH105" s="436" t="str">
        <f t="shared" si="3"/>
        <v>USD</v>
      </c>
      <c r="AI105" s="436">
        <f>ABS(VLOOKUP(A105,TradesEquity!$1:$1048576,13,FALSE))</f>
        <v>1100</v>
      </c>
      <c r="AJ105" s="437">
        <v>0</v>
      </c>
      <c r="AK105" s="437">
        <v>1</v>
      </c>
      <c r="AL105" s="436">
        <f>VLOOKUP(A105,TradesEquity!$1:$1048576,11,FALSE)</f>
        <v>101.09273</v>
      </c>
      <c r="AM105" s="437">
        <v>1</v>
      </c>
      <c r="AN105" s="436">
        <f>ABS(VLOOKUP(A105,TradesEquity!$1:$1048576,14,FALSE))</f>
        <v>111202.003</v>
      </c>
      <c r="AO105" s="436">
        <f>ABS(VLOOKUP(A105,TradesEquity!$1:$1048576,15,FALSE))</f>
        <v>55.6</v>
      </c>
      <c r="AP105" s="438">
        <f>ABS(VLOOKUP(A105,TradesEquity!$1:$1048576,16,FALSE))</f>
        <v>2.46</v>
      </c>
      <c r="AQ105" s="367">
        <v>0</v>
      </c>
      <c r="AR105" s="367">
        <v>0</v>
      </c>
      <c r="AS105" s="367">
        <v>0</v>
      </c>
      <c r="AT105" s="367">
        <v>0</v>
      </c>
      <c r="AU105" s="367">
        <v>0</v>
      </c>
      <c r="AV105" s="438">
        <f>ABS(VLOOKUP(A105,TradesEquity!$1:$1048576,18,FALSE))</f>
        <v>111143.94299999998</v>
      </c>
      <c r="AW105" s="439">
        <v>0</v>
      </c>
      <c r="AX105" s="440">
        <v>4542</v>
      </c>
      <c r="AY105" s="441" t="s">
        <v>2029</v>
      </c>
      <c r="AZ105" s="442" t="str">
        <f>(VLOOKUP(A105,TradesEquity!$1:$1048576,29,FALSE))</f>
        <v>GSILGB2XXXX</v>
      </c>
      <c r="BA105" s="442" t="str">
        <f>(VLOOKUP(A105,TradesEquity!$1:$1048576,30,FALSE))</f>
        <v>DTCYUS33</v>
      </c>
      <c r="BB105" s="442" t="str">
        <f>(VLOOKUP(A105,TradesEquity!$1:$1048576,31,FALSE))</f>
        <v xml:space="preserve">        </v>
      </c>
      <c r="BC105" s="442" t="str">
        <f>(VLOOKUP(A105,TradesEquity!$1:$1048576,32,FALSE))</f>
        <v>N</v>
      </c>
      <c r="BI105" s="442" t="str">
        <f>(VLOOKUP(A105,TradesEquity!$1:$1048576,38,FALSE))</f>
        <v>DTCYID</v>
      </c>
      <c r="BJ105" s="442">
        <f>(VLOOKUP(A105,TradesEquity!$1:$1048576,39,FALSE))</f>
        <v>5208</v>
      </c>
      <c r="BK105" s="442" t="str">
        <f>(VLOOKUP(A105,TradesEquity!$1:$1048576,40,FALSE))</f>
        <v xml:space="preserve">        </v>
      </c>
    </row>
    <row r="106" spans="1:63">
      <c r="A106" s="502">
        <v>2019200349</v>
      </c>
      <c r="D106" s="432" t="s">
        <v>2027</v>
      </c>
      <c r="F106" s="433">
        <f>VLOOKUP(A106,TradesEquity!$1:$1048576,2,FALSE)</f>
        <v>44144</v>
      </c>
      <c r="H106" s="433">
        <f>VLOOKUP(A106,TradesEquity!$1:$1048576,21,FALSE)</f>
        <v>44147</v>
      </c>
      <c r="I106" s="434" t="str">
        <f>IF(VLOOKUP(A106,TradesEquity!$1:$1048576,3,FALSE)="BUY","B","S")</f>
        <v>S</v>
      </c>
      <c r="J106" s="434" t="str">
        <f>VLOOKUP(A106,TradesEquity!$1:$1048576,5,FALSE)</f>
        <v>US53814L1089</v>
      </c>
      <c r="K106" s="432" t="s">
        <v>19</v>
      </c>
      <c r="L106" s="435" t="s">
        <v>2028</v>
      </c>
      <c r="AE106" s="436" t="str">
        <f>VLOOKUP(A106,TradesEquity!$1:$1048576,10,FALSE)</f>
        <v>USD</v>
      </c>
      <c r="AF106" s="436" t="str">
        <f t="shared" si="3"/>
        <v>USD</v>
      </c>
      <c r="AG106" s="436" t="str">
        <f t="shared" si="3"/>
        <v>USD</v>
      </c>
      <c r="AH106" s="436" t="str">
        <f t="shared" si="3"/>
        <v>USD</v>
      </c>
      <c r="AI106" s="436">
        <f>ABS(VLOOKUP(A106,TradesEquity!$1:$1048576,13,FALSE))</f>
        <v>22100</v>
      </c>
      <c r="AJ106" s="437">
        <v>0</v>
      </c>
      <c r="AK106" s="437">
        <v>1</v>
      </c>
      <c r="AL106" s="436">
        <f>VLOOKUP(A106,TradesEquity!$1:$1048576,11,FALSE)</f>
        <v>14.5</v>
      </c>
      <c r="AM106" s="437">
        <v>1</v>
      </c>
      <c r="AN106" s="436">
        <f>ABS(VLOOKUP(A106,TradesEquity!$1:$1048576,14,FALSE))</f>
        <v>320450</v>
      </c>
      <c r="AO106" s="436">
        <f>ABS(VLOOKUP(A106,TradesEquity!$1:$1048576,15,FALSE))</f>
        <v>160.22</v>
      </c>
      <c r="AP106" s="438">
        <f>ABS(VLOOKUP(A106,TradesEquity!$1:$1048576,16,FALSE))</f>
        <v>7.08</v>
      </c>
      <c r="AQ106" s="367">
        <v>0</v>
      </c>
      <c r="AR106" s="367">
        <v>0</v>
      </c>
      <c r="AS106" s="367">
        <v>0</v>
      </c>
      <c r="AT106" s="367">
        <v>0</v>
      </c>
      <c r="AU106" s="367">
        <v>0</v>
      </c>
      <c r="AV106" s="438">
        <f>ABS(VLOOKUP(A106,TradesEquity!$1:$1048576,18,FALSE))</f>
        <v>320282.7</v>
      </c>
      <c r="AW106" s="439">
        <v>0</v>
      </c>
      <c r="AX106" s="440">
        <v>4542</v>
      </c>
      <c r="AY106" s="441" t="s">
        <v>2029</v>
      </c>
      <c r="AZ106" s="442" t="str">
        <f>(VLOOKUP(A106,TradesEquity!$1:$1048576,29,FALSE))</f>
        <v>SOGEFRPPTIT</v>
      </c>
      <c r="BA106" s="442" t="str">
        <f>(VLOOKUP(A106,TradesEquity!$1:$1048576,30,FALSE))</f>
        <v>DTCYUS33XXX</v>
      </c>
      <c r="BB106" s="442">
        <f>(VLOOKUP(A106,TradesEquity!$1:$1048576,31,FALSE))</f>
        <v>7027337</v>
      </c>
      <c r="BC106" s="442" t="str">
        <f>(VLOOKUP(A106,TradesEquity!$1:$1048576,32,FALSE))</f>
        <v>N</v>
      </c>
      <c r="BI106" s="442" t="str">
        <f>(VLOOKUP(A106,TradesEquity!$1:$1048576,38,FALSE))</f>
        <v>DTCYID</v>
      </c>
      <c r="BJ106" s="442" t="str">
        <f>(VLOOKUP(A106,TradesEquity!$1:$1048576,39,FALSE))</f>
        <v>0010</v>
      </c>
      <c r="BK106" s="442" t="str">
        <f>(VLOOKUP(A106,TradesEquity!$1:$1048576,40,FALSE))</f>
        <v xml:space="preserve">        </v>
      </c>
    </row>
    <row r="107" spans="1:63">
      <c r="A107" s="502">
        <v>2019200350</v>
      </c>
      <c r="D107" s="432" t="s">
        <v>2027</v>
      </c>
      <c r="F107" s="433">
        <f>VLOOKUP(A107,TradesEquity!$1:$1048576,2,FALSE)</f>
        <v>44147</v>
      </c>
      <c r="H107" s="433">
        <f>VLOOKUP(A107,TradesEquity!$1:$1048576,21,FALSE)</f>
        <v>44151</v>
      </c>
      <c r="I107" s="434" t="str">
        <f>IF(VLOOKUP(A107,TradesEquity!$1:$1048576,3,FALSE)="BUY","B","S")</f>
        <v>B</v>
      </c>
      <c r="J107" s="434" t="str">
        <f>VLOOKUP(A107,TradesEquity!$1:$1048576,5,FALSE)</f>
        <v>JP3592200004</v>
      </c>
      <c r="K107" s="432" t="s">
        <v>19</v>
      </c>
      <c r="L107" s="435" t="s">
        <v>2028</v>
      </c>
      <c r="AE107" s="436" t="str">
        <f>VLOOKUP(A107,TradesEquity!$1:$1048576,10,FALSE)</f>
        <v>JPY</v>
      </c>
      <c r="AF107" s="436" t="str">
        <f t="shared" si="3"/>
        <v>JPY</v>
      </c>
      <c r="AG107" s="436" t="str">
        <f t="shared" si="3"/>
        <v>JPY</v>
      </c>
      <c r="AH107" s="436" t="str">
        <f t="shared" si="3"/>
        <v>JPY</v>
      </c>
      <c r="AI107" s="436">
        <f>ABS(VLOOKUP(A107,TradesEquity!$1:$1048576,13,FALSE))</f>
        <v>4600</v>
      </c>
      <c r="AJ107" s="437">
        <v>0</v>
      </c>
      <c r="AK107" s="437">
        <v>1</v>
      </c>
      <c r="AL107" s="436">
        <f>VLOOKUP(A107,TradesEquity!$1:$1048576,11,FALSE)</f>
        <v>2796.8152300000002</v>
      </c>
      <c r="AM107" s="437">
        <v>1</v>
      </c>
      <c r="AN107" s="436">
        <f>ABS(VLOOKUP(A107,TradesEquity!$1:$1048576,14,FALSE))</f>
        <v>12865350.058</v>
      </c>
      <c r="AO107" s="436">
        <f>ABS(VLOOKUP(A107,TradesEquity!$1:$1048576,15,FALSE))</f>
        <v>3860</v>
      </c>
      <c r="AP107" s="438">
        <f>ABS(VLOOKUP(A107,TradesEquity!$1:$1048576,16,FALSE))</f>
        <v>0</v>
      </c>
      <c r="AQ107" s="367">
        <v>0</v>
      </c>
      <c r="AR107" s="367">
        <v>0</v>
      </c>
      <c r="AS107" s="367">
        <v>0</v>
      </c>
      <c r="AT107" s="367">
        <v>0</v>
      </c>
      <c r="AU107" s="367">
        <v>0</v>
      </c>
      <c r="AV107" s="438">
        <f>ABS(VLOOKUP(A107,TradesEquity!$1:$1048576,18,FALSE))</f>
        <v>12869210.058</v>
      </c>
      <c r="AW107" s="439">
        <v>0</v>
      </c>
      <c r="AX107" s="440">
        <v>4542</v>
      </c>
      <c r="AY107" s="441" t="s">
        <v>2029</v>
      </c>
      <c r="AZ107" s="442" t="str">
        <f>(VLOOKUP(A107,TradesEquity!$1:$1048576,29,FALSE))</f>
        <v>GSILGB2XXXX</v>
      </c>
      <c r="BA107" s="442" t="str">
        <f>(VLOOKUP(A107,TradesEquity!$1:$1048576,30,FALSE))</f>
        <v>JJSDJPJTXXX</v>
      </c>
      <c r="BB107" s="442">
        <f>(VLOOKUP(A107,TradesEquity!$1:$1048576,31,FALSE))</f>
        <v>6530490016</v>
      </c>
      <c r="BC107" s="442" t="str">
        <f>(VLOOKUP(A107,TradesEquity!$1:$1048576,32,FALSE))</f>
        <v>N</v>
      </c>
      <c r="BI107" s="442" t="str">
        <f>(VLOOKUP(A107,TradesEquity!$1:$1048576,38,FALSE))</f>
        <v xml:space="preserve">                  </v>
      </c>
      <c r="BJ107" s="442" t="str">
        <f>(VLOOKUP(A107,TradesEquity!$1:$1048576,39,FALSE))</f>
        <v xml:space="preserve">                          </v>
      </c>
      <c r="BK107" s="442" t="str">
        <f>(VLOOKUP(A107,TradesEquity!$1:$1048576,40,FALSE))</f>
        <v>GOLDJPJXXXX</v>
      </c>
    </row>
    <row r="108" spans="1:63">
      <c r="A108" s="502">
        <v>2019200351</v>
      </c>
      <c r="D108" s="432" t="s">
        <v>2027</v>
      </c>
      <c r="F108" s="433">
        <f>VLOOKUP(A108,TradesEquity!$1:$1048576,2,FALSE)</f>
        <v>44147</v>
      </c>
      <c r="H108" s="433">
        <f>VLOOKUP(A108,TradesEquity!$1:$1048576,21,FALSE)</f>
        <v>44151</v>
      </c>
      <c r="I108" s="434" t="str">
        <f>IF(VLOOKUP(A108,TradesEquity!$1:$1048576,3,FALSE)="BUY","B","S")</f>
        <v>B</v>
      </c>
      <c r="J108" s="434" t="str">
        <f>VLOOKUP(A108,TradesEquity!$1:$1048576,5,FALSE)</f>
        <v>CH0110303119</v>
      </c>
      <c r="K108" s="432" t="s">
        <v>19</v>
      </c>
      <c r="L108" s="435" t="s">
        <v>2028</v>
      </c>
      <c r="AE108" s="436" t="str">
        <f>VLOOKUP(A108,TradesEquity!$1:$1048576,10,FALSE)</f>
        <v>CHF</v>
      </c>
      <c r="AF108" s="436" t="str">
        <f t="shared" si="3"/>
        <v>CHF</v>
      </c>
      <c r="AG108" s="436" t="str">
        <f t="shared" si="3"/>
        <v>CHF</v>
      </c>
      <c r="AH108" s="436" t="str">
        <f t="shared" si="3"/>
        <v>CHF</v>
      </c>
      <c r="AI108" s="436">
        <f>ABS(VLOOKUP(A108,TradesEquity!$1:$1048576,13,FALSE))</f>
        <v>31000</v>
      </c>
      <c r="AJ108" s="437">
        <v>0</v>
      </c>
      <c r="AK108" s="437">
        <v>1</v>
      </c>
      <c r="AL108" s="436">
        <f>VLOOKUP(A108,TradesEquity!$1:$1048576,11,FALSE)</f>
        <v>0.54942000000000002</v>
      </c>
      <c r="AM108" s="437">
        <v>1</v>
      </c>
      <c r="AN108" s="436">
        <f>ABS(VLOOKUP(A108,TradesEquity!$1:$1048576,14,FALSE))</f>
        <v>17032.02</v>
      </c>
      <c r="AO108" s="436">
        <f>ABS(VLOOKUP(A108,TradesEquity!$1:$1048576,15,FALSE))</f>
        <v>10.220000000000001</v>
      </c>
      <c r="AP108" s="438">
        <f>ABS(VLOOKUP(A108,TradesEquity!$1:$1048576,16,FALSE))</f>
        <v>0</v>
      </c>
      <c r="AQ108" s="367">
        <v>0</v>
      </c>
      <c r="AR108" s="367">
        <v>0</v>
      </c>
      <c r="AS108" s="367">
        <v>0</v>
      </c>
      <c r="AT108" s="367">
        <v>0</v>
      </c>
      <c r="AU108" s="367">
        <v>0</v>
      </c>
      <c r="AV108" s="438">
        <f>ABS(VLOOKUP(A108,TradesEquity!$1:$1048576,18,FALSE))</f>
        <v>17042.240000000002</v>
      </c>
      <c r="AW108" s="439">
        <v>0</v>
      </c>
      <c r="AX108" s="440">
        <v>4542</v>
      </c>
      <c r="AY108" s="441" t="s">
        <v>2029</v>
      </c>
      <c r="AZ108" s="442" t="str">
        <f>(VLOOKUP(A108,TradesEquity!$1:$1048576,29,FALSE))</f>
        <v>GSILGB2XXXX</v>
      </c>
      <c r="BA108" s="442" t="str">
        <f>(VLOOKUP(A108,TradesEquity!$1:$1048576,30,FALSE))</f>
        <v>INSECHZZ</v>
      </c>
      <c r="BB108" s="442">
        <f>(VLOOKUP(A108,TradesEquity!$1:$1048576,31,FALSE))</f>
        <v>20319455</v>
      </c>
      <c r="BC108" s="442" t="str">
        <f>(VLOOKUP(A108,TradesEquity!$1:$1048576,32,FALSE))</f>
        <v>N</v>
      </c>
      <c r="BI108" s="442" t="str">
        <f>(VLOOKUP(A108,TradesEquity!$1:$1048576,38,FALSE))</f>
        <v>SCOM</v>
      </c>
      <c r="BJ108" s="442" t="str">
        <f>(VLOOKUP(A108,TradesEquity!$1:$1048576,39,FALSE))</f>
        <v>GB102183</v>
      </c>
      <c r="BK108" s="442" t="str">
        <f>(VLOOKUP(A108,TradesEquity!$1:$1048576,40,FALSE))</f>
        <v>GSILGB2XXXX</v>
      </c>
    </row>
    <row r="109" spans="1:63">
      <c r="A109" s="502">
        <v>2019200352</v>
      </c>
      <c r="D109" s="432" t="s">
        <v>2027</v>
      </c>
      <c r="F109" s="433">
        <f>VLOOKUP(A109,TradesEquity!$1:$1048576,2,FALSE)</f>
        <v>44151</v>
      </c>
      <c r="H109" s="433">
        <f>VLOOKUP(A109,TradesEquity!$1:$1048576,21,FALSE)</f>
        <v>44153</v>
      </c>
      <c r="I109" s="434" t="str">
        <f>IF(VLOOKUP(A109,TradesEquity!$1:$1048576,3,FALSE)="BUY","B","S")</f>
        <v>B</v>
      </c>
      <c r="J109" s="434" t="str">
        <f>VLOOKUP(A109,TradesEquity!$1:$1048576,5,FALSE)</f>
        <v>JP3592200004</v>
      </c>
      <c r="K109" s="432" t="s">
        <v>19</v>
      </c>
      <c r="L109" s="435" t="s">
        <v>2028</v>
      </c>
      <c r="AE109" s="436" t="str">
        <f>VLOOKUP(A109,TradesEquity!$1:$1048576,10,FALSE)</f>
        <v>JPY</v>
      </c>
      <c r="AF109" s="436" t="str">
        <f t="shared" si="3"/>
        <v>JPY</v>
      </c>
      <c r="AG109" s="436" t="str">
        <f t="shared" si="3"/>
        <v>JPY</v>
      </c>
      <c r="AH109" s="436" t="str">
        <f t="shared" si="3"/>
        <v>JPY</v>
      </c>
      <c r="AI109" s="436">
        <f>ABS(VLOOKUP(A109,TradesEquity!$1:$1048576,13,FALSE))</f>
        <v>4200</v>
      </c>
      <c r="AJ109" s="437">
        <v>0</v>
      </c>
      <c r="AK109" s="437">
        <v>1</v>
      </c>
      <c r="AL109" s="436">
        <f>VLOOKUP(A109,TradesEquity!$1:$1048576,11,FALSE)</f>
        <v>2715.3952399999998</v>
      </c>
      <c r="AM109" s="437">
        <v>1</v>
      </c>
      <c r="AN109" s="436">
        <f>ABS(VLOOKUP(A109,TradesEquity!$1:$1048576,14,FALSE))</f>
        <v>11404660.007999999</v>
      </c>
      <c r="AO109" s="436">
        <f>ABS(VLOOKUP(A109,TradesEquity!$1:$1048576,15,FALSE))</f>
        <v>3421</v>
      </c>
      <c r="AP109" s="438">
        <f>ABS(VLOOKUP(A109,TradesEquity!$1:$1048576,16,FALSE))</f>
        <v>0</v>
      </c>
      <c r="AQ109" s="367">
        <v>0</v>
      </c>
      <c r="AR109" s="367">
        <v>0</v>
      </c>
      <c r="AS109" s="367">
        <v>0</v>
      </c>
      <c r="AT109" s="367">
        <v>0</v>
      </c>
      <c r="AU109" s="367">
        <v>0</v>
      </c>
      <c r="AV109" s="438">
        <f>ABS(VLOOKUP(A109,TradesEquity!$1:$1048576,18,FALSE))</f>
        <v>11408081.007999999</v>
      </c>
      <c r="AW109" s="439">
        <v>0</v>
      </c>
      <c r="AX109" s="440">
        <v>4542</v>
      </c>
      <c r="AY109" s="441" t="s">
        <v>2029</v>
      </c>
      <c r="AZ109" s="442" t="str">
        <f>(VLOOKUP(A109,TradesEquity!$1:$1048576,29,FALSE))</f>
        <v>GSILGB2XXXX</v>
      </c>
      <c r="BA109" s="442" t="str">
        <f>(VLOOKUP(A109,TradesEquity!$1:$1048576,30,FALSE))</f>
        <v>JJSDJPJTXXX</v>
      </c>
      <c r="BB109" s="442">
        <f>(VLOOKUP(A109,TradesEquity!$1:$1048576,31,FALSE))</f>
        <v>6530490016</v>
      </c>
      <c r="BC109" s="442" t="str">
        <f>(VLOOKUP(A109,TradesEquity!$1:$1048576,32,FALSE))</f>
        <v>N</v>
      </c>
      <c r="BI109" s="442" t="str">
        <f>(VLOOKUP(A109,TradesEquity!$1:$1048576,38,FALSE))</f>
        <v xml:space="preserve">                  </v>
      </c>
      <c r="BJ109" s="442" t="str">
        <f>(VLOOKUP(A109,TradesEquity!$1:$1048576,39,FALSE))</f>
        <v xml:space="preserve">                          </v>
      </c>
      <c r="BK109" s="442" t="str">
        <f>(VLOOKUP(A109,TradesEquity!$1:$1048576,40,FALSE))</f>
        <v>GOLDJPJXXXX</v>
      </c>
    </row>
    <row r="110" spans="1:63">
      <c r="A110" s="502">
        <v>2019200353</v>
      </c>
      <c r="D110" s="432" t="s">
        <v>2027</v>
      </c>
      <c r="F110" s="433">
        <f>VLOOKUP(A110,TradesEquity!$1:$1048576,2,FALSE)</f>
        <v>44151</v>
      </c>
      <c r="H110" s="433">
        <f>VLOOKUP(A110,TradesEquity!$1:$1048576,21,FALSE)</f>
        <v>44153</v>
      </c>
      <c r="I110" s="434" t="str">
        <f>IF(VLOOKUP(A110,TradesEquity!$1:$1048576,3,FALSE)="BUY","B","S")</f>
        <v>S</v>
      </c>
      <c r="J110" s="434" t="str">
        <f>VLOOKUP(A110,TradesEquity!$1:$1048576,5,FALSE)</f>
        <v>IT0005424830</v>
      </c>
      <c r="K110" s="432" t="s">
        <v>19</v>
      </c>
      <c r="L110" s="435" t="s">
        <v>2028</v>
      </c>
      <c r="AE110" s="436" t="str">
        <f>VLOOKUP(A110,TradesEquity!$1:$1048576,10,FALSE)</f>
        <v>EUR</v>
      </c>
      <c r="AF110" s="436" t="str">
        <f t="shared" si="3"/>
        <v>EUR</v>
      </c>
      <c r="AG110" s="436" t="str">
        <f t="shared" si="3"/>
        <v>EUR</v>
      </c>
      <c r="AH110" s="436" t="str">
        <f t="shared" si="3"/>
        <v>EUR</v>
      </c>
      <c r="AI110" s="436">
        <f>ABS(VLOOKUP(A110,TradesEquity!$1:$1048576,13,FALSE))</f>
        <v>11000</v>
      </c>
      <c r="AJ110" s="437">
        <v>0</v>
      </c>
      <c r="AK110" s="437">
        <v>1</v>
      </c>
      <c r="AL110" s="436">
        <f>VLOOKUP(A110,TradesEquity!$1:$1048576,11,FALSE)</f>
        <v>2.0454500000000002</v>
      </c>
      <c r="AM110" s="437">
        <v>1</v>
      </c>
      <c r="AN110" s="436">
        <f>ABS(VLOOKUP(A110,TradesEquity!$1:$1048576,14,FALSE))</f>
        <v>22499.95</v>
      </c>
      <c r="AO110" s="436">
        <f>ABS(VLOOKUP(A110,TradesEquity!$1:$1048576,15,FALSE))</f>
        <v>13.5</v>
      </c>
      <c r="AP110" s="438">
        <f>ABS(VLOOKUP(A110,TradesEquity!$1:$1048576,16,FALSE))</f>
        <v>0</v>
      </c>
      <c r="AQ110" s="367">
        <v>0</v>
      </c>
      <c r="AR110" s="367">
        <v>0</v>
      </c>
      <c r="AS110" s="367">
        <v>0</v>
      </c>
      <c r="AT110" s="367">
        <v>0</v>
      </c>
      <c r="AU110" s="367">
        <v>0</v>
      </c>
      <c r="AV110" s="438">
        <f>ABS(VLOOKUP(A110,TradesEquity!$1:$1048576,18,FALSE))</f>
        <v>22486.45</v>
      </c>
      <c r="AW110" s="439">
        <v>0</v>
      </c>
      <c r="AX110" s="440">
        <v>4542</v>
      </c>
      <c r="AY110" s="441" t="s">
        <v>2029</v>
      </c>
      <c r="AZ110" s="442" t="str">
        <f>(VLOOKUP(A110,TradesEquity!$1:$1048576,29,FALSE))</f>
        <v>GSILGB2XXXX</v>
      </c>
      <c r="BA110" s="442" t="str">
        <f>(VLOOKUP(A110,TradesEquity!$1:$1048576,30,FALSE))</f>
        <v>MOTIITMMXXX</v>
      </c>
      <c r="BB110" s="442" t="str">
        <f>(VLOOKUP(A110,TradesEquity!$1:$1048576,31,FALSE))</f>
        <v>MOTICITIITMXXXX6013800</v>
      </c>
      <c r="BC110" s="442" t="str">
        <f>(VLOOKUP(A110,TradesEquity!$1:$1048576,32,FALSE))</f>
        <v>N</v>
      </c>
      <c r="BI110" s="442" t="str">
        <f>(VLOOKUP(A110,TradesEquity!$1:$1048576,38,FALSE))</f>
        <v xml:space="preserve">        </v>
      </c>
      <c r="BJ110" s="442" t="str">
        <f>(VLOOKUP(A110,TradesEquity!$1:$1048576,39,FALSE))</f>
        <v xml:space="preserve">        </v>
      </c>
      <c r="BK110" s="442" t="str">
        <f>(VLOOKUP(A110,TradesEquity!$1:$1048576,40,FALSE))</f>
        <v>CITIITM1012</v>
      </c>
    </row>
    <row r="111" spans="1:63">
      <c r="A111" s="502">
        <v>2019200354</v>
      </c>
      <c r="D111" s="432" t="s">
        <v>2027</v>
      </c>
      <c r="F111" s="433">
        <f>VLOOKUP(A111,TradesEquity!$1:$1048576,2,FALSE)</f>
        <v>44151</v>
      </c>
      <c r="H111" s="433">
        <f>VLOOKUP(A111,TradesEquity!$1:$1048576,21,FALSE)</f>
        <v>44153</v>
      </c>
      <c r="I111" s="434" t="str">
        <f>IF(VLOOKUP(A111,TradesEquity!$1:$1048576,3,FALSE)="BUY","B","S")</f>
        <v>S</v>
      </c>
      <c r="J111" s="434" t="str">
        <f>VLOOKUP(A111,TradesEquity!$1:$1048576,5,FALSE)</f>
        <v>US0126531013</v>
      </c>
      <c r="K111" s="432" t="s">
        <v>19</v>
      </c>
      <c r="L111" s="435" t="s">
        <v>2028</v>
      </c>
      <c r="AE111" s="436" t="str">
        <f>VLOOKUP(A111,TradesEquity!$1:$1048576,10,FALSE)</f>
        <v>USD</v>
      </c>
      <c r="AF111" s="436" t="str">
        <f t="shared" si="3"/>
        <v>USD</v>
      </c>
      <c r="AG111" s="436" t="str">
        <f t="shared" si="3"/>
        <v>USD</v>
      </c>
      <c r="AH111" s="436" t="str">
        <f t="shared" si="3"/>
        <v>USD</v>
      </c>
      <c r="AI111" s="436">
        <f>ABS(VLOOKUP(A111,TradesEquity!$1:$1048576,13,FALSE))</f>
        <v>1685</v>
      </c>
      <c r="AJ111" s="437">
        <v>0</v>
      </c>
      <c r="AK111" s="437">
        <v>1</v>
      </c>
      <c r="AL111" s="436">
        <f>VLOOKUP(A111,TradesEquity!$1:$1048576,11,FALSE)</f>
        <v>128.14277999999999</v>
      </c>
      <c r="AM111" s="437">
        <v>1</v>
      </c>
      <c r="AN111" s="436">
        <f>ABS(VLOOKUP(A111,TradesEquity!$1:$1048576,14,FALSE))</f>
        <v>215920.58429999999</v>
      </c>
      <c r="AO111" s="436">
        <f>ABS(VLOOKUP(A111,TradesEquity!$1:$1048576,15,FALSE))</f>
        <v>107.96</v>
      </c>
      <c r="AP111" s="438">
        <f>ABS(VLOOKUP(A111,TradesEquity!$1:$1048576,16,FALSE))</f>
        <v>4.7699999999999996</v>
      </c>
      <c r="AQ111" s="367">
        <v>0</v>
      </c>
      <c r="AR111" s="367">
        <v>0</v>
      </c>
      <c r="AS111" s="367">
        <v>0</v>
      </c>
      <c r="AT111" s="367">
        <v>0</v>
      </c>
      <c r="AU111" s="367">
        <v>0</v>
      </c>
      <c r="AV111" s="438">
        <f>ABS(VLOOKUP(A111,TradesEquity!$1:$1048576,18,FALSE))</f>
        <v>215807.85430000001</v>
      </c>
      <c r="AW111" s="439">
        <v>0</v>
      </c>
      <c r="AX111" s="440">
        <v>4542</v>
      </c>
      <c r="AY111" s="441" t="s">
        <v>2029</v>
      </c>
      <c r="AZ111" s="442" t="str">
        <f>(VLOOKUP(A111,TradesEquity!$1:$1048576,29,FALSE))</f>
        <v>GSILGB2XXXX</v>
      </c>
      <c r="BA111" s="442" t="str">
        <f>(VLOOKUP(A111,TradesEquity!$1:$1048576,30,FALSE))</f>
        <v>DTCYUS33</v>
      </c>
      <c r="BB111" s="442" t="str">
        <f>(VLOOKUP(A111,TradesEquity!$1:$1048576,31,FALSE))</f>
        <v xml:space="preserve">        </v>
      </c>
      <c r="BC111" s="442" t="str">
        <f>(VLOOKUP(A111,TradesEquity!$1:$1048576,32,FALSE))</f>
        <v>N</v>
      </c>
      <c r="BI111" s="442" t="str">
        <f>(VLOOKUP(A111,TradesEquity!$1:$1048576,38,FALSE))</f>
        <v>DTCYID</v>
      </c>
      <c r="BJ111" s="442">
        <f>(VLOOKUP(A111,TradesEquity!$1:$1048576,39,FALSE))</f>
        <v>5208</v>
      </c>
      <c r="BK111" s="442" t="str">
        <f>(VLOOKUP(A111,TradesEquity!$1:$1048576,40,FALSE))</f>
        <v xml:space="preserve">        </v>
      </c>
    </row>
    <row r="112" spans="1:63">
      <c r="A112" s="502">
        <v>2019200355</v>
      </c>
      <c r="D112" s="432" t="s">
        <v>2027</v>
      </c>
      <c r="F112" s="433">
        <f>VLOOKUP(A112,TradesEquity!$1:$1048576,2,FALSE)</f>
        <v>44152</v>
      </c>
      <c r="H112" s="433">
        <f>VLOOKUP(A112,TradesEquity!$1:$1048576,21,FALSE)</f>
        <v>44154</v>
      </c>
      <c r="I112" s="434" t="str">
        <f>IF(VLOOKUP(A112,TradesEquity!$1:$1048576,3,FALSE)="BUY","B","S")</f>
        <v>S</v>
      </c>
      <c r="J112" s="434" t="str">
        <f>VLOOKUP(A112,TradesEquity!$1:$1048576,5,FALSE)</f>
        <v>AU000000PLS0</v>
      </c>
      <c r="K112" s="432" t="s">
        <v>19</v>
      </c>
      <c r="L112" s="435" t="s">
        <v>2028</v>
      </c>
      <c r="AE112" s="436" t="str">
        <f>VLOOKUP(A112,TradesEquity!$1:$1048576,10,FALSE)</f>
        <v>AUD</v>
      </c>
      <c r="AF112" s="436" t="str">
        <f t="shared" ref="AF112:AH175" si="4">AE112</f>
        <v>AUD</v>
      </c>
      <c r="AG112" s="436" t="str">
        <f t="shared" si="4"/>
        <v>AUD</v>
      </c>
      <c r="AH112" s="436" t="str">
        <f t="shared" si="4"/>
        <v>AUD</v>
      </c>
      <c r="AI112" s="436">
        <f>ABS(VLOOKUP(A112,TradesEquity!$1:$1048576,13,FALSE))</f>
        <v>220000</v>
      </c>
      <c r="AJ112" s="437">
        <v>0</v>
      </c>
      <c r="AK112" s="437">
        <v>1</v>
      </c>
      <c r="AL112" s="436">
        <f>VLOOKUP(A112,TradesEquity!$1:$1048576,11,FALSE)</f>
        <v>0.56855</v>
      </c>
      <c r="AM112" s="437">
        <v>1</v>
      </c>
      <c r="AN112" s="436">
        <f>ABS(VLOOKUP(A112,TradesEquity!$1:$1048576,14,FALSE))</f>
        <v>125081</v>
      </c>
      <c r="AO112" s="436">
        <f>ABS(VLOOKUP(A112,TradesEquity!$1:$1048576,15,FALSE))</f>
        <v>75.05</v>
      </c>
      <c r="AP112" s="438">
        <f>ABS(VLOOKUP(A112,TradesEquity!$1:$1048576,16,FALSE))</f>
        <v>0</v>
      </c>
      <c r="AQ112" s="367">
        <v>0</v>
      </c>
      <c r="AR112" s="367">
        <v>0</v>
      </c>
      <c r="AS112" s="367">
        <v>0</v>
      </c>
      <c r="AT112" s="367">
        <v>0</v>
      </c>
      <c r="AU112" s="367">
        <v>0</v>
      </c>
      <c r="AV112" s="438">
        <f>ABS(VLOOKUP(A112,TradesEquity!$1:$1048576,18,FALSE))</f>
        <v>125005.95</v>
      </c>
      <c r="AW112" s="439">
        <v>0</v>
      </c>
      <c r="AX112" s="440">
        <v>4542</v>
      </c>
      <c r="AY112" s="441" t="s">
        <v>2029</v>
      </c>
      <c r="AZ112" s="442" t="str">
        <f>(VLOOKUP(A112,TradesEquity!$1:$1048576,29,FALSE))</f>
        <v>GSILGB2XXXX</v>
      </c>
      <c r="BA112" s="442" t="str">
        <f>(VLOOKUP(A112,TradesEquity!$1:$1048576,30,FALSE))</f>
        <v>CAETAU21</v>
      </c>
      <c r="BB112" s="442" t="str">
        <f>(VLOOKUP(A112,TradesEquity!$1:$1048576,31,FALSE))</f>
        <v>011-109048-061</v>
      </c>
      <c r="BC112" s="442" t="str">
        <f>(VLOOKUP(A112,TradesEquity!$1:$1048576,32,FALSE))</f>
        <v>N</v>
      </c>
      <c r="BI112" s="442" t="str">
        <f>(VLOOKUP(A112,TradesEquity!$1:$1048576,38,FALSE))</f>
        <v xml:space="preserve">        </v>
      </c>
      <c r="BJ112" s="442" t="str">
        <f>(VLOOKUP(A112,TradesEquity!$1:$1048576,39,FALSE))</f>
        <v xml:space="preserve">        </v>
      </c>
      <c r="BK112" s="442" t="str">
        <f>(VLOOKUP(A112,TradesEquity!$1:$1048576,40,FALSE))</f>
        <v>HKBAAU2SSYD</v>
      </c>
    </row>
    <row r="113" spans="1:63">
      <c r="A113" s="502">
        <v>2019200356</v>
      </c>
      <c r="D113" s="432" t="s">
        <v>2027</v>
      </c>
      <c r="F113" s="433">
        <f>VLOOKUP(A113,TradesEquity!$1:$1048576,2,FALSE)</f>
        <v>44152</v>
      </c>
      <c r="H113" s="433">
        <f>VLOOKUP(A113,TradesEquity!$1:$1048576,21,FALSE)</f>
        <v>44154</v>
      </c>
      <c r="I113" s="434" t="str">
        <f>IF(VLOOKUP(A113,TradesEquity!$1:$1048576,3,FALSE)="BUY","B","S")</f>
        <v>S</v>
      </c>
      <c r="J113" s="434" t="str">
        <f>VLOOKUP(A113,TradesEquity!$1:$1048576,5,FALSE)</f>
        <v>IT0005424830</v>
      </c>
      <c r="K113" s="432" t="s">
        <v>19</v>
      </c>
      <c r="L113" s="435" t="s">
        <v>2028</v>
      </c>
      <c r="AE113" s="436" t="str">
        <f>VLOOKUP(A113,TradesEquity!$1:$1048576,10,FALSE)</f>
        <v>EUR</v>
      </c>
      <c r="AF113" s="436" t="str">
        <f t="shared" si="4"/>
        <v>EUR</v>
      </c>
      <c r="AG113" s="436" t="str">
        <f t="shared" si="4"/>
        <v>EUR</v>
      </c>
      <c r="AH113" s="436" t="str">
        <f t="shared" si="4"/>
        <v>EUR</v>
      </c>
      <c r="AI113" s="436">
        <f>ABS(VLOOKUP(A113,TradesEquity!$1:$1048576,13,FALSE))</f>
        <v>11000</v>
      </c>
      <c r="AJ113" s="437">
        <v>0</v>
      </c>
      <c r="AK113" s="437">
        <v>1</v>
      </c>
      <c r="AL113" s="436">
        <f>VLOOKUP(A113,TradesEquity!$1:$1048576,11,FALSE)</f>
        <v>2.3554499999999998</v>
      </c>
      <c r="AM113" s="437">
        <v>1</v>
      </c>
      <c r="AN113" s="436">
        <f>ABS(VLOOKUP(A113,TradesEquity!$1:$1048576,14,FALSE))</f>
        <v>25909.949999999997</v>
      </c>
      <c r="AO113" s="436">
        <f>ABS(VLOOKUP(A113,TradesEquity!$1:$1048576,15,FALSE))</f>
        <v>15.55</v>
      </c>
      <c r="AP113" s="438">
        <f>ABS(VLOOKUP(A113,TradesEquity!$1:$1048576,16,FALSE))</f>
        <v>0</v>
      </c>
      <c r="AQ113" s="367">
        <v>0</v>
      </c>
      <c r="AR113" s="367">
        <v>0</v>
      </c>
      <c r="AS113" s="367">
        <v>0</v>
      </c>
      <c r="AT113" s="367">
        <v>0</v>
      </c>
      <c r="AU113" s="367">
        <v>0</v>
      </c>
      <c r="AV113" s="438">
        <f>ABS(VLOOKUP(A113,TradesEquity!$1:$1048576,18,FALSE))</f>
        <v>25894.399999999998</v>
      </c>
      <c r="AW113" s="439">
        <v>0</v>
      </c>
      <c r="AX113" s="440">
        <v>4542</v>
      </c>
      <c r="AY113" s="441" t="s">
        <v>2029</v>
      </c>
      <c r="AZ113" s="442" t="str">
        <f>(VLOOKUP(A113,TradesEquity!$1:$1048576,29,FALSE))</f>
        <v>GSILGB2XXXX</v>
      </c>
      <c r="BA113" s="442" t="str">
        <f>(VLOOKUP(A113,TradesEquity!$1:$1048576,30,FALSE))</f>
        <v>MOTIITMMXXX</v>
      </c>
      <c r="BB113" s="442" t="str">
        <f>(VLOOKUP(A113,TradesEquity!$1:$1048576,31,FALSE))</f>
        <v>MOTICITIITMXXXX6013800</v>
      </c>
      <c r="BC113" s="442" t="str">
        <f>(VLOOKUP(A113,TradesEquity!$1:$1048576,32,FALSE))</f>
        <v>N</v>
      </c>
      <c r="BI113" s="442" t="str">
        <f>(VLOOKUP(A113,TradesEquity!$1:$1048576,38,FALSE))</f>
        <v xml:space="preserve">        </v>
      </c>
      <c r="BJ113" s="442" t="str">
        <f>(VLOOKUP(A113,TradesEquity!$1:$1048576,39,FALSE))</f>
        <v xml:space="preserve">        </v>
      </c>
      <c r="BK113" s="442" t="str">
        <f>(VLOOKUP(A113,TradesEquity!$1:$1048576,40,FALSE))</f>
        <v>CITIITM1012</v>
      </c>
    </row>
    <row r="114" spans="1:63">
      <c r="A114" s="502">
        <v>2019200357</v>
      </c>
      <c r="D114" s="432" t="s">
        <v>2027</v>
      </c>
      <c r="F114" s="433">
        <f>VLOOKUP(A114,TradesEquity!$1:$1048576,2,FALSE)</f>
        <v>44153</v>
      </c>
      <c r="H114" s="433">
        <f>VLOOKUP(A114,TradesEquity!$1:$1048576,21,FALSE)</f>
        <v>44155</v>
      </c>
      <c r="I114" s="434" t="str">
        <f>IF(VLOOKUP(A114,TradesEquity!$1:$1048576,3,FALSE)="BUY","B","S")</f>
        <v>S</v>
      </c>
      <c r="J114" s="434" t="str">
        <f>VLOOKUP(A114,TradesEquity!$1:$1048576,5,FALSE)</f>
        <v>IT0005424830</v>
      </c>
      <c r="K114" s="432" t="s">
        <v>19</v>
      </c>
      <c r="L114" s="435" t="s">
        <v>2028</v>
      </c>
      <c r="AE114" s="436" t="str">
        <f>VLOOKUP(A114,TradesEquity!$1:$1048576,10,FALSE)</f>
        <v>EUR</v>
      </c>
      <c r="AF114" s="436" t="str">
        <f t="shared" si="4"/>
        <v>EUR</v>
      </c>
      <c r="AG114" s="436" t="str">
        <f t="shared" si="4"/>
        <v>EUR</v>
      </c>
      <c r="AH114" s="436" t="str">
        <f t="shared" si="4"/>
        <v>EUR</v>
      </c>
      <c r="AI114" s="436">
        <f>ABS(VLOOKUP(A114,TradesEquity!$1:$1048576,13,FALSE))</f>
        <v>11000</v>
      </c>
      <c r="AJ114" s="437">
        <v>0</v>
      </c>
      <c r="AK114" s="437">
        <v>1</v>
      </c>
      <c r="AL114" s="436">
        <f>VLOOKUP(A114,TradesEquity!$1:$1048576,11,FALSE)</f>
        <v>2.5581800000000001</v>
      </c>
      <c r="AM114" s="437">
        <v>1</v>
      </c>
      <c r="AN114" s="436">
        <f>ABS(VLOOKUP(A114,TradesEquity!$1:$1048576,14,FALSE))</f>
        <v>28139.98</v>
      </c>
      <c r="AO114" s="436">
        <f>ABS(VLOOKUP(A114,TradesEquity!$1:$1048576,15,FALSE))</f>
        <v>16.88</v>
      </c>
      <c r="AP114" s="438">
        <f>ABS(VLOOKUP(A114,TradesEquity!$1:$1048576,16,FALSE))</f>
        <v>0</v>
      </c>
      <c r="AQ114" s="367">
        <v>0</v>
      </c>
      <c r="AR114" s="367">
        <v>0</v>
      </c>
      <c r="AS114" s="367">
        <v>0</v>
      </c>
      <c r="AT114" s="367">
        <v>0</v>
      </c>
      <c r="AU114" s="367">
        <v>0</v>
      </c>
      <c r="AV114" s="438">
        <f>ABS(VLOOKUP(A114,TradesEquity!$1:$1048576,18,FALSE))</f>
        <v>28123.1</v>
      </c>
      <c r="AW114" s="439">
        <v>0</v>
      </c>
      <c r="AX114" s="440">
        <v>4542</v>
      </c>
      <c r="AY114" s="441" t="s">
        <v>2029</v>
      </c>
      <c r="AZ114" s="442" t="str">
        <f>(VLOOKUP(A114,TradesEquity!$1:$1048576,29,FALSE))</f>
        <v>GSILGB2XXXX</v>
      </c>
      <c r="BA114" s="442" t="str">
        <f>(VLOOKUP(A114,TradesEquity!$1:$1048576,30,FALSE))</f>
        <v>MOTIITMMXXX</v>
      </c>
      <c r="BB114" s="442" t="str">
        <f>(VLOOKUP(A114,TradesEquity!$1:$1048576,31,FALSE))</f>
        <v>MOTICITIITMXXXX6013800</v>
      </c>
      <c r="BC114" s="442" t="str">
        <f>(VLOOKUP(A114,TradesEquity!$1:$1048576,32,FALSE))</f>
        <v>N</v>
      </c>
      <c r="BI114" s="442" t="str">
        <f>(VLOOKUP(A114,TradesEquity!$1:$1048576,38,FALSE))</f>
        <v xml:space="preserve">        </v>
      </c>
      <c r="BJ114" s="442" t="str">
        <f>(VLOOKUP(A114,TradesEquity!$1:$1048576,39,FALSE))</f>
        <v xml:space="preserve">        </v>
      </c>
      <c r="BK114" s="442" t="str">
        <f>(VLOOKUP(A114,TradesEquity!$1:$1048576,40,FALSE))</f>
        <v>CITIITM1012</v>
      </c>
    </row>
    <row r="115" spans="1:63">
      <c r="A115" s="502">
        <v>2019200358</v>
      </c>
      <c r="D115" s="432" t="s">
        <v>2027</v>
      </c>
      <c r="F115" s="433">
        <f>VLOOKUP(A115,TradesEquity!$1:$1048576,2,FALSE)</f>
        <v>44158</v>
      </c>
      <c r="H115" s="433">
        <f>VLOOKUP(A115,TradesEquity!$1:$1048576,21,FALSE)</f>
        <v>44160</v>
      </c>
      <c r="I115" s="434" t="str">
        <f>IF(VLOOKUP(A115,TradesEquity!$1:$1048576,3,FALSE)="BUY","B","S")</f>
        <v>B</v>
      </c>
      <c r="J115" s="434" t="str">
        <f>VLOOKUP(A115,TradesEquity!$1:$1048576,5,FALSE)</f>
        <v>CNE100001TJ4</v>
      </c>
      <c r="K115" s="432" t="s">
        <v>19</v>
      </c>
      <c r="L115" s="435" t="s">
        <v>2028</v>
      </c>
      <c r="AE115" s="436" t="str">
        <f>VLOOKUP(A115,TradesEquity!$1:$1048576,10,FALSE)</f>
        <v>HKD</v>
      </c>
      <c r="AF115" s="436" t="str">
        <f t="shared" si="4"/>
        <v>HKD</v>
      </c>
      <c r="AG115" s="436" t="str">
        <f t="shared" si="4"/>
        <v>HKD</v>
      </c>
      <c r="AH115" s="436" t="str">
        <f t="shared" si="4"/>
        <v>HKD</v>
      </c>
      <c r="AI115" s="436">
        <f>ABS(VLOOKUP(A115,TradesEquity!$1:$1048576,13,FALSE))</f>
        <v>211000</v>
      </c>
      <c r="AJ115" s="437">
        <v>0</v>
      </c>
      <c r="AK115" s="437">
        <v>1</v>
      </c>
      <c r="AL115" s="436">
        <f>VLOOKUP(A115,TradesEquity!$1:$1048576,11,FALSE)</f>
        <v>3.1023499999999999</v>
      </c>
      <c r="AM115" s="437">
        <v>1</v>
      </c>
      <c r="AN115" s="436">
        <f>ABS(VLOOKUP(A115,TradesEquity!$1:$1048576,14,FALSE))</f>
        <v>654595.85</v>
      </c>
      <c r="AO115" s="436">
        <f>ABS(VLOOKUP(A115,TradesEquity!$1:$1048576,15,FALSE))</f>
        <v>392.76</v>
      </c>
      <c r="AP115" s="438">
        <f>ABS(VLOOKUP(A115,TradesEquity!$1:$1048576,16,FALSE))</f>
        <v>705.41</v>
      </c>
      <c r="AQ115" s="367">
        <v>0</v>
      </c>
      <c r="AR115" s="367">
        <v>0</v>
      </c>
      <c r="AS115" s="367">
        <v>0</v>
      </c>
      <c r="AT115" s="367">
        <v>0</v>
      </c>
      <c r="AU115" s="367">
        <v>0</v>
      </c>
      <c r="AV115" s="438">
        <f>ABS(VLOOKUP(A115,TradesEquity!$1:$1048576,18,FALSE))</f>
        <v>655694.02</v>
      </c>
      <c r="AW115" s="439">
        <v>0</v>
      </c>
      <c r="AX115" s="440">
        <v>4542</v>
      </c>
      <c r="AY115" s="441" t="s">
        <v>2029</v>
      </c>
      <c r="AZ115" s="442" t="str">
        <f>(VLOOKUP(A115,TradesEquity!$1:$1048576,29,FALSE))</f>
        <v>GSILGB2XXXX</v>
      </c>
      <c r="BA115" s="442" t="str">
        <f>(VLOOKUP(A115,TradesEquity!$1:$1048576,30,FALSE))</f>
        <v>XHKCHKH1XXX</v>
      </c>
      <c r="BB115" s="442" t="str">
        <f>(VLOOKUP(A115,TradesEquity!$1:$1048576,31,FALSE))</f>
        <v xml:space="preserve">        </v>
      </c>
      <c r="BC115" s="442" t="str">
        <f>(VLOOKUP(A115,TradesEquity!$1:$1048576,32,FALSE))</f>
        <v>N</v>
      </c>
      <c r="BI115" s="442" t="str">
        <f>(VLOOKUP(A115,TradesEquity!$1:$1048576,38,FALSE))</f>
        <v>CCASS</v>
      </c>
      <c r="BJ115" s="442" t="str">
        <f>(VLOOKUP(A115,TradesEquity!$1:$1048576,39,FALSE))</f>
        <v>B01451</v>
      </c>
      <c r="BK115" s="442" t="str">
        <f>(VLOOKUP(A115,TradesEquity!$1:$1048576,40,FALSE))</f>
        <v>GSASHKH1XX</v>
      </c>
    </row>
    <row r="116" spans="1:63">
      <c r="A116" s="502">
        <v>2019200359</v>
      </c>
      <c r="D116" s="432" t="s">
        <v>2027</v>
      </c>
      <c r="F116" s="433">
        <f>VLOOKUP(A116,TradesEquity!$1:$1048576,2,FALSE)</f>
        <v>44158</v>
      </c>
      <c r="H116" s="433">
        <f>VLOOKUP(A116,TradesEquity!$1:$1048576,21,FALSE)</f>
        <v>44160</v>
      </c>
      <c r="I116" s="434" t="str">
        <f>IF(VLOOKUP(A116,TradesEquity!$1:$1048576,3,FALSE)="BUY","B","S")</f>
        <v>B</v>
      </c>
      <c r="J116" s="434" t="str">
        <f>VLOOKUP(A116,TradesEquity!$1:$1048576,5,FALSE)</f>
        <v>AU000000IGO4</v>
      </c>
      <c r="K116" s="432" t="s">
        <v>19</v>
      </c>
      <c r="L116" s="435" t="s">
        <v>2028</v>
      </c>
      <c r="AE116" s="436" t="str">
        <f>VLOOKUP(A116,TradesEquity!$1:$1048576,10,FALSE)</f>
        <v>AUD</v>
      </c>
      <c r="AF116" s="436" t="str">
        <f t="shared" si="4"/>
        <v>AUD</v>
      </c>
      <c r="AG116" s="436" t="str">
        <f t="shared" si="4"/>
        <v>AUD</v>
      </c>
      <c r="AH116" s="436" t="str">
        <f t="shared" si="4"/>
        <v>AUD</v>
      </c>
      <c r="AI116" s="436">
        <f>ABS(VLOOKUP(A116,TradesEquity!$1:$1048576,13,FALSE))</f>
        <v>33000</v>
      </c>
      <c r="AJ116" s="437">
        <v>0</v>
      </c>
      <c r="AK116" s="437">
        <v>1</v>
      </c>
      <c r="AL116" s="436">
        <f>VLOOKUP(A116,TradesEquity!$1:$1048576,11,FALSE)</f>
        <v>4.9518800000000001</v>
      </c>
      <c r="AM116" s="437">
        <v>1</v>
      </c>
      <c r="AN116" s="436">
        <f>ABS(VLOOKUP(A116,TradesEquity!$1:$1048576,14,FALSE))</f>
        <v>163412.04</v>
      </c>
      <c r="AO116" s="436">
        <f>ABS(VLOOKUP(A116,TradesEquity!$1:$1048576,15,FALSE))</f>
        <v>98.05</v>
      </c>
      <c r="AP116" s="438">
        <f>ABS(VLOOKUP(A116,TradesEquity!$1:$1048576,16,FALSE))</f>
        <v>0</v>
      </c>
      <c r="AQ116" s="367">
        <v>0</v>
      </c>
      <c r="AR116" s="367">
        <v>0</v>
      </c>
      <c r="AS116" s="367">
        <v>0</v>
      </c>
      <c r="AT116" s="367">
        <v>0</v>
      </c>
      <c r="AU116" s="367">
        <v>0</v>
      </c>
      <c r="AV116" s="438">
        <f>ABS(VLOOKUP(A116,TradesEquity!$1:$1048576,18,FALSE))</f>
        <v>163510.09</v>
      </c>
      <c r="AW116" s="439">
        <v>0</v>
      </c>
      <c r="AX116" s="440">
        <v>4542</v>
      </c>
      <c r="AY116" s="441" t="s">
        <v>2029</v>
      </c>
      <c r="AZ116" s="442" t="str">
        <f>(VLOOKUP(A116,TradesEquity!$1:$1048576,29,FALSE))</f>
        <v>GSILGB2XXXX</v>
      </c>
      <c r="BA116" s="442" t="str">
        <f>(VLOOKUP(A116,TradesEquity!$1:$1048576,30,FALSE))</f>
        <v>CAETAU21</v>
      </c>
      <c r="BB116" s="442" t="str">
        <f>(VLOOKUP(A116,TradesEquity!$1:$1048576,31,FALSE))</f>
        <v>011-109048-061</v>
      </c>
      <c r="BC116" s="442" t="str">
        <f>(VLOOKUP(A116,TradesEquity!$1:$1048576,32,FALSE))</f>
        <v>N</v>
      </c>
      <c r="BI116" s="442" t="str">
        <f>(VLOOKUP(A116,TradesEquity!$1:$1048576,38,FALSE))</f>
        <v xml:space="preserve">        </v>
      </c>
      <c r="BJ116" s="442" t="str">
        <f>(VLOOKUP(A116,TradesEquity!$1:$1048576,39,FALSE))</f>
        <v xml:space="preserve">        </v>
      </c>
      <c r="BK116" s="442" t="str">
        <f>(VLOOKUP(A116,TradesEquity!$1:$1048576,40,FALSE))</f>
        <v>HKBAAU2SSYD</v>
      </c>
    </row>
    <row r="117" spans="1:63">
      <c r="A117" s="502">
        <v>2019200360</v>
      </c>
      <c r="D117" s="432" t="s">
        <v>2027</v>
      </c>
      <c r="F117" s="433">
        <f>VLOOKUP(A117,TradesEquity!$1:$1048576,2,FALSE)</f>
        <v>44158</v>
      </c>
      <c r="H117" s="433">
        <f>VLOOKUP(A117,TradesEquity!$1:$1048576,21,FALSE)</f>
        <v>44160</v>
      </c>
      <c r="I117" s="434" t="str">
        <f>IF(VLOOKUP(A117,TradesEquity!$1:$1048576,3,FALSE)="BUY","B","S")</f>
        <v>S</v>
      </c>
      <c r="J117" s="434" t="str">
        <f>VLOOKUP(A117,TradesEquity!$1:$1048576,5,FALSE)</f>
        <v>AU000000PLS0</v>
      </c>
      <c r="K117" s="432" t="s">
        <v>19</v>
      </c>
      <c r="L117" s="435" t="s">
        <v>2028</v>
      </c>
      <c r="AE117" s="436" t="str">
        <f>VLOOKUP(A117,TradesEquity!$1:$1048576,10,FALSE)</f>
        <v>AUD</v>
      </c>
      <c r="AF117" s="436" t="str">
        <f t="shared" si="4"/>
        <v>AUD</v>
      </c>
      <c r="AG117" s="436" t="str">
        <f t="shared" si="4"/>
        <v>AUD</v>
      </c>
      <c r="AH117" s="436" t="str">
        <f t="shared" si="4"/>
        <v>AUD</v>
      </c>
      <c r="AI117" s="436">
        <f>ABS(VLOOKUP(A117,TradesEquity!$1:$1048576,13,FALSE))</f>
        <v>270000</v>
      </c>
      <c r="AJ117" s="437">
        <v>0</v>
      </c>
      <c r="AK117" s="437">
        <v>1</v>
      </c>
      <c r="AL117" s="436">
        <f>VLOOKUP(A117,TradesEquity!$1:$1048576,11,FALSE)</f>
        <v>0.67976999999999999</v>
      </c>
      <c r="AM117" s="437">
        <v>1</v>
      </c>
      <c r="AN117" s="436">
        <f>ABS(VLOOKUP(A117,TradesEquity!$1:$1048576,14,FALSE))</f>
        <v>183537.9</v>
      </c>
      <c r="AO117" s="436">
        <f>ABS(VLOOKUP(A117,TradesEquity!$1:$1048576,15,FALSE))</f>
        <v>110.12</v>
      </c>
      <c r="AP117" s="438">
        <f>ABS(VLOOKUP(A117,TradesEquity!$1:$1048576,16,FALSE))</f>
        <v>0</v>
      </c>
      <c r="AQ117" s="367">
        <v>0</v>
      </c>
      <c r="AR117" s="367">
        <v>0</v>
      </c>
      <c r="AS117" s="367">
        <v>0</v>
      </c>
      <c r="AT117" s="367">
        <v>0</v>
      </c>
      <c r="AU117" s="367">
        <v>0</v>
      </c>
      <c r="AV117" s="438">
        <f>ABS(VLOOKUP(A117,TradesEquity!$1:$1048576,18,FALSE))</f>
        <v>183427.78</v>
      </c>
      <c r="AW117" s="439">
        <v>0</v>
      </c>
      <c r="AX117" s="440">
        <v>4542</v>
      </c>
      <c r="AY117" s="441" t="s">
        <v>2029</v>
      </c>
      <c r="AZ117" s="442" t="str">
        <f>(VLOOKUP(A117,TradesEquity!$1:$1048576,29,FALSE))</f>
        <v>GSILGB2XXXX</v>
      </c>
      <c r="BA117" s="442" t="str">
        <f>(VLOOKUP(A117,TradesEquity!$1:$1048576,30,FALSE))</f>
        <v>CAETAU21</v>
      </c>
      <c r="BB117" s="442" t="str">
        <f>(VLOOKUP(A117,TradesEquity!$1:$1048576,31,FALSE))</f>
        <v>011-109048-061</v>
      </c>
      <c r="BC117" s="442" t="str">
        <f>(VLOOKUP(A117,TradesEquity!$1:$1048576,32,FALSE))</f>
        <v>N</v>
      </c>
      <c r="BI117" s="442" t="str">
        <f>(VLOOKUP(A117,TradesEquity!$1:$1048576,38,FALSE))</f>
        <v xml:space="preserve">        </v>
      </c>
      <c r="BJ117" s="442" t="str">
        <f>(VLOOKUP(A117,TradesEquity!$1:$1048576,39,FALSE))</f>
        <v xml:space="preserve">        </v>
      </c>
      <c r="BK117" s="442" t="str">
        <f>(VLOOKUP(A117,TradesEquity!$1:$1048576,40,FALSE))</f>
        <v>HKBAAU2SSYD</v>
      </c>
    </row>
    <row r="118" spans="1:63">
      <c r="A118" s="502">
        <v>2019200361</v>
      </c>
      <c r="D118" s="432" t="s">
        <v>2027</v>
      </c>
      <c r="F118" s="433">
        <f>VLOOKUP(A118,TradesEquity!$1:$1048576,2,FALSE)</f>
        <v>44159</v>
      </c>
      <c r="H118" s="433">
        <f>VLOOKUP(A118,TradesEquity!$1:$1048576,21,FALSE)</f>
        <v>44161</v>
      </c>
      <c r="I118" s="434" t="str">
        <f>IF(VLOOKUP(A118,TradesEquity!$1:$1048576,3,FALSE)="BUY","B","S")</f>
        <v>B</v>
      </c>
      <c r="J118" s="434" t="str">
        <f>VLOOKUP(A118,TradesEquity!$1:$1048576,5,FALSE)</f>
        <v>JP3368000000</v>
      </c>
      <c r="K118" s="432" t="s">
        <v>19</v>
      </c>
      <c r="L118" s="435" t="s">
        <v>2028</v>
      </c>
      <c r="AE118" s="436" t="str">
        <f>VLOOKUP(A118,TradesEquity!$1:$1048576,10,FALSE)</f>
        <v>JPY</v>
      </c>
      <c r="AF118" s="436" t="str">
        <f t="shared" si="4"/>
        <v>JPY</v>
      </c>
      <c r="AG118" s="436" t="str">
        <f t="shared" si="4"/>
        <v>JPY</v>
      </c>
      <c r="AH118" s="436" t="str">
        <f t="shared" si="4"/>
        <v>JPY</v>
      </c>
      <c r="AI118" s="436">
        <f>ABS(VLOOKUP(A118,TradesEquity!$1:$1048576,13,FALSE))</f>
        <v>11000</v>
      </c>
      <c r="AJ118" s="437">
        <v>0</v>
      </c>
      <c r="AK118" s="437">
        <v>1</v>
      </c>
      <c r="AL118" s="436">
        <f>VLOOKUP(A118,TradesEquity!$1:$1048576,11,FALSE)</f>
        <v>1951.07536</v>
      </c>
      <c r="AM118" s="437">
        <v>1</v>
      </c>
      <c r="AN118" s="436">
        <f>ABS(VLOOKUP(A118,TradesEquity!$1:$1048576,14,FALSE))</f>
        <v>21461828.960000001</v>
      </c>
      <c r="AO118" s="436">
        <f>ABS(VLOOKUP(A118,TradesEquity!$1:$1048576,15,FALSE))</f>
        <v>12877</v>
      </c>
      <c r="AP118" s="438">
        <f>ABS(VLOOKUP(A118,TradesEquity!$1:$1048576,16,FALSE))</f>
        <v>0</v>
      </c>
      <c r="AQ118" s="367">
        <v>0</v>
      </c>
      <c r="AR118" s="367">
        <v>0</v>
      </c>
      <c r="AS118" s="367">
        <v>0</v>
      </c>
      <c r="AT118" s="367">
        <v>0</v>
      </c>
      <c r="AU118" s="367">
        <v>0</v>
      </c>
      <c r="AV118" s="438">
        <f>ABS(VLOOKUP(A118,TradesEquity!$1:$1048576,18,FALSE))</f>
        <v>21474705.960000001</v>
      </c>
      <c r="AW118" s="439">
        <v>0</v>
      </c>
      <c r="AX118" s="440">
        <v>4542</v>
      </c>
      <c r="AY118" s="441" t="s">
        <v>2029</v>
      </c>
      <c r="AZ118" s="442" t="str">
        <f>(VLOOKUP(A118,TradesEquity!$1:$1048576,29,FALSE))</f>
        <v>GSILGB2XXXX</v>
      </c>
      <c r="BA118" s="442" t="str">
        <f>(VLOOKUP(A118,TradesEquity!$1:$1048576,30,FALSE))</f>
        <v>JJSDJPJTXXX</v>
      </c>
      <c r="BB118" s="442">
        <f>(VLOOKUP(A118,TradesEquity!$1:$1048576,31,FALSE))</f>
        <v>6530490016</v>
      </c>
      <c r="BC118" s="442" t="str">
        <f>(VLOOKUP(A118,TradesEquity!$1:$1048576,32,FALSE))</f>
        <v>N</v>
      </c>
      <c r="BI118" s="442" t="str">
        <f>(VLOOKUP(A118,TradesEquity!$1:$1048576,38,FALSE))</f>
        <v xml:space="preserve">                  </v>
      </c>
      <c r="BJ118" s="442" t="str">
        <f>(VLOOKUP(A118,TradesEquity!$1:$1048576,39,FALSE))</f>
        <v xml:space="preserve">                          </v>
      </c>
      <c r="BK118" s="442" t="str">
        <f>(VLOOKUP(A118,TradesEquity!$1:$1048576,40,FALSE))</f>
        <v>GOLDJPJXXXX</v>
      </c>
    </row>
    <row r="119" spans="1:63">
      <c r="A119" s="502">
        <v>2019200362</v>
      </c>
      <c r="D119" s="432" t="s">
        <v>2027</v>
      </c>
      <c r="F119" s="433">
        <f>VLOOKUP(A119,TradesEquity!$1:$1048576,2,FALSE)</f>
        <v>44159</v>
      </c>
      <c r="H119" s="433">
        <f>VLOOKUP(A119,TradesEquity!$1:$1048576,21,FALSE)</f>
        <v>44161</v>
      </c>
      <c r="I119" s="434" t="str">
        <f>IF(VLOOKUP(A119,TradesEquity!$1:$1048576,3,FALSE)="BUY","B","S")</f>
        <v>S</v>
      </c>
      <c r="J119" s="434" t="str">
        <f>VLOOKUP(A119,TradesEquity!$1:$1048576,5,FALSE)</f>
        <v>DE000A2E4LE9</v>
      </c>
      <c r="K119" s="432" t="s">
        <v>19</v>
      </c>
      <c r="L119" s="435" t="s">
        <v>2028</v>
      </c>
      <c r="AE119" s="436" t="str">
        <f>VLOOKUP(A119,TradesEquity!$1:$1048576,10,FALSE)</f>
        <v>EUR</v>
      </c>
      <c r="AF119" s="436" t="str">
        <f t="shared" si="4"/>
        <v>EUR</v>
      </c>
      <c r="AG119" s="436" t="str">
        <f t="shared" si="4"/>
        <v>EUR</v>
      </c>
      <c r="AH119" s="436" t="str">
        <f t="shared" si="4"/>
        <v>EUR</v>
      </c>
      <c r="AI119" s="436">
        <f>ABS(VLOOKUP(A119,TradesEquity!$1:$1048576,13,FALSE))</f>
        <v>5300</v>
      </c>
      <c r="AJ119" s="437">
        <v>0</v>
      </c>
      <c r="AK119" s="437">
        <v>1</v>
      </c>
      <c r="AL119" s="436">
        <f>VLOOKUP(A119,TradesEquity!$1:$1048576,11,FALSE)</f>
        <v>5.2982300000000002</v>
      </c>
      <c r="AM119" s="437">
        <v>1</v>
      </c>
      <c r="AN119" s="436">
        <f>ABS(VLOOKUP(A119,TradesEquity!$1:$1048576,14,FALSE))</f>
        <v>28080.619000000002</v>
      </c>
      <c r="AO119" s="436">
        <f>ABS(VLOOKUP(A119,TradesEquity!$1:$1048576,15,FALSE))</f>
        <v>16.850000000000001</v>
      </c>
      <c r="AP119" s="438">
        <f>ABS(VLOOKUP(A119,TradesEquity!$1:$1048576,16,FALSE))</f>
        <v>0</v>
      </c>
      <c r="AQ119" s="367">
        <v>0</v>
      </c>
      <c r="AR119" s="367">
        <v>0</v>
      </c>
      <c r="AS119" s="367">
        <v>0</v>
      </c>
      <c r="AT119" s="367">
        <v>0</v>
      </c>
      <c r="AU119" s="367">
        <v>0</v>
      </c>
      <c r="AV119" s="438">
        <f>ABS(VLOOKUP(A119,TradesEquity!$1:$1048576,18,FALSE))</f>
        <v>28063.769000000004</v>
      </c>
      <c r="AW119" s="439">
        <v>0</v>
      </c>
      <c r="AX119" s="440">
        <v>4542</v>
      </c>
      <c r="AY119" s="441" t="s">
        <v>2029</v>
      </c>
      <c r="AZ119" s="442" t="str">
        <f>(VLOOKUP(A119,TradesEquity!$1:$1048576,29,FALSE))</f>
        <v>GSILGB2XXXX</v>
      </c>
      <c r="BA119" s="442" t="str">
        <f>(VLOOKUP(A119,TradesEquity!$1:$1048576,30,FALSE))</f>
        <v>DAKVDEFFXXX</v>
      </c>
      <c r="BB119" s="442" t="str">
        <f>(VLOOKUP(A119,TradesEquity!$1:$1048576,31,FALSE))</f>
        <v>DAKV7372000</v>
      </c>
      <c r="BC119" s="442" t="str">
        <f>(VLOOKUP(A119,TradesEquity!$1:$1048576,32,FALSE))</f>
        <v>N</v>
      </c>
      <c r="BI119" s="442" t="str">
        <f>(VLOOKUP(A119,TradesEquity!$1:$1048576,38,FALSE))</f>
        <v xml:space="preserve">        </v>
      </c>
      <c r="BJ119" s="442" t="str">
        <f>(VLOOKUP(A119,TradesEquity!$1:$1048576,39,FALSE))</f>
        <v xml:space="preserve">        </v>
      </c>
      <c r="BK119" s="442" t="str">
        <f>(VLOOKUP(A119,TradesEquity!$1:$1048576,40,FALSE))</f>
        <v>CITIDEFFXXX</v>
      </c>
    </row>
    <row r="120" spans="1:63">
      <c r="A120" s="502">
        <v>2019200363</v>
      </c>
      <c r="D120" s="432" t="s">
        <v>2027</v>
      </c>
      <c r="F120" s="433">
        <f>VLOOKUP(A120,TradesEquity!$1:$1048576,2,FALSE)</f>
        <v>44159</v>
      </c>
      <c r="H120" s="433">
        <f>VLOOKUP(A120,TradesEquity!$1:$1048576,21,FALSE)</f>
        <v>44162</v>
      </c>
      <c r="I120" s="434" t="str">
        <f>IF(VLOOKUP(A120,TradesEquity!$1:$1048576,3,FALSE)="BUY","B","S")</f>
        <v>S</v>
      </c>
      <c r="J120" s="434" t="str">
        <f>VLOOKUP(A120,TradesEquity!$1:$1048576,5,FALSE)</f>
        <v>US8336351056</v>
      </c>
      <c r="K120" s="432" t="s">
        <v>19</v>
      </c>
      <c r="L120" s="435" t="s">
        <v>2028</v>
      </c>
      <c r="AE120" s="436" t="str">
        <f>VLOOKUP(A120,TradesEquity!$1:$1048576,10,FALSE)</f>
        <v>USD</v>
      </c>
      <c r="AF120" s="436" t="str">
        <f t="shared" si="4"/>
        <v>USD</v>
      </c>
      <c r="AG120" s="436" t="str">
        <f t="shared" si="4"/>
        <v>USD</v>
      </c>
      <c r="AH120" s="436" t="str">
        <f t="shared" si="4"/>
        <v>USD</v>
      </c>
      <c r="AI120" s="436">
        <f>ABS(VLOOKUP(A120,TradesEquity!$1:$1048576,13,FALSE))</f>
        <v>2000</v>
      </c>
      <c r="AJ120" s="437">
        <v>0</v>
      </c>
      <c r="AK120" s="437">
        <v>1</v>
      </c>
      <c r="AL120" s="436">
        <f>VLOOKUP(A120,TradesEquity!$1:$1048576,11,FALSE)</f>
        <v>47.869</v>
      </c>
      <c r="AM120" s="437">
        <v>1</v>
      </c>
      <c r="AN120" s="436">
        <f>ABS(VLOOKUP(A120,TradesEquity!$1:$1048576,14,FALSE))</f>
        <v>95738</v>
      </c>
      <c r="AO120" s="436">
        <f>ABS(VLOOKUP(A120,TradesEquity!$1:$1048576,15,FALSE))</f>
        <v>47.87</v>
      </c>
      <c r="AP120" s="438">
        <f>ABS(VLOOKUP(A120,TradesEquity!$1:$1048576,16,FALSE))</f>
        <v>2.12</v>
      </c>
      <c r="AQ120" s="367">
        <v>0</v>
      </c>
      <c r="AR120" s="367">
        <v>0</v>
      </c>
      <c r="AS120" s="367">
        <v>0</v>
      </c>
      <c r="AT120" s="367">
        <v>0</v>
      </c>
      <c r="AU120" s="367">
        <v>0</v>
      </c>
      <c r="AV120" s="438">
        <f>ABS(VLOOKUP(A120,TradesEquity!$1:$1048576,18,FALSE))</f>
        <v>95688.010000000009</v>
      </c>
      <c r="AW120" s="439">
        <v>0</v>
      </c>
      <c r="AX120" s="440">
        <v>4542</v>
      </c>
      <c r="AY120" s="441" t="s">
        <v>2029</v>
      </c>
      <c r="AZ120" s="442" t="str">
        <f>(VLOOKUP(A120,TradesEquity!$1:$1048576,29,FALSE))</f>
        <v>GSILGB2XXXX</v>
      </c>
      <c r="BA120" s="442" t="str">
        <f>(VLOOKUP(A120,TradesEquity!$1:$1048576,30,FALSE))</f>
        <v>DTCYUS33</v>
      </c>
      <c r="BB120" s="442" t="str">
        <f>(VLOOKUP(A120,TradesEquity!$1:$1048576,31,FALSE))</f>
        <v xml:space="preserve">        </v>
      </c>
      <c r="BC120" s="442" t="str">
        <f>(VLOOKUP(A120,TradesEquity!$1:$1048576,32,FALSE))</f>
        <v>N</v>
      </c>
      <c r="BI120" s="442" t="str">
        <f>(VLOOKUP(A120,TradesEquity!$1:$1048576,38,FALSE))</f>
        <v>DTCYID</v>
      </c>
      <c r="BJ120" s="442">
        <f>(VLOOKUP(A120,TradesEquity!$1:$1048576,39,FALSE))</f>
        <v>5208</v>
      </c>
      <c r="BK120" s="442" t="str">
        <f>(VLOOKUP(A120,TradesEquity!$1:$1048576,40,FALSE))</f>
        <v xml:space="preserve">        </v>
      </c>
    </row>
    <row r="121" spans="1:63">
      <c r="A121" s="502">
        <v>2019200364</v>
      </c>
      <c r="D121" s="432" t="s">
        <v>2027</v>
      </c>
      <c r="F121" s="433">
        <f>VLOOKUP(A121,TradesEquity!$1:$1048576,2,FALSE)</f>
        <v>44160</v>
      </c>
      <c r="H121" s="433">
        <f>VLOOKUP(A121,TradesEquity!$1:$1048576,21,FALSE)</f>
        <v>44162</v>
      </c>
      <c r="I121" s="434" t="str">
        <f>IF(VLOOKUP(A121,TradesEquity!$1:$1048576,3,FALSE)="BUY","B","S")</f>
        <v>S</v>
      </c>
      <c r="J121" s="434" t="str">
        <f>VLOOKUP(A121,TradesEquity!$1:$1048576,5,FALSE)</f>
        <v>DE000A2E4LE9</v>
      </c>
      <c r="K121" s="432" t="s">
        <v>19</v>
      </c>
      <c r="L121" s="435" t="s">
        <v>2028</v>
      </c>
      <c r="AE121" s="436" t="str">
        <f>VLOOKUP(A121,TradesEquity!$1:$1048576,10,FALSE)</f>
        <v>EUR</v>
      </c>
      <c r="AF121" s="436" t="str">
        <f t="shared" si="4"/>
        <v>EUR</v>
      </c>
      <c r="AG121" s="436" t="str">
        <f t="shared" si="4"/>
        <v>EUR</v>
      </c>
      <c r="AH121" s="436" t="str">
        <f t="shared" si="4"/>
        <v>EUR</v>
      </c>
      <c r="AI121" s="436">
        <f>ABS(VLOOKUP(A121,TradesEquity!$1:$1048576,13,FALSE))</f>
        <v>11000</v>
      </c>
      <c r="AJ121" s="437">
        <v>0</v>
      </c>
      <c r="AK121" s="437">
        <v>1</v>
      </c>
      <c r="AL121" s="436">
        <f>VLOOKUP(A121,TradesEquity!$1:$1048576,11,FALSE)</f>
        <v>5.7228000000000003</v>
      </c>
      <c r="AM121" s="437">
        <v>1</v>
      </c>
      <c r="AN121" s="436">
        <f>ABS(VLOOKUP(A121,TradesEquity!$1:$1048576,14,FALSE))</f>
        <v>62950.8</v>
      </c>
      <c r="AO121" s="436">
        <f>ABS(VLOOKUP(A121,TradesEquity!$1:$1048576,15,FALSE))</f>
        <v>37.770000000000003</v>
      </c>
      <c r="AP121" s="438">
        <f>ABS(VLOOKUP(A121,TradesEquity!$1:$1048576,16,FALSE))</f>
        <v>0</v>
      </c>
      <c r="AQ121" s="367">
        <v>0</v>
      </c>
      <c r="AR121" s="367">
        <v>0</v>
      </c>
      <c r="AS121" s="367">
        <v>0</v>
      </c>
      <c r="AT121" s="367">
        <v>0</v>
      </c>
      <c r="AU121" s="367">
        <v>0</v>
      </c>
      <c r="AV121" s="438">
        <f>ABS(VLOOKUP(A121,TradesEquity!$1:$1048576,18,FALSE))</f>
        <v>62913.030000000006</v>
      </c>
      <c r="AW121" s="439">
        <v>0</v>
      </c>
      <c r="AX121" s="440">
        <v>4542</v>
      </c>
      <c r="AY121" s="441" t="s">
        <v>2029</v>
      </c>
      <c r="AZ121" s="442" t="str">
        <f>(VLOOKUP(A121,TradesEquity!$1:$1048576,29,FALSE))</f>
        <v>GSILGB2XXXX</v>
      </c>
      <c r="BA121" s="442" t="str">
        <f>(VLOOKUP(A121,TradesEquity!$1:$1048576,30,FALSE))</f>
        <v>DAKVDEFFXXX</v>
      </c>
      <c r="BB121" s="442" t="str">
        <f>(VLOOKUP(A121,TradesEquity!$1:$1048576,31,FALSE))</f>
        <v>DAKV7372000</v>
      </c>
      <c r="BC121" s="442" t="str">
        <f>(VLOOKUP(A121,TradesEquity!$1:$1048576,32,FALSE))</f>
        <v>N</v>
      </c>
      <c r="BI121" s="442" t="str">
        <f>(VLOOKUP(A121,TradesEquity!$1:$1048576,38,FALSE))</f>
        <v xml:space="preserve">        </v>
      </c>
      <c r="BJ121" s="442" t="str">
        <f>(VLOOKUP(A121,TradesEquity!$1:$1048576,39,FALSE))</f>
        <v xml:space="preserve">        </v>
      </c>
      <c r="BK121" s="442" t="str">
        <f>(VLOOKUP(A121,TradesEquity!$1:$1048576,40,FALSE))</f>
        <v>CITIDEFFXXX</v>
      </c>
    </row>
    <row r="122" spans="1:63">
      <c r="A122" s="502">
        <v>2019200365</v>
      </c>
      <c r="D122" s="432" t="s">
        <v>2027</v>
      </c>
      <c r="F122" s="433">
        <f>VLOOKUP(A122,TradesEquity!$1:$1048576,2,FALSE)</f>
        <v>44162</v>
      </c>
      <c r="H122" s="433">
        <f>VLOOKUP(A122,TradesEquity!$1:$1048576,21,FALSE)</f>
        <v>44166</v>
      </c>
      <c r="I122" s="434" t="str">
        <f>IF(VLOOKUP(A122,TradesEquity!$1:$1048576,3,FALSE)="BUY","B","S")</f>
        <v>S</v>
      </c>
      <c r="J122" s="434" t="str">
        <f>VLOOKUP(A122,TradesEquity!$1:$1048576,5,FALSE)</f>
        <v>IT0005424830</v>
      </c>
      <c r="K122" s="432" t="s">
        <v>19</v>
      </c>
      <c r="L122" s="435" t="s">
        <v>2028</v>
      </c>
      <c r="AE122" s="436" t="str">
        <f>VLOOKUP(A122,TradesEquity!$1:$1048576,10,FALSE)</f>
        <v>EUR</v>
      </c>
      <c r="AF122" s="436" t="str">
        <f t="shared" si="4"/>
        <v>EUR</v>
      </c>
      <c r="AG122" s="436" t="str">
        <f t="shared" si="4"/>
        <v>EUR</v>
      </c>
      <c r="AH122" s="436" t="str">
        <f t="shared" si="4"/>
        <v>EUR</v>
      </c>
      <c r="AI122" s="436">
        <f>ABS(VLOOKUP(A122,TradesEquity!$1:$1048576,13,FALSE))</f>
        <v>11000</v>
      </c>
      <c r="AJ122" s="437">
        <v>0</v>
      </c>
      <c r="AK122" s="437">
        <v>1</v>
      </c>
      <c r="AL122" s="436">
        <f>VLOOKUP(A122,TradesEquity!$1:$1048576,11,FALSE)</f>
        <v>2.4263599999999999</v>
      </c>
      <c r="AM122" s="437">
        <v>1</v>
      </c>
      <c r="AN122" s="436">
        <f>ABS(VLOOKUP(A122,TradesEquity!$1:$1048576,14,FALSE))</f>
        <v>26689.96</v>
      </c>
      <c r="AO122" s="436">
        <f>ABS(VLOOKUP(A122,TradesEquity!$1:$1048576,15,FALSE))</f>
        <v>16.010000000000002</v>
      </c>
      <c r="AP122" s="438">
        <f>ABS(VLOOKUP(A122,TradesEquity!$1:$1048576,16,FALSE))</f>
        <v>0</v>
      </c>
      <c r="AQ122" s="367">
        <v>0</v>
      </c>
      <c r="AR122" s="367">
        <v>0</v>
      </c>
      <c r="AS122" s="367">
        <v>0</v>
      </c>
      <c r="AT122" s="367">
        <v>0</v>
      </c>
      <c r="AU122" s="367">
        <v>0</v>
      </c>
      <c r="AV122" s="438">
        <f>ABS(VLOOKUP(A122,TradesEquity!$1:$1048576,18,FALSE))</f>
        <v>26673.95</v>
      </c>
      <c r="AW122" s="439">
        <v>0</v>
      </c>
      <c r="AX122" s="440">
        <v>4542</v>
      </c>
      <c r="AY122" s="441" t="s">
        <v>2029</v>
      </c>
      <c r="AZ122" s="442" t="str">
        <f>(VLOOKUP(A122,TradesEquity!$1:$1048576,29,FALSE))</f>
        <v>GSILGB2XXXX</v>
      </c>
      <c r="BA122" s="442" t="str">
        <f>(VLOOKUP(A122,TradesEquity!$1:$1048576,30,FALSE))</f>
        <v>MOTIITMMXXX</v>
      </c>
      <c r="BB122" s="442" t="str">
        <f>(VLOOKUP(A122,TradesEquity!$1:$1048576,31,FALSE))</f>
        <v>MOTICITIITMXXXX6013800</v>
      </c>
      <c r="BC122" s="442" t="str">
        <f>(VLOOKUP(A122,TradesEquity!$1:$1048576,32,FALSE))</f>
        <v>N</v>
      </c>
      <c r="BI122" s="442" t="str">
        <f>(VLOOKUP(A122,TradesEquity!$1:$1048576,38,FALSE))</f>
        <v xml:space="preserve">        </v>
      </c>
      <c r="BJ122" s="442" t="str">
        <f>(VLOOKUP(A122,TradesEquity!$1:$1048576,39,FALSE))</f>
        <v xml:space="preserve">        </v>
      </c>
      <c r="BK122" s="442" t="str">
        <f>(VLOOKUP(A122,TradesEquity!$1:$1048576,40,FALSE))</f>
        <v>CITIITM1012</v>
      </c>
    </row>
    <row r="123" spans="1:63">
      <c r="A123" s="502">
        <v>2019200366</v>
      </c>
      <c r="D123" s="432" t="s">
        <v>2027</v>
      </c>
      <c r="F123" s="433">
        <f>VLOOKUP(A123,TradesEquity!$1:$1048576,2,FALSE)</f>
        <v>44166</v>
      </c>
      <c r="H123" s="433">
        <f>VLOOKUP(A123,TradesEquity!$1:$1048576,21,FALSE)</f>
        <v>44168</v>
      </c>
      <c r="I123" s="434" t="str">
        <f>IF(VLOOKUP(A123,TradesEquity!$1:$1048576,3,FALSE)="BUY","B","S")</f>
        <v>S</v>
      </c>
      <c r="J123" s="434" t="str">
        <f>VLOOKUP(A123,TradesEquity!$1:$1048576,5,FALSE)</f>
        <v>CH0110303119</v>
      </c>
      <c r="K123" s="432" t="s">
        <v>19</v>
      </c>
      <c r="L123" s="435" t="s">
        <v>2028</v>
      </c>
      <c r="AE123" s="436" t="str">
        <f>VLOOKUP(A123,TradesEquity!$1:$1048576,10,FALSE)</f>
        <v>CHF</v>
      </c>
      <c r="AF123" s="436" t="str">
        <f t="shared" si="4"/>
        <v>CHF</v>
      </c>
      <c r="AG123" s="436" t="str">
        <f t="shared" si="4"/>
        <v>CHF</v>
      </c>
      <c r="AH123" s="436" t="str">
        <f t="shared" si="4"/>
        <v>CHF</v>
      </c>
      <c r="AI123" s="436">
        <f>ABS(VLOOKUP(A123,TradesEquity!$1:$1048576,13,FALSE))</f>
        <v>103195</v>
      </c>
      <c r="AJ123" s="437">
        <v>0</v>
      </c>
      <c r="AK123" s="437">
        <v>1</v>
      </c>
      <c r="AL123" s="436">
        <f>VLOOKUP(A123,TradesEquity!$1:$1048576,11,FALSE)</f>
        <v>1.15798</v>
      </c>
      <c r="AM123" s="437">
        <v>1</v>
      </c>
      <c r="AN123" s="436">
        <f>ABS(VLOOKUP(A123,TradesEquity!$1:$1048576,14,FALSE))</f>
        <v>119497.7461</v>
      </c>
      <c r="AO123" s="436">
        <f>ABS(VLOOKUP(A123,TradesEquity!$1:$1048576,15,FALSE))</f>
        <v>71.7</v>
      </c>
      <c r="AP123" s="438">
        <f>ABS(VLOOKUP(A123,TradesEquity!$1:$1048576,16,FALSE))</f>
        <v>0</v>
      </c>
      <c r="AQ123" s="367">
        <v>0</v>
      </c>
      <c r="AR123" s="367">
        <v>0</v>
      </c>
      <c r="AS123" s="367">
        <v>0</v>
      </c>
      <c r="AT123" s="367">
        <v>0</v>
      </c>
      <c r="AU123" s="367">
        <v>0</v>
      </c>
      <c r="AV123" s="438">
        <f>ABS(VLOOKUP(A123,TradesEquity!$1:$1048576,18,FALSE))</f>
        <v>119426.04610000001</v>
      </c>
      <c r="AW123" s="439">
        <v>0</v>
      </c>
      <c r="AX123" s="440">
        <v>4542</v>
      </c>
      <c r="AY123" s="441" t="s">
        <v>2029</v>
      </c>
      <c r="AZ123" s="442" t="str">
        <f>(VLOOKUP(A123,TradesEquity!$1:$1048576,29,FALSE))</f>
        <v>GSILGB2XXXX</v>
      </c>
      <c r="BA123" s="442" t="str">
        <f>(VLOOKUP(A123,TradesEquity!$1:$1048576,30,FALSE))</f>
        <v>INSECHZZ</v>
      </c>
      <c r="BB123" s="442">
        <f>(VLOOKUP(A123,TradesEquity!$1:$1048576,31,FALSE))</f>
        <v>20319455</v>
      </c>
      <c r="BC123" s="442" t="str">
        <f>(VLOOKUP(A123,TradesEquity!$1:$1048576,32,FALSE))</f>
        <v>N</v>
      </c>
      <c r="BI123" s="442" t="str">
        <f>(VLOOKUP(A123,TradesEquity!$1:$1048576,38,FALSE))</f>
        <v>SCOM</v>
      </c>
      <c r="BJ123" s="442" t="str">
        <f>(VLOOKUP(A123,TradesEquity!$1:$1048576,39,FALSE))</f>
        <v>GB102183</v>
      </c>
      <c r="BK123" s="442" t="str">
        <f>(VLOOKUP(A123,TradesEquity!$1:$1048576,40,FALSE))</f>
        <v>GSILGB2XXXX</v>
      </c>
    </row>
    <row r="124" spans="1:63">
      <c r="A124" s="502">
        <v>2019200367</v>
      </c>
      <c r="D124" s="432" t="s">
        <v>2027</v>
      </c>
      <c r="F124" s="433">
        <f>VLOOKUP(A124,TradesEquity!$1:$1048576,2,FALSE)</f>
        <v>44165</v>
      </c>
      <c r="H124" s="433">
        <f>VLOOKUP(A124,TradesEquity!$1:$1048576,21,FALSE)</f>
        <v>44167</v>
      </c>
      <c r="I124" s="434" t="str">
        <f>IF(VLOOKUP(A124,TradesEquity!$1:$1048576,3,FALSE)="BUY","B","S")</f>
        <v>B</v>
      </c>
      <c r="J124" s="434" t="str">
        <f>VLOOKUP(A124,TradesEquity!$1:$1048576,5,FALSE)</f>
        <v>GG00B4TM3943</v>
      </c>
      <c r="K124" s="432" t="s">
        <v>19</v>
      </c>
      <c r="L124" s="435" t="s">
        <v>2028</v>
      </c>
      <c r="AE124" s="436" t="str">
        <f>VLOOKUP(A124,TradesEquity!$1:$1048576,10,FALSE)</f>
        <v>GBp</v>
      </c>
      <c r="AF124" s="436" t="str">
        <f t="shared" si="4"/>
        <v>GBp</v>
      </c>
      <c r="AG124" s="436" t="str">
        <f t="shared" si="4"/>
        <v>GBp</v>
      </c>
      <c r="AH124" s="436" t="str">
        <f t="shared" si="4"/>
        <v>GBp</v>
      </c>
      <c r="AI124" s="436">
        <f>ABS(VLOOKUP(A124,TradesEquity!$1:$1048576,13,FALSE))</f>
        <v>420000</v>
      </c>
      <c r="AJ124" s="437">
        <v>0</v>
      </c>
      <c r="AK124" s="437">
        <v>1</v>
      </c>
      <c r="AL124" s="436">
        <f>VLOOKUP(A124,TradesEquity!$1:$1048576,11,FALSE)</f>
        <v>0.126</v>
      </c>
      <c r="AM124" s="437">
        <v>1</v>
      </c>
      <c r="AN124" s="436">
        <f>ABS(VLOOKUP(A124,TradesEquity!$1:$1048576,14,FALSE))</f>
        <v>52920</v>
      </c>
      <c r="AO124" s="436">
        <f>ABS(VLOOKUP(A124,TradesEquity!$1:$1048576,15,FALSE))</f>
        <v>31.75</v>
      </c>
      <c r="AP124" s="438">
        <f>ABS(VLOOKUP(A124,TradesEquity!$1:$1048576,16,FALSE))</f>
        <v>1</v>
      </c>
      <c r="AQ124" s="367">
        <v>0</v>
      </c>
      <c r="AR124" s="367">
        <v>0</v>
      </c>
      <c r="AS124" s="367">
        <v>0</v>
      </c>
      <c r="AT124" s="367">
        <v>0</v>
      </c>
      <c r="AU124" s="367">
        <v>0</v>
      </c>
      <c r="AV124" s="438">
        <f>ABS(VLOOKUP(A124,TradesEquity!$1:$1048576,18,FALSE))</f>
        <v>52952.75</v>
      </c>
      <c r="AW124" s="439">
        <v>0</v>
      </c>
      <c r="AX124" s="440">
        <v>4542</v>
      </c>
      <c r="AY124" s="441" t="s">
        <v>2029</v>
      </c>
      <c r="AZ124" s="442" t="str">
        <f>(VLOOKUP(A124,TradesEquity!$1:$1048576,29,FALSE))</f>
        <v>GSILGB2XXXX</v>
      </c>
      <c r="BA124" s="442" t="str">
        <f>(VLOOKUP(A124,TradesEquity!$1:$1048576,30,FALSE))</f>
        <v>CRSTGB22</v>
      </c>
      <c r="BB124" s="442" t="str">
        <f>(VLOOKUP(A124,TradesEquity!$1:$1048576,31,FALSE))</f>
        <v xml:space="preserve">        </v>
      </c>
      <c r="BC124" s="442" t="str">
        <f>(VLOOKUP(A124,TradesEquity!$1:$1048576,32,FALSE))</f>
        <v>N</v>
      </c>
      <c r="BI124" s="442" t="str">
        <f>(VLOOKUP(A124,TradesEquity!$1:$1048576,38,FALSE))</f>
        <v>CRST</v>
      </c>
      <c r="BJ124" s="442">
        <f>(VLOOKUP(A124,TradesEquity!$1:$1048576,39,FALSE))</f>
        <v>303</v>
      </c>
      <c r="BK124" s="442" t="str">
        <f>(VLOOKUP(A124,TradesEquity!$1:$1048576,40,FALSE))</f>
        <v>GSILGB2XXXX</v>
      </c>
    </row>
    <row r="125" spans="1:63" s="537" customFormat="1">
      <c r="A125" s="536">
        <f>(A124+1)</f>
        <v>2019200368</v>
      </c>
      <c r="D125" s="432" t="s">
        <v>2027</v>
      </c>
      <c r="F125" s="538">
        <f>VLOOKUP(A125,TradesEquity!$1:$1048576,2,FALSE)</f>
        <v>44166</v>
      </c>
      <c r="H125" s="538">
        <f>VLOOKUP(A125,TradesEquity!$1:$1048576,21,FALSE)</f>
        <v>44168</v>
      </c>
      <c r="I125" s="539" t="str">
        <f>IF(VLOOKUP(A125,TradesEquity!$1:$1048576,3,FALSE)="BUY","B","S")</f>
        <v>S</v>
      </c>
      <c r="J125" s="539" t="str">
        <f>VLOOKUP(A125,TradesEquity!$1:$1048576,5,FALSE)</f>
        <v>US92336X1090</v>
      </c>
      <c r="K125" s="432" t="s">
        <v>19</v>
      </c>
      <c r="L125" s="435" t="s">
        <v>2028</v>
      </c>
      <c r="AE125" s="540" t="str">
        <f>VLOOKUP(A125,TradesEquity!$1:$1048576,10,FALSE)</f>
        <v>USD</v>
      </c>
      <c r="AF125" s="540" t="str">
        <f t="shared" si="4"/>
        <v>USD</v>
      </c>
      <c r="AG125" s="540" t="str">
        <f t="shared" si="4"/>
        <v>USD</v>
      </c>
      <c r="AH125" s="540" t="str">
        <f t="shared" si="4"/>
        <v>USD</v>
      </c>
      <c r="AI125" s="540">
        <f>ABS(VLOOKUP(A125,TradesEquity!$1:$1048576,13,FALSE))</f>
        <v>6300</v>
      </c>
      <c r="AJ125" s="437">
        <v>0</v>
      </c>
      <c r="AK125" s="437">
        <v>1</v>
      </c>
      <c r="AL125" s="540">
        <f>VLOOKUP(A125,TradesEquity!$1:$1048576,11,FALSE)</f>
        <v>20.253779999999999</v>
      </c>
      <c r="AM125" s="437">
        <v>1</v>
      </c>
      <c r="AN125" s="540">
        <f>ABS(VLOOKUP(A125,TradesEquity!$1:$1048576,14,FALSE))</f>
        <v>127598.814</v>
      </c>
      <c r="AO125" s="540">
        <f>ABS(VLOOKUP(A125,TradesEquity!$1:$1048576,15,FALSE))</f>
        <v>63.8</v>
      </c>
      <c r="AP125" s="437">
        <f>ABS(VLOOKUP(A125,TradesEquity!$1:$1048576,16,FALSE))</f>
        <v>2.82</v>
      </c>
      <c r="AQ125" s="541">
        <v>0</v>
      </c>
      <c r="AR125" s="541">
        <v>0</v>
      </c>
      <c r="AS125" s="541">
        <v>0</v>
      </c>
      <c r="AT125" s="541">
        <v>0</v>
      </c>
      <c r="AU125" s="541">
        <v>0</v>
      </c>
      <c r="AV125" s="437">
        <f>ABS(VLOOKUP(A125,TradesEquity!$1:$1048576,18,FALSE))</f>
        <v>127532.19399999999</v>
      </c>
      <c r="AW125" s="541">
        <v>0</v>
      </c>
      <c r="AX125" s="542">
        <v>4542</v>
      </c>
      <c r="AY125" s="435" t="s">
        <v>2029</v>
      </c>
      <c r="AZ125" s="437" t="str">
        <f>(VLOOKUP(A125,TradesEquity!$1:$1048576,29,FALSE))</f>
        <v>GSILGB2XXXX</v>
      </c>
      <c r="BA125" s="437" t="str">
        <f>(VLOOKUP(A125,TradesEquity!$1:$1048576,30,FALSE))</f>
        <v>DTCYUS33</v>
      </c>
      <c r="BB125" s="437" t="str">
        <f>(VLOOKUP(A125,TradesEquity!$1:$1048576,31,FALSE))</f>
        <v xml:space="preserve">        </v>
      </c>
      <c r="BC125" s="437" t="str">
        <f>(VLOOKUP(A125,TradesEquity!$1:$1048576,32,FALSE))</f>
        <v>N</v>
      </c>
      <c r="BI125" s="437" t="str">
        <f>(VLOOKUP(A125,TradesEquity!$1:$1048576,38,FALSE))</f>
        <v>DTCYID</v>
      </c>
      <c r="BJ125" s="437">
        <f>(VLOOKUP(A125,TradesEquity!$1:$1048576,39,FALSE))</f>
        <v>5208</v>
      </c>
      <c r="BK125" s="437" t="str">
        <f>(VLOOKUP(A125,TradesEquity!$1:$1048576,40,FALSE))</f>
        <v xml:space="preserve">        </v>
      </c>
    </row>
    <row r="126" spans="1:63" s="537" customFormat="1">
      <c r="A126" s="536">
        <f t="shared" ref="A126:A143" si="5">(A125+1)</f>
        <v>2019200369</v>
      </c>
      <c r="D126" s="432" t="s">
        <v>2027</v>
      </c>
      <c r="F126" s="538">
        <f>VLOOKUP(A126,TradesEquity!$1:$1048576,2,FALSE)</f>
        <v>44167</v>
      </c>
      <c r="H126" s="538">
        <f>VLOOKUP(A126,TradesEquity!$1:$1048576,21,FALSE)</f>
        <v>44169</v>
      </c>
      <c r="I126" s="539" t="str">
        <f>IF(VLOOKUP(A126,TradesEquity!$1:$1048576,3,FALSE)="BUY","B","S")</f>
        <v>S</v>
      </c>
      <c r="J126" s="539" t="str">
        <f>VLOOKUP(A126,TradesEquity!$1:$1048576,5,FALSE)</f>
        <v>AU000000SYR9</v>
      </c>
      <c r="K126" s="432" t="s">
        <v>19</v>
      </c>
      <c r="L126" s="435" t="s">
        <v>2028</v>
      </c>
      <c r="AE126" s="540" t="str">
        <f>VLOOKUP(A126,TradesEquity!$1:$1048576,10,FALSE)</f>
        <v>AUD</v>
      </c>
      <c r="AF126" s="540" t="str">
        <f t="shared" si="4"/>
        <v>AUD</v>
      </c>
      <c r="AG126" s="540" t="str">
        <f t="shared" si="4"/>
        <v>AUD</v>
      </c>
      <c r="AH126" s="540" t="str">
        <f t="shared" si="4"/>
        <v>AUD</v>
      </c>
      <c r="AI126" s="540">
        <f>ABS(VLOOKUP(A126,TradesEquity!$1:$1048576,13,FALSE))</f>
        <v>170000</v>
      </c>
      <c r="AJ126" s="437">
        <v>0</v>
      </c>
      <c r="AK126" s="437">
        <v>1</v>
      </c>
      <c r="AL126" s="540">
        <f>VLOOKUP(A126,TradesEquity!$1:$1048576,11,FALSE)</f>
        <v>1.0014700000000001</v>
      </c>
      <c r="AM126" s="437">
        <v>1</v>
      </c>
      <c r="AN126" s="540">
        <f>ABS(VLOOKUP(A126,TradesEquity!$1:$1048576,14,FALSE))</f>
        <v>170249.90000000002</v>
      </c>
      <c r="AO126" s="540">
        <f>ABS(VLOOKUP(A126,TradesEquity!$1:$1048576,15,FALSE))</f>
        <v>102.15</v>
      </c>
      <c r="AP126" s="437">
        <f>ABS(VLOOKUP(A126,TradesEquity!$1:$1048576,16,FALSE))</f>
        <v>0</v>
      </c>
      <c r="AQ126" s="541">
        <v>0</v>
      </c>
      <c r="AR126" s="541">
        <v>0</v>
      </c>
      <c r="AS126" s="541">
        <v>0</v>
      </c>
      <c r="AT126" s="541">
        <v>0</v>
      </c>
      <c r="AU126" s="541">
        <v>0</v>
      </c>
      <c r="AV126" s="437">
        <f>ABS(VLOOKUP(A126,TradesEquity!$1:$1048576,18,FALSE))</f>
        <v>170147.75000000003</v>
      </c>
      <c r="AW126" s="541">
        <v>0</v>
      </c>
      <c r="AX126" s="542">
        <v>4542</v>
      </c>
      <c r="AY126" s="435" t="s">
        <v>2029</v>
      </c>
      <c r="AZ126" s="437" t="str">
        <f>(VLOOKUP(A126,TradesEquity!$1:$1048576,29,FALSE))</f>
        <v>GSILGB2XXXX</v>
      </c>
      <c r="BA126" s="437" t="str">
        <f>(VLOOKUP(A126,TradesEquity!$1:$1048576,30,FALSE))</f>
        <v>CAETAU21</v>
      </c>
      <c r="BB126" s="437" t="str">
        <f>(VLOOKUP(A126,TradesEquity!$1:$1048576,31,FALSE))</f>
        <v>011-109048-061</v>
      </c>
      <c r="BC126" s="437" t="str">
        <f>(VLOOKUP(A126,TradesEquity!$1:$1048576,32,FALSE))</f>
        <v>N</v>
      </c>
      <c r="BI126" s="437" t="str">
        <f>(VLOOKUP(A126,TradesEquity!$1:$1048576,38,FALSE))</f>
        <v xml:space="preserve">        </v>
      </c>
      <c r="BJ126" s="437" t="str">
        <f>(VLOOKUP(A126,TradesEquity!$1:$1048576,39,FALSE))</f>
        <v xml:space="preserve">        </v>
      </c>
      <c r="BK126" s="437" t="str">
        <f>(VLOOKUP(A126,TradesEquity!$1:$1048576,40,FALSE))</f>
        <v>HKBAAU2SSYD</v>
      </c>
    </row>
    <row r="127" spans="1:63" s="537" customFormat="1">
      <c r="A127" s="536">
        <f t="shared" si="5"/>
        <v>2019200370</v>
      </c>
      <c r="D127" s="432" t="s">
        <v>2027</v>
      </c>
      <c r="F127" s="538">
        <f>VLOOKUP(A127,TradesEquity!$1:$1048576,2,FALSE)</f>
        <v>44167</v>
      </c>
      <c r="H127" s="538">
        <f>VLOOKUP(A127,TradesEquity!$1:$1048576,21,FALSE)</f>
        <v>44169</v>
      </c>
      <c r="I127" s="539" t="str">
        <f>IF(VLOOKUP(A127,TradesEquity!$1:$1048576,3,FALSE)="BUY","B","S")</f>
        <v>S</v>
      </c>
      <c r="J127" s="539" t="str">
        <f>VLOOKUP(A127,TradesEquity!$1:$1048576,5,FALSE)</f>
        <v>JP3385820000</v>
      </c>
      <c r="K127" s="432" t="s">
        <v>19</v>
      </c>
      <c r="L127" s="435" t="s">
        <v>2028</v>
      </c>
      <c r="AE127" s="540" t="str">
        <f>VLOOKUP(A127,TradesEquity!$1:$1048576,10,FALSE)</f>
        <v>JPY</v>
      </c>
      <c r="AF127" s="540" t="str">
        <f t="shared" si="4"/>
        <v>JPY</v>
      </c>
      <c r="AG127" s="540" t="str">
        <f t="shared" si="4"/>
        <v>JPY</v>
      </c>
      <c r="AH127" s="540" t="str">
        <f t="shared" si="4"/>
        <v>JPY</v>
      </c>
      <c r="AI127" s="540">
        <f>ABS(VLOOKUP(A127,TradesEquity!$1:$1048576,13,FALSE))</f>
        <v>4200</v>
      </c>
      <c r="AJ127" s="437">
        <v>0</v>
      </c>
      <c r="AK127" s="437">
        <v>1</v>
      </c>
      <c r="AL127" s="540">
        <f>VLOOKUP(A127,TradesEquity!$1:$1048576,11,FALSE)</f>
        <v>2589.8238099999999</v>
      </c>
      <c r="AM127" s="437">
        <v>1</v>
      </c>
      <c r="AN127" s="540">
        <f>ABS(VLOOKUP(A127,TradesEquity!$1:$1048576,14,FALSE))</f>
        <v>10877260.002</v>
      </c>
      <c r="AO127" s="540">
        <f>ABS(VLOOKUP(A127,TradesEquity!$1:$1048576,15,FALSE))</f>
        <v>6526</v>
      </c>
      <c r="AP127" s="437">
        <f>ABS(VLOOKUP(A127,TradesEquity!$1:$1048576,16,FALSE))</f>
        <v>0</v>
      </c>
      <c r="AQ127" s="541">
        <v>0</v>
      </c>
      <c r="AR127" s="541">
        <v>0</v>
      </c>
      <c r="AS127" s="541">
        <v>0</v>
      </c>
      <c r="AT127" s="541">
        <v>0</v>
      </c>
      <c r="AU127" s="541">
        <v>0</v>
      </c>
      <c r="AV127" s="437">
        <f>ABS(VLOOKUP(A127,TradesEquity!$1:$1048576,18,FALSE))</f>
        <v>10870734.002</v>
      </c>
      <c r="AW127" s="541">
        <v>0</v>
      </c>
      <c r="AX127" s="542">
        <v>4542</v>
      </c>
      <c r="AY127" s="435" t="s">
        <v>2029</v>
      </c>
      <c r="AZ127" s="437" t="str">
        <f>(VLOOKUP(A127,TradesEquity!$1:$1048576,29,FALSE))</f>
        <v>GSILGB2XXXX</v>
      </c>
      <c r="BA127" s="437" t="str">
        <f>(VLOOKUP(A127,TradesEquity!$1:$1048576,30,FALSE))</f>
        <v>JJSDJPJTXXX</v>
      </c>
      <c r="BB127" s="437">
        <f>(VLOOKUP(A127,TradesEquity!$1:$1048576,31,FALSE))</f>
        <v>6530490016</v>
      </c>
      <c r="BC127" s="437" t="str">
        <f>(VLOOKUP(A127,TradesEquity!$1:$1048576,32,FALSE))</f>
        <v>N</v>
      </c>
      <c r="BI127" s="437" t="str">
        <f>(VLOOKUP(A127,TradesEquity!$1:$1048576,38,FALSE))</f>
        <v xml:space="preserve">                  </v>
      </c>
      <c r="BJ127" s="437" t="str">
        <f>(VLOOKUP(A127,TradesEquity!$1:$1048576,39,FALSE))</f>
        <v xml:space="preserve">                          </v>
      </c>
      <c r="BK127" s="437" t="str">
        <f>(VLOOKUP(A127,TradesEquity!$1:$1048576,40,FALSE))</f>
        <v>GOLDJPJXXXX</v>
      </c>
    </row>
    <row r="128" spans="1:63" s="537" customFormat="1">
      <c r="A128" s="536">
        <f t="shared" si="5"/>
        <v>2019200371</v>
      </c>
      <c r="D128" s="432" t="s">
        <v>2027</v>
      </c>
      <c r="F128" s="538">
        <f>VLOOKUP(A128,TradesEquity!$1:$1048576,2,FALSE)</f>
        <v>44167</v>
      </c>
      <c r="H128" s="538">
        <f>VLOOKUP(A128,TradesEquity!$1:$1048576,21,FALSE)</f>
        <v>44169</v>
      </c>
      <c r="I128" s="539" t="str">
        <f>IF(VLOOKUP(A128,TradesEquity!$1:$1048576,3,FALSE)="BUY","B","S")</f>
        <v>S</v>
      </c>
      <c r="J128" s="539" t="str">
        <f>VLOOKUP(A128,TradesEquity!$1:$1048576,5,FALSE)</f>
        <v>AU000000SYR9</v>
      </c>
      <c r="K128" s="432" t="s">
        <v>19</v>
      </c>
      <c r="L128" s="435" t="s">
        <v>2028</v>
      </c>
      <c r="AE128" s="540" t="str">
        <f>VLOOKUP(A128,TradesEquity!$1:$1048576,10,FALSE)</f>
        <v>AUD</v>
      </c>
      <c r="AF128" s="540" t="str">
        <f t="shared" si="4"/>
        <v>AUD</v>
      </c>
      <c r="AG128" s="540" t="str">
        <f t="shared" si="4"/>
        <v>AUD</v>
      </c>
      <c r="AH128" s="540" t="str">
        <f t="shared" si="4"/>
        <v>AUD</v>
      </c>
      <c r="AI128" s="540">
        <f>ABS(VLOOKUP(A128,TradesEquity!$1:$1048576,13,FALSE))</f>
        <v>71461</v>
      </c>
      <c r="AJ128" s="437">
        <v>0</v>
      </c>
      <c r="AK128" s="437">
        <v>1</v>
      </c>
      <c r="AL128" s="540">
        <f>VLOOKUP(A128,TradesEquity!$1:$1048576,11,FALSE)</f>
        <v>1.0491600000000001</v>
      </c>
      <c r="AM128" s="437">
        <v>1</v>
      </c>
      <c r="AN128" s="540">
        <f>ABS(VLOOKUP(A128,TradesEquity!$1:$1048576,14,FALSE))</f>
        <v>74974.022760000007</v>
      </c>
      <c r="AO128" s="540">
        <f>ABS(VLOOKUP(A128,TradesEquity!$1:$1048576,15,FALSE))</f>
        <v>44.98</v>
      </c>
      <c r="AP128" s="437">
        <f>ABS(VLOOKUP(A128,TradesEquity!$1:$1048576,16,FALSE))</f>
        <v>0</v>
      </c>
      <c r="AQ128" s="541">
        <v>0</v>
      </c>
      <c r="AR128" s="541">
        <v>0</v>
      </c>
      <c r="AS128" s="541">
        <v>0</v>
      </c>
      <c r="AT128" s="541">
        <v>0</v>
      </c>
      <c r="AU128" s="541">
        <v>0</v>
      </c>
      <c r="AV128" s="437">
        <f>ABS(VLOOKUP(A128,TradesEquity!$1:$1048576,18,FALSE))</f>
        <v>74929.042760000011</v>
      </c>
      <c r="AW128" s="541">
        <v>0</v>
      </c>
      <c r="AX128" s="542">
        <v>4542</v>
      </c>
      <c r="AY128" s="435" t="s">
        <v>2029</v>
      </c>
      <c r="AZ128" s="437" t="str">
        <f>(VLOOKUP(A128,TradesEquity!$1:$1048576,29,FALSE))</f>
        <v>GSILGB2XXXX</v>
      </c>
      <c r="BA128" s="437" t="str">
        <f>(VLOOKUP(A128,TradesEquity!$1:$1048576,30,FALSE))</f>
        <v>CAETAU21</v>
      </c>
      <c r="BB128" s="437" t="str">
        <f>(VLOOKUP(A128,TradesEquity!$1:$1048576,31,FALSE))</f>
        <v>011-109048-061</v>
      </c>
      <c r="BC128" s="437" t="str">
        <f>(VLOOKUP(A128,TradesEquity!$1:$1048576,32,FALSE))</f>
        <v>N</v>
      </c>
      <c r="BI128" s="437" t="str">
        <f>(VLOOKUP(A128,TradesEquity!$1:$1048576,38,FALSE))</f>
        <v xml:space="preserve">        </v>
      </c>
      <c r="BJ128" s="437" t="str">
        <f>(VLOOKUP(A128,TradesEquity!$1:$1048576,39,FALSE))</f>
        <v xml:space="preserve">        </v>
      </c>
      <c r="BK128" s="437" t="str">
        <f>(VLOOKUP(A128,TradesEquity!$1:$1048576,40,FALSE))</f>
        <v>HKBAAU2SSYD</v>
      </c>
    </row>
    <row r="129" spans="1:63">
      <c r="A129" s="502">
        <f t="shared" si="5"/>
        <v>2019200372</v>
      </c>
      <c r="D129" s="432" t="s">
        <v>2027</v>
      </c>
      <c r="F129" s="433">
        <f>VLOOKUP(A129,TradesEquity!$1:$1048576,2,FALSE)</f>
        <v>44167</v>
      </c>
      <c r="H129" s="433">
        <f>VLOOKUP(A129,TradesEquity!$1:$1048576,21,FALSE)</f>
        <v>44169</v>
      </c>
      <c r="I129" s="434" t="str">
        <f>IF(VLOOKUP(A129,TradesEquity!$1:$1048576,3,FALSE)="BUY","B","S")</f>
        <v>S</v>
      </c>
      <c r="J129" s="434" t="str">
        <f>VLOOKUP(A129,TradesEquity!$1:$1048576,5,FALSE)</f>
        <v>IT0005424830</v>
      </c>
      <c r="K129" s="432" t="s">
        <v>19</v>
      </c>
      <c r="L129" s="435" t="s">
        <v>2028</v>
      </c>
      <c r="AE129" s="436" t="str">
        <f>VLOOKUP(A129,TradesEquity!$1:$1048576,10,FALSE)</f>
        <v>EUR</v>
      </c>
      <c r="AF129" s="436" t="str">
        <f t="shared" si="4"/>
        <v>EUR</v>
      </c>
      <c r="AG129" s="436" t="str">
        <f t="shared" si="4"/>
        <v>EUR</v>
      </c>
      <c r="AH129" s="436" t="str">
        <f t="shared" si="4"/>
        <v>EUR</v>
      </c>
      <c r="AI129" s="436">
        <f>ABS(VLOOKUP(A129,TradesEquity!$1:$1048576,13,FALSE))</f>
        <v>1000</v>
      </c>
      <c r="AJ129" s="437">
        <v>0</v>
      </c>
      <c r="AK129" s="437">
        <v>1</v>
      </c>
      <c r="AL129" s="436">
        <f>VLOOKUP(A129,TradesEquity!$1:$1048576,11,FALSE)</f>
        <v>2.4</v>
      </c>
      <c r="AM129" s="437">
        <v>1</v>
      </c>
      <c r="AN129" s="436">
        <f>ABS(VLOOKUP(A129,TradesEquity!$1:$1048576,14,FALSE))</f>
        <v>2400</v>
      </c>
      <c r="AO129" s="436">
        <f>ABS(VLOOKUP(A129,TradesEquity!$1:$1048576,15,FALSE))</f>
        <v>1.44</v>
      </c>
      <c r="AP129" s="438">
        <f>ABS(VLOOKUP(A129,TradesEquity!$1:$1048576,16,FALSE))</f>
        <v>0</v>
      </c>
      <c r="AQ129" s="367">
        <v>0</v>
      </c>
      <c r="AR129" s="367">
        <v>0</v>
      </c>
      <c r="AS129" s="367">
        <v>0</v>
      </c>
      <c r="AT129" s="367">
        <v>0</v>
      </c>
      <c r="AU129" s="367">
        <v>0</v>
      </c>
      <c r="AV129" s="438">
        <f>ABS(VLOOKUP(A129,TradesEquity!$1:$1048576,18,FALSE))</f>
        <v>2398.56</v>
      </c>
      <c r="AW129" s="439">
        <v>0</v>
      </c>
      <c r="AX129" s="440">
        <v>4542</v>
      </c>
      <c r="AY129" s="441" t="s">
        <v>2029</v>
      </c>
      <c r="AZ129" s="442" t="str">
        <f>(VLOOKUP(A129,TradesEquity!$1:$1048576,29,FALSE))</f>
        <v>GSILGB2XXXX</v>
      </c>
      <c r="BA129" s="442" t="str">
        <f>(VLOOKUP(A129,TradesEquity!$1:$1048576,30,FALSE))</f>
        <v>MOTIITMMXXX</v>
      </c>
      <c r="BB129" s="442" t="str">
        <f>(VLOOKUP(A129,TradesEquity!$1:$1048576,31,FALSE))</f>
        <v>MOTICITIITMXXXX6013800</v>
      </c>
      <c r="BC129" s="442" t="str">
        <f>(VLOOKUP(A129,TradesEquity!$1:$1048576,32,FALSE))</f>
        <v>N</v>
      </c>
      <c r="BI129" s="442" t="str">
        <f>(VLOOKUP(A129,TradesEquity!$1:$1048576,38,FALSE))</f>
        <v xml:space="preserve">        </v>
      </c>
      <c r="BJ129" s="442" t="str">
        <f>(VLOOKUP(A129,TradesEquity!$1:$1048576,39,FALSE))</f>
        <v xml:space="preserve">        </v>
      </c>
      <c r="BK129" s="442" t="str">
        <f>(VLOOKUP(A129,TradesEquity!$1:$1048576,40,FALSE))</f>
        <v>CITIITM1012</v>
      </c>
    </row>
    <row r="130" spans="1:63">
      <c r="A130" s="502">
        <f t="shared" si="5"/>
        <v>2019200373</v>
      </c>
      <c r="D130" s="432" t="s">
        <v>2027</v>
      </c>
      <c r="F130" s="433">
        <f>VLOOKUP(A130,TradesEquity!$1:$1048576,2,FALSE)</f>
        <v>44168</v>
      </c>
      <c r="H130" s="433">
        <f>VLOOKUP(A130,TradesEquity!$1:$1048576,21,FALSE)</f>
        <v>44172</v>
      </c>
      <c r="I130" s="434" t="str">
        <f>IF(VLOOKUP(A130,TradesEquity!$1:$1048576,3,FALSE)="BUY","B","S")</f>
        <v>B</v>
      </c>
      <c r="J130" s="434" t="str">
        <f>VLOOKUP(A130,TradesEquity!$1:$1048576,5,FALSE)</f>
        <v>CNE100001TJ4</v>
      </c>
      <c r="K130" s="432" t="s">
        <v>19</v>
      </c>
      <c r="L130" s="435" t="s">
        <v>2028</v>
      </c>
      <c r="AE130" s="436" t="str">
        <f>VLOOKUP(A130,TradesEquity!$1:$1048576,10,FALSE)</f>
        <v>HKD</v>
      </c>
      <c r="AF130" s="436" t="str">
        <f t="shared" si="4"/>
        <v>HKD</v>
      </c>
      <c r="AG130" s="436" t="str">
        <f t="shared" si="4"/>
        <v>HKD</v>
      </c>
      <c r="AH130" s="436" t="str">
        <f t="shared" si="4"/>
        <v>HKD</v>
      </c>
      <c r="AI130" s="436">
        <f>ABS(VLOOKUP(A130,TradesEquity!$1:$1048576,13,FALSE))</f>
        <v>250000</v>
      </c>
      <c r="AJ130" s="437">
        <v>0</v>
      </c>
      <c r="AK130" s="437">
        <v>1</v>
      </c>
      <c r="AL130" s="436">
        <f>VLOOKUP(A130,TradesEquity!$1:$1048576,11,FALSE)</f>
        <v>2.8241000000000001</v>
      </c>
      <c r="AM130" s="437">
        <v>1</v>
      </c>
      <c r="AN130" s="436">
        <f>ABS(VLOOKUP(A130,TradesEquity!$1:$1048576,14,FALSE))</f>
        <v>706025</v>
      </c>
      <c r="AO130" s="436">
        <f>ABS(VLOOKUP(A130,TradesEquity!$1:$1048576,15,FALSE))</f>
        <v>423.62</v>
      </c>
      <c r="AP130" s="438">
        <f>ABS(VLOOKUP(A130,TradesEquity!$1:$1048576,16,FALSE))</f>
        <v>761.3599999999999</v>
      </c>
      <c r="AQ130" s="367">
        <v>0</v>
      </c>
      <c r="AR130" s="367">
        <v>0</v>
      </c>
      <c r="AS130" s="367">
        <v>0</v>
      </c>
      <c r="AT130" s="367">
        <v>0</v>
      </c>
      <c r="AU130" s="367">
        <v>0</v>
      </c>
      <c r="AV130" s="438">
        <f>ABS(VLOOKUP(A130,TradesEquity!$1:$1048576,18,FALSE))</f>
        <v>707209.98</v>
      </c>
      <c r="AW130" s="439">
        <v>0</v>
      </c>
      <c r="AX130" s="440">
        <v>4542</v>
      </c>
      <c r="AY130" s="441" t="s">
        <v>2029</v>
      </c>
      <c r="AZ130" s="442" t="str">
        <f>(VLOOKUP(A130,TradesEquity!$1:$1048576,29,FALSE))</f>
        <v>GSILGB2XXXX</v>
      </c>
      <c r="BA130" s="442" t="str">
        <f>(VLOOKUP(A130,TradesEquity!$1:$1048576,30,FALSE))</f>
        <v>XHKCHKH1XXX</v>
      </c>
      <c r="BB130" s="442" t="str">
        <f>(VLOOKUP(A130,TradesEquity!$1:$1048576,31,FALSE))</f>
        <v xml:space="preserve">        </v>
      </c>
      <c r="BC130" s="442" t="str">
        <f>(VLOOKUP(A130,TradesEquity!$1:$1048576,32,FALSE))</f>
        <v>N</v>
      </c>
      <c r="BI130" s="442" t="str">
        <f>(VLOOKUP(A130,TradesEquity!$1:$1048576,38,FALSE))</f>
        <v>CCASS</v>
      </c>
      <c r="BJ130" s="442" t="str">
        <f>(VLOOKUP(A130,TradesEquity!$1:$1048576,39,FALSE))</f>
        <v>B01451</v>
      </c>
      <c r="BK130" s="442" t="str">
        <f>(VLOOKUP(A130,TradesEquity!$1:$1048576,40,FALSE))</f>
        <v>GSASHKH1XX</v>
      </c>
    </row>
    <row r="131" spans="1:63" s="537" customFormat="1">
      <c r="A131" s="536">
        <f t="shared" si="5"/>
        <v>2019200374</v>
      </c>
      <c r="D131" s="432" t="s">
        <v>2027</v>
      </c>
      <c r="F131" s="538">
        <f>VLOOKUP(A131,TradesEquity!$1:$1048576,2,FALSE)</f>
        <v>44169</v>
      </c>
      <c r="H131" s="538">
        <f>VLOOKUP(A131,TradesEquity!$1:$1048576,21,FALSE)</f>
        <v>44173</v>
      </c>
      <c r="I131" s="539" t="str">
        <f>IF(VLOOKUP(A131,TradesEquity!$1:$1048576,3,FALSE)="BUY","B","S")</f>
        <v>S</v>
      </c>
      <c r="J131" s="539" t="str">
        <f>VLOOKUP(A131,TradesEquity!$1:$1048576,5,FALSE)</f>
        <v>JP3591600006</v>
      </c>
      <c r="K131" s="432" t="s">
        <v>19</v>
      </c>
      <c r="L131" s="435" t="s">
        <v>2028</v>
      </c>
      <c r="AE131" s="540" t="str">
        <f>VLOOKUP(A131,TradesEquity!$1:$1048576,10,FALSE)</f>
        <v>JPY</v>
      </c>
      <c r="AF131" s="540" t="str">
        <f t="shared" si="4"/>
        <v>JPY</v>
      </c>
      <c r="AG131" s="540" t="str">
        <f t="shared" si="4"/>
        <v>JPY</v>
      </c>
      <c r="AH131" s="540" t="str">
        <f t="shared" si="4"/>
        <v>JPY</v>
      </c>
      <c r="AI131" s="540">
        <f>ABS(VLOOKUP(A131,TradesEquity!$1:$1048576,13,FALSE))</f>
        <v>10950</v>
      </c>
      <c r="AJ131" s="437">
        <v>0</v>
      </c>
      <c r="AK131" s="437">
        <v>1</v>
      </c>
      <c r="AL131" s="540">
        <f>VLOOKUP(A131,TradesEquity!$1:$1048576,11,FALSE)</f>
        <v>1533.2109599999999</v>
      </c>
      <c r="AM131" s="437">
        <v>1</v>
      </c>
      <c r="AN131" s="540">
        <f>ABS(VLOOKUP(A131,TradesEquity!$1:$1048576,14,FALSE))</f>
        <v>16788660.011999998</v>
      </c>
      <c r="AO131" s="540">
        <f>ABS(VLOOKUP(A131,TradesEquity!$1:$1048576,15,FALSE))</f>
        <v>10073</v>
      </c>
      <c r="AP131" s="437">
        <f>ABS(VLOOKUP(A131,TradesEquity!$1:$1048576,16,FALSE))</f>
        <v>0</v>
      </c>
      <c r="AQ131" s="541">
        <v>0</v>
      </c>
      <c r="AR131" s="541">
        <v>0</v>
      </c>
      <c r="AS131" s="541">
        <v>0</v>
      </c>
      <c r="AT131" s="541">
        <v>0</v>
      </c>
      <c r="AU131" s="541">
        <v>0</v>
      </c>
      <c r="AV131" s="437">
        <f>ABS(VLOOKUP(A131,TradesEquity!$1:$1048576,18,FALSE))</f>
        <v>16778587.011999998</v>
      </c>
      <c r="AW131" s="541">
        <v>0</v>
      </c>
      <c r="AX131" s="542">
        <v>4542</v>
      </c>
      <c r="AY131" s="435" t="s">
        <v>2029</v>
      </c>
      <c r="AZ131" s="437" t="str">
        <f>(VLOOKUP(A131,TradesEquity!$1:$1048576,29,FALSE))</f>
        <v>GSILGB2XXXX</v>
      </c>
      <c r="BA131" s="437" t="str">
        <f>(VLOOKUP(A131,TradesEquity!$1:$1048576,30,FALSE))</f>
        <v>JJSDJPJTXXX</v>
      </c>
      <c r="BB131" s="437">
        <f>(VLOOKUP(A131,TradesEquity!$1:$1048576,31,FALSE))</f>
        <v>6530490016</v>
      </c>
      <c r="BC131" s="437" t="str">
        <f>(VLOOKUP(A131,TradesEquity!$1:$1048576,32,FALSE))</f>
        <v>N</v>
      </c>
      <c r="BI131" s="437" t="str">
        <f>(VLOOKUP(A131,TradesEquity!$1:$1048576,38,FALSE))</f>
        <v xml:space="preserve">                  </v>
      </c>
      <c r="BJ131" s="437" t="str">
        <f>(VLOOKUP(A131,TradesEquity!$1:$1048576,39,FALSE))</f>
        <v xml:space="preserve">                          </v>
      </c>
      <c r="BK131" s="437" t="str">
        <f>(VLOOKUP(A131,TradesEquity!$1:$1048576,40,FALSE))</f>
        <v>GOLDJPJXXXX</v>
      </c>
    </row>
    <row r="132" spans="1:63">
      <c r="A132" s="502">
        <f t="shared" si="5"/>
        <v>2019200375</v>
      </c>
      <c r="D132" s="432" t="s">
        <v>2027</v>
      </c>
      <c r="F132" s="433">
        <f>VLOOKUP(A132,TradesEquity!$1:$1048576,2,FALSE)</f>
        <v>44169</v>
      </c>
      <c r="H132" s="433">
        <f>VLOOKUP(A132,TradesEquity!$1:$1048576,21,FALSE)</f>
        <v>44173</v>
      </c>
      <c r="I132" s="434" t="str">
        <f>IF(VLOOKUP(A132,TradesEquity!$1:$1048576,3,FALSE)="BUY","B","S")</f>
        <v>S</v>
      </c>
      <c r="J132" s="434" t="str">
        <f>VLOOKUP(A132,TradesEquity!$1:$1048576,5,FALSE)</f>
        <v>JP3707000000</v>
      </c>
      <c r="K132" s="432" t="s">
        <v>19</v>
      </c>
      <c r="L132" s="435" t="s">
        <v>2028</v>
      </c>
      <c r="AE132" s="436" t="str">
        <f>VLOOKUP(A132,TradesEquity!$1:$1048576,10,FALSE)</f>
        <v>JPY</v>
      </c>
      <c r="AF132" s="436" t="str">
        <f t="shared" si="4"/>
        <v>JPY</v>
      </c>
      <c r="AG132" s="436" t="str">
        <f t="shared" si="4"/>
        <v>JPY</v>
      </c>
      <c r="AH132" s="436" t="str">
        <f t="shared" si="4"/>
        <v>JPY</v>
      </c>
      <c r="AI132" s="436">
        <f>ABS(VLOOKUP(A132,TradesEquity!$1:$1048576,13,FALSE))</f>
        <v>4000</v>
      </c>
      <c r="AJ132" s="437">
        <v>0</v>
      </c>
      <c r="AK132" s="437">
        <v>1</v>
      </c>
      <c r="AL132" s="436">
        <f>VLOOKUP(A132,TradesEquity!$1:$1048576,11,FALSE)</f>
        <v>2507.6624999999999</v>
      </c>
      <c r="AM132" s="437">
        <v>1</v>
      </c>
      <c r="AN132" s="436">
        <f>ABS(VLOOKUP(A132,TradesEquity!$1:$1048576,14,FALSE))</f>
        <v>10030650</v>
      </c>
      <c r="AO132" s="436">
        <f>ABS(VLOOKUP(A132,TradesEquity!$1:$1048576,15,FALSE))</f>
        <v>6018</v>
      </c>
      <c r="AP132" s="438">
        <f>ABS(VLOOKUP(A132,TradesEquity!$1:$1048576,16,FALSE))</f>
        <v>0</v>
      </c>
      <c r="AQ132" s="367">
        <v>0</v>
      </c>
      <c r="AR132" s="367">
        <v>0</v>
      </c>
      <c r="AS132" s="367">
        <v>0</v>
      </c>
      <c r="AT132" s="367">
        <v>0</v>
      </c>
      <c r="AU132" s="367">
        <v>0</v>
      </c>
      <c r="AV132" s="438">
        <f>ABS(VLOOKUP(A132,TradesEquity!$1:$1048576,18,FALSE))</f>
        <v>10024632</v>
      </c>
      <c r="AW132" s="439">
        <v>0</v>
      </c>
      <c r="AX132" s="440">
        <v>4542</v>
      </c>
      <c r="AY132" s="441" t="s">
        <v>2029</v>
      </c>
      <c r="AZ132" s="442" t="str">
        <f>(VLOOKUP(A132,TradesEquity!$1:$1048576,29,FALSE))</f>
        <v>GSILGB2XXXX</v>
      </c>
      <c r="BA132" s="442" t="str">
        <f>(VLOOKUP(A132,TradesEquity!$1:$1048576,30,FALSE))</f>
        <v>JJSDJPJTXXX</v>
      </c>
      <c r="BB132" s="442">
        <f>(VLOOKUP(A132,TradesEquity!$1:$1048576,31,FALSE))</f>
        <v>6530490016</v>
      </c>
      <c r="BC132" s="442" t="str">
        <f>(VLOOKUP(A132,TradesEquity!$1:$1048576,32,FALSE))</f>
        <v>N</v>
      </c>
      <c r="BI132" s="442" t="str">
        <f>(VLOOKUP(A132,TradesEquity!$1:$1048576,38,FALSE))</f>
        <v xml:space="preserve">                  </v>
      </c>
      <c r="BJ132" s="442" t="str">
        <f>(VLOOKUP(A132,TradesEquity!$1:$1048576,39,FALSE))</f>
        <v xml:space="preserve">                          </v>
      </c>
      <c r="BK132" s="442" t="str">
        <f>(VLOOKUP(A132,TradesEquity!$1:$1048576,40,FALSE))</f>
        <v>GOLDJPJXXXX</v>
      </c>
    </row>
    <row r="133" spans="1:63">
      <c r="A133" s="502">
        <f t="shared" si="5"/>
        <v>2019200376</v>
      </c>
      <c r="D133" s="432" t="s">
        <v>2027</v>
      </c>
      <c r="F133" s="433" t="e">
        <f>VLOOKUP(A133,TradesEquity!$1:$1048576,2,FALSE)</f>
        <v>#N/A</v>
      </c>
      <c r="H133" s="433" t="e">
        <f>VLOOKUP(A133,TradesEquity!$1:$1048576,21,FALSE)</f>
        <v>#N/A</v>
      </c>
      <c r="I133" s="434" t="e">
        <f>IF(VLOOKUP(A133,TradesEquity!$1:$1048576,3,FALSE)="BUY","B","S")</f>
        <v>#N/A</v>
      </c>
      <c r="J133" s="434" t="e">
        <f>VLOOKUP(A133,TradesEquity!$1:$1048576,5,FALSE)</f>
        <v>#N/A</v>
      </c>
      <c r="K133" s="432" t="s">
        <v>19</v>
      </c>
      <c r="L133" s="435" t="s">
        <v>2028</v>
      </c>
      <c r="AE133" s="436" t="e">
        <f>VLOOKUP(A133,TradesEquity!$1:$1048576,10,FALSE)</f>
        <v>#N/A</v>
      </c>
      <c r="AF133" s="436" t="e">
        <f t="shared" si="4"/>
        <v>#N/A</v>
      </c>
      <c r="AG133" s="436" t="e">
        <f t="shared" si="4"/>
        <v>#N/A</v>
      </c>
      <c r="AH133" s="436" t="e">
        <f t="shared" si="4"/>
        <v>#N/A</v>
      </c>
      <c r="AI133" s="436" t="e">
        <f>ABS(VLOOKUP(A133,TradesEquity!$1:$1048576,13,FALSE))</f>
        <v>#N/A</v>
      </c>
      <c r="AJ133" s="437">
        <v>0</v>
      </c>
      <c r="AK133" s="437">
        <v>1</v>
      </c>
      <c r="AL133" s="436" t="e">
        <f>VLOOKUP(A133,TradesEquity!$1:$1048576,11,FALSE)</f>
        <v>#N/A</v>
      </c>
      <c r="AM133" s="437">
        <v>1</v>
      </c>
      <c r="AN133" s="436" t="e">
        <f>ABS(VLOOKUP(A133,TradesEquity!$1:$1048576,14,FALSE))</f>
        <v>#N/A</v>
      </c>
      <c r="AO133" s="436" t="e">
        <f>ABS(VLOOKUP(A133,TradesEquity!$1:$1048576,15,FALSE))</f>
        <v>#N/A</v>
      </c>
      <c r="AP133" s="438" t="e">
        <f>ABS(VLOOKUP(A133,TradesEquity!$1:$1048576,16,FALSE))</f>
        <v>#N/A</v>
      </c>
      <c r="AQ133" s="367">
        <v>0</v>
      </c>
      <c r="AR133" s="367">
        <v>0</v>
      </c>
      <c r="AS133" s="367">
        <v>0</v>
      </c>
      <c r="AT133" s="367">
        <v>0</v>
      </c>
      <c r="AU133" s="367">
        <v>0</v>
      </c>
      <c r="AV133" s="438" t="e">
        <f>ABS(VLOOKUP(A133,TradesEquity!$1:$1048576,18,FALSE))</f>
        <v>#N/A</v>
      </c>
      <c r="AW133" s="439">
        <v>0</v>
      </c>
      <c r="AX133" s="440">
        <v>4542</v>
      </c>
      <c r="AY133" s="441" t="s">
        <v>2029</v>
      </c>
      <c r="AZ133" s="442" t="e">
        <f>(VLOOKUP(A133,TradesEquity!$1:$1048576,29,FALSE))</f>
        <v>#N/A</v>
      </c>
      <c r="BA133" s="442" t="e">
        <f>(VLOOKUP(A133,TradesEquity!$1:$1048576,30,FALSE))</f>
        <v>#N/A</v>
      </c>
      <c r="BB133" s="442" t="e">
        <f>(VLOOKUP(A133,TradesEquity!$1:$1048576,31,FALSE))</f>
        <v>#N/A</v>
      </c>
      <c r="BC133" s="442" t="e">
        <f>(VLOOKUP(A133,TradesEquity!$1:$1048576,32,FALSE))</f>
        <v>#N/A</v>
      </c>
      <c r="BI133" s="442" t="e">
        <f>(VLOOKUP(A133,TradesEquity!$1:$1048576,38,FALSE))</f>
        <v>#N/A</v>
      </c>
      <c r="BJ133" s="442" t="e">
        <f>(VLOOKUP(A133,TradesEquity!$1:$1048576,39,FALSE))</f>
        <v>#N/A</v>
      </c>
      <c r="BK133" s="442" t="e">
        <f>(VLOOKUP(A133,TradesEquity!$1:$1048576,40,FALSE))</f>
        <v>#N/A</v>
      </c>
    </row>
    <row r="134" spans="1:63">
      <c r="A134" s="502">
        <f t="shared" si="5"/>
        <v>2019200377</v>
      </c>
      <c r="D134" s="432" t="s">
        <v>2027</v>
      </c>
      <c r="F134" s="433">
        <f>VLOOKUP(A134,TradesEquity!$1:$1048576,2,FALSE)</f>
        <v>44172</v>
      </c>
      <c r="H134" s="433">
        <f>VLOOKUP(A134,TradesEquity!$1:$1048576,21,FALSE)</f>
        <v>44174</v>
      </c>
      <c r="I134" s="434" t="str">
        <f>IF(VLOOKUP(A134,TradesEquity!$1:$1048576,3,FALSE)="BUY","B","S")</f>
        <v>S</v>
      </c>
      <c r="J134" s="434" t="str">
        <f>VLOOKUP(A134,TradesEquity!$1:$1048576,5,FALSE)</f>
        <v>AU000000SYR9</v>
      </c>
      <c r="K134" s="432" t="s">
        <v>19</v>
      </c>
      <c r="L134" s="435" t="s">
        <v>2028</v>
      </c>
      <c r="AE134" s="436" t="str">
        <f>VLOOKUP(A134,TradesEquity!$1:$1048576,10,FALSE)</f>
        <v>AUD</v>
      </c>
      <c r="AF134" s="436" t="str">
        <f t="shared" si="4"/>
        <v>AUD</v>
      </c>
      <c r="AG134" s="436" t="str">
        <f t="shared" si="4"/>
        <v>AUD</v>
      </c>
      <c r="AH134" s="436" t="str">
        <f t="shared" si="4"/>
        <v>AUD</v>
      </c>
      <c r="AI134" s="436">
        <f>ABS(VLOOKUP(A134,TradesEquity!$1:$1048576,13,FALSE))</f>
        <v>128539</v>
      </c>
      <c r="AJ134" s="437">
        <v>0</v>
      </c>
      <c r="AK134" s="437">
        <v>1</v>
      </c>
      <c r="AL134" s="436">
        <f>VLOOKUP(A134,TradesEquity!$1:$1048576,11,FALSE)</f>
        <v>1.0245</v>
      </c>
      <c r="AM134" s="437">
        <v>1</v>
      </c>
      <c r="AN134" s="436">
        <f>ABS(VLOOKUP(A134,TradesEquity!$1:$1048576,14,FALSE))</f>
        <v>131688.20549999998</v>
      </c>
      <c r="AO134" s="436">
        <f>ABS(VLOOKUP(A134,TradesEquity!$1:$1048576,15,FALSE))</f>
        <v>79.010000000000005</v>
      </c>
      <c r="AP134" s="438">
        <f>ABS(VLOOKUP(A134,TradesEquity!$1:$1048576,16,FALSE))</f>
        <v>0</v>
      </c>
      <c r="AQ134" s="367">
        <v>0</v>
      </c>
      <c r="AR134" s="367">
        <v>0</v>
      </c>
      <c r="AS134" s="367">
        <v>0</v>
      </c>
      <c r="AT134" s="367">
        <v>0</v>
      </c>
      <c r="AU134" s="367">
        <v>0</v>
      </c>
      <c r="AV134" s="438">
        <f>ABS(VLOOKUP(A134,TradesEquity!$1:$1048576,18,FALSE))</f>
        <v>131609.19549999997</v>
      </c>
      <c r="AW134" s="439">
        <v>0</v>
      </c>
      <c r="AX134" s="440">
        <v>4542</v>
      </c>
      <c r="AY134" s="441" t="s">
        <v>2029</v>
      </c>
      <c r="AZ134" s="442" t="str">
        <f>(VLOOKUP(A134,TradesEquity!$1:$1048576,29,FALSE))</f>
        <v>GSILGB2XXXX</v>
      </c>
      <c r="BA134" s="442" t="str">
        <f>(VLOOKUP(A134,TradesEquity!$1:$1048576,30,FALSE))</f>
        <v>CAETAU21</v>
      </c>
      <c r="BB134" s="442" t="str">
        <f>(VLOOKUP(A134,TradesEquity!$1:$1048576,31,FALSE))</f>
        <v>011-109048-061</v>
      </c>
      <c r="BC134" s="442" t="str">
        <f>(VLOOKUP(A134,TradesEquity!$1:$1048576,32,FALSE))</f>
        <v>N</v>
      </c>
      <c r="BI134" s="442" t="str">
        <f>(VLOOKUP(A134,TradesEquity!$1:$1048576,38,FALSE))</f>
        <v xml:space="preserve">        </v>
      </c>
      <c r="BJ134" s="442" t="str">
        <f>(VLOOKUP(A134,TradesEquity!$1:$1048576,39,FALSE))</f>
        <v xml:space="preserve">        </v>
      </c>
      <c r="BK134" s="442" t="str">
        <f>(VLOOKUP(A134,TradesEquity!$1:$1048576,40,FALSE))</f>
        <v>HKBAAU2SSYD</v>
      </c>
    </row>
    <row r="135" spans="1:63">
      <c r="A135" s="502">
        <f t="shared" si="5"/>
        <v>2019200378</v>
      </c>
      <c r="D135" s="432" t="s">
        <v>2027</v>
      </c>
      <c r="F135" s="433">
        <f>VLOOKUP(A135,TradesEquity!$1:$1048576,2,FALSE)</f>
        <v>44172</v>
      </c>
      <c r="H135" s="433">
        <f>VLOOKUP(A135,TradesEquity!$1:$1048576,21,FALSE)</f>
        <v>44174</v>
      </c>
      <c r="I135" s="434" t="str">
        <f>IF(VLOOKUP(A135,TradesEquity!$1:$1048576,3,FALSE)="BUY","B","S")</f>
        <v>S</v>
      </c>
      <c r="J135" s="434" t="str">
        <f>VLOOKUP(A135,TradesEquity!$1:$1048576,5,FALSE)</f>
        <v>IT0005424830</v>
      </c>
      <c r="K135" s="432" t="s">
        <v>19</v>
      </c>
      <c r="L135" s="435" t="s">
        <v>2028</v>
      </c>
      <c r="AE135" s="436" t="str">
        <f>VLOOKUP(A135,TradesEquity!$1:$1048576,10,FALSE)</f>
        <v>EUR</v>
      </c>
      <c r="AF135" s="436" t="str">
        <f t="shared" si="4"/>
        <v>EUR</v>
      </c>
      <c r="AG135" s="436" t="str">
        <f t="shared" si="4"/>
        <v>EUR</v>
      </c>
      <c r="AH135" s="436" t="str">
        <f t="shared" si="4"/>
        <v>EUR</v>
      </c>
      <c r="AI135" s="436">
        <f>ABS(VLOOKUP(A135,TradesEquity!$1:$1048576,13,FALSE))</f>
        <v>10000</v>
      </c>
      <c r="AJ135" s="437">
        <v>0</v>
      </c>
      <c r="AK135" s="437">
        <v>1</v>
      </c>
      <c r="AL135" s="436">
        <f>VLOOKUP(A135,TradesEquity!$1:$1048576,11,FALSE)</f>
        <v>2.4329999999999998</v>
      </c>
      <c r="AM135" s="437">
        <v>1</v>
      </c>
      <c r="AN135" s="436">
        <f>ABS(VLOOKUP(A135,TradesEquity!$1:$1048576,14,FALSE))</f>
        <v>24330</v>
      </c>
      <c r="AO135" s="436">
        <f>ABS(VLOOKUP(A135,TradesEquity!$1:$1048576,15,FALSE))</f>
        <v>14.6</v>
      </c>
      <c r="AP135" s="438">
        <f>ABS(VLOOKUP(A135,TradesEquity!$1:$1048576,16,FALSE))</f>
        <v>0</v>
      </c>
      <c r="AQ135" s="367">
        <v>0</v>
      </c>
      <c r="AR135" s="367">
        <v>0</v>
      </c>
      <c r="AS135" s="367">
        <v>0</v>
      </c>
      <c r="AT135" s="367">
        <v>0</v>
      </c>
      <c r="AU135" s="367">
        <v>0</v>
      </c>
      <c r="AV135" s="438">
        <f>ABS(VLOOKUP(A135,TradesEquity!$1:$1048576,18,FALSE))</f>
        <v>24315.4</v>
      </c>
      <c r="AW135" s="439">
        <v>0</v>
      </c>
      <c r="AX135" s="440">
        <v>4542</v>
      </c>
      <c r="AY135" s="441" t="s">
        <v>2029</v>
      </c>
      <c r="AZ135" s="442" t="str">
        <f>(VLOOKUP(A135,TradesEquity!$1:$1048576,29,FALSE))</f>
        <v>GSILGB2XXXX</v>
      </c>
      <c r="BA135" s="442" t="str">
        <f>(VLOOKUP(A135,TradesEquity!$1:$1048576,30,FALSE))</f>
        <v>MOTIITMMXXX</v>
      </c>
      <c r="BB135" s="442" t="str">
        <f>(VLOOKUP(A135,TradesEquity!$1:$1048576,31,FALSE))</f>
        <v>MOTICITIITMXXXX6013800</v>
      </c>
      <c r="BC135" s="442" t="str">
        <f>(VLOOKUP(A135,TradesEquity!$1:$1048576,32,FALSE))</f>
        <v>N</v>
      </c>
      <c r="BI135" s="442" t="str">
        <f>(VLOOKUP(A135,TradesEquity!$1:$1048576,38,FALSE))</f>
        <v xml:space="preserve">        </v>
      </c>
      <c r="BJ135" s="442" t="str">
        <f>(VLOOKUP(A135,TradesEquity!$1:$1048576,39,FALSE))</f>
        <v xml:space="preserve">        </v>
      </c>
      <c r="BK135" s="442" t="str">
        <f>(VLOOKUP(A135,TradesEquity!$1:$1048576,40,FALSE))</f>
        <v>CITIITM1012</v>
      </c>
    </row>
    <row r="136" spans="1:63">
      <c r="A136" s="502">
        <f t="shared" si="5"/>
        <v>2019200379</v>
      </c>
      <c r="D136" s="432" t="s">
        <v>2027</v>
      </c>
      <c r="F136" s="433">
        <f>VLOOKUP(A136,TradesEquity!$1:$1048576,2,FALSE)</f>
        <v>44173</v>
      </c>
      <c r="H136" s="433">
        <f>VLOOKUP(A136,TradesEquity!$1:$1048576,21,FALSE)</f>
        <v>44175</v>
      </c>
      <c r="I136" s="434" t="str">
        <f>IF(VLOOKUP(A136,TradesEquity!$1:$1048576,3,FALSE)="BUY","B","S")</f>
        <v>S</v>
      </c>
      <c r="J136" s="434" t="str">
        <f>VLOOKUP(A136,TradesEquity!$1:$1048576,5,FALSE)</f>
        <v>US3434121022</v>
      </c>
      <c r="K136" s="432" t="s">
        <v>19</v>
      </c>
      <c r="L136" s="435" t="s">
        <v>2028</v>
      </c>
      <c r="AE136" s="436" t="str">
        <f>VLOOKUP(A136,TradesEquity!$1:$1048576,10,FALSE)</f>
        <v>USD</v>
      </c>
      <c r="AF136" s="436" t="str">
        <f t="shared" si="4"/>
        <v>USD</v>
      </c>
      <c r="AG136" s="436" t="str">
        <f t="shared" si="4"/>
        <v>USD</v>
      </c>
      <c r="AH136" s="436" t="str">
        <f t="shared" si="4"/>
        <v>USD</v>
      </c>
      <c r="AI136" s="436">
        <f>ABS(VLOOKUP(A136,TradesEquity!$1:$1048576,13,FALSE))</f>
        <v>13450</v>
      </c>
      <c r="AJ136" s="437">
        <v>0</v>
      </c>
      <c r="AK136" s="437">
        <v>1</v>
      </c>
      <c r="AL136" s="436">
        <f>VLOOKUP(A136,TradesEquity!$1:$1048576,11,FALSE)</f>
        <v>18.4679</v>
      </c>
      <c r="AM136" s="437">
        <v>1</v>
      </c>
      <c r="AN136" s="436">
        <f>ABS(VLOOKUP(A136,TradesEquity!$1:$1048576,14,FALSE))</f>
        <v>248393.255</v>
      </c>
      <c r="AO136" s="436">
        <f>ABS(VLOOKUP(A136,TradesEquity!$1:$1048576,15,FALSE))</f>
        <v>124.2</v>
      </c>
      <c r="AP136" s="438">
        <f>ABS(VLOOKUP(A136,TradesEquity!$1:$1048576,16,FALSE))</f>
        <v>5.49</v>
      </c>
      <c r="AQ136" s="367">
        <v>0</v>
      </c>
      <c r="AR136" s="367">
        <v>0</v>
      </c>
      <c r="AS136" s="367">
        <v>0</v>
      </c>
      <c r="AT136" s="367">
        <v>0</v>
      </c>
      <c r="AU136" s="367">
        <v>0</v>
      </c>
      <c r="AV136" s="438">
        <f>ABS(VLOOKUP(A136,TradesEquity!$1:$1048576,18,FALSE))</f>
        <v>248263.565</v>
      </c>
      <c r="AW136" s="439">
        <v>0</v>
      </c>
      <c r="AX136" s="440">
        <v>4542</v>
      </c>
      <c r="AY136" s="441" t="s">
        <v>2029</v>
      </c>
      <c r="AZ136" s="442" t="str">
        <f>(VLOOKUP(A136,TradesEquity!$1:$1048576,29,FALSE))</f>
        <v>GSILGB2XXXX</v>
      </c>
      <c r="BA136" s="442" t="str">
        <f>(VLOOKUP(A136,TradesEquity!$1:$1048576,30,FALSE))</f>
        <v>DTCYUS33</v>
      </c>
      <c r="BB136" s="442" t="str">
        <f>(VLOOKUP(A136,TradesEquity!$1:$1048576,31,FALSE))</f>
        <v xml:space="preserve">        </v>
      </c>
      <c r="BC136" s="442" t="str">
        <f>(VLOOKUP(A136,TradesEquity!$1:$1048576,32,FALSE))</f>
        <v>N</v>
      </c>
      <c r="BI136" s="442" t="str">
        <f>(VLOOKUP(A136,TradesEquity!$1:$1048576,38,FALSE))</f>
        <v>DTCYID</v>
      </c>
      <c r="BJ136" s="442">
        <f>(VLOOKUP(A136,TradesEquity!$1:$1048576,39,FALSE))</f>
        <v>5208</v>
      </c>
      <c r="BK136" s="442" t="str">
        <f>(VLOOKUP(A136,TradesEquity!$1:$1048576,40,FALSE))</f>
        <v xml:space="preserve">        </v>
      </c>
    </row>
    <row r="137" spans="1:63">
      <c r="A137" s="502">
        <f t="shared" si="5"/>
        <v>2019200380</v>
      </c>
      <c r="D137" s="432" t="s">
        <v>2027</v>
      </c>
      <c r="F137" s="433">
        <f>VLOOKUP(A137,TradesEquity!$1:$1048576,2,FALSE)</f>
        <v>44173</v>
      </c>
      <c r="H137" s="433">
        <f>VLOOKUP(A137,TradesEquity!$1:$1048576,21,FALSE)</f>
        <v>44175</v>
      </c>
      <c r="I137" s="434" t="str">
        <f>IF(VLOOKUP(A137,TradesEquity!$1:$1048576,3,FALSE)="BUY","B","S")</f>
        <v>S</v>
      </c>
      <c r="J137" s="434" t="str">
        <f>VLOOKUP(A137,TradesEquity!$1:$1048576,5,FALSE)</f>
        <v>IT0005424830</v>
      </c>
      <c r="K137" s="432" t="s">
        <v>19</v>
      </c>
      <c r="L137" s="435" t="s">
        <v>2028</v>
      </c>
      <c r="AE137" s="436" t="str">
        <f>VLOOKUP(A137,TradesEquity!$1:$1048576,10,FALSE)</f>
        <v>EUR</v>
      </c>
      <c r="AF137" s="436" t="str">
        <f t="shared" si="4"/>
        <v>EUR</v>
      </c>
      <c r="AG137" s="436" t="str">
        <f t="shared" si="4"/>
        <v>EUR</v>
      </c>
      <c r="AH137" s="436" t="str">
        <f t="shared" si="4"/>
        <v>EUR</v>
      </c>
      <c r="AI137" s="436">
        <f>ABS(VLOOKUP(A137,TradesEquity!$1:$1048576,13,FALSE))</f>
        <v>5000</v>
      </c>
      <c r="AJ137" s="437">
        <v>0</v>
      </c>
      <c r="AK137" s="437">
        <v>1</v>
      </c>
      <c r="AL137" s="436">
        <f>VLOOKUP(A137,TradesEquity!$1:$1048576,11,FALSE)</f>
        <v>2.4359999999999999</v>
      </c>
      <c r="AM137" s="437">
        <v>1</v>
      </c>
      <c r="AN137" s="436">
        <f>ABS(VLOOKUP(A137,TradesEquity!$1:$1048576,14,FALSE))</f>
        <v>12180</v>
      </c>
      <c r="AO137" s="436">
        <f>ABS(VLOOKUP(A137,TradesEquity!$1:$1048576,15,FALSE))</f>
        <v>7.31</v>
      </c>
      <c r="AP137" s="438">
        <f>ABS(VLOOKUP(A137,TradesEquity!$1:$1048576,16,FALSE))</f>
        <v>0</v>
      </c>
      <c r="AQ137" s="367">
        <v>0</v>
      </c>
      <c r="AR137" s="367">
        <v>0</v>
      </c>
      <c r="AS137" s="367">
        <v>0</v>
      </c>
      <c r="AT137" s="367">
        <v>0</v>
      </c>
      <c r="AU137" s="367">
        <v>0</v>
      </c>
      <c r="AV137" s="438">
        <f>ABS(VLOOKUP(A137,TradesEquity!$1:$1048576,18,FALSE))</f>
        <v>12172.69</v>
      </c>
      <c r="AW137" s="439">
        <v>0</v>
      </c>
      <c r="AX137" s="440">
        <v>4542</v>
      </c>
      <c r="AY137" s="441" t="s">
        <v>2029</v>
      </c>
      <c r="AZ137" s="442" t="str">
        <f>(VLOOKUP(A137,TradesEquity!$1:$1048576,29,FALSE))</f>
        <v>GSILGB2XXXX</v>
      </c>
      <c r="BA137" s="442" t="str">
        <f>(VLOOKUP(A137,TradesEquity!$1:$1048576,30,FALSE))</f>
        <v>MOTIITMMXXX</v>
      </c>
      <c r="BB137" s="442" t="str">
        <f>(VLOOKUP(A137,TradesEquity!$1:$1048576,31,FALSE))</f>
        <v>MOTICITIITMXXXX6013800</v>
      </c>
      <c r="BC137" s="442" t="str">
        <f>(VLOOKUP(A137,TradesEquity!$1:$1048576,32,FALSE))</f>
        <v>N</v>
      </c>
      <c r="BI137" s="442" t="str">
        <f>(VLOOKUP(A137,TradesEquity!$1:$1048576,38,FALSE))</f>
        <v xml:space="preserve">        </v>
      </c>
      <c r="BJ137" s="442" t="str">
        <f>(VLOOKUP(A137,TradesEquity!$1:$1048576,39,FALSE))</f>
        <v xml:space="preserve">        </v>
      </c>
      <c r="BK137" s="442" t="str">
        <f>(VLOOKUP(A137,TradesEquity!$1:$1048576,40,FALSE))</f>
        <v>CITIITM1012</v>
      </c>
    </row>
    <row r="138" spans="1:63">
      <c r="A138" s="502">
        <f t="shared" si="5"/>
        <v>2019200381</v>
      </c>
      <c r="D138" s="432" t="s">
        <v>2027</v>
      </c>
      <c r="F138" s="433">
        <f>VLOOKUP(A138,TradesEquity!$1:$1048576,2,FALSE)</f>
        <v>44175</v>
      </c>
      <c r="H138" s="433">
        <f>VLOOKUP(A138,TradesEquity!$1:$1048576,21,FALSE)</f>
        <v>44179</v>
      </c>
      <c r="I138" s="434" t="str">
        <f>IF(VLOOKUP(A138,TradesEquity!$1:$1048576,3,FALSE)="BUY","B","S")</f>
        <v>S</v>
      </c>
      <c r="J138" s="434" t="str">
        <f>VLOOKUP(A138,TradesEquity!$1:$1048576,5,FALSE)</f>
        <v>IT0005424830</v>
      </c>
      <c r="K138" s="432" t="s">
        <v>19</v>
      </c>
      <c r="L138" s="435" t="s">
        <v>2028</v>
      </c>
      <c r="AE138" s="436" t="str">
        <f>VLOOKUP(A138,TradesEquity!$1:$1048576,10,FALSE)</f>
        <v>EUR</v>
      </c>
      <c r="AF138" s="436" t="str">
        <f t="shared" si="4"/>
        <v>EUR</v>
      </c>
      <c r="AG138" s="436" t="str">
        <f t="shared" si="4"/>
        <v>EUR</v>
      </c>
      <c r="AH138" s="436" t="str">
        <f t="shared" si="4"/>
        <v>EUR</v>
      </c>
      <c r="AI138" s="436">
        <f>ABS(VLOOKUP(A138,TradesEquity!$1:$1048576,13,FALSE))</f>
        <v>9000</v>
      </c>
      <c r="AJ138" s="437">
        <v>0</v>
      </c>
      <c r="AK138" s="437">
        <v>1</v>
      </c>
      <c r="AL138" s="436">
        <f>VLOOKUP(A138,TradesEquity!$1:$1048576,11,FALSE)</f>
        <v>2.3666999999999998</v>
      </c>
      <c r="AM138" s="437">
        <v>1</v>
      </c>
      <c r="AN138" s="436">
        <f>ABS(VLOOKUP(A138,TradesEquity!$1:$1048576,14,FALSE))</f>
        <v>21300.3</v>
      </c>
      <c r="AO138" s="436">
        <f>ABS(VLOOKUP(A138,TradesEquity!$1:$1048576,15,FALSE))</f>
        <v>12.27</v>
      </c>
      <c r="AP138" s="438">
        <f>ABS(VLOOKUP(A138,TradesEquity!$1:$1048576,16,FALSE))</f>
        <v>0</v>
      </c>
      <c r="AQ138" s="367">
        <v>0</v>
      </c>
      <c r="AR138" s="367">
        <v>0</v>
      </c>
      <c r="AS138" s="367">
        <v>0</v>
      </c>
      <c r="AT138" s="367">
        <v>0</v>
      </c>
      <c r="AU138" s="367">
        <v>0</v>
      </c>
      <c r="AV138" s="438">
        <f>ABS(VLOOKUP(A138,TradesEquity!$1:$1048576,18,FALSE))</f>
        <v>21288.03</v>
      </c>
      <c r="AW138" s="439">
        <v>0</v>
      </c>
      <c r="AX138" s="440">
        <v>4542</v>
      </c>
      <c r="AY138" s="441" t="s">
        <v>2029</v>
      </c>
      <c r="AZ138" s="442" t="str">
        <f>(VLOOKUP(A138,TradesEquity!$1:$1048576,29,FALSE))</f>
        <v>GSILGB2XXXX</v>
      </c>
      <c r="BA138" s="442" t="str">
        <f>(VLOOKUP(A138,TradesEquity!$1:$1048576,30,FALSE))</f>
        <v>MOTIITMMXXX</v>
      </c>
      <c r="BB138" s="442" t="str">
        <f>(VLOOKUP(A138,TradesEquity!$1:$1048576,31,FALSE))</f>
        <v>MOTICITIITMXXXX6013800</v>
      </c>
      <c r="BC138" s="442" t="str">
        <f>(VLOOKUP(A138,TradesEquity!$1:$1048576,32,FALSE))</f>
        <v>N</v>
      </c>
      <c r="BI138" s="442" t="str">
        <f>(VLOOKUP(A138,TradesEquity!$1:$1048576,38,FALSE))</f>
        <v xml:space="preserve">        </v>
      </c>
      <c r="BJ138" s="442" t="str">
        <f>(VLOOKUP(A138,TradesEquity!$1:$1048576,39,FALSE))</f>
        <v xml:space="preserve">        </v>
      </c>
      <c r="BK138" s="442" t="str">
        <f>(VLOOKUP(A138,TradesEquity!$1:$1048576,40,FALSE))</f>
        <v>CITIITM1012</v>
      </c>
    </row>
    <row r="139" spans="1:63">
      <c r="A139" s="502">
        <f t="shared" si="5"/>
        <v>2019200382</v>
      </c>
      <c r="D139" s="432" t="s">
        <v>2027</v>
      </c>
      <c r="F139" s="433">
        <f>VLOOKUP(A139,TradesEquity!$1:$1048576,2,FALSE)</f>
        <v>44180</v>
      </c>
      <c r="H139" s="433">
        <f>VLOOKUP(A139,TradesEquity!$1:$1048576,21,FALSE)</f>
        <v>44182</v>
      </c>
      <c r="I139" s="434" t="str">
        <f>IF(VLOOKUP(A139,TradesEquity!$1:$1048576,3,FALSE)="BUY","B","S")</f>
        <v>B</v>
      </c>
      <c r="J139" s="434" t="str">
        <f>VLOOKUP(A139,TradesEquity!$1:$1048576,5,FALSE)</f>
        <v>JP3627400009</v>
      </c>
      <c r="K139" s="432" t="s">
        <v>19</v>
      </c>
      <c r="L139" s="435" t="s">
        <v>2028</v>
      </c>
      <c r="AE139" s="436" t="str">
        <f>VLOOKUP(A139,TradesEquity!$1:$1048576,10,FALSE)</f>
        <v>JPY</v>
      </c>
      <c r="AF139" s="436" t="str">
        <f t="shared" si="4"/>
        <v>JPY</v>
      </c>
      <c r="AG139" s="436" t="str">
        <f t="shared" si="4"/>
        <v>JPY</v>
      </c>
      <c r="AH139" s="436" t="str">
        <f t="shared" si="4"/>
        <v>JPY</v>
      </c>
      <c r="AI139" s="436">
        <f>ABS(VLOOKUP(A139,TradesEquity!$1:$1048576,13,FALSE))</f>
        <v>4100</v>
      </c>
      <c r="AJ139" s="437">
        <v>0</v>
      </c>
      <c r="AK139" s="437">
        <v>1</v>
      </c>
      <c r="AL139" s="436">
        <f>VLOOKUP(A139,TradesEquity!$1:$1048576,11,FALSE)</f>
        <v>2587.5927000000001</v>
      </c>
      <c r="AM139" s="437">
        <v>1</v>
      </c>
      <c r="AN139" s="436">
        <f>ABS(VLOOKUP(A139,TradesEquity!$1:$1048576,14,FALSE))</f>
        <v>10609130.07</v>
      </c>
      <c r="AO139" s="436">
        <f>ABS(VLOOKUP(A139,TradesEquity!$1:$1048576,15,FALSE))</f>
        <v>6365.4780000000001</v>
      </c>
      <c r="AP139" s="438">
        <f>ABS(VLOOKUP(A139,TradesEquity!$1:$1048576,16,FALSE))</f>
        <v>0</v>
      </c>
      <c r="AQ139" s="367">
        <v>0</v>
      </c>
      <c r="AR139" s="367">
        <v>0</v>
      </c>
      <c r="AS139" s="367">
        <v>0</v>
      </c>
      <c r="AT139" s="367">
        <v>0</v>
      </c>
      <c r="AU139" s="367">
        <v>0</v>
      </c>
      <c r="AV139" s="438">
        <f>ABS(VLOOKUP(A139,TradesEquity!$1:$1048576,18,FALSE))</f>
        <v>10615495.548</v>
      </c>
      <c r="AW139" s="439">
        <v>0</v>
      </c>
      <c r="AX139" s="440">
        <v>4542</v>
      </c>
      <c r="AY139" s="441" t="s">
        <v>2029</v>
      </c>
      <c r="AZ139" s="442" t="str">
        <f>(VLOOKUP(A139,TradesEquity!$1:$1048576,29,FALSE))</f>
        <v>GSILGB2XXXX</v>
      </c>
      <c r="BA139" s="442" t="str">
        <f>(VLOOKUP(A139,TradesEquity!$1:$1048576,30,FALSE))</f>
        <v>JJSDJPJTXXX</v>
      </c>
      <c r="BB139" s="442">
        <f>(VLOOKUP(A139,TradesEquity!$1:$1048576,31,FALSE))</f>
        <v>6530490016</v>
      </c>
      <c r="BC139" s="442" t="str">
        <f>(VLOOKUP(A139,TradesEquity!$1:$1048576,32,FALSE))</f>
        <v>N</v>
      </c>
      <c r="BI139" s="442" t="str">
        <f>(VLOOKUP(A139,TradesEquity!$1:$1048576,38,FALSE))</f>
        <v xml:space="preserve">                  </v>
      </c>
      <c r="BJ139" s="442" t="str">
        <f>(VLOOKUP(A139,TradesEquity!$1:$1048576,39,FALSE))</f>
        <v xml:space="preserve">                          </v>
      </c>
      <c r="BK139" s="442" t="str">
        <f>(VLOOKUP(A139,TradesEquity!$1:$1048576,40,FALSE))</f>
        <v>GOLDJPJXXXX</v>
      </c>
    </row>
    <row r="140" spans="1:63">
      <c r="A140" s="502">
        <f t="shared" si="5"/>
        <v>2019200383</v>
      </c>
      <c r="D140" s="432" t="s">
        <v>2027</v>
      </c>
      <c r="F140" s="433">
        <f>VLOOKUP(A140,TradesEquity!$1:$1048576,2,FALSE)</f>
        <v>44183</v>
      </c>
      <c r="H140" s="433">
        <f>VLOOKUP(A140,TradesEquity!$1:$1048576,21,FALSE)</f>
        <v>44187</v>
      </c>
      <c r="I140" s="434" t="str">
        <f>IF(VLOOKUP(A140,TradesEquity!$1:$1048576,3,FALSE)="BUY","B","S")</f>
        <v>S</v>
      </c>
      <c r="J140" s="434" t="str">
        <f>VLOOKUP(A140,TradesEquity!$1:$1048576,5,FALSE)</f>
        <v>KR7042600007</v>
      </c>
      <c r="K140" s="432" t="s">
        <v>19</v>
      </c>
      <c r="L140" s="435" t="s">
        <v>2028</v>
      </c>
      <c r="AE140" s="436" t="str">
        <f>VLOOKUP(A140,TradesEquity!$1:$1048576,10,FALSE)</f>
        <v>KRW</v>
      </c>
      <c r="AF140" s="436" t="str">
        <f t="shared" si="4"/>
        <v>KRW</v>
      </c>
      <c r="AG140" s="436" t="str">
        <f t="shared" si="4"/>
        <v>KRW</v>
      </c>
      <c r="AH140" s="436" t="str">
        <f t="shared" si="4"/>
        <v>KRW</v>
      </c>
      <c r="AI140" s="436">
        <f>ABS(VLOOKUP(A140,TradesEquity!$1:$1048576,13,FALSE))</f>
        <v>25000</v>
      </c>
      <c r="AJ140" s="437">
        <v>0</v>
      </c>
      <c r="AK140" s="437">
        <v>1</v>
      </c>
      <c r="AL140" s="436">
        <f>VLOOKUP(A140,TradesEquity!$1:$1048576,11,FALSE)</f>
        <v>14749.932000000001</v>
      </c>
      <c r="AM140" s="437">
        <v>1</v>
      </c>
      <c r="AN140" s="436">
        <f>ABS(VLOOKUP(A140,TradesEquity!$1:$1048576,14,FALSE))</f>
        <v>368748300</v>
      </c>
      <c r="AO140" s="436">
        <f>ABS(VLOOKUP(A140,TradesEquity!$1:$1048576,15,FALSE))</f>
        <v>553122</v>
      </c>
      <c r="AP140" s="438">
        <f>ABS(VLOOKUP(A140,TradesEquity!$1:$1048576,16,FALSE))</f>
        <v>921769</v>
      </c>
      <c r="AQ140" s="367">
        <v>0</v>
      </c>
      <c r="AR140" s="367">
        <v>0</v>
      </c>
      <c r="AS140" s="367">
        <v>0</v>
      </c>
      <c r="AT140" s="367">
        <v>0</v>
      </c>
      <c r="AU140" s="367">
        <v>0</v>
      </c>
      <c r="AV140" s="438">
        <f>ABS(VLOOKUP(A140,TradesEquity!$1:$1048576,18,FALSE))</f>
        <v>367273409</v>
      </c>
      <c r="AW140" s="439">
        <v>0</v>
      </c>
      <c r="AX140" s="440">
        <v>4542</v>
      </c>
      <c r="AY140" s="441" t="s">
        <v>2029</v>
      </c>
      <c r="AZ140" s="442" t="e">
        <f>(VLOOKUP(A140,TradesEquity!$1:$1048576,29,FALSE))</f>
        <v>#N/A</v>
      </c>
      <c r="BA140" s="442" t="e">
        <f>(VLOOKUP(A140,TradesEquity!$1:$1048576,30,FALSE))</f>
        <v>#N/A</v>
      </c>
      <c r="BB140" s="442" t="e">
        <f>(VLOOKUP(A140,TradesEquity!$1:$1048576,31,FALSE))</f>
        <v>#N/A</v>
      </c>
      <c r="BC140" s="442" t="e">
        <f>(VLOOKUP(A140,TradesEquity!$1:$1048576,32,FALSE))</f>
        <v>#N/A</v>
      </c>
      <c r="BI140" s="442" t="e">
        <f>(VLOOKUP(A140,TradesEquity!$1:$1048576,38,FALSE))</f>
        <v>#N/A</v>
      </c>
      <c r="BJ140" s="442" t="e">
        <f>(VLOOKUP(A140,TradesEquity!$1:$1048576,39,FALSE))</f>
        <v>#N/A</v>
      </c>
      <c r="BK140" s="442" t="e">
        <f>(VLOOKUP(A140,TradesEquity!$1:$1048576,40,FALSE))</f>
        <v>#N/A</v>
      </c>
    </row>
    <row r="141" spans="1:63">
      <c r="A141" s="502">
        <f t="shared" si="5"/>
        <v>2019200384</v>
      </c>
      <c r="D141" s="432" t="s">
        <v>2027</v>
      </c>
      <c r="F141" s="433">
        <f>VLOOKUP(A141,TradesEquity!$1:$1048576,2,FALSE)</f>
        <v>44183</v>
      </c>
      <c r="H141" s="433">
        <f>VLOOKUP(A141,TradesEquity!$1:$1048576,21,FALSE)</f>
        <v>44187</v>
      </c>
      <c r="I141" s="434" t="str">
        <f>IF(VLOOKUP(A141,TradesEquity!$1:$1048576,3,FALSE)="BUY","B","S")</f>
        <v>B</v>
      </c>
      <c r="J141" s="434" t="str">
        <f>VLOOKUP(A141,TradesEquity!$1:$1048576,5,FALSE)</f>
        <v>JP3627400009</v>
      </c>
      <c r="K141" s="432" t="s">
        <v>19</v>
      </c>
      <c r="L141" s="435" t="s">
        <v>2028</v>
      </c>
      <c r="AE141" s="436" t="str">
        <f>VLOOKUP(A141,TradesEquity!$1:$1048576,10,FALSE)</f>
        <v>JPY</v>
      </c>
      <c r="AF141" s="436" t="str">
        <f t="shared" si="4"/>
        <v>JPY</v>
      </c>
      <c r="AG141" s="436" t="str">
        <f t="shared" si="4"/>
        <v>JPY</v>
      </c>
      <c r="AH141" s="436" t="str">
        <f t="shared" si="4"/>
        <v>JPY</v>
      </c>
      <c r="AI141" s="436">
        <f>ABS(VLOOKUP(A141,TradesEquity!$1:$1048576,13,FALSE))</f>
        <v>3100</v>
      </c>
      <c r="AJ141" s="437">
        <v>0</v>
      </c>
      <c r="AK141" s="437">
        <v>1</v>
      </c>
      <c r="AL141" s="436">
        <f>VLOOKUP(A141,TradesEquity!$1:$1048576,11,FALSE)</f>
        <v>2299.9774000000002</v>
      </c>
      <c r="AM141" s="437">
        <v>1</v>
      </c>
      <c r="AN141" s="436">
        <f>ABS(VLOOKUP(A141,TradesEquity!$1:$1048576,14,FALSE))</f>
        <v>7129929.9400000004</v>
      </c>
      <c r="AO141" s="436">
        <f>ABS(VLOOKUP(A141,TradesEquity!$1:$1048576,15,FALSE))</f>
        <v>4278</v>
      </c>
      <c r="AP141" s="438">
        <f>ABS(VLOOKUP(A141,TradesEquity!$1:$1048576,16,FALSE))</f>
        <v>0</v>
      </c>
      <c r="AQ141" s="367">
        <v>0</v>
      </c>
      <c r="AR141" s="367">
        <v>0</v>
      </c>
      <c r="AS141" s="367">
        <v>0</v>
      </c>
      <c r="AT141" s="367">
        <v>0</v>
      </c>
      <c r="AU141" s="367">
        <v>0</v>
      </c>
      <c r="AV141" s="438">
        <f>ABS(VLOOKUP(A141,TradesEquity!$1:$1048576,18,FALSE))</f>
        <v>7134207.9400000004</v>
      </c>
      <c r="AW141" s="439">
        <v>0</v>
      </c>
      <c r="AX141" s="440">
        <v>4542</v>
      </c>
      <c r="AY141" s="441" t="s">
        <v>2029</v>
      </c>
      <c r="AZ141" s="442" t="str">
        <f>(VLOOKUP(A141,TradesEquity!$1:$1048576,29,FALSE))</f>
        <v>GSILGB2XXXX</v>
      </c>
      <c r="BA141" s="442" t="str">
        <f>(VLOOKUP(A141,TradesEquity!$1:$1048576,30,FALSE))</f>
        <v>JJSDJPJTXXX</v>
      </c>
      <c r="BB141" s="442">
        <f>(VLOOKUP(A141,TradesEquity!$1:$1048576,31,FALSE))</f>
        <v>6530490016</v>
      </c>
      <c r="BC141" s="442" t="str">
        <f>(VLOOKUP(A141,TradesEquity!$1:$1048576,32,FALSE))</f>
        <v>N</v>
      </c>
      <c r="BI141" s="442" t="str">
        <f>(VLOOKUP(A141,TradesEquity!$1:$1048576,38,FALSE))</f>
        <v xml:space="preserve">                  </v>
      </c>
      <c r="BJ141" s="442" t="str">
        <f>(VLOOKUP(A141,TradesEquity!$1:$1048576,39,FALSE))</f>
        <v xml:space="preserve">                          </v>
      </c>
      <c r="BK141" s="442" t="str">
        <f>(VLOOKUP(A141,TradesEquity!$1:$1048576,40,FALSE))</f>
        <v>GOLDJPJXXXX</v>
      </c>
    </row>
    <row r="142" spans="1:63">
      <c r="A142" s="502">
        <f t="shared" si="5"/>
        <v>2019200385</v>
      </c>
      <c r="D142" s="432" t="s">
        <v>2027</v>
      </c>
      <c r="F142" s="433">
        <f>VLOOKUP(A142,TradesEquity!$1:$1048576,2,FALSE)</f>
        <v>44183</v>
      </c>
      <c r="H142" s="433">
        <f>VLOOKUP(A142,TradesEquity!$1:$1048576,21,FALSE)</f>
        <v>44187</v>
      </c>
      <c r="I142" s="434" t="str">
        <f>IF(VLOOKUP(A142,TradesEquity!$1:$1048576,3,FALSE)="BUY","B","S")</f>
        <v>B</v>
      </c>
      <c r="J142" s="434" t="str">
        <f>VLOOKUP(A142,TradesEquity!$1:$1048576,5,FALSE)</f>
        <v>JP3592200004</v>
      </c>
      <c r="K142" s="432" t="s">
        <v>19</v>
      </c>
      <c r="L142" s="435" t="s">
        <v>2028</v>
      </c>
      <c r="AE142" s="436" t="str">
        <f>VLOOKUP(A142,TradesEquity!$1:$1048576,10,FALSE)</f>
        <v>JPY</v>
      </c>
      <c r="AF142" s="436" t="str">
        <f t="shared" si="4"/>
        <v>JPY</v>
      </c>
      <c r="AG142" s="436" t="str">
        <f t="shared" si="4"/>
        <v>JPY</v>
      </c>
      <c r="AH142" s="436" t="str">
        <f t="shared" si="4"/>
        <v>JPY</v>
      </c>
      <c r="AI142" s="436">
        <f>ABS(VLOOKUP(A142,TradesEquity!$1:$1048576,13,FALSE))</f>
        <v>3000</v>
      </c>
      <c r="AJ142" s="437">
        <v>0</v>
      </c>
      <c r="AK142" s="437">
        <v>1</v>
      </c>
      <c r="AL142" s="436">
        <f>VLOOKUP(A142,TradesEquity!$1:$1048576,11,FALSE)</f>
        <v>2998.64</v>
      </c>
      <c r="AM142" s="437">
        <v>1</v>
      </c>
      <c r="AN142" s="436">
        <f>ABS(VLOOKUP(A142,TradesEquity!$1:$1048576,14,FALSE))</f>
        <v>8995920</v>
      </c>
      <c r="AO142" s="436">
        <f>ABS(VLOOKUP(A142,TradesEquity!$1:$1048576,15,FALSE))</f>
        <v>5398</v>
      </c>
      <c r="AP142" s="438">
        <f>ABS(VLOOKUP(A142,TradesEquity!$1:$1048576,16,FALSE))</f>
        <v>0</v>
      </c>
      <c r="AQ142" s="367">
        <v>0</v>
      </c>
      <c r="AR142" s="367">
        <v>0</v>
      </c>
      <c r="AS142" s="367">
        <v>0</v>
      </c>
      <c r="AT142" s="367">
        <v>0</v>
      </c>
      <c r="AU142" s="367">
        <v>0</v>
      </c>
      <c r="AV142" s="438">
        <f>ABS(VLOOKUP(A142,TradesEquity!$1:$1048576,18,FALSE))</f>
        <v>9001318</v>
      </c>
      <c r="AW142" s="439">
        <v>0</v>
      </c>
      <c r="AX142" s="440">
        <v>4542</v>
      </c>
      <c r="AY142" s="441" t="s">
        <v>2029</v>
      </c>
      <c r="AZ142" s="442" t="str">
        <f>(VLOOKUP(A142,TradesEquity!$1:$1048576,29,FALSE))</f>
        <v>GSILGB2XXXX</v>
      </c>
      <c r="BA142" s="442" t="str">
        <f>(VLOOKUP(A142,TradesEquity!$1:$1048576,30,FALSE))</f>
        <v>JJSDJPJTXXX</v>
      </c>
      <c r="BB142" s="442">
        <f>(VLOOKUP(A142,TradesEquity!$1:$1048576,31,FALSE))</f>
        <v>6530490016</v>
      </c>
      <c r="BC142" s="442" t="str">
        <f>(VLOOKUP(A142,TradesEquity!$1:$1048576,32,FALSE))</f>
        <v>N</v>
      </c>
      <c r="BI142" s="442" t="str">
        <f>(VLOOKUP(A142,TradesEquity!$1:$1048576,38,FALSE))</f>
        <v xml:space="preserve">                  </v>
      </c>
      <c r="BJ142" s="442" t="str">
        <f>(VLOOKUP(A142,TradesEquity!$1:$1048576,39,FALSE))</f>
        <v xml:space="preserve">                          </v>
      </c>
      <c r="BK142" s="442" t="str">
        <f>(VLOOKUP(A142,TradesEquity!$1:$1048576,40,FALSE))</f>
        <v>GOLDJPJXXXX</v>
      </c>
    </row>
    <row r="143" spans="1:63">
      <c r="A143" s="502">
        <f t="shared" si="5"/>
        <v>2019200386</v>
      </c>
      <c r="D143" s="432" t="s">
        <v>2027</v>
      </c>
      <c r="F143" s="433">
        <f>VLOOKUP(A143,TradesEquity!$1:$1048576,2,FALSE)</f>
        <v>44194</v>
      </c>
      <c r="H143" s="433">
        <f>VLOOKUP(A143,TradesEquity!$1:$1048576,21,FALSE)</f>
        <v>44196</v>
      </c>
      <c r="I143" s="434" t="str">
        <f>IF(VLOOKUP(A143,TradesEquity!$1:$1048576,3,FALSE)="BUY","B","S")</f>
        <v>S</v>
      </c>
      <c r="J143" s="434" t="str">
        <f>VLOOKUP(A143,TradesEquity!$1:$1048576,5,FALSE)</f>
        <v>IT0005424822</v>
      </c>
      <c r="K143" s="432" t="s">
        <v>19</v>
      </c>
      <c r="L143" s="435" t="s">
        <v>2028</v>
      </c>
      <c r="AE143" s="436" t="str">
        <f>VLOOKUP(A143,TradesEquity!$1:$1048576,10,FALSE)</f>
        <v>EUR</v>
      </c>
      <c r="AF143" s="436" t="str">
        <f t="shared" si="4"/>
        <v>EUR</v>
      </c>
      <c r="AG143" s="436" t="str">
        <f t="shared" si="4"/>
        <v>EUR</v>
      </c>
      <c r="AH143" s="436" t="str">
        <f t="shared" si="4"/>
        <v>EUR</v>
      </c>
      <c r="AI143" s="436">
        <f>ABS(VLOOKUP(A143,TradesEquity!$1:$1048576,13,FALSE))</f>
        <v>1000</v>
      </c>
      <c r="AJ143" s="437">
        <v>0</v>
      </c>
      <c r="AK143" s="437">
        <v>1</v>
      </c>
      <c r="AL143" s="436">
        <f>VLOOKUP(A143,TradesEquity!$1:$1048576,11,FALSE)</f>
        <v>2.1</v>
      </c>
      <c r="AM143" s="437">
        <v>1</v>
      </c>
      <c r="AN143" s="436">
        <f>ABS(VLOOKUP(A143,TradesEquity!$1:$1048576,14,FALSE))</f>
        <v>2100</v>
      </c>
      <c r="AO143" s="436">
        <f>ABS(VLOOKUP(A143,TradesEquity!$1:$1048576,15,FALSE))</f>
        <v>1.26</v>
      </c>
      <c r="AP143" s="438">
        <f>ABS(VLOOKUP(A143,TradesEquity!$1:$1048576,16,FALSE))</f>
        <v>0</v>
      </c>
      <c r="AQ143" s="367">
        <v>0</v>
      </c>
      <c r="AR143" s="367">
        <v>0</v>
      </c>
      <c r="AS143" s="367">
        <v>0</v>
      </c>
      <c r="AT143" s="367">
        <v>0</v>
      </c>
      <c r="AU143" s="367">
        <v>0</v>
      </c>
      <c r="AV143" s="438">
        <f>ABS(VLOOKUP(A143,TradesEquity!$1:$1048576,18,FALSE))</f>
        <v>2098.7399999999998</v>
      </c>
      <c r="AW143" s="439">
        <v>0</v>
      </c>
      <c r="AX143" s="440">
        <v>4542</v>
      </c>
      <c r="AY143" s="441" t="s">
        <v>2029</v>
      </c>
      <c r="AZ143" s="442" t="str">
        <f>(VLOOKUP(A143,TradesEquity!$1:$1048576,29,FALSE))</f>
        <v>GSILGB2XXXX</v>
      </c>
      <c r="BA143" s="442" t="str">
        <f>(VLOOKUP(A143,TradesEquity!$1:$1048576,30,FALSE))</f>
        <v>MOTIITMMXXX</v>
      </c>
      <c r="BB143" s="442" t="str">
        <f>(VLOOKUP(A143,TradesEquity!$1:$1048576,31,FALSE))</f>
        <v>MOTICITIITMXXXX6013800</v>
      </c>
      <c r="BC143" s="442" t="str">
        <f>(VLOOKUP(A143,TradesEquity!$1:$1048576,32,FALSE))</f>
        <v>N</v>
      </c>
      <c r="BI143" s="442" t="str">
        <f>(VLOOKUP(A143,TradesEquity!$1:$1048576,38,FALSE))</f>
        <v xml:space="preserve">        </v>
      </c>
      <c r="BJ143" s="442" t="str">
        <f>(VLOOKUP(A143,TradesEquity!$1:$1048576,39,FALSE))</f>
        <v xml:space="preserve">        </v>
      </c>
      <c r="BK143" s="442" t="str">
        <f>(VLOOKUP(A143,TradesEquity!$1:$1048576,40,FALSE))</f>
        <v>CITIITM1012</v>
      </c>
    </row>
    <row r="144" spans="1:63">
      <c r="A144" s="502">
        <v>2019200388</v>
      </c>
      <c r="D144" s="432" t="s">
        <v>2027</v>
      </c>
      <c r="F144" s="433">
        <f>VLOOKUP(A144,TradesEquity!$1:$1048576,2,FALSE)</f>
        <v>44200</v>
      </c>
      <c r="H144" s="433">
        <f>VLOOKUP(A144,TradesEquity!$1:$1048576,21,FALSE)</f>
        <v>44202</v>
      </c>
      <c r="I144" s="434" t="str">
        <f>IF(VLOOKUP(A144,TradesEquity!$1:$1048576,3,FALSE)="BUY","B","S")</f>
        <v>B</v>
      </c>
      <c r="J144" s="434" t="str">
        <f>VLOOKUP(A144,TradesEquity!$1:$1048576,5,FALSE)</f>
        <v>JP3866800000</v>
      </c>
      <c r="K144" s="432" t="s">
        <v>19</v>
      </c>
      <c r="L144" s="435" t="s">
        <v>2028</v>
      </c>
      <c r="AE144" s="436" t="str">
        <f>VLOOKUP(A144,TradesEquity!$1:$1048576,10,FALSE)</f>
        <v>JPY</v>
      </c>
      <c r="AF144" s="436" t="str">
        <f t="shared" si="4"/>
        <v>JPY</v>
      </c>
      <c r="AG144" s="436" t="str">
        <f t="shared" si="4"/>
        <v>JPY</v>
      </c>
      <c r="AH144" s="436" t="str">
        <f t="shared" si="4"/>
        <v>JPY</v>
      </c>
      <c r="AI144" s="436">
        <f>ABS(VLOOKUP(A144,TradesEquity!$1:$1048576,13,FALSE))</f>
        <v>9350</v>
      </c>
      <c r="AJ144" s="437">
        <v>0</v>
      </c>
      <c r="AK144" s="437">
        <v>1</v>
      </c>
      <c r="AL144" s="436">
        <f>VLOOKUP(A144,TradesEquity!$1:$1048576,11,FALSE)</f>
        <v>1188.9996000000001</v>
      </c>
      <c r="AM144" s="437">
        <v>1</v>
      </c>
      <c r="AN144" s="436">
        <f>ABS(VLOOKUP(A144,TradesEquity!$1:$1048576,14,FALSE))</f>
        <v>11117146.260000002</v>
      </c>
      <c r="AO144" s="436">
        <f>ABS(VLOOKUP(A144,TradesEquity!$1:$1048576,15,FALSE))</f>
        <v>6670</v>
      </c>
      <c r="AP144" s="438">
        <f>ABS(VLOOKUP(A144,TradesEquity!$1:$1048576,16,FALSE))</f>
        <v>0</v>
      </c>
      <c r="AQ144" s="367">
        <v>0</v>
      </c>
      <c r="AR144" s="367">
        <v>0</v>
      </c>
      <c r="AS144" s="367">
        <v>0</v>
      </c>
      <c r="AT144" s="367">
        <v>0</v>
      </c>
      <c r="AU144" s="367">
        <v>0</v>
      </c>
      <c r="AV144" s="438">
        <f>ABS(VLOOKUP(A144,TradesEquity!$1:$1048576,18,FALSE))</f>
        <v>11123816.260000002</v>
      </c>
      <c r="AW144" s="439">
        <v>0</v>
      </c>
      <c r="AX144" s="440">
        <v>4542</v>
      </c>
      <c r="AY144" s="441" t="s">
        <v>2029</v>
      </c>
      <c r="AZ144" s="442" t="str">
        <f>(VLOOKUP(A144,TradesEquity!$1:$1048576,29,FALSE))</f>
        <v>GSILGB2XXXX</v>
      </c>
      <c r="BA144" s="442" t="str">
        <f>(VLOOKUP(A144,TradesEquity!$1:$1048576,30,FALSE))</f>
        <v>JJSDJPJTXXX</v>
      </c>
      <c r="BB144" s="442">
        <f>(VLOOKUP(A144,TradesEquity!$1:$1048576,31,FALSE))</f>
        <v>6530490016</v>
      </c>
      <c r="BC144" s="442" t="str">
        <f>(VLOOKUP(A144,TradesEquity!$1:$1048576,32,FALSE))</f>
        <v>N</v>
      </c>
      <c r="BI144" s="442" t="str">
        <f>(VLOOKUP(A144,TradesEquity!$1:$1048576,38,FALSE))</f>
        <v xml:space="preserve">                  </v>
      </c>
      <c r="BJ144" s="442" t="str">
        <f>(VLOOKUP(A144,TradesEquity!$1:$1048576,39,FALSE))</f>
        <v xml:space="preserve">                          </v>
      </c>
      <c r="BK144" s="442" t="str">
        <f>(VLOOKUP(A144,TradesEquity!$1:$1048576,40,FALSE))</f>
        <v>GOLDJPJXXXX</v>
      </c>
    </row>
    <row r="145" spans="1:63">
      <c r="A145" s="502">
        <v>2019200389</v>
      </c>
      <c r="D145" s="432" t="s">
        <v>2027</v>
      </c>
      <c r="F145" s="433">
        <f>VLOOKUP(A145,TradesEquity!$1:$1048576,2,FALSE)</f>
        <v>44202</v>
      </c>
      <c r="H145" s="433">
        <f>VLOOKUP(A145,TradesEquity!$1:$1048576,21,FALSE)</f>
        <v>44204</v>
      </c>
      <c r="I145" s="434" t="str">
        <f>IF(VLOOKUP(A145,TradesEquity!$1:$1048576,3,FALSE)="BUY","B","S")</f>
        <v>B</v>
      </c>
      <c r="J145" s="434" t="str">
        <f>VLOOKUP(A145,TradesEquity!$1:$1048576,5,FALSE)</f>
        <v>JP3544000007</v>
      </c>
      <c r="K145" s="432" t="s">
        <v>19</v>
      </c>
      <c r="L145" s="435" t="s">
        <v>2028</v>
      </c>
      <c r="AE145" s="436" t="str">
        <f>VLOOKUP(A145,TradesEquity!$1:$1048576,10,FALSE)</f>
        <v>JPY</v>
      </c>
      <c r="AF145" s="436" t="str">
        <f t="shared" si="4"/>
        <v>JPY</v>
      </c>
      <c r="AG145" s="436" t="str">
        <f t="shared" si="4"/>
        <v>JPY</v>
      </c>
      <c r="AH145" s="436" t="str">
        <f t="shared" si="4"/>
        <v>JPY</v>
      </c>
      <c r="AI145" s="436">
        <f>ABS(VLOOKUP(A145,TradesEquity!$1:$1048576,13,FALSE))</f>
        <v>5800</v>
      </c>
      <c r="AJ145" s="437">
        <v>0</v>
      </c>
      <c r="AK145" s="437">
        <v>1</v>
      </c>
      <c r="AL145" s="436">
        <f>VLOOKUP(A145,TradesEquity!$1:$1048576,11,FALSE)</f>
        <v>1928.6948199999999</v>
      </c>
      <c r="AM145" s="437">
        <v>1</v>
      </c>
      <c r="AN145" s="436">
        <f>ABS(VLOOKUP(A145,TradesEquity!$1:$1048576,14,FALSE))</f>
        <v>11186429.956</v>
      </c>
      <c r="AO145" s="436">
        <f>ABS(VLOOKUP(A145,TradesEquity!$1:$1048576,15,FALSE))</f>
        <v>6712</v>
      </c>
      <c r="AP145" s="438">
        <f>ABS(VLOOKUP(A145,TradesEquity!$1:$1048576,16,FALSE))</f>
        <v>0</v>
      </c>
      <c r="AQ145" s="367">
        <v>0</v>
      </c>
      <c r="AR145" s="367">
        <v>0</v>
      </c>
      <c r="AS145" s="367">
        <v>0</v>
      </c>
      <c r="AT145" s="367">
        <v>0</v>
      </c>
      <c r="AU145" s="367">
        <v>0</v>
      </c>
      <c r="AV145" s="438">
        <f>ABS(VLOOKUP(A145,TradesEquity!$1:$1048576,18,FALSE))</f>
        <v>11193141.956</v>
      </c>
      <c r="AW145" s="439">
        <v>0</v>
      </c>
      <c r="AX145" s="440">
        <v>4542</v>
      </c>
      <c r="AY145" s="441" t="s">
        <v>2029</v>
      </c>
      <c r="AZ145" s="442" t="str">
        <f>(VLOOKUP(A145,TradesEquity!$1:$1048576,29,FALSE))</f>
        <v>GSILGB2XXXX</v>
      </c>
      <c r="BA145" s="442" t="str">
        <f>(VLOOKUP(A145,TradesEquity!$1:$1048576,30,FALSE))</f>
        <v>JJSDJPJTXXX</v>
      </c>
      <c r="BB145" s="442">
        <f>(VLOOKUP(A145,TradesEquity!$1:$1048576,31,FALSE))</f>
        <v>6530490016</v>
      </c>
      <c r="BC145" s="442" t="str">
        <f>(VLOOKUP(A145,TradesEquity!$1:$1048576,32,FALSE))</f>
        <v>N</v>
      </c>
      <c r="BI145" s="442" t="str">
        <f>(VLOOKUP(A145,TradesEquity!$1:$1048576,38,FALSE))</f>
        <v xml:space="preserve">                  </v>
      </c>
      <c r="BJ145" s="442" t="str">
        <f>(VLOOKUP(A145,TradesEquity!$1:$1048576,39,FALSE))</f>
        <v xml:space="preserve">                          </v>
      </c>
      <c r="BK145" s="442" t="str">
        <f>(VLOOKUP(A145,TradesEquity!$1:$1048576,40,FALSE))</f>
        <v>GOLDJPJXXXX</v>
      </c>
    </row>
    <row r="146" spans="1:63">
      <c r="A146" s="502">
        <v>2019200390</v>
      </c>
      <c r="D146" s="432" t="s">
        <v>2027</v>
      </c>
      <c r="F146" s="433">
        <f>VLOOKUP(A146,TradesEquity!$1:$1048576,2,FALSE)</f>
        <v>44202</v>
      </c>
      <c r="H146" s="433">
        <f>VLOOKUP(A146,TradesEquity!$1:$1048576,21,FALSE)</f>
        <v>44204</v>
      </c>
      <c r="I146" s="434" t="str">
        <f>IF(VLOOKUP(A146,TradesEquity!$1:$1048576,3,FALSE)="BUY","B","S")</f>
        <v>S</v>
      </c>
      <c r="J146" s="434" t="str">
        <f>VLOOKUP(A146,TradesEquity!$1:$1048576,5,FALSE)</f>
        <v>KR7096770003</v>
      </c>
      <c r="K146" s="432" t="s">
        <v>19</v>
      </c>
      <c r="L146" s="435" t="s">
        <v>2028</v>
      </c>
      <c r="AE146" s="436" t="str">
        <f>VLOOKUP(A146,TradesEquity!$1:$1048576,10,FALSE)</f>
        <v>KRW</v>
      </c>
      <c r="AF146" s="436" t="str">
        <f t="shared" si="4"/>
        <v>KRW</v>
      </c>
      <c r="AG146" s="436" t="str">
        <f t="shared" si="4"/>
        <v>KRW</v>
      </c>
      <c r="AH146" s="436" t="str">
        <f t="shared" si="4"/>
        <v>KRW</v>
      </c>
      <c r="AI146" s="436">
        <f>ABS(VLOOKUP(A146,TradesEquity!$1:$1048576,13,FALSE))</f>
        <v>990</v>
      </c>
      <c r="AJ146" s="437">
        <v>0</v>
      </c>
      <c r="AK146" s="437">
        <v>1</v>
      </c>
      <c r="AL146" s="436">
        <f>VLOOKUP(A146,TradesEquity!$1:$1048576,11,FALSE)</f>
        <v>262267.676768</v>
      </c>
      <c r="AM146" s="437">
        <v>1</v>
      </c>
      <c r="AN146" s="436">
        <f>ABS(VLOOKUP(A146,TradesEquity!$1:$1048576,14,FALSE))</f>
        <v>259645000.00032002</v>
      </c>
      <c r="AO146" s="436">
        <f>ABS(VLOOKUP(A146,TradesEquity!$1:$1048576,15,FALSE))</f>
        <v>389468</v>
      </c>
      <c r="AP146" s="438">
        <f>ABS(VLOOKUP(A146,TradesEquity!$1:$1048576,16,FALSE))</f>
        <v>597163</v>
      </c>
      <c r="AQ146" s="367">
        <v>0</v>
      </c>
      <c r="AR146" s="367">
        <v>0</v>
      </c>
      <c r="AS146" s="367">
        <v>0</v>
      </c>
      <c r="AT146" s="367">
        <v>0</v>
      </c>
      <c r="AU146" s="367">
        <v>0</v>
      </c>
      <c r="AV146" s="438">
        <f>ABS(VLOOKUP(A146,TradesEquity!$1:$1048576,18,FALSE))</f>
        <v>258658369.00032002</v>
      </c>
      <c r="AW146" s="439">
        <v>0</v>
      </c>
      <c r="AX146" s="440">
        <v>4542</v>
      </c>
      <c r="AY146" s="441" t="s">
        <v>2029</v>
      </c>
      <c r="AZ146" s="442" t="e">
        <f>(VLOOKUP(A146,TradesEquity!$1:$1048576,29,FALSE))</f>
        <v>#N/A</v>
      </c>
      <c r="BA146" s="442" t="e">
        <f>(VLOOKUP(A146,TradesEquity!$1:$1048576,30,FALSE))</f>
        <v>#N/A</v>
      </c>
      <c r="BB146" s="442" t="e">
        <f>(VLOOKUP(A146,TradesEquity!$1:$1048576,31,FALSE))</f>
        <v>#N/A</v>
      </c>
      <c r="BC146" s="442" t="e">
        <f>(VLOOKUP(A146,TradesEquity!$1:$1048576,32,FALSE))</f>
        <v>#N/A</v>
      </c>
      <c r="BI146" s="442" t="e">
        <f>(VLOOKUP(A146,TradesEquity!$1:$1048576,38,FALSE))</f>
        <v>#N/A</v>
      </c>
      <c r="BJ146" s="442" t="e">
        <f>(VLOOKUP(A146,TradesEquity!$1:$1048576,39,FALSE))</f>
        <v>#N/A</v>
      </c>
      <c r="BK146" s="442" t="e">
        <f>(VLOOKUP(A146,TradesEquity!$1:$1048576,40,FALSE))</f>
        <v>#N/A</v>
      </c>
    </row>
    <row r="147" spans="1:63">
      <c r="A147" s="502">
        <v>2019200391</v>
      </c>
      <c r="D147" s="432" t="s">
        <v>2027</v>
      </c>
      <c r="F147" s="433">
        <f>VLOOKUP(A147,TradesEquity!$1:$1048576,2,FALSE)</f>
        <v>44207</v>
      </c>
      <c r="H147" s="433">
        <f>VLOOKUP(A147,TradesEquity!$1:$1048576,21,FALSE)</f>
        <v>44209</v>
      </c>
      <c r="I147" s="434" t="str">
        <f>IF(VLOOKUP(A147,TradesEquity!$1:$1048576,3,FALSE)="BUY","B","S")</f>
        <v>S</v>
      </c>
      <c r="J147" s="434" t="str">
        <f>VLOOKUP(A147,TradesEquity!$1:$1048576,5,FALSE)</f>
        <v>KR7006401004</v>
      </c>
      <c r="K147" s="432" t="s">
        <v>19</v>
      </c>
      <c r="L147" s="435" t="s">
        <v>2028</v>
      </c>
      <c r="AE147" s="436" t="str">
        <f>VLOOKUP(A147,TradesEquity!$1:$1048576,10,FALSE)</f>
        <v>KRW</v>
      </c>
      <c r="AF147" s="436" t="str">
        <f t="shared" si="4"/>
        <v>KRW</v>
      </c>
      <c r="AG147" s="436" t="str">
        <f t="shared" si="4"/>
        <v>KRW</v>
      </c>
      <c r="AH147" s="436" t="str">
        <f t="shared" si="4"/>
        <v>KRW</v>
      </c>
      <c r="AI147" s="436">
        <f>ABS(VLOOKUP(A147,TradesEquity!$1:$1048576,13,FALSE))</f>
        <v>300</v>
      </c>
      <c r="AJ147" s="437">
        <v>0</v>
      </c>
      <c r="AK147" s="437">
        <v>1</v>
      </c>
      <c r="AL147" s="436">
        <f>VLOOKUP(A147,TradesEquity!$1:$1048576,11,FALSE)</f>
        <v>495811.66666699998</v>
      </c>
      <c r="AM147" s="437">
        <v>1</v>
      </c>
      <c r="AN147" s="436">
        <f>ABS(VLOOKUP(A147,TradesEquity!$1:$1048576,14,FALSE))</f>
        <v>148743500.00009999</v>
      </c>
      <c r="AO147" s="436">
        <f>ABS(VLOOKUP(A147,TradesEquity!$1:$1048576,15,FALSE))</f>
        <v>223115</v>
      </c>
      <c r="AP147" s="438">
        <f>ABS(VLOOKUP(A147,TradesEquity!$1:$1048576,16,FALSE))</f>
        <v>342073</v>
      </c>
      <c r="AQ147" s="367">
        <v>0</v>
      </c>
      <c r="AR147" s="367">
        <v>0</v>
      </c>
      <c r="AS147" s="367">
        <v>0</v>
      </c>
      <c r="AT147" s="367">
        <v>0</v>
      </c>
      <c r="AU147" s="367">
        <v>0</v>
      </c>
      <c r="AV147" s="438">
        <f>ABS(VLOOKUP(A147,TradesEquity!$1:$1048576,18,FALSE))</f>
        <v>148178312.00009999</v>
      </c>
      <c r="AW147" s="439">
        <v>0</v>
      </c>
      <c r="AX147" s="440">
        <v>4542</v>
      </c>
      <c r="AY147" s="441" t="s">
        <v>2029</v>
      </c>
      <c r="AZ147" s="442" t="e">
        <f>(VLOOKUP(A147,TradesEquity!$1:$1048576,29,FALSE))</f>
        <v>#N/A</v>
      </c>
      <c r="BA147" s="442" t="e">
        <f>(VLOOKUP(A147,TradesEquity!$1:$1048576,30,FALSE))</f>
        <v>#N/A</v>
      </c>
      <c r="BB147" s="442" t="e">
        <f>(VLOOKUP(A147,TradesEquity!$1:$1048576,31,FALSE))</f>
        <v>#N/A</v>
      </c>
      <c r="BC147" s="442" t="e">
        <f>(VLOOKUP(A147,TradesEquity!$1:$1048576,32,FALSE))</f>
        <v>#N/A</v>
      </c>
      <c r="BI147" s="442" t="e">
        <f>(VLOOKUP(A147,TradesEquity!$1:$1048576,38,FALSE))</f>
        <v>#N/A</v>
      </c>
      <c r="BJ147" s="442" t="e">
        <f>(VLOOKUP(A147,TradesEquity!$1:$1048576,39,FALSE))</f>
        <v>#N/A</v>
      </c>
      <c r="BK147" s="442" t="e">
        <f>(VLOOKUP(A147,TradesEquity!$1:$1048576,40,FALSE))</f>
        <v>#N/A</v>
      </c>
    </row>
    <row r="148" spans="1:63">
      <c r="A148" s="502">
        <v>2019200392</v>
      </c>
      <c r="D148" s="432" t="s">
        <v>2027</v>
      </c>
      <c r="F148" s="433">
        <f>VLOOKUP(A148,TradesEquity!$1:$1048576,2,FALSE)</f>
        <v>44208</v>
      </c>
      <c r="H148" s="433">
        <f>VLOOKUP(A148,TradesEquity!$1:$1048576,21,FALSE)</f>
        <v>44210</v>
      </c>
      <c r="I148" s="434" t="str">
        <f>IF(VLOOKUP(A148,TradesEquity!$1:$1048576,3,FALSE)="BUY","B","S")</f>
        <v>B</v>
      </c>
      <c r="J148" s="434" t="str">
        <f>VLOOKUP(A148,TradesEquity!$1:$1048576,5,FALSE)</f>
        <v>JP3592200004</v>
      </c>
      <c r="K148" s="432" t="s">
        <v>19</v>
      </c>
      <c r="L148" s="435" t="s">
        <v>2028</v>
      </c>
      <c r="AE148" s="436" t="str">
        <f>VLOOKUP(A148,TradesEquity!$1:$1048576,10,FALSE)</f>
        <v>JPY</v>
      </c>
      <c r="AF148" s="436" t="str">
        <f t="shared" si="4"/>
        <v>JPY</v>
      </c>
      <c r="AG148" s="436" t="str">
        <f t="shared" si="4"/>
        <v>JPY</v>
      </c>
      <c r="AH148" s="436" t="str">
        <f t="shared" si="4"/>
        <v>JPY</v>
      </c>
      <c r="AI148" s="436">
        <f>ABS(VLOOKUP(A148,TradesEquity!$1:$1048576,13,FALSE))</f>
        <v>9000</v>
      </c>
      <c r="AJ148" s="437">
        <v>0</v>
      </c>
      <c r="AK148" s="437">
        <v>1</v>
      </c>
      <c r="AL148" s="436">
        <f>VLOOKUP(A148,TradesEquity!$1:$1048576,11,FALSE)</f>
        <v>3039.2255559999999</v>
      </c>
      <c r="AM148" s="437">
        <v>1</v>
      </c>
      <c r="AN148" s="436">
        <f>ABS(VLOOKUP(A148,TradesEquity!$1:$1048576,14,FALSE))</f>
        <v>27353030.004000001</v>
      </c>
      <c r="AO148" s="436">
        <f>ABS(VLOOKUP(A148,TradesEquity!$1:$1048576,15,FALSE))</f>
        <v>16412</v>
      </c>
      <c r="AP148" s="438">
        <f>ABS(VLOOKUP(A148,TradesEquity!$1:$1048576,16,FALSE))</f>
        <v>0</v>
      </c>
      <c r="AQ148" s="367">
        <v>0</v>
      </c>
      <c r="AR148" s="367">
        <v>0</v>
      </c>
      <c r="AS148" s="367">
        <v>0</v>
      </c>
      <c r="AT148" s="367">
        <v>0</v>
      </c>
      <c r="AU148" s="367">
        <v>0</v>
      </c>
      <c r="AV148" s="438">
        <f>ABS(VLOOKUP(A148,TradesEquity!$1:$1048576,18,FALSE))</f>
        <v>27369442.004000001</v>
      </c>
      <c r="AW148" s="439">
        <v>0</v>
      </c>
      <c r="AX148" s="440">
        <v>4542</v>
      </c>
      <c r="AY148" s="441" t="s">
        <v>2029</v>
      </c>
      <c r="AZ148" s="442" t="str">
        <f>(VLOOKUP(A148,TradesEquity!$1:$1048576,29,FALSE))</f>
        <v>GSILGB2XXXX</v>
      </c>
      <c r="BA148" s="442" t="str">
        <f>(VLOOKUP(A148,TradesEquity!$1:$1048576,30,FALSE))</f>
        <v>JJSDJPJTXXX</v>
      </c>
      <c r="BB148" s="442">
        <f>(VLOOKUP(A148,TradesEquity!$1:$1048576,31,FALSE))</f>
        <v>6530490016</v>
      </c>
      <c r="BC148" s="442" t="str">
        <f>(VLOOKUP(A148,TradesEquity!$1:$1048576,32,FALSE))</f>
        <v>N</v>
      </c>
      <c r="BI148" s="442" t="str">
        <f>(VLOOKUP(A148,TradesEquity!$1:$1048576,38,FALSE))</f>
        <v xml:space="preserve">                  </v>
      </c>
      <c r="BJ148" s="442" t="str">
        <f>(VLOOKUP(A148,TradesEquity!$1:$1048576,39,FALSE))</f>
        <v xml:space="preserve">                          </v>
      </c>
      <c r="BK148" s="442" t="str">
        <f>(VLOOKUP(A148,TradesEquity!$1:$1048576,40,FALSE))</f>
        <v>GOLDJPJXXXX</v>
      </c>
    </row>
    <row r="149" spans="1:63">
      <c r="A149" s="502">
        <v>2019200393</v>
      </c>
      <c r="D149" s="432" t="s">
        <v>2027</v>
      </c>
      <c r="F149" s="433">
        <f>VLOOKUP(A149,TradesEquity!$1:$1048576,2,FALSE)</f>
        <v>44208</v>
      </c>
      <c r="H149" s="433">
        <f>VLOOKUP(A149,TradesEquity!$1:$1048576,21,FALSE)</f>
        <v>44210</v>
      </c>
      <c r="I149" s="434" t="str">
        <f>IF(VLOOKUP(A149,TradesEquity!$1:$1048576,3,FALSE)="BUY","B","S")</f>
        <v>B</v>
      </c>
      <c r="J149" s="434" t="str">
        <f>VLOOKUP(A149,TradesEquity!$1:$1048576,5,FALSE)</f>
        <v>JP3866800000</v>
      </c>
      <c r="K149" s="432" t="s">
        <v>19</v>
      </c>
      <c r="L149" s="435" t="s">
        <v>2028</v>
      </c>
      <c r="AE149" s="436" t="str">
        <f>VLOOKUP(A149,TradesEquity!$1:$1048576,10,FALSE)</f>
        <v>JPY</v>
      </c>
      <c r="AF149" s="436" t="str">
        <f t="shared" si="4"/>
        <v>JPY</v>
      </c>
      <c r="AG149" s="436" t="str">
        <f t="shared" si="4"/>
        <v>JPY</v>
      </c>
      <c r="AH149" s="436" t="str">
        <f t="shared" si="4"/>
        <v>JPY</v>
      </c>
      <c r="AI149" s="436">
        <f>ABS(VLOOKUP(A149,TradesEquity!$1:$1048576,13,FALSE))</f>
        <v>6000</v>
      </c>
      <c r="AJ149" s="437">
        <v>0</v>
      </c>
      <c r="AK149" s="437">
        <v>1</v>
      </c>
      <c r="AL149" s="436">
        <f>VLOOKUP(A149,TradesEquity!$1:$1048576,11,FALSE)</f>
        <v>1287.3908329999999</v>
      </c>
      <c r="AM149" s="437">
        <v>1</v>
      </c>
      <c r="AN149" s="436">
        <f>ABS(VLOOKUP(A149,TradesEquity!$1:$1048576,14,FALSE))</f>
        <v>7724344.9979999997</v>
      </c>
      <c r="AO149" s="436">
        <f>ABS(VLOOKUP(A149,TradesEquity!$1:$1048576,15,FALSE))</f>
        <v>4635</v>
      </c>
      <c r="AP149" s="438">
        <f>ABS(VLOOKUP(A149,TradesEquity!$1:$1048576,16,FALSE))</f>
        <v>0</v>
      </c>
      <c r="AQ149" s="367">
        <v>0</v>
      </c>
      <c r="AR149" s="367">
        <v>0</v>
      </c>
      <c r="AS149" s="367">
        <v>0</v>
      </c>
      <c r="AT149" s="367">
        <v>0</v>
      </c>
      <c r="AU149" s="367">
        <v>0</v>
      </c>
      <c r="AV149" s="438">
        <f>ABS(VLOOKUP(A149,TradesEquity!$1:$1048576,18,FALSE))</f>
        <v>7728979.9979999997</v>
      </c>
      <c r="AW149" s="439">
        <v>0</v>
      </c>
      <c r="AX149" s="440">
        <v>4542</v>
      </c>
      <c r="AY149" s="441" t="s">
        <v>2029</v>
      </c>
      <c r="AZ149" s="442" t="str">
        <f>(VLOOKUP(A149,TradesEquity!$1:$1048576,29,FALSE))</f>
        <v>GSILGB2XXXX</v>
      </c>
      <c r="BA149" s="442" t="str">
        <f>(VLOOKUP(A149,TradesEquity!$1:$1048576,30,FALSE))</f>
        <v>JJSDJPJTXXX</v>
      </c>
      <c r="BB149" s="442">
        <f>(VLOOKUP(A149,TradesEquity!$1:$1048576,31,FALSE))</f>
        <v>6530490016</v>
      </c>
      <c r="BC149" s="442" t="str">
        <f>(VLOOKUP(A149,TradesEquity!$1:$1048576,32,FALSE))</f>
        <v>N</v>
      </c>
      <c r="BI149" s="442" t="str">
        <f>(VLOOKUP(A149,TradesEquity!$1:$1048576,38,FALSE))</f>
        <v xml:space="preserve">                  </v>
      </c>
      <c r="BJ149" s="442" t="str">
        <f>(VLOOKUP(A149,TradesEquity!$1:$1048576,39,FALSE))</f>
        <v xml:space="preserve">                          </v>
      </c>
      <c r="BK149" s="442" t="str">
        <f>(VLOOKUP(A149,TradesEquity!$1:$1048576,40,FALSE))</f>
        <v>GOLDJPJXXXX</v>
      </c>
    </row>
    <row r="150" spans="1:63">
      <c r="A150" s="502">
        <v>2019200396</v>
      </c>
      <c r="D150" s="432" t="s">
        <v>2027</v>
      </c>
      <c r="F150" s="433">
        <f>VLOOKUP(A150,TradesEquity!$1:$1048576,2,FALSE)</f>
        <v>44209</v>
      </c>
      <c r="H150" s="433">
        <f>VLOOKUP(A150,TradesEquity!$1:$1048576,21,FALSE)</f>
        <v>44211</v>
      </c>
      <c r="I150" s="434" t="str">
        <f>IF(VLOOKUP(A150,TradesEquity!$1:$1048576,3,FALSE)="BUY","B","S")</f>
        <v>B</v>
      </c>
      <c r="J150" s="434" t="str">
        <f>VLOOKUP(A150,TradesEquity!$1:$1048576,5,FALSE)</f>
        <v>JP3544000007</v>
      </c>
      <c r="K150" s="432" t="s">
        <v>19</v>
      </c>
      <c r="L150" s="435" t="s">
        <v>2028</v>
      </c>
      <c r="AE150" s="436" t="str">
        <f>VLOOKUP(A150,TradesEquity!$1:$1048576,10,FALSE)</f>
        <v>JPY</v>
      </c>
      <c r="AF150" s="436" t="str">
        <f t="shared" si="4"/>
        <v>JPY</v>
      </c>
      <c r="AG150" s="436" t="str">
        <f t="shared" si="4"/>
        <v>JPY</v>
      </c>
      <c r="AH150" s="436" t="str">
        <f t="shared" si="4"/>
        <v>JPY</v>
      </c>
      <c r="AI150" s="436">
        <f>ABS(VLOOKUP(A150,TradesEquity!$1:$1048576,13,FALSE))</f>
        <v>5000</v>
      </c>
      <c r="AJ150" s="437">
        <v>0</v>
      </c>
      <c r="AK150" s="437">
        <v>1</v>
      </c>
      <c r="AL150" s="436">
        <f>VLOOKUP(A150,TradesEquity!$1:$1048576,11,FALSE)</f>
        <v>1998.742</v>
      </c>
      <c r="AM150" s="437">
        <v>1</v>
      </c>
      <c r="AN150" s="436">
        <f>ABS(VLOOKUP(A150,TradesEquity!$1:$1048576,14,FALSE))</f>
        <v>9993710</v>
      </c>
      <c r="AO150" s="436">
        <f>ABS(VLOOKUP(A150,TradesEquity!$1:$1048576,15,FALSE))</f>
        <v>5996</v>
      </c>
      <c r="AP150" s="438">
        <f>ABS(VLOOKUP(A150,TradesEquity!$1:$1048576,16,FALSE))</f>
        <v>0</v>
      </c>
      <c r="AQ150" s="367">
        <v>0</v>
      </c>
      <c r="AR150" s="367">
        <v>0</v>
      </c>
      <c r="AS150" s="367">
        <v>0</v>
      </c>
      <c r="AT150" s="367">
        <v>0</v>
      </c>
      <c r="AU150" s="367">
        <v>0</v>
      </c>
      <c r="AV150" s="438">
        <f>ABS(VLOOKUP(A150,TradesEquity!$1:$1048576,18,FALSE))</f>
        <v>9999706</v>
      </c>
      <c r="AW150" s="439">
        <v>0</v>
      </c>
      <c r="AX150" s="440">
        <v>4542</v>
      </c>
      <c r="AY150" s="441" t="s">
        <v>2029</v>
      </c>
      <c r="AZ150" s="442" t="str">
        <f>(VLOOKUP(A150,TradesEquity!$1:$1048576,29,FALSE))</f>
        <v>GSILGB2XXXX</v>
      </c>
      <c r="BA150" s="442" t="str">
        <f>(VLOOKUP(A150,TradesEquity!$1:$1048576,30,FALSE))</f>
        <v>JJSDJPJTXXX</v>
      </c>
      <c r="BB150" s="442">
        <f>(VLOOKUP(A150,TradesEquity!$1:$1048576,31,FALSE))</f>
        <v>6530490016</v>
      </c>
      <c r="BC150" s="442" t="str">
        <f>(VLOOKUP(A150,TradesEquity!$1:$1048576,32,FALSE))</f>
        <v>N</v>
      </c>
      <c r="BI150" s="442" t="str">
        <f>(VLOOKUP(A150,TradesEquity!$1:$1048576,38,FALSE))</f>
        <v xml:space="preserve">                  </v>
      </c>
      <c r="BJ150" s="442" t="str">
        <f>(VLOOKUP(A150,TradesEquity!$1:$1048576,39,FALSE))</f>
        <v xml:space="preserve">                          </v>
      </c>
      <c r="BK150" s="442" t="str">
        <f>(VLOOKUP(A150,TradesEquity!$1:$1048576,40,FALSE))</f>
        <v>GOLDJPJXXXX</v>
      </c>
    </row>
    <row r="151" spans="1:63">
      <c r="A151" s="502">
        <v>2019200397</v>
      </c>
      <c r="D151" s="432" t="s">
        <v>2027</v>
      </c>
      <c r="F151" s="433">
        <f>VLOOKUP(A151,TradesEquity!$1:$1048576,2,FALSE)</f>
        <v>44210</v>
      </c>
      <c r="H151" s="433">
        <f>VLOOKUP(A151,TradesEquity!$1:$1048576,21,FALSE)</f>
        <v>44214</v>
      </c>
      <c r="I151" s="434" t="str">
        <f>IF(VLOOKUP(A151,TradesEquity!$1:$1048576,3,FALSE)="BUY","B","S")</f>
        <v>B</v>
      </c>
      <c r="J151" s="434" t="str">
        <f>VLOOKUP(A151,TradesEquity!$1:$1048576,5,FALSE)</f>
        <v>JP3592200004</v>
      </c>
      <c r="K151" s="432" t="s">
        <v>19</v>
      </c>
      <c r="L151" s="435" t="s">
        <v>2028</v>
      </c>
      <c r="AE151" s="436" t="str">
        <f>VLOOKUP(A151,TradesEquity!$1:$1048576,10,FALSE)</f>
        <v>JPY</v>
      </c>
      <c r="AF151" s="436" t="str">
        <f t="shared" si="4"/>
        <v>JPY</v>
      </c>
      <c r="AG151" s="436" t="str">
        <f t="shared" si="4"/>
        <v>JPY</v>
      </c>
      <c r="AH151" s="436" t="str">
        <f t="shared" si="4"/>
        <v>JPY</v>
      </c>
      <c r="AI151" s="436">
        <f>ABS(VLOOKUP(A151,TradesEquity!$1:$1048576,13,FALSE))</f>
        <v>8000</v>
      </c>
      <c r="AJ151" s="437">
        <v>0</v>
      </c>
      <c r="AK151" s="437">
        <v>1</v>
      </c>
      <c r="AL151" s="436">
        <f>VLOOKUP(A151,TradesEquity!$1:$1048576,11,FALSE)</f>
        <v>3005.1862000000001</v>
      </c>
      <c r="AM151" s="437">
        <v>1</v>
      </c>
      <c r="AN151" s="436">
        <f>ABS(VLOOKUP(A151,TradesEquity!$1:$1048576,14,FALSE))</f>
        <v>24041489.600000001</v>
      </c>
      <c r="AO151" s="436">
        <f>ABS(VLOOKUP(A151,TradesEquity!$1:$1048576,15,FALSE))</f>
        <v>14424.89</v>
      </c>
      <c r="AP151" s="438">
        <f>ABS(VLOOKUP(A151,TradesEquity!$1:$1048576,16,FALSE))</f>
        <v>0</v>
      </c>
      <c r="AQ151" s="367">
        <v>0</v>
      </c>
      <c r="AR151" s="367">
        <v>0</v>
      </c>
      <c r="AS151" s="367">
        <v>0</v>
      </c>
      <c r="AT151" s="367">
        <v>0</v>
      </c>
      <c r="AU151" s="367">
        <v>0</v>
      </c>
      <c r="AV151" s="438">
        <f>ABS(VLOOKUP(A151,TradesEquity!$1:$1048576,18,FALSE))</f>
        <v>24055914.490000002</v>
      </c>
      <c r="AW151" s="439">
        <v>0</v>
      </c>
      <c r="AX151" s="440">
        <v>4542</v>
      </c>
      <c r="AY151" s="441" t="s">
        <v>2029</v>
      </c>
      <c r="AZ151" s="442" t="str">
        <f>(VLOOKUP(A151,TradesEquity!$1:$1048576,29,FALSE))</f>
        <v>GSILGB2XXXX</v>
      </c>
      <c r="BA151" s="442" t="str">
        <f>(VLOOKUP(A151,TradesEquity!$1:$1048576,30,FALSE))</f>
        <v>JJSDJPJTXXX</v>
      </c>
      <c r="BB151" s="442">
        <f>(VLOOKUP(A151,TradesEquity!$1:$1048576,31,FALSE))</f>
        <v>6530490016</v>
      </c>
      <c r="BC151" s="442" t="str">
        <f>(VLOOKUP(A151,TradesEquity!$1:$1048576,32,FALSE))</f>
        <v>N</v>
      </c>
      <c r="BI151" s="442" t="str">
        <f>(VLOOKUP(A151,TradesEquity!$1:$1048576,38,FALSE))</f>
        <v xml:space="preserve">                  </v>
      </c>
      <c r="BJ151" s="442" t="str">
        <f>(VLOOKUP(A151,TradesEquity!$1:$1048576,39,FALSE))</f>
        <v xml:space="preserve">                          </v>
      </c>
      <c r="BK151" s="442" t="str">
        <f>(VLOOKUP(A151,TradesEquity!$1:$1048576,40,FALSE))</f>
        <v>GOLDJPJXXXX</v>
      </c>
    </row>
    <row r="152" spans="1:63">
      <c r="A152" s="502">
        <v>2019200398</v>
      </c>
      <c r="D152" s="432" t="s">
        <v>2027</v>
      </c>
      <c r="F152" s="433">
        <f>VLOOKUP(A152,TradesEquity!$1:$1048576,2,FALSE)</f>
        <v>44210</v>
      </c>
      <c r="H152" s="433">
        <f>VLOOKUP(A152,TradesEquity!$1:$1048576,21,FALSE)</f>
        <v>44214</v>
      </c>
      <c r="I152" s="434" t="str">
        <f>IF(VLOOKUP(A152,TradesEquity!$1:$1048576,3,FALSE)="BUY","B","S")</f>
        <v>B</v>
      </c>
      <c r="J152" s="434" t="str">
        <f>VLOOKUP(A152,TradesEquity!$1:$1048576,5,FALSE)</f>
        <v>KR7064960008</v>
      </c>
      <c r="K152" s="432" t="s">
        <v>19</v>
      </c>
      <c r="L152" s="435" t="s">
        <v>2028</v>
      </c>
      <c r="AE152" s="436" t="str">
        <f>VLOOKUP(A152,TradesEquity!$1:$1048576,10,FALSE)</f>
        <v>KRW</v>
      </c>
      <c r="AF152" s="436" t="str">
        <f t="shared" si="4"/>
        <v>KRW</v>
      </c>
      <c r="AG152" s="436" t="str">
        <f t="shared" si="4"/>
        <v>KRW</v>
      </c>
      <c r="AH152" s="436" t="str">
        <f t="shared" si="4"/>
        <v>KRW</v>
      </c>
      <c r="AI152" s="436">
        <f>ABS(VLOOKUP(A152,TradesEquity!$1:$1048576,13,FALSE))</f>
        <v>2000</v>
      </c>
      <c r="AJ152" s="437">
        <v>0</v>
      </c>
      <c r="AK152" s="437">
        <v>1</v>
      </c>
      <c r="AL152" s="436">
        <f>VLOOKUP(A152,TradesEquity!$1:$1048576,11,FALSE)</f>
        <v>55624.95</v>
      </c>
      <c r="AM152" s="437">
        <v>1</v>
      </c>
      <c r="AN152" s="436">
        <f>ABS(VLOOKUP(A152,TradesEquity!$1:$1048576,14,FALSE))</f>
        <v>111249900</v>
      </c>
      <c r="AO152" s="436">
        <f>ABS(VLOOKUP(A152,TradesEquity!$1:$1048576,15,FALSE))</f>
        <v>166875</v>
      </c>
      <c r="AP152" s="438">
        <f>ABS(VLOOKUP(A152,TradesEquity!$1:$1048576,16,FALSE))</f>
        <v>0</v>
      </c>
      <c r="AQ152" s="367">
        <v>0</v>
      </c>
      <c r="AR152" s="367">
        <v>0</v>
      </c>
      <c r="AS152" s="367">
        <v>0</v>
      </c>
      <c r="AT152" s="367">
        <v>0</v>
      </c>
      <c r="AU152" s="367">
        <v>0</v>
      </c>
      <c r="AV152" s="438">
        <f>ABS(VLOOKUP(A152,TradesEquity!$1:$1048576,18,FALSE))</f>
        <v>111416775</v>
      </c>
      <c r="AW152" s="439">
        <v>0</v>
      </c>
      <c r="AX152" s="440">
        <v>4542</v>
      </c>
      <c r="AY152" s="441" t="s">
        <v>2029</v>
      </c>
      <c r="AZ152" s="442" t="e">
        <f>(VLOOKUP(A152,TradesEquity!$1:$1048576,29,FALSE))</f>
        <v>#N/A</v>
      </c>
      <c r="BA152" s="442" t="e">
        <f>(VLOOKUP(A152,TradesEquity!$1:$1048576,30,FALSE))</f>
        <v>#N/A</v>
      </c>
      <c r="BB152" s="442" t="e">
        <f>(VLOOKUP(A152,TradesEquity!$1:$1048576,31,FALSE))</f>
        <v>#N/A</v>
      </c>
      <c r="BC152" s="442" t="e">
        <f>(VLOOKUP(A152,TradesEquity!$1:$1048576,32,FALSE))</f>
        <v>#N/A</v>
      </c>
      <c r="BI152" s="442" t="e">
        <f>(VLOOKUP(A152,TradesEquity!$1:$1048576,38,FALSE))</f>
        <v>#N/A</v>
      </c>
      <c r="BJ152" s="442" t="e">
        <f>(VLOOKUP(A152,TradesEquity!$1:$1048576,39,FALSE))</f>
        <v>#N/A</v>
      </c>
      <c r="BK152" s="442" t="e">
        <f>(VLOOKUP(A152,TradesEquity!$1:$1048576,40,FALSE))</f>
        <v>#N/A</v>
      </c>
    </row>
    <row r="153" spans="1:63">
      <c r="A153" s="502">
        <v>2019200399</v>
      </c>
      <c r="D153" s="432" t="s">
        <v>2027</v>
      </c>
      <c r="F153" s="433">
        <f>VLOOKUP(A153,TradesEquity!$1:$1048576,2,FALSE)</f>
        <v>44210</v>
      </c>
      <c r="H153" s="433">
        <f>VLOOKUP(A153,TradesEquity!$1:$1048576,21,FALSE)</f>
        <v>44214</v>
      </c>
      <c r="I153" s="434" t="str">
        <f>IF(VLOOKUP(A153,TradesEquity!$1:$1048576,3,FALSE)="BUY","B","S")</f>
        <v>B</v>
      </c>
      <c r="J153" s="434" t="str">
        <f>VLOOKUP(A153,TradesEquity!$1:$1048576,5,FALSE)</f>
        <v>KR7056190002</v>
      </c>
      <c r="K153" s="432" t="s">
        <v>19</v>
      </c>
      <c r="L153" s="435" t="s">
        <v>2028</v>
      </c>
      <c r="AE153" s="436" t="str">
        <f>VLOOKUP(A153,TradesEquity!$1:$1048576,10,FALSE)</f>
        <v>KRW</v>
      </c>
      <c r="AF153" s="436" t="str">
        <f t="shared" si="4"/>
        <v>KRW</v>
      </c>
      <c r="AG153" s="436" t="str">
        <f t="shared" si="4"/>
        <v>KRW</v>
      </c>
      <c r="AH153" s="436" t="str">
        <f t="shared" si="4"/>
        <v>KRW</v>
      </c>
      <c r="AI153" s="436">
        <f>ABS(VLOOKUP(A153,TradesEquity!$1:$1048576,13,FALSE))</f>
        <v>4200</v>
      </c>
      <c r="AJ153" s="437">
        <v>0</v>
      </c>
      <c r="AK153" s="437">
        <v>1</v>
      </c>
      <c r="AL153" s="436">
        <f>VLOOKUP(A153,TradesEquity!$1:$1048576,11,FALSE)</f>
        <v>39313.154761999998</v>
      </c>
      <c r="AM153" s="437">
        <v>1</v>
      </c>
      <c r="AN153" s="436">
        <f>ABS(VLOOKUP(A153,TradesEquity!$1:$1048576,14,FALSE))</f>
        <v>165115250.00040001</v>
      </c>
      <c r="AO153" s="436">
        <f>ABS(VLOOKUP(A153,TradesEquity!$1:$1048576,15,FALSE))</f>
        <v>247673</v>
      </c>
      <c r="AP153" s="438">
        <f>ABS(VLOOKUP(A153,TradesEquity!$1:$1048576,16,FALSE))</f>
        <v>0</v>
      </c>
      <c r="AQ153" s="367">
        <v>0</v>
      </c>
      <c r="AR153" s="367">
        <v>0</v>
      </c>
      <c r="AS153" s="367">
        <v>0</v>
      </c>
      <c r="AT153" s="367">
        <v>0</v>
      </c>
      <c r="AU153" s="367">
        <v>0</v>
      </c>
      <c r="AV153" s="438">
        <f>ABS(VLOOKUP(A153,TradesEquity!$1:$1048576,18,FALSE))</f>
        <v>165362923.00040001</v>
      </c>
      <c r="AW153" s="439">
        <v>0</v>
      </c>
      <c r="AX153" s="440">
        <v>4542</v>
      </c>
      <c r="AY153" s="441" t="s">
        <v>2029</v>
      </c>
      <c r="AZ153" s="442" t="e">
        <f>(VLOOKUP(A153,TradesEquity!$1:$1048576,29,FALSE))</f>
        <v>#N/A</v>
      </c>
      <c r="BA153" s="442" t="e">
        <f>(VLOOKUP(A153,TradesEquity!$1:$1048576,30,FALSE))</f>
        <v>#N/A</v>
      </c>
      <c r="BB153" s="442" t="e">
        <f>(VLOOKUP(A153,TradesEquity!$1:$1048576,31,FALSE))</f>
        <v>#N/A</v>
      </c>
      <c r="BC153" s="442" t="e">
        <f>(VLOOKUP(A153,TradesEquity!$1:$1048576,32,FALSE))</f>
        <v>#N/A</v>
      </c>
      <c r="BI153" s="442" t="e">
        <f>(VLOOKUP(A153,TradesEquity!$1:$1048576,38,FALSE))</f>
        <v>#N/A</v>
      </c>
      <c r="BJ153" s="442" t="e">
        <f>(VLOOKUP(A153,TradesEquity!$1:$1048576,39,FALSE))</f>
        <v>#N/A</v>
      </c>
      <c r="BK153" s="442" t="e">
        <f>(VLOOKUP(A153,TradesEquity!$1:$1048576,40,FALSE))</f>
        <v>#N/A</v>
      </c>
    </row>
    <row r="154" spans="1:63">
      <c r="A154" s="502">
        <v>2019200400</v>
      </c>
      <c r="D154" s="432" t="s">
        <v>2027</v>
      </c>
      <c r="F154" s="433">
        <f>VLOOKUP(A154,TradesEquity!$1:$1048576,2,FALSE)</f>
        <v>44214</v>
      </c>
      <c r="H154" s="433">
        <f>VLOOKUP(A154,TradesEquity!$1:$1048576,21,FALSE)</f>
        <v>44216</v>
      </c>
      <c r="I154" s="434" t="str">
        <f>IF(VLOOKUP(A154,TradesEquity!$1:$1048576,3,FALSE)="BUY","B","S")</f>
        <v>B</v>
      </c>
      <c r="J154" s="434" t="str">
        <f>VLOOKUP(A154,TradesEquity!$1:$1048576,5,FALSE)</f>
        <v>KR7056190002</v>
      </c>
      <c r="K154" s="432" t="s">
        <v>19</v>
      </c>
      <c r="L154" s="435" t="s">
        <v>2028</v>
      </c>
      <c r="AE154" s="436" t="str">
        <f>VLOOKUP(A154,TradesEquity!$1:$1048576,10,FALSE)</f>
        <v>KRW</v>
      </c>
      <c r="AF154" s="436" t="str">
        <f t="shared" si="4"/>
        <v>KRW</v>
      </c>
      <c r="AG154" s="436" t="str">
        <f t="shared" si="4"/>
        <v>KRW</v>
      </c>
      <c r="AH154" s="436" t="str">
        <f t="shared" si="4"/>
        <v>KRW</v>
      </c>
      <c r="AI154" s="436">
        <f>ABS(VLOOKUP(A154,TradesEquity!$1:$1048576,13,FALSE))</f>
        <v>2600</v>
      </c>
      <c r="AJ154" s="437">
        <v>0</v>
      </c>
      <c r="AK154" s="437">
        <v>1</v>
      </c>
      <c r="AL154" s="436">
        <f>VLOOKUP(A154,TradesEquity!$1:$1048576,11,FALSE)</f>
        <v>38177.884599999998</v>
      </c>
      <c r="AM154" s="437">
        <v>1</v>
      </c>
      <c r="AN154" s="436">
        <f>ABS(VLOOKUP(A154,TradesEquity!$1:$1048576,14,FALSE))</f>
        <v>99262499.959999993</v>
      </c>
      <c r="AO154" s="436">
        <f>ABS(VLOOKUP(A154,TradesEquity!$1:$1048576,15,FALSE))</f>
        <v>148894</v>
      </c>
      <c r="AP154" s="438">
        <f>ABS(VLOOKUP(A154,TradesEquity!$1:$1048576,16,FALSE))</f>
        <v>0</v>
      </c>
      <c r="AQ154" s="367">
        <v>0</v>
      </c>
      <c r="AR154" s="367">
        <v>0</v>
      </c>
      <c r="AS154" s="367">
        <v>0</v>
      </c>
      <c r="AT154" s="367">
        <v>0</v>
      </c>
      <c r="AU154" s="367">
        <v>0</v>
      </c>
      <c r="AV154" s="438">
        <f>ABS(VLOOKUP(A154,TradesEquity!$1:$1048576,18,FALSE))</f>
        <v>99411393.959999993</v>
      </c>
      <c r="AW154" s="439">
        <v>0</v>
      </c>
      <c r="AX154" s="440">
        <v>4542</v>
      </c>
      <c r="AY154" s="441" t="s">
        <v>2029</v>
      </c>
      <c r="AZ154" s="442" t="e">
        <f>(VLOOKUP(A154,TradesEquity!$1:$1048576,29,FALSE))</f>
        <v>#N/A</v>
      </c>
      <c r="BA154" s="442" t="e">
        <f>(VLOOKUP(A154,TradesEquity!$1:$1048576,30,FALSE))</f>
        <v>#N/A</v>
      </c>
      <c r="BB154" s="442" t="e">
        <f>(VLOOKUP(A154,TradesEquity!$1:$1048576,31,FALSE))</f>
        <v>#N/A</v>
      </c>
      <c r="BC154" s="442" t="e">
        <f>(VLOOKUP(A154,TradesEquity!$1:$1048576,32,FALSE))</f>
        <v>#N/A</v>
      </c>
      <c r="BI154" s="442" t="e">
        <f>(VLOOKUP(A154,TradesEquity!$1:$1048576,38,FALSE))</f>
        <v>#N/A</v>
      </c>
      <c r="BJ154" s="442" t="e">
        <f>(VLOOKUP(A154,TradesEquity!$1:$1048576,39,FALSE))</f>
        <v>#N/A</v>
      </c>
      <c r="BK154" s="442" t="e">
        <f>(VLOOKUP(A154,TradesEquity!$1:$1048576,40,FALSE))</f>
        <v>#N/A</v>
      </c>
    </row>
    <row r="155" spans="1:63">
      <c r="A155" s="502">
        <v>2019200402</v>
      </c>
      <c r="D155" s="432" t="s">
        <v>2027</v>
      </c>
      <c r="F155" s="433">
        <f>VLOOKUP(A155,TradesEquity!$1:$1048576,2,FALSE)</f>
        <v>44217</v>
      </c>
      <c r="H155" s="433">
        <f>VLOOKUP(A155,TradesEquity!$1:$1048576,21,FALSE)</f>
        <v>44221</v>
      </c>
      <c r="I155" s="434" t="str">
        <f>IF(VLOOKUP(A155,TradesEquity!$1:$1048576,3,FALSE)="BUY","B","S")</f>
        <v>B</v>
      </c>
      <c r="J155" s="434" t="str">
        <f>VLOOKUP(A155,TradesEquity!$1:$1048576,5,FALSE)</f>
        <v>JP3627400009</v>
      </c>
      <c r="K155" s="432" t="s">
        <v>19</v>
      </c>
      <c r="L155" s="435" t="s">
        <v>2028</v>
      </c>
      <c r="AE155" s="436" t="str">
        <f>VLOOKUP(A155,TradesEquity!$1:$1048576,10,FALSE)</f>
        <v>JPY</v>
      </c>
      <c r="AF155" s="436" t="str">
        <f t="shared" si="4"/>
        <v>JPY</v>
      </c>
      <c r="AG155" s="436" t="str">
        <f t="shared" si="4"/>
        <v>JPY</v>
      </c>
      <c r="AH155" s="436" t="str">
        <f t="shared" si="4"/>
        <v>JPY</v>
      </c>
      <c r="AI155" s="436">
        <f>ABS(VLOOKUP(A155,TradesEquity!$1:$1048576,13,FALSE))</f>
        <v>2200</v>
      </c>
      <c r="AJ155" s="437">
        <v>0</v>
      </c>
      <c r="AK155" s="437">
        <v>1</v>
      </c>
      <c r="AL155" s="436">
        <f>VLOOKUP(A155,TradesEquity!$1:$1048576,11,FALSE)</f>
        <v>2379.5090909999999</v>
      </c>
      <c r="AM155" s="437">
        <v>1</v>
      </c>
      <c r="AN155" s="436">
        <f>ABS(VLOOKUP(A155,TradesEquity!$1:$1048576,14,FALSE))</f>
        <v>5234920.0001999997</v>
      </c>
      <c r="AO155" s="436">
        <f>ABS(VLOOKUP(A155,TradesEquity!$1:$1048576,15,FALSE))</f>
        <v>3141</v>
      </c>
      <c r="AP155" s="438">
        <f>ABS(VLOOKUP(A155,TradesEquity!$1:$1048576,16,FALSE))</f>
        <v>0</v>
      </c>
      <c r="AQ155" s="367">
        <v>0</v>
      </c>
      <c r="AR155" s="367">
        <v>0</v>
      </c>
      <c r="AS155" s="367">
        <v>0</v>
      </c>
      <c r="AT155" s="367">
        <v>0</v>
      </c>
      <c r="AU155" s="367">
        <v>0</v>
      </c>
      <c r="AV155" s="438">
        <f>ABS(VLOOKUP(A155,TradesEquity!$1:$1048576,18,FALSE))</f>
        <v>5238061.0001999997</v>
      </c>
      <c r="AW155" s="439">
        <v>0</v>
      </c>
      <c r="AX155" s="440">
        <v>4542</v>
      </c>
      <c r="AY155" s="441" t="s">
        <v>2029</v>
      </c>
      <c r="AZ155" s="442" t="str">
        <f>(VLOOKUP(A155,TradesEquity!$1:$1048576,29,FALSE))</f>
        <v>GSILGB2XXXX</v>
      </c>
      <c r="BA155" s="442" t="str">
        <f>(VLOOKUP(A155,TradesEquity!$1:$1048576,30,FALSE))</f>
        <v>JJSDJPJTXXX</v>
      </c>
      <c r="BB155" s="442">
        <f>(VLOOKUP(A155,TradesEquity!$1:$1048576,31,FALSE))</f>
        <v>6530490016</v>
      </c>
      <c r="BC155" s="442" t="str">
        <f>(VLOOKUP(A155,TradesEquity!$1:$1048576,32,FALSE))</f>
        <v>N</v>
      </c>
      <c r="BI155" s="442" t="str">
        <f>(VLOOKUP(A155,TradesEquity!$1:$1048576,38,FALSE))</f>
        <v xml:space="preserve">                  </v>
      </c>
      <c r="BJ155" s="442" t="str">
        <f>(VLOOKUP(A155,TradesEquity!$1:$1048576,39,FALSE))</f>
        <v xml:space="preserve">                          </v>
      </c>
      <c r="BK155" s="442" t="str">
        <f>(VLOOKUP(A155,TradesEquity!$1:$1048576,40,FALSE))</f>
        <v>GOLDJPJXXXX</v>
      </c>
    </row>
    <row r="156" spans="1:63">
      <c r="A156" s="502">
        <v>2019200403</v>
      </c>
      <c r="D156" s="432" t="s">
        <v>2027</v>
      </c>
      <c r="F156" s="433">
        <f>VLOOKUP(A156,TradesEquity!$1:$1048576,2,FALSE)</f>
        <v>44217</v>
      </c>
      <c r="H156" s="433">
        <f>VLOOKUP(A156,TradesEquity!$1:$1048576,21,FALSE)</f>
        <v>44221</v>
      </c>
      <c r="I156" s="434" t="str">
        <f>IF(VLOOKUP(A156,TradesEquity!$1:$1048576,3,FALSE)="BUY","B","S")</f>
        <v>B</v>
      </c>
      <c r="J156" s="434" t="str">
        <f>VLOOKUP(A156,TradesEquity!$1:$1048576,5,FALSE)</f>
        <v>JP3544000007</v>
      </c>
      <c r="K156" s="432" t="s">
        <v>19</v>
      </c>
      <c r="L156" s="435" t="s">
        <v>2028</v>
      </c>
      <c r="AE156" s="436" t="str">
        <f>VLOOKUP(A156,TradesEquity!$1:$1048576,10,FALSE)</f>
        <v>JPY</v>
      </c>
      <c r="AF156" s="436" t="str">
        <f t="shared" si="4"/>
        <v>JPY</v>
      </c>
      <c r="AG156" s="436" t="str">
        <f t="shared" si="4"/>
        <v>JPY</v>
      </c>
      <c r="AH156" s="436" t="str">
        <f t="shared" si="4"/>
        <v>JPY</v>
      </c>
      <c r="AI156" s="436">
        <f>ABS(VLOOKUP(A156,TradesEquity!$1:$1048576,13,FALSE))</f>
        <v>11000</v>
      </c>
      <c r="AJ156" s="437">
        <v>0</v>
      </c>
      <c r="AK156" s="437">
        <v>1</v>
      </c>
      <c r="AL156" s="436">
        <f>VLOOKUP(A156,TradesEquity!$1:$1048576,11,FALSE)</f>
        <v>1937.501818</v>
      </c>
      <c r="AM156" s="437">
        <v>1</v>
      </c>
      <c r="AN156" s="436">
        <f>ABS(VLOOKUP(A156,TradesEquity!$1:$1048576,14,FALSE))</f>
        <v>21312519.998</v>
      </c>
      <c r="AO156" s="436">
        <f>ABS(VLOOKUP(A156,TradesEquity!$1:$1048576,15,FALSE))</f>
        <v>12788</v>
      </c>
      <c r="AP156" s="438">
        <f>ABS(VLOOKUP(A156,TradesEquity!$1:$1048576,16,FALSE))</f>
        <v>0</v>
      </c>
      <c r="AQ156" s="367">
        <v>0</v>
      </c>
      <c r="AR156" s="367">
        <v>0</v>
      </c>
      <c r="AS156" s="367">
        <v>0</v>
      </c>
      <c r="AT156" s="367">
        <v>0</v>
      </c>
      <c r="AU156" s="367">
        <v>0</v>
      </c>
      <c r="AV156" s="438">
        <f>ABS(VLOOKUP(A156,TradesEquity!$1:$1048576,18,FALSE))</f>
        <v>21325307.998</v>
      </c>
      <c r="AW156" s="439">
        <v>0</v>
      </c>
      <c r="AX156" s="440">
        <v>4542</v>
      </c>
      <c r="AY156" s="441" t="s">
        <v>2029</v>
      </c>
      <c r="AZ156" s="442" t="str">
        <f>(VLOOKUP(A156,TradesEquity!$1:$1048576,29,FALSE))</f>
        <v>GSILGB2XXXX</v>
      </c>
      <c r="BA156" s="442" t="str">
        <f>(VLOOKUP(A156,TradesEquity!$1:$1048576,30,FALSE))</f>
        <v>JJSDJPJTXXX</v>
      </c>
      <c r="BB156" s="442">
        <f>(VLOOKUP(A156,TradesEquity!$1:$1048576,31,FALSE))</f>
        <v>6530490016</v>
      </c>
      <c r="BC156" s="442" t="str">
        <f>(VLOOKUP(A156,TradesEquity!$1:$1048576,32,FALSE))</f>
        <v>N</v>
      </c>
      <c r="BI156" s="442" t="str">
        <f>(VLOOKUP(A156,TradesEquity!$1:$1048576,38,FALSE))</f>
        <v xml:space="preserve">                  </v>
      </c>
      <c r="BJ156" s="442" t="str">
        <f>(VLOOKUP(A156,TradesEquity!$1:$1048576,39,FALSE))</f>
        <v xml:space="preserve">                          </v>
      </c>
      <c r="BK156" s="442" t="str">
        <f>(VLOOKUP(A156,TradesEquity!$1:$1048576,40,FALSE))</f>
        <v>GOLDJPJXXXX</v>
      </c>
    </row>
    <row r="157" spans="1:63">
      <c r="A157" s="502">
        <v>2019200404</v>
      </c>
      <c r="D157" s="432" t="s">
        <v>2027</v>
      </c>
      <c r="F157" s="433">
        <f>VLOOKUP(A157,TradesEquity!$1:$1048576,2,FALSE)</f>
        <v>44217</v>
      </c>
      <c r="H157" s="433">
        <f>VLOOKUP(A157,TradesEquity!$1:$1048576,21,FALSE)</f>
        <v>44221</v>
      </c>
      <c r="I157" s="434" t="str">
        <f>IF(VLOOKUP(A157,TradesEquity!$1:$1048576,3,FALSE)="BUY","B","S")</f>
        <v>B</v>
      </c>
      <c r="J157" s="434" t="str">
        <f>VLOOKUP(A157,TradesEquity!$1:$1048576,5,FALSE)</f>
        <v>JP3592200004</v>
      </c>
      <c r="K157" s="432" t="s">
        <v>19</v>
      </c>
      <c r="L157" s="435" t="s">
        <v>2028</v>
      </c>
      <c r="AE157" s="436" t="str">
        <f>VLOOKUP(A157,TradesEquity!$1:$1048576,10,FALSE)</f>
        <v>JPY</v>
      </c>
      <c r="AF157" s="436" t="str">
        <f t="shared" si="4"/>
        <v>JPY</v>
      </c>
      <c r="AG157" s="436" t="str">
        <f t="shared" si="4"/>
        <v>JPY</v>
      </c>
      <c r="AH157" s="436" t="str">
        <f t="shared" si="4"/>
        <v>JPY</v>
      </c>
      <c r="AI157" s="436">
        <f>ABS(VLOOKUP(A157,TradesEquity!$1:$1048576,13,FALSE))</f>
        <v>5000</v>
      </c>
      <c r="AJ157" s="437">
        <v>0</v>
      </c>
      <c r="AK157" s="437">
        <v>1</v>
      </c>
      <c r="AL157" s="436">
        <f>VLOOKUP(A157,TradesEquity!$1:$1048576,11,FALSE)</f>
        <v>3001.8760000000002</v>
      </c>
      <c r="AM157" s="437">
        <v>1</v>
      </c>
      <c r="AN157" s="436">
        <f>ABS(VLOOKUP(A157,TradesEquity!$1:$1048576,14,FALSE))</f>
        <v>15009380.000000002</v>
      </c>
      <c r="AO157" s="436">
        <f>ABS(VLOOKUP(A157,TradesEquity!$1:$1048576,15,FALSE))</f>
        <v>9006</v>
      </c>
      <c r="AP157" s="438">
        <f>ABS(VLOOKUP(A157,TradesEquity!$1:$1048576,16,FALSE))</f>
        <v>0</v>
      </c>
      <c r="AQ157" s="367">
        <v>0</v>
      </c>
      <c r="AR157" s="367">
        <v>0</v>
      </c>
      <c r="AS157" s="367">
        <v>0</v>
      </c>
      <c r="AT157" s="367">
        <v>0</v>
      </c>
      <c r="AU157" s="367">
        <v>0</v>
      </c>
      <c r="AV157" s="438">
        <f>ABS(VLOOKUP(A157,TradesEquity!$1:$1048576,18,FALSE))</f>
        <v>15018386.000000002</v>
      </c>
      <c r="AW157" s="439">
        <v>0</v>
      </c>
      <c r="AX157" s="440">
        <v>4542</v>
      </c>
      <c r="AY157" s="441" t="s">
        <v>2029</v>
      </c>
      <c r="AZ157" s="442" t="str">
        <f>(VLOOKUP(A157,TradesEquity!$1:$1048576,29,FALSE))</f>
        <v>GSILGB2XXXX</v>
      </c>
      <c r="BA157" s="442" t="str">
        <f>(VLOOKUP(A157,TradesEquity!$1:$1048576,30,FALSE))</f>
        <v>JJSDJPJTXXX</v>
      </c>
      <c r="BB157" s="442">
        <f>(VLOOKUP(A157,TradesEquity!$1:$1048576,31,FALSE))</f>
        <v>6530490016</v>
      </c>
      <c r="BC157" s="442" t="str">
        <f>(VLOOKUP(A157,TradesEquity!$1:$1048576,32,FALSE))</f>
        <v>N</v>
      </c>
      <c r="BI157" s="442" t="str">
        <f>(VLOOKUP(A157,TradesEquity!$1:$1048576,38,FALSE))</f>
        <v xml:space="preserve">                  </v>
      </c>
      <c r="BJ157" s="442" t="str">
        <f>(VLOOKUP(A157,TradesEquity!$1:$1048576,39,FALSE))</f>
        <v xml:space="preserve">                          </v>
      </c>
      <c r="BK157" s="442" t="str">
        <f>(VLOOKUP(A157,TradesEquity!$1:$1048576,40,FALSE))</f>
        <v>GOLDJPJXXXX</v>
      </c>
    </row>
    <row r="158" spans="1:63">
      <c r="A158" s="502">
        <v>2019200405</v>
      </c>
      <c r="D158" s="432" t="s">
        <v>2027</v>
      </c>
      <c r="F158" s="433">
        <f>VLOOKUP(A158,TradesEquity!$1:$1048576,2,FALSE)</f>
        <v>44218</v>
      </c>
      <c r="H158" s="433">
        <f>VLOOKUP(A158,TradesEquity!$1:$1048576,21,FALSE)</f>
        <v>44222</v>
      </c>
      <c r="I158" s="434" t="str">
        <f>IF(VLOOKUP(A158,TradesEquity!$1:$1048576,3,FALSE)="BUY","B","S")</f>
        <v>B</v>
      </c>
      <c r="J158" s="434" t="str">
        <f>VLOOKUP(A158,TradesEquity!$1:$1048576,5,FALSE)</f>
        <v>JP3627400009</v>
      </c>
      <c r="K158" s="432" t="s">
        <v>19</v>
      </c>
      <c r="L158" s="435" t="s">
        <v>2028</v>
      </c>
      <c r="AE158" s="436" t="str">
        <f>VLOOKUP(A158,TradesEquity!$1:$1048576,10,FALSE)</f>
        <v>JPY</v>
      </c>
      <c r="AF158" s="436" t="str">
        <f t="shared" si="4"/>
        <v>JPY</v>
      </c>
      <c r="AG158" s="436" t="str">
        <f t="shared" si="4"/>
        <v>JPY</v>
      </c>
      <c r="AH158" s="436" t="str">
        <f t="shared" si="4"/>
        <v>JPY</v>
      </c>
      <c r="AI158" s="436">
        <f>ABS(VLOOKUP(A158,TradesEquity!$1:$1048576,13,FALSE))</f>
        <v>2100</v>
      </c>
      <c r="AJ158" s="437">
        <v>0</v>
      </c>
      <c r="AK158" s="437">
        <v>1</v>
      </c>
      <c r="AL158" s="436">
        <f>VLOOKUP(A158,TradesEquity!$1:$1048576,11,FALSE)</f>
        <v>2349.166667</v>
      </c>
      <c r="AM158" s="437">
        <v>1</v>
      </c>
      <c r="AN158" s="436">
        <f>ABS(VLOOKUP(A158,TradesEquity!$1:$1048576,14,FALSE))</f>
        <v>4933250.0006999997</v>
      </c>
      <c r="AO158" s="436">
        <f>ABS(VLOOKUP(A158,TradesEquity!$1:$1048576,15,FALSE))</f>
        <v>2960</v>
      </c>
      <c r="AP158" s="438">
        <f>ABS(VLOOKUP(A158,TradesEquity!$1:$1048576,16,FALSE))</f>
        <v>0</v>
      </c>
      <c r="AQ158" s="367">
        <v>0</v>
      </c>
      <c r="AR158" s="367">
        <v>0</v>
      </c>
      <c r="AS158" s="367">
        <v>0</v>
      </c>
      <c r="AT158" s="367">
        <v>0</v>
      </c>
      <c r="AU158" s="367">
        <v>0</v>
      </c>
      <c r="AV158" s="438">
        <f>ABS(VLOOKUP(A158,TradesEquity!$1:$1048576,18,FALSE))</f>
        <v>4936210.0006999997</v>
      </c>
      <c r="AW158" s="439">
        <v>0</v>
      </c>
      <c r="AX158" s="440">
        <v>4542</v>
      </c>
      <c r="AY158" s="441" t="s">
        <v>2029</v>
      </c>
      <c r="AZ158" s="442" t="str">
        <f>(VLOOKUP(A158,TradesEquity!$1:$1048576,29,FALSE))</f>
        <v>GSILGB2XXXX</v>
      </c>
      <c r="BA158" s="442" t="str">
        <f>(VLOOKUP(A158,TradesEquity!$1:$1048576,30,FALSE))</f>
        <v>JJSDJPJTXXX</v>
      </c>
      <c r="BB158" s="442">
        <f>(VLOOKUP(A158,TradesEquity!$1:$1048576,31,FALSE))</f>
        <v>6530490016</v>
      </c>
      <c r="BC158" s="442" t="str">
        <f>(VLOOKUP(A158,TradesEquity!$1:$1048576,32,FALSE))</f>
        <v>N</v>
      </c>
      <c r="BI158" s="442" t="str">
        <f>(VLOOKUP(A158,TradesEquity!$1:$1048576,38,FALSE))</f>
        <v xml:space="preserve">                  </v>
      </c>
      <c r="BJ158" s="442" t="str">
        <f>(VLOOKUP(A158,TradesEquity!$1:$1048576,39,FALSE))</f>
        <v xml:space="preserve">                          </v>
      </c>
      <c r="BK158" s="442" t="str">
        <f>(VLOOKUP(A158,TradesEquity!$1:$1048576,40,FALSE))</f>
        <v>GOLDJPJXXXX</v>
      </c>
    </row>
    <row r="159" spans="1:63">
      <c r="A159" s="502">
        <v>2019200406</v>
      </c>
      <c r="D159" s="432" t="s">
        <v>2027</v>
      </c>
      <c r="F159" s="433">
        <f>VLOOKUP(A159,TradesEquity!$1:$1048576,2,FALSE)</f>
        <v>44218</v>
      </c>
      <c r="H159" s="433">
        <f>VLOOKUP(A159,TradesEquity!$1:$1048576,21,FALSE)</f>
        <v>44222</v>
      </c>
      <c r="I159" s="434" t="str">
        <f>IF(VLOOKUP(A159,TradesEquity!$1:$1048576,3,FALSE)="BUY","B","S")</f>
        <v>B</v>
      </c>
      <c r="J159" s="434" t="str">
        <f>VLOOKUP(A159,TradesEquity!$1:$1048576,5,FALSE)</f>
        <v>JP3544000007</v>
      </c>
      <c r="K159" s="432" t="s">
        <v>19</v>
      </c>
      <c r="L159" s="435" t="s">
        <v>2028</v>
      </c>
      <c r="AE159" s="436" t="str">
        <f>VLOOKUP(A159,TradesEquity!$1:$1048576,10,FALSE)</f>
        <v>JPY</v>
      </c>
      <c r="AF159" s="436" t="str">
        <f t="shared" si="4"/>
        <v>JPY</v>
      </c>
      <c r="AG159" s="436" t="str">
        <f t="shared" si="4"/>
        <v>JPY</v>
      </c>
      <c r="AH159" s="436" t="str">
        <f t="shared" si="4"/>
        <v>JPY</v>
      </c>
      <c r="AI159" s="436">
        <f>ABS(VLOOKUP(A159,TradesEquity!$1:$1048576,13,FALSE))</f>
        <v>4200</v>
      </c>
      <c r="AJ159" s="437">
        <v>0</v>
      </c>
      <c r="AK159" s="437">
        <v>1</v>
      </c>
      <c r="AL159" s="436">
        <f>VLOOKUP(A159,TradesEquity!$1:$1048576,11,FALSE)</f>
        <v>1903.633333</v>
      </c>
      <c r="AM159" s="437">
        <v>1</v>
      </c>
      <c r="AN159" s="436">
        <f>ABS(VLOOKUP(A159,TradesEquity!$1:$1048576,14,FALSE))</f>
        <v>7995259.9985999996</v>
      </c>
      <c r="AO159" s="436">
        <f>ABS(VLOOKUP(A159,TradesEquity!$1:$1048576,15,FALSE))</f>
        <v>4797</v>
      </c>
      <c r="AP159" s="438">
        <f>ABS(VLOOKUP(A159,TradesEquity!$1:$1048576,16,FALSE))</f>
        <v>0</v>
      </c>
      <c r="AQ159" s="367">
        <v>0</v>
      </c>
      <c r="AR159" s="367">
        <v>0</v>
      </c>
      <c r="AS159" s="367">
        <v>0</v>
      </c>
      <c r="AT159" s="367">
        <v>0</v>
      </c>
      <c r="AU159" s="367">
        <v>0</v>
      </c>
      <c r="AV159" s="438">
        <f>ABS(VLOOKUP(A159,TradesEquity!$1:$1048576,18,FALSE))</f>
        <v>8000056.9985999996</v>
      </c>
      <c r="AW159" s="439">
        <v>0</v>
      </c>
      <c r="AX159" s="440">
        <v>4542</v>
      </c>
      <c r="AY159" s="441" t="s">
        <v>2029</v>
      </c>
      <c r="AZ159" s="442" t="str">
        <f>(VLOOKUP(A159,TradesEquity!$1:$1048576,29,FALSE))</f>
        <v>GSILGB2XXXX</v>
      </c>
      <c r="BA159" s="442" t="str">
        <f>(VLOOKUP(A159,TradesEquity!$1:$1048576,30,FALSE))</f>
        <v>JJSDJPJTXXX</v>
      </c>
      <c r="BB159" s="442">
        <f>(VLOOKUP(A159,TradesEquity!$1:$1048576,31,FALSE))</f>
        <v>6530490016</v>
      </c>
      <c r="BC159" s="442" t="str">
        <f>(VLOOKUP(A159,TradesEquity!$1:$1048576,32,FALSE))</f>
        <v>N</v>
      </c>
      <c r="BI159" s="442" t="str">
        <f>(VLOOKUP(A159,TradesEquity!$1:$1048576,38,FALSE))</f>
        <v xml:space="preserve">                  </v>
      </c>
      <c r="BJ159" s="442" t="str">
        <f>(VLOOKUP(A159,TradesEquity!$1:$1048576,39,FALSE))</f>
        <v xml:space="preserve">                          </v>
      </c>
      <c r="BK159" s="442" t="str">
        <f>(VLOOKUP(A159,TradesEquity!$1:$1048576,40,FALSE))</f>
        <v>GOLDJPJXXXX</v>
      </c>
    </row>
    <row r="160" spans="1:63">
      <c r="A160" s="502">
        <v>2019200407</v>
      </c>
      <c r="D160" s="432" t="s">
        <v>2027</v>
      </c>
      <c r="F160" s="433">
        <f>VLOOKUP(A160,TradesEquity!$1:$1048576,2,FALSE)</f>
        <v>44218</v>
      </c>
      <c r="H160" s="433">
        <f>VLOOKUP(A160,TradesEquity!$1:$1048576,21,FALSE)</f>
        <v>44222</v>
      </c>
      <c r="I160" s="434" t="str">
        <f>IF(VLOOKUP(A160,TradesEquity!$1:$1048576,3,FALSE)="BUY","B","S")</f>
        <v>B</v>
      </c>
      <c r="J160" s="434" t="str">
        <f>VLOOKUP(A160,TradesEquity!$1:$1048576,5,FALSE)</f>
        <v>JP3692000007</v>
      </c>
      <c r="K160" s="432" t="s">
        <v>19</v>
      </c>
      <c r="L160" s="435" t="s">
        <v>2028</v>
      </c>
      <c r="AE160" s="436" t="str">
        <f>VLOOKUP(A160,TradesEquity!$1:$1048576,10,FALSE)</f>
        <v>JPY</v>
      </c>
      <c r="AF160" s="436" t="str">
        <f t="shared" si="4"/>
        <v>JPY</v>
      </c>
      <c r="AG160" s="436" t="str">
        <f t="shared" si="4"/>
        <v>JPY</v>
      </c>
      <c r="AH160" s="436" t="str">
        <f t="shared" si="4"/>
        <v>JPY</v>
      </c>
      <c r="AI160" s="436">
        <f>ABS(VLOOKUP(A160,TradesEquity!$1:$1048576,13,FALSE))</f>
        <v>5600</v>
      </c>
      <c r="AJ160" s="437">
        <v>0</v>
      </c>
      <c r="AK160" s="437">
        <v>1</v>
      </c>
      <c r="AL160" s="436">
        <f>VLOOKUP(A160,TradesEquity!$1:$1048576,11,FALSE)</f>
        <v>1350.732143</v>
      </c>
      <c r="AM160" s="437">
        <v>1</v>
      </c>
      <c r="AN160" s="436">
        <f>ABS(VLOOKUP(A160,TradesEquity!$1:$1048576,14,FALSE))</f>
        <v>7564100.0007999996</v>
      </c>
      <c r="AO160" s="436">
        <f>ABS(VLOOKUP(A160,TradesEquity!$1:$1048576,15,FALSE))</f>
        <v>4538</v>
      </c>
      <c r="AP160" s="438">
        <f>ABS(VLOOKUP(A160,TradesEquity!$1:$1048576,16,FALSE))</f>
        <v>0</v>
      </c>
      <c r="AQ160" s="367">
        <v>0</v>
      </c>
      <c r="AR160" s="367">
        <v>0</v>
      </c>
      <c r="AS160" s="367">
        <v>0</v>
      </c>
      <c r="AT160" s="367">
        <v>0</v>
      </c>
      <c r="AU160" s="367">
        <v>0</v>
      </c>
      <c r="AV160" s="438">
        <f>ABS(VLOOKUP(A160,TradesEquity!$1:$1048576,18,FALSE))</f>
        <v>7568638.0007999996</v>
      </c>
      <c r="AW160" s="439">
        <v>0</v>
      </c>
      <c r="AX160" s="440">
        <v>4542</v>
      </c>
      <c r="AY160" s="441" t="s">
        <v>2029</v>
      </c>
      <c r="AZ160" s="442" t="str">
        <f>(VLOOKUP(A160,TradesEquity!$1:$1048576,29,FALSE))</f>
        <v>GSILGB2XXXX</v>
      </c>
      <c r="BA160" s="442" t="str">
        <f>(VLOOKUP(A160,TradesEquity!$1:$1048576,30,FALSE))</f>
        <v>JJSDJPJTXXX</v>
      </c>
      <c r="BB160" s="442">
        <f>(VLOOKUP(A160,TradesEquity!$1:$1048576,31,FALSE))</f>
        <v>6530490016</v>
      </c>
      <c r="BC160" s="442" t="str">
        <f>(VLOOKUP(A160,TradesEquity!$1:$1048576,32,FALSE))</f>
        <v>N</v>
      </c>
      <c r="BI160" s="442" t="str">
        <f>(VLOOKUP(A160,TradesEquity!$1:$1048576,38,FALSE))</f>
        <v xml:space="preserve">                  </v>
      </c>
      <c r="BJ160" s="442" t="str">
        <f>(VLOOKUP(A160,TradesEquity!$1:$1048576,39,FALSE))</f>
        <v xml:space="preserve">                          </v>
      </c>
      <c r="BK160" s="442" t="str">
        <f>(VLOOKUP(A160,TradesEquity!$1:$1048576,40,FALSE))</f>
        <v>GOLDJPJXXXX</v>
      </c>
    </row>
    <row r="161" spans="1:63">
      <c r="A161" s="502">
        <v>2019200408</v>
      </c>
      <c r="D161" s="432" t="s">
        <v>2027</v>
      </c>
      <c r="F161" s="433">
        <f>VLOOKUP(A161,TradesEquity!$1:$1048576,2,FALSE)</f>
        <v>44218</v>
      </c>
      <c r="H161" s="433">
        <f>VLOOKUP(A161,TradesEquity!$1:$1048576,21,FALSE)</f>
        <v>44222</v>
      </c>
      <c r="I161" s="434" t="str">
        <f>IF(VLOOKUP(A161,TradesEquity!$1:$1048576,3,FALSE)="BUY","B","S")</f>
        <v>B</v>
      </c>
      <c r="J161" s="434" t="str">
        <f>VLOOKUP(A161,TradesEquity!$1:$1048576,5,FALSE)</f>
        <v>JP3734600004</v>
      </c>
      <c r="K161" s="432" t="s">
        <v>19</v>
      </c>
      <c r="L161" s="435" t="s">
        <v>2028</v>
      </c>
      <c r="AE161" s="436" t="str">
        <f>VLOOKUP(A161,TradesEquity!$1:$1048576,10,FALSE)</f>
        <v>JPY</v>
      </c>
      <c r="AF161" s="436" t="str">
        <f t="shared" si="4"/>
        <v>JPY</v>
      </c>
      <c r="AG161" s="436" t="str">
        <f t="shared" si="4"/>
        <v>JPY</v>
      </c>
      <c r="AH161" s="436" t="str">
        <f t="shared" si="4"/>
        <v>JPY</v>
      </c>
      <c r="AI161" s="436">
        <f>ABS(VLOOKUP(A161,TradesEquity!$1:$1048576,13,FALSE))</f>
        <v>42000</v>
      </c>
      <c r="AJ161" s="437">
        <v>0</v>
      </c>
      <c r="AK161" s="437">
        <v>1</v>
      </c>
      <c r="AL161" s="436">
        <f>VLOOKUP(A161,TradesEquity!$1:$1048576,11,FALSE)</f>
        <v>283.14285699999999</v>
      </c>
      <c r="AM161" s="437">
        <v>1</v>
      </c>
      <c r="AN161" s="436">
        <f>ABS(VLOOKUP(A161,TradesEquity!$1:$1048576,14,FALSE))</f>
        <v>11891999.993999999</v>
      </c>
      <c r="AO161" s="436">
        <f>ABS(VLOOKUP(A161,TradesEquity!$1:$1048576,15,FALSE))</f>
        <v>7135</v>
      </c>
      <c r="AP161" s="438">
        <f>ABS(VLOOKUP(A161,TradesEquity!$1:$1048576,16,FALSE))</f>
        <v>0</v>
      </c>
      <c r="AQ161" s="367">
        <v>0</v>
      </c>
      <c r="AR161" s="367">
        <v>0</v>
      </c>
      <c r="AS161" s="367">
        <v>0</v>
      </c>
      <c r="AT161" s="367">
        <v>0</v>
      </c>
      <c r="AU161" s="367">
        <v>0</v>
      </c>
      <c r="AV161" s="438">
        <f>ABS(VLOOKUP(A161,TradesEquity!$1:$1048576,18,FALSE))</f>
        <v>11899134.993999999</v>
      </c>
      <c r="AW161" s="439">
        <v>0</v>
      </c>
      <c r="AX161" s="440">
        <v>4542</v>
      </c>
      <c r="AY161" s="441" t="s">
        <v>2029</v>
      </c>
      <c r="AZ161" s="442" t="str">
        <f>(VLOOKUP(A161,TradesEquity!$1:$1048576,29,FALSE))</f>
        <v>GSILGB2XXXX</v>
      </c>
      <c r="BA161" s="442" t="str">
        <f>(VLOOKUP(A161,TradesEquity!$1:$1048576,30,FALSE))</f>
        <v>JJSDJPJTXXX</v>
      </c>
      <c r="BB161" s="442">
        <f>(VLOOKUP(A161,TradesEquity!$1:$1048576,31,FALSE))</f>
        <v>6530490016</v>
      </c>
      <c r="BC161" s="442" t="str">
        <f>(VLOOKUP(A161,TradesEquity!$1:$1048576,32,FALSE))</f>
        <v>N</v>
      </c>
      <c r="BI161" s="442" t="str">
        <f>(VLOOKUP(A161,TradesEquity!$1:$1048576,38,FALSE))</f>
        <v xml:space="preserve">                  </v>
      </c>
      <c r="BJ161" s="442" t="str">
        <f>(VLOOKUP(A161,TradesEquity!$1:$1048576,39,FALSE))</f>
        <v xml:space="preserve">                          </v>
      </c>
      <c r="BK161" s="442" t="str">
        <f>(VLOOKUP(A161,TradesEquity!$1:$1048576,40,FALSE))</f>
        <v>GOLDJPJXXXX</v>
      </c>
    </row>
    <row r="162" spans="1:63">
      <c r="A162" s="502">
        <v>2019200409</v>
      </c>
      <c r="D162" s="432" t="s">
        <v>2027</v>
      </c>
      <c r="F162" s="433">
        <f>VLOOKUP(A162,TradesEquity!$1:$1048576,2,FALSE)</f>
        <v>44218</v>
      </c>
      <c r="H162" s="433">
        <f>VLOOKUP(A162,TradesEquity!$1:$1048576,21,FALSE)</f>
        <v>44222</v>
      </c>
      <c r="I162" s="434" t="str">
        <f>IF(VLOOKUP(A162,TradesEquity!$1:$1048576,3,FALSE)="BUY","B","S")</f>
        <v>B</v>
      </c>
      <c r="J162" s="434" t="str">
        <f>VLOOKUP(A162,TradesEquity!$1:$1048576,5,FALSE)</f>
        <v>JP3232600001</v>
      </c>
      <c r="K162" s="432" t="s">
        <v>19</v>
      </c>
      <c r="L162" s="435" t="s">
        <v>2028</v>
      </c>
      <c r="AE162" s="436" t="str">
        <f>VLOOKUP(A162,TradesEquity!$1:$1048576,10,FALSE)</f>
        <v>JPY</v>
      </c>
      <c r="AF162" s="436" t="str">
        <f t="shared" si="4"/>
        <v>JPY</v>
      </c>
      <c r="AG162" s="436" t="str">
        <f t="shared" si="4"/>
        <v>JPY</v>
      </c>
      <c r="AH162" s="436" t="str">
        <f t="shared" si="4"/>
        <v>JPY</v>
      </c>
      <c r="AI162" s="436">
        <f>ABS(VLOOKUP(A162,TradesEquity!$1:$1048576,13,FALSE))</f>
        <v>17000</v>
      </c>
      <c r="AJ162" s="437">
        <v>0</v>
      </c>
      <c r="AK162" s="437">
        <v>1</v>
      </c>
      <c r="AL162" s="436">
        <f>VLOOKUP(A162,TradesEquity!$1:$1048576,11,FALSE)</f>
        <v>826.39588200000003</v>
      </c>
      <c r="AM162" s="437">
        <v>1</v>
      </c>
      <c r="AN162" s="436">
        <f>ABS(VLOOKUP(A162,TradesEquity!$1:$1048576,14,FALSE))</f>
        <v>14048729.994000001</v>
      </c>
      <c r="AO162" s="436">
        <f>ABS(VLOOKUP(A162,TradesEquity!$1:$1048576,15,FALSE))</f>
        <v>8429</v>
      </c>
      <c r="AP162" s="438">
        <f>ABS(VLOOKUP(A162,TradesEquity!$1:$1048576,16,FALSE))</f>
        <v>0</v>
      </c>
      <c r="AQ162" s="367">
        <v>0</v>
      </c>
      <c r="AR162" s="367">
        <v>0</v>
      </c>
      <c r="AS162" s="367">
        <v>0</v>
      </c>
      <c r="AT162" s="367">
        <v>0</v>
      </c>
      <c r="AU162" s="367">
        <v>0</v>
      </c>
      <c r="AV162" s="438">
        <f>ABS(VLOOKUP(A162,TradesEquity!$1:$1048576,18,FALSE))</f>
        <v>14057158.994000001</v>
      </c>
      <c r="AW162" s="439">
        <v>0</v>
      </c>
      <c r="AX162" s="440">
        <v>4542</v>
      </c>
      <c r="AY162" s="441" t="s">
        <v>2029</v>
      </c>
      <c r="AZ162" s="442" t="str">
        <f>(VLOOKUP(A162,TradesEquity!$1:$1048576,29,FALSE))</f>
        <v>GSILGB2XXXX</v>
      </c>
      <c r="BA162" s="442" t="str">
        <f>(VLOOKUP(A162,TradesEquity!$1:$1048576,30,FALSE))</f>
        <v>JJSDJPJTXXX</v>
      </c>
      <c r="BB162" s="442">
        <f>(VLOOKUP(A162,TradesEquity!$1:$1048576,31,FALSE))</f>
        <v>6530490016</v>
      </c>
      <c r="BC162" s="442" t="str">
        <f>(VLOOKUP(A162,TradesEquity!$1:$1048576,32,FALSE))</f>
        <v>N</v>
      </c>
      <c r="BI162" s="442" t="str">
        <f>(VLOOKUP(A162,TradesEquity!$1:$1048576,38,FALSE))</f>
        <v xml:space="preserve">                  </v>
      </c>
      <c r="BJ162" s="442" t="str">
        <f>(VLOOKUP(A162,TradesEquity!$1:$1048576,39,FALSE))</f>
        <v xml:space="preserve">                          </v>
      </c>
      <c r="BK162" s="442" t="str">
        <f>(VLOOKUP(A162,TradesEquity!$1:$1048576,40,FALSE))</f>
        <v>GOLDJPJXXXX</v>
      </c>
    </row>
    <row r="163" spans="1:63">
      <c r="A163" s="502">
        <v>2019200410</v>
      </c>
      <c r="D163" s="432" t="s">
        <v>2027</v>
      </c>
      <c r="F163" s="433">
        <f>VLOOKUP(A163,TradesEquity!$1:$1048576,2,FALSE)</f>
        <v>44218</v>
      </c>
      <c r="H163" s="433">
        <f>VLOOKUP(A163,TradesEquity!$1:$1048576,21,FALSE)</f>
        <v>44222</v>
      </c>
      <c r="I163" s="434" t="str">
        <f>IF(VLOOKUP(A163,TradesEquity!$1:$1048576,3,FALSE)="BUY","B","S")</f>
        <v>B</v>
      </c>
      <c r="J163" s="434" t="str">
        <f>VLOOKUP(A163,TradesEquity!$1:$1048576,5,FALSE)</f>
        <v>JP3147200004</v>
      </c>
      <c r="K163" s="432" t="s">
        <v>19</v>
      </c>
      <c r="L163" s="435" t="s">
        <v>2028</v>
      </c>
      <c r="AE163" s="436" t="str">
        <f>VLOOKUP(A163,TradesEquity!$1:$1048576,10,FALSE)</f>
        <v>JPY</v>
      </c>
      <c r="AF163" s="436" t="str">
        <f t="shared" si="4"/>
        <v>JPY</v>
      </c>
      <c r="AG163" s="436" t="str">
        <f t="shared" si="4"/>
        <v>JPY</v>
      </c>
      <c r="AH163" s="436" t="str">
        <f t="shared" si="4"/>
        <v>JPY</v>
      </c>
      <c r="AI163" s="436">
        <f>ABS(VLOOKUP(A163,TradesEquity!$1:$1048576,13,FALSE))</f>
        <v>4300</v>
      </c>
      <c r="AJ163" s="437">
        <v>0</v>
      </c>
      <c r="AK163" s="437">
        <v>1</v>
      </c>
      <c r="AL163" s="436">
        <f>VLOOKUP(A163,TradesEquity!$1:$1048576,11,FALSE)</f>
        <v>1089.5999999999999</v>
      </c>
      <c r="AM163" s="437">
        <v>1</v>
      </c>
      <c r="AN163" s="436">
        <f>ABS(VLOOKUP(A163,TradesEquity!$1:$1048576,14,FALSE))</f>
        <v>4685280</v>
      </c>
      <c r="AO163" s="436">
        <f>ABS(VLOOKUP(A163,TradesEquity!$1:$1048576,15,FALSE))</f>
        <v>2811</v>
      </c>
      <c r="AP163" s="438">
        <f>ABS(VLOOKUP(A163,TradesEquity!$1:$1048576,16,FALSE))</f>
        <v>0</v>
      </c>
      <c r="AQ163" s="367">
        <v>0</v>
      </c>
      <c r="AR163" s="367">
        <v>0</v>
      </c>
      <c r="AS163" s="367">
        <v>0</v>
      </c>
      <c r="AT163" s="367">
        <v>0</v>
      </c>
      <c r="AU163" s="367">
        <v>0</v>
      </c>
      <c r="AV163" s="438">
        <f>ABS(VLOOKUP(A163,TradesEquity!$1:$1048576,18,FALSE))</f>
        <v>4688091</v>
      </c>
      <c r="AW163" s="439">
        <v>0</v>
      </c>
      <c r="AX163" s="440">
        <v>4542</v>
      </c>
      <c r="AY163" s="441" t="s">
        <v>2029</v>
      </c>
      <c r="AZ163" s="442" t="str">
        <f>(VLOOKUP(A163,TradesEquity!$1:$1048576,29,FALSE))</f>
        <v>GSILGB2XXXX</v>
      </c>
      <c r="BA163" s="442" t="str">
        <f>(VLOOKUP(A163,TradesEquity!$1:$1048576,30,FALSE))</f>
        <v>JJSDJPJTXXX</v>
      </c>
      <c r="BB163" s="442">
        <f>(VLOOKUP(A163,TradesEquity!$1:$1048576,31,FALSE))</f>
        <v>6530490016</v>
      </c>
      <c r="BC163" s="442" t="str">
        <f>(VLOOKUP(A163,TradesEquity!$1:$1048576,32,FALSE))</f>
        <v>N</v>
      </c>
      <c r="BI163" s="442" t="str">
        <f>(VLOOKUP(A163,TradesEquity!$1:$1048576,38,FALSE))</f>
        <v xml:space="preserve">                  </v>
      </c>
      <c r="BJ163" s="442" t="str">
        <f>(VLOOKUP(A163,TradesEquity!$1:$1048576,39,FALSE))</f>
        <v xml:space="preserve">                          </v>
      </c>
      <c r="BK163" s="442" t="str">
        <f>(VLOOKUP(A163,TradesEquity!$1:$1048576,40,FALSE))</f>
        <v>GOLDJPJXXXX</v>
      </c>
    </row>
    <row r="164" spans="1:63">
      <c r="A164" s="502">
        <v>2019200411</v>
      </c>
      <c r="D164" s="432" t="s">
        <v>2027</v>
      </c>
      <c r="F164" s="433">
        <f>VLOOKUP(A164,TradesEquity!$1:$1048576,2,FALSE)</f>
        <v>44218</v>
      </c>
      <c r="H164" s="433">
        <f>VLOOKUP(A164,TradesEquity!$1:$1048576,21,FALSE)</f>
        <v>44222</v>
      </c>
      <c r="I164" s="434" t="str">
        <f>IF(VLOOKUP(A164,TradesEquity!$1:$1048576,3,FALSE)="BUY","B","S")</f>
        <v>B</v>
      </c>
      <c r="J164" s="434" t="str">
        <f>VLOOKUP(A164,TradesEquity!$1:$1048576,5,FALSE)</f>
        <v>JP3332600000</v>
      </c>
      <c r="K164" s="432" t="s">
        <v>19</v>
      </c>
      <c r="L164" s="435" t="s">
        <v>2028</v>
      </c>
      <c r="AE164" s="436" t="str">
        <f>VLOOKUP(A164,TradesEquity!$1:$1048576,10,FALSE)</f>
        <v>JPY</v>
      </c>
      <c r="AF164" s="436" t="str">
        <f t="shared" si="4"/>
        <v>JPY</v>
      </c>
      <c r="AG164" s="436" t="str">
        <f t="shared" si="4"/>
        <v>JPY</v>
      </c>
      <c r="AH164" s="436" t="str">
        <f t="shared" si="4"/>
        <v>JPY</v>
      </c>
      <c r="AI164" s="436">
        <f>ABS(VLOOKUP(A164,TradesEquity!$1:$1048576,13,FALSE))</f>
        <v>3900</v>
      </c>
      <c r="AJ164" s="437">
        <v>0</v>
      </c>
      <c r="AK164" s="437">
        <v>1</v>
      </c>
      <c r="AL164" s="436">
        <f>VLOOKUP(A164,TradesEquity!$1:$1048576,11,FALSE)</f>
        <v>903.14359000000002</v>
      </c>
      <c r="AM164" s="437">
        <v>1</v>
      </c>
      <c r="AN164" s="436">
        <f>ABS(VLOOKUP(A164,TradesEquity!$1:$1048576,14,FALSE))</f>
        <v>3522260.0010000002</v>
      </c>
      <c r="AO164" s="436">
        <f>ABS(VLOOKUP(A164,TradesEquity!$1:$1048576,15,FALSE))</f>
        <v>2113</v>
      </c>
      <c r="AP164" s="438">
        <f>ABS(VLOOKUP(A164,TradesEquity!$1:$1048576,16,FALSE))</f>
        <v>0</v>
      </c>
      <c r="AQ164" s="367">
        <v>0</v>
      </c>
      <c r="AR164" s="367">
        <v>0</v>
      </c>
      <c r="AS164" s="367">
        <v>0</v>
      </c>
      <c r="AT164" s="367">
        <v>0</v>
      </c>
      <c r="AU164" s="367">
        <v>0</v>
      </c>
      <c r="AV164" s="438">
        <f>ABS(VLOOKUP(A164,TradesEquity!$1:$1048576,18,FALSE))</f>
        <v>3524373.0010000002</v>
      </c>
      <c r="AW164" s="439">
        <v>0</v>
      </c>
      <c r="AX164" s="440">
        <v>4542</v>
      </c>
      <c r="AY164" s="441" t="s">
        <v>2029</v>
      </c>
      <c r="AZ164" s="442" t="str">
        <f>(VLOOKUP(A164,TradesEquity!$1:$1048576,29,FALSE))</f>
        <v>GSILGB2XXXX</v>
      </c>
      <c r="BA164" s="442" t="str">
        <f>(VLOOKUP(A164,TradesEquity!$1:$1048576,30,FALSE))</f>
        <v>JJSDJPJTXXX</v>
      </c>
      <c r="BB164" s="442">
        <f>(VLOOKUP(A164,TradesEquity!$1:$1048576,31,FALSE))</f>
        <v>6530490016</v>
      </c>
      <c r="BC164" s="442" t="str">
        <f>(VLOOKUP(A164,TradesEquity!$1:$1048576,32,FALSE))</f>
        <v>N</v>
      </c>
      <c r="BI164" s="442" t="str">
        <f>(VLOOKUP(A164,TradesEquity!$1:$1048576,38,FALSE))</f>
        <v xml:space="preserve">                  </v>
      </c>
      <c r="BJ164" s="442" t="str">
        <f>(VLOOKUP(A164,TradesEquity!$1:$1048576,39,FALSE))</f>
        <v xml:space="preserve">                          </v>
      </c>
      <c r="BK164" s="442" t="str">
        <f>(VLOOKUP(A164,TradesEquity!$1:$1048576,40,FALSE))</f>
        <v>GOLDJPJXXXX</v>
      </c>
    </row>
    <row r="165" spans="1:63">
      <c r="A165" s="502">
        <v>2019200412</v>
      </c>
      <c r="D165" s="432" t="s">
        <v>2027</v>
      </c>
      <c r="F165" s="433">
        <f>VLOOKUP(A165,TradesEquity!$1:$1048576,2,FALSE)</f>
        <v>44218</v>
      </c>
      <c r="H165" s="433">
        <f>VLOOKUP(A165,TradesEquity!$1:$1048576,21,FALSE)</f>
        <v>44222</v>
      </c>
      <c r="I165" s="434" t="str">
        <f>IF(VLOOKUP(A165,TradesEquity!$1:$1048576,3,FALSE)="BUY","B","S")</f>
        <v>B</v>
      </c>
      <c r="J165" s="434" t="str">
        <f>VLOOKUP(A165,TradesEquity!$1:$1048576,5,FALSE)</f>
        <v>KR7056190002</v>
      </c>
      <c r="K165" s="432" t="s">
        <v>19</v>
      </c>
      <c r="L165" s="435" t="s">
        <v>2028</v>
      </c>
      <c r="AE165" s="436" t="str">
        <f>VLOOKUP(A165,TradesEquity!$1:$1048576,10,FALSE)</f>
        <v>KRW</v>
      </c>
      <c r="AF165" s="436" t="str">
        <f t="shared" si="4"/>
        <v>KRW</v>
      </c>
      <c r="AG165" s="436" t="str">
        <f t="shared" si="4"/>
        <v>KRW</v>
      </c>
      <c r="AH165" s="436" t="str">
        <f t="shared" si="4"/>
        <v>KRW</v>
      </c>
      <c r="AI165" s="436">
        <f>ABS(VLOOKUP(A165,TradesEquity!$1:$1048576,13,FALSE))</f>
        <v>3200</v>
      </c>
      <c r="AJ165" s="437">
        <v>0</v>
      </c>
      <c r="AK165" s="437">
        <v>1</v>
      </c>
      <c r="AL165" s="436">
        <f>VLOOKUP(A165,TradesEquity!$1:$1048576,11,FALSE)</f>
        <v>40127.031300000002</v>
      </c>
      <c r="AM165" s="437">
        <v>1</v>
      </c>
      <c r="AN165" s="436">
        <f>ABS(VLOOKUP(A165,TradesEquity!$1:$1048576,14,FALSE))</f>
        <v>128406500.16000001</v>
      </c>
      <c r="AO165" s="436">
        <f>ABS(VLOOKUP(A165,TradesEquity!$1:$1048576,15,FALSE))</f>
        <v>192610</v>
      </c>
      <c r="AP165" s="438">
        <f>ABS(VLOOKUP(A165,TradesEquity!$1:$1048576,16,FALSE))</f>
        <v>0</v>
      </c>
      <c r="AQ165" s="367">
        <v>0</v>
      </c>
      <c r="AR165" s="367">
        <v>0</v>
      </c>
      <c r="AS165" s="367">
        <v>0</v>
      </c>
      <c r="AT165" s="367">
        <v>0</v>
      </c>
      <c r="AU165" s="367">
        <v>0</v>
      </c>
      <c r="AV165" s="438">
        <f>ABS(VLOOKUP(A165,TradesEquity!$1:$1048576,18,FALSE))</f>
        <v>128599110.16000001</v>
      </c>
      <c r="AW165" s="439">
        <v>0</v>
      </c>
      <c r="AX165" s="440">
        <v>4542</v>
      </c>
      <c r="AY165" s="441" t="s">
        <v>2029</v>
      </c>
      <c r="AZ165" s="442" t="e">
        <f>(VLOOKUP(A165,TradesEquity!$1:$1048576,29,FALSE))</f>
        <v>#N/A</v>
      </c>
      <c r="BA165" s="442" t="e">
        <f>(VLOOKUP(A165,TradesEquity!$1:$1048576,30,FALSE))</f>
        <v>#N/A</v>
      </c>
      <c r="BB165" s="442" t="e">
        <f>(VLOOKUP(A165,TradesEquity!$1:$1048576,31,FALSE))</f>
        <v>#N/A</v>
      </c>
      <c r="BC165" s="442" t="e">
        <f>(VLOOKUP(A165,TradesEquity!$1:$1048576,32,FALSE))</f>
        <v>#N/A</v>
      </c>
      <c r="BI165" s="442" t="e">
        <f>(VLOOKUP(A165,TradesEquity!$1:$1048576,38,FALSE))</f>
        <v>#N/A</v>
      </c>
      <c r="BJ165" s="442" t="e">
        <f>(VLOOKUP(A165,TradesEquity!$1:$1048576,39,FALSE))</f>
        <v>#N/A</v>
      </c>
      <c r="BK165" s="442" t="e">
        <f>(VLOOKUP(A165,TradesEquity!$1:$1048576,40,FALSE))</f>
        <v>#N/A</v>
      </c>
    </row>
    <row r="166" spans="1:63">
      <c r="A166" s="502">
        <v>2019200413</v>
      </c>
      <c r="D166" s="432" t="s">
        <v>2027</v>
      </c>
      <c r="F166" s="433">
        <f>VLOOKUP(A166,TradesEquity!$1:$1048576,2,FALSE)</f>
        <v>44221</v>
      </c>
      <c r="H166" s="433">
        <f>VLOOKUP(A166,TradesEquity!$1:$1048576,21,FALSE)</f>
        <v>44223</v>
      </c>
      <c r="I166" s="434" t="str">
        <f>IF(VLOOKUP(A166,TradesEquity!$1:$1048576,3,FALSE)="BUY","B","S")</f>
        <v>B</v>
      </c>
      <c r="J166" s="434" t="str">
        <f>VLOOKUP(A166,TradesEquity!$1:$1048576,5,FALSE)</f>
        <v>JP3147200004</v>
      </c>
      <c r="K166" s="432" t="s">
        <v>19</v>
      </c>
      <c r="L166" s="435" t="s">
        <v>2028</v>
      </c>
      <c r="AE166" s="436" t="str">
        <f>VLOOKUP(A166,TradesEquity!$1:$1048576,10,FALSE)</f>
        <v>JPY</v>
      </c>
      <c r="AF166" s="436" t="str">
        <f t="shared" si="4"/>
        <v>JPY</v>
      </c>
      <c r="AG166" s="436" t="str">
        <f t="shared" si="4"/>
        <v>JPY</v>
      </c>
      <c r="AH166" s="436" t="str">
        <f t="shared" si="4"/>
        <v>JPY</v>
      </c>
      <c r="AI166" s="436">
        <f>ABS(VLOOKUP(A166,TradesEquity!$1:$1048576,13,FALSE))</f>
        <v>9400</v>
      </c>
      <c r="AJ166" s="437">
        <v>0</v>
      </c>
      <c r="AK166" s="437">
        <v>1</v>
      </c>
      <c r="AL166" s="436">
        <f>VLOOKUP(A166,TradesEquity!$1:$1048576,11,FALSE)</f>
        <v>1095.1904259999999</v>
      </c>
      <c r="AM166" s="437">
        <v>1</v>
      </c>
      <c r="AN166" s="436">
        <f>ABS(VLOOKUP(A166,TradesEquity!$1:$1048576,14,FALSE))</f>
        <v>10294790.004399998</v>
      </c>
      <c r="AO166" s="436">
        <f>ABS(VLOOKUP(A166,TradesEquity!$1:$1048576,15,FALSE))</f>
        <v>6177</v>
      </c>
      <c r="AP166" s="438">
        <f>ABS(VLOOKUP(A166,TradesEquity!$1:$1048576,16,FALSE))</f>
        <v>0</v>
      </c>
      <c r="AQ166" s="367">
        <v>0</v>
      </c>
      <c r="AR166" s="367">
        <v>0</v>
      </c>
      <c r="AS166" s="367">
        <v>0</v>
      </c>
      <c r="AT166" s="367">
        <v>0</v>
      </c>
      <c r="AU166" s="367">
        <v>0</v>
      </c>
      <c r="AV166" s="438">
        <f>ABS(VLOOKUP(A166,TradesEquity!$1:$1048576,18,FALSE))</f>
        <v>10300967.004399998</v>
      </c>
      <c r="AW166" s="439">
        <v>0</v>
      </c>
      <c r="AX166" s="440">
        <v>4542</v>
      </c>
      <c r="AY166" s="441" t="s">
        <v>2029</v>
      </c>
      <c r="AZ166" s="442" t="str">
        <f>(VLOOKUP(A166,TradesEquity!$1:$1048576,29,FALSE))</f>
        <v>GSILGB2XXXX</v>
      </c>
      <c r="BA166" s="442" t="str">
        <f>(VLOOKUP(A166,TradesEquity!$1:$1048576,30,FALSE))</f>
        <v>JJSDJPJTXXX</v>
      </c>
      <c r="BB166" s="442">
        <f>(VLOOKUP(A166,TradesEquity!$1:$1048576,31,FALSE))</f>
        <v>6530490016</v>
      </c>
      <c r="BC166" s="442" t="str">
        <f>(VLOOKUP(A166,TradesEquity!$1:$1048576,32,FALSE))</f>
        <v>N</v>
      </c>
      <c r="BI166" s="442" t="str">
        <f>(VLOOKUP(A166,TradesEquity!$1:$1048576,38,FALSE))</f>
        <v xml:space="preserve">                  </v>
      </c>
      <c r="BJ166" s="442" t="str">
        <f>(VLOOKUP(A166,TradesEquity!$1:$1048576,39,FALSE))</f>
        <v xml:space="preserve">                          </v>
      </c>
      <c r="BK166" s="442" t="str">
        <f>(VLOOKUP(A166,TradesEquity!$1:$1048576,40,FALSE))</f>
        <v>GOLDJPJXXXX</v>
      </c>
    </row>
    <row r="167" spans="1:63">
      <c r="A167" s="502">
        <v>2019200414</v>
      </c>
      <c r="D167" s="432" t="s">
        <v>2027</v>
      </c>
      <c r="F167" s="433">
        <f>VLOOKUP(A167,TradesEquity!$1:$1048576,2,FALSE)</f>
        <v>44221</v>
      </c>
      <c r="H167" s="433">
        <f>VLOOKUP(A167,TradesEquity!$1:$1048576,21,FALSE)</f>
        <v>44223</v>
      </c>
      <c r="I167" s="434" t="str">
        <f>IF(VLOOKUP(A167,TradesEquity!$1:$1048576,3,FALSE)="BUY","B","S")</f>
        <v>B</v>
      </c>
      <c r="J167" s="434" t="str">
        <f>VLOOKUP(A167,TradesEquity!$1:$1048576,5,FALSE)</f>
        <v>JP3332600000</v>
      </c>
      <c r="K167" s="432" t="s">
        <v>19</v>
      </c>
      <c r="L167" s="435" t="s">
        <v>2028</v>
      </c>
      <c r="AE167" s="436" t="str">
        <f>VLOOKUP(A167,TradesEquity!$1:$1048576,10,FALSE)</f>
        <v>JPY</v>
      </c>
      <c r="AF167" s="436" t="str">
        <f t="shared" si="4"/>
        <v>JPY</v>
      </c>
      <c r="AG167" s="436" t="str">
        <f t="shared" si="4"/>
        <v>JPY</v>
      </c>
      <c r="AH167" s="436" t="str">
        <f t="shared" si="4"/>
        <v>JPY</v>
      </c>
      <c r="AI167" s="436">
        <f>ABS(VLOOKUP(A167,TradesEquity!$1:$1048576,13,FALSE))</f>
        <v>11000</v>
      </c>
      <c r="AJ167" s="437">
        <v>0</v>
      </c>
      <c r="AK167" s="437">
        <v>1</v>
      </c>
      <c r="AL167" s="436">
        <f>VLOOKUP(A167,TradesEquity!$1:$1048576,11,FALSE)</f>
        <v>929.54909099999998</v>
      </c>
      <c r="AM167" s="437">
        <v>1</v>
      </c>
      <c r="AN167" s="436">
        <f>ABS(VLOOKUP(A167,TradesEquity!$1:$1048576,14,FALSE))</f>
        <v>10225040.001</v>
      </c>
      <c r="AO167" s="436">
        <f>ABS(VLOOKUP(A167,TradesEquity!$1:$1048576,15,FALSE))</f>
        <v>6135</v>
      </c>
      <c r="AP167" s="438">
        <f>ABS(VLOOKUP(A167,TradesEquity!$1:$1048576,16,FALSE))</f>
        <v>0</v>
      </c>
      <c r="AQ167" s="367">
        <v>0</v>
      </c>
      <c r="AR167" s="367">
        <v>0</v>
      </c>
      <c r="AS167" s="367">
        <v>0</v>
      </c>
      <c r="AT167" s="367">
        <v>0</v>
      </c>
      <c r="AU167" s="367">
        <v>0</v>
      </c>
      <c r="AV167" s="438">
        <f>ABS(VLOOKUP(A167,TradesEquity!$1:$1048576,18,FALSE))</f>
        <v>10231175.001</v>
      </c>
      <c r="AW167" s="439">
        <v>0</v>
      </c>
      <c r="AX167" s="440">
        <v>4542</v>
      </c>
      <c r="AY167" s="441" t="s">
        <v>2029</v>
      </c>
      <c r="AZ167" s="442" t="str">
        <f>(VLOOKUP(A167,TradesEquity!$1:$1048576,29,FALSE))</f>
        <v>GSILGB2XXXX</v>
      </c>
      <c r="BA167" s="442" t="str">
        <f>(VLOOKUP(A167,TradesEquity!$1:$1048576,30,FALSE))</f>
        <v>JJSDJPJTXXX</v>
      </c>
      <c r="BB167" s="442">
        <f>(VLOOKUP(A167,TradesEquity!$1:$1048576,31,FALSE))</f>
        <v>6530490016</v>
      </c>
      <c r="BC167" s="442" t="str">
        <f>(VLOOKUP(A167,TradesEquity!$1:$1048576,32,FALSE))</f>
        <v>N</v>
      </c>
      <c r="BI167" s="442" t="str">
        <f>(VLOOKUP(A167,TradesEquity!$1:$1048576,38,FALSE))</f>
        <v xml:space="preserve">                  </v>
      </c>
      <c r="BJ167" s="442" t="str">
        <f>(VLOOKUP(A167,TradesEquity!$1:$1048576,39,FALSE))</f>
        <v xml:space="preserve">                          </v>
      </c>
      <c r="BK167" s="442" t="str">
        <f>(VLOOKUP(A167,TradesEquity!$1:$1048576,40,FALSE))</f>
        <v>GOLDJPJXXXX</v>
      </c>
    </row>
    <row r="168" spans="1:63">
      <c r="A168" s="502">
        <v>2019200415</v>
      </c>
      <c r="D168" s="432" t="s">
        <v>2027</v>
      </c>
      <c r="F168" s="433">
        <f>VLOOKUP(A168,TradesEquity!$1:$1048576,2,FALSE)</f>
        <v>44221</v>
      </c>
      <c r="H168" s="433">
        <f>VLOOKUP(A168,TradesEquity!$1:$1048576,21,FALSE)</f>
        <v>44223</v>
      </c>
      <c r="I168" s="434" t="str">
        <f>IF(VLOOKUP(A168,TradesEquity!$1:$1048576,3,FALSE)="BUY","B","S")</f>
        <v>B</v>
      </c>
      <c r="J168" s="434" t="str">
        <f>VLOOKUP(A168,TradesEquity!$1:$1048576,5,FALSE)</f>
        <v>JP3425000001</v>
      </c>
      <c r="K168" s="432" t="s">
        <v>19</v>
      </c>
      <c r="L168" s="435" t="s">
        <v>2028</v>
      </c>
      <c r="AE168" s="436" t="str">
        <f>VLOOKUP(A168,TradesEquity!$1:$1048576,10,FALSE)</f>
        <v>JPY</v>
      </c>
      <c r="AF168" s="436" t="str">
        <f t="shared" si="4"/>
        <v>JPY</v>
      </c>
      <c r="AG168" s="436" t="str">
        <f t="shared" si="4"/>
        <v>JPY</v>
      </c>
      <c r="AH168" s="436" t="str">
        <f t="shared" si="4"/>
        <v>JPY</v>
      </c>
      <c r="AI168" s="436">
        <f>ABS(VLOOKUP(A168,TradesEquity!$1:$1048576,13,FALSE))</f>
        <v>6700</v>
      </c>
      <c r="AJ168" s="437">
        <v>0</v>
      </c>
      <c r="AK168" s="437">
        <v>1</v>
      </c>
      <c r="AL168" s="436">
        <f>VLOOKUP(A168,TradesEquity!$1:$1048576,11,FALSE)</f>
        <v>2185.7746269999998</v>
      </c>
      <c r="AM168" s="437">
        <v>1</v>
      </c>
      <c r="AN168" s="436">
        <f>ABS(VLOOKUP(A168,TradesEquity!$1:$1048576,14,FALSE))</f>
        <v>14644690.000899998</v>
      </c>
      <c r="AO168" s="436">
        <f>ABS(VLOOKUP(A168,TradesEquity!$1:$1048576,15,FALSE))</f>
        <v>8787</v>
      </c>
      <c r="AP168" s="438">
        <f>ABS(VLOOKUP(A168,TradesEquity!$1:$1048576,16,FALSE))</f>
        <v>0</v>
      </c>
      <c r="AQ168" s="367">
        <v>0</v>
      </c>
      <c r="AR168" s="367">
        <v>0</v>
      </c>
      <c r="AS168" s="367">
        <v>0</v>
      </c>
      <c r="AT168" s="367">
        <v>0</v>
      </c>
      <c r="AU168" s="367">
        <v>0</v>
      </c>
      <c r="AV168" s="438">
        <f>ABS(VLOOKUP(A168,TradesEquity!$1:$1048576,18,FALSE))</f>
        <v>14653477.000899998</v>
      </c>
      <c r="AW168" s="439">
        <v>0</v>
      </c>
      <c r="AX168" s="440">
        <v>4542</v>
      </c>
      <c r="AY168" s="441" t="s">
        <v>2029</v>
      </c>
      <c r="AZ168" s="442" t="str">
        <f>(VLOOKUP(A168,TradesEquity!$1:$1048576,29,FALSE))</f>
        <v>GSILGB2XXXX</v>
      </c>
      <c r="BA168" s="442" t="str">
        <f>(VLOOKUP(A168,TradesEquity!$1:$1048576,30,FALSE))</f>
        <v>JJSDJPJTXXX</v>
      </c>
      <c r="BB168" s="442">
        <f>(VLOOKUP(A168,TradesEquity!$1:$1048576,31,FALSE))</f>
        <v>6530490016</v>
      </c>
      <c r="BC168" s="442" t="str">
        <f>(VLOOKUP(A168,TradesEquity!$1:$1048576,32,FALSE))</f>
        <v>N</v>
      </c>
      <c r="BI168" s="442" t="str">
        <f>(VLOOKUP(A168,TradesEquity!$1:$1048576,38,FALSE))</f>
        <v xml:space="preserve">                  </v>
      </c>
      <c r="BJ168" s="442" t="str">
        <f>(VLOOKUP(A168,TradesEquity!$1:$1048576,39,FALSE))</f>
        <v xml:space="preserve">                          </v>
      </c>
      <c r="BK168" s="442" t="str">
        <f>(VLOOKUP(A168,TradesEquity!$1:$1048576,40,FALSE))</f>
        <v>GOLDJPJXXXX</v>
      </c>
    </row>
    <row r="169" spans="1:63">
      <c r="A169" s="502">
        <v>2019200416</v>
      </c>
      <c r="D169" s="432" t="s">
        <v>2027</v>
      </c>
      <c r="F169" s="433">
        <f>VLOOKUP(A169,TradesEquity!$1:$1048576,2,FALSE)</f>
        <v>44221</v>
      </c>
      <c r="H169" s="433">
        <f>VLOOKUP(A169,TradesEquity!$1:$1048576,21,FALSE)</f>
        <v>44223</v>
      </c>
      <c r="I169" s="434" t="str">
        <f>IF(VLOOKUP(A169,TradesEquity!$1:$1048576,3,FALSE)="BUY","B","S")</f>
        <v>B</v>
      </c>
      <c r="J169" s="434" t="str">
        <f>VLOOKUP(A169,TradesEquity!$1:$1048576,5,FALSE)</f>
        <v>JP3400900001</v>
      </c>
      <c r="K169" s="432" t="s">
        <v>19</v>
      </c>
      <c r="L169" s="435" t="s">
        <v>2028</v>
      </c>
      <c r="AE169" s="436" t="str">
        <f>VLOOKUP(A169,TradesEquity!$1:$1048576,10,FALSE)</f>
        <v>JPY</v>
      </c>
      <c r="AF169" s="436" t="str">
        <f t="shared" si="4"/>
        <v>JPY</v>
      </c>
      <c r="AG169" s="436" t="str">
        <f t="shared" si="4"/>
        <v>JPY</v>
      </c>
      <c r="AH169" s="436" t="str">
        <f t="shared" si="4"/>
        <v>JPY</v>
      </c>
      <c r="AI169" s="436">
        <f>ABS(VLOOKUP(A169,TradesEquity!$1:$1048576,13,FALSE))</f>
        <v>11000</v>
      </c>
      <c r="AJ169" s="437">
        <v>0</v>
      </c>
      <c r="AK169" s="437">
        <v>1</v>
      </c>
      <c r="AL169" s="436">
        <f>VLOOKUP(A169,TradesEquity!$1:$1048576,11,FALSE)</f>
        <v>3108.7336359999999</v>
      </c>
      <c r="AM169" s="437">
        <v>1</v>
      </c>
      <c r="AN169" s="436">
        <f>ABS(VLOOKUP(A169,TradesEquity!$1:$1048576,14,FALSE))</f>
        <v>34196069.995999999</v>
      </c>
      <c r="AO169" s="436">
        <f>ABS(VLOOKUP(A169,TradesEquity!$1:$1048576,15,FALSE))</f>
        <v>20518</v>
      </c>
      <c r="AP169" s="438">
        <f>ABS(VLOOKUP(A169,TradesEquity!$1:$1048576,16,FALSE))</f>
        <v>0</v>
      </c>
      <c r="AQ169" s="367">
        <v>0</v>
      </c>
      <c r="AR169" s="367">
        <v>0</v>
      </c>
      <c r="AS169" s="367">
        <v>0</v>
      </c>
      <c r="AT169" s="367">
        <v>0</v>
      </c>
      <c r="AU169" s="367">
        <v>0</v>
      </c>
      <c r="AV169" s="438">
        <f>ABS(VLOOKUP(A169,TradesEquity!$1:$1048576,18,FALSE))</f>
        <v>34216587.995999999</v>
      </c>
      <c r="AW169" s="439">
        <v>0</v>
      </c>
      <c r="AX169" s="440">
        <v>4542</v>
      </c>
      <c r="AY169" s="441" t="s">
        <v>2029</v>
      </c>
      <c r="AZ169" s="442" t="str">
        <f>(VLOOKUP(A169,TradesEquity!$1:$1048576,29,FALSE))</f>
        <v>GSILGB2XXXX</v>
      </c>
      <c r="BA169" s="442" t="str">
        <f>(VLOOKUP(A169,TradesEquity!$1:$1048576,30,FALSE))</f>
        <v>JJSDJPJTXXX</v>
      </c>
      <c r="BB169" s="442">
        <f>(VLOOKUP(A169,TradesEquity!$1:$1048576,31,FALSE))</f>
        <v>6530490016</v>
      </c>
      <c r="BC169" s="442" t="str">
        <f>(VLOOKUP(A169,TradesEquity!$1:$1048576,32,FALSE))</f>
        <v>N</v>
      </c>
      <c r="BI169" s="442" t="str">
        <f>(VLOOKUP(A169,TradesEquity!$1:$1048576,38,FALSE))</f>
        <v xml:space="preserve">                  </v>
      </c>
      <c r="BJ169" s="442" t="str">
        <f>(VLOOKUP(A169,TradesEquity!$1:$1048576,39,FALSE))</f>
        <v xml:space="preserve">                          </v>
      </c>
      <c r="BK169" s="442" t="str">
        <f>(VLOOKUP(A169,TradesEquity!$1:$1048576,40,FALSE))</f>
        <v>GOLDJPJXXXX</v>
      </c>
    </row>
    <row r="170" spans="1:63">
      <c r="A170" s="502">
        <v>2019200417</v>
      </c>
      <c r="D170" s="432" t="s">
        <v>2027</v>
      </c>
      <c r="F170" s="433">
        <f>VLOOKUP(A170,TradesEquity!$1:$1048576,2,FALSE)</f>
        <v>44221</v>
      </c>
      <c r="H170" s="433">
        <f>VLOOKUP(A170,TradesEquity!$1:$1048576,21,FALSE)</f>
        <v>44223</v>
      </c>
      <c r="I170" s="434" t="str">
        <f>IF(VLOOKUP(A170,TradesEquity!$1:$1048576,3,FALSE)="BUY","B","S")</f>
        <v>B</v>
      </c>
      <c r="J170" s="434" t="str">
        <f>VLOOKUP(A170,TradesEquity!$1:$1048576,5,FALSE)</f>
        <v>JP3102000001</v>
      </c>
      <c r="K170" s="432" t="s">
        <v>19</v>
      </c>
      <c r="L170" s="435" t="s">
        <v>2028</v>
      </c>
      <c r="AE170" s="436" t="str">
        <f>VLOOKUP(A170,TradesEquity!$1:$1048576,10,FALSE)</f>
        <v>JPY</v>
      </c>
      <c r="AF170" s="436" t="str">
        <f t="shared" si="4"/>
        <v>JPY</v>
      </c>
      <c r="AG170" s="436" t="str">
        <f t="shared" si="4"/>
        <v>JPY</v>
      </c>
      <c r="AH170" s="436" t="str">
        <f t="shared" si="4"/>
        <v>JPY</v>
      </c>
      <c r="AI170" s="436">
        <f>ABS(VLOOKUP(A170,TradesEquity!$1:$1048576,13,FALSE))</f>
        <v>2200</v>
      </c>
      <c r="AJ170" s="437">
        <v>0</v>
      </c>
      <c r="AK170" s="437">
        <v>1</v>
      </c>
      <c r="AL170" s="436">
        <f>VLOOKUP(A170,TradesEquity!$1:$1048576,11,FALSE)</f>
        <v>3085</v>
      </c>
      <c r="AM170" s="437">
        <v>1</v>
      </c>
      <c r="AN170" s="436">
        <f>ABS(VLOOKUP(A170,TradesEquity!$1:$1048576,14,FALSE))</f>
        <v>6787000</v>
      </c>
      <c r="AO170" s="436">
        <f>ABS(VLOOKUP(A170,TradesEquity!$1:$1048576,15,FALSE))</f>
        <v>4073</v>
      </c>
      <c r="AP170" s="438">
        <f>ABS(VLOOKUP(A170,TradesEquity!$1:$1048576,16,FALSE))</f>
        <v>0</v>
      </c>
      <c r="AQ170" s="367">
        <v>0</v>
      </c>
      <c r="AR170" s="367">
        <v>0</v>
      </c>
      <c r="AS170" s="367">
        <v>0</v>
      </c>
      <c r="AT170" s="367">
        <v>0</v>
      </c>
      <c r="AU170" s="367">
        <v>0</v>
      </c>
      <c r="AV170" s="438">
        <f>ABS(VLOOKUP(A170,TradesEquity!$1:$1048576,18,FALSE))</f>
        <v>6791073</v>
      </c>
      <c r="AW170" s="439">
        <v>0</v>
      </c>
      <c r="AX170" s="440">
        <v>4542</v>
      </c>
      <c r="AY170" s="441" t="s">
        <v>2029</v>
      </c>
      <c r="AZ170" s="442" t="str">
        <f>(VLOOKUP(A170,TradesEquity!$1:$1048576,29,FALSE))</f>
        <v>GSILGB2XXXX</v>
      </c>
      <c r="BA170" s="442" t="str">
        <f>(VLOOKUP(A170,TradesEquity!$1:$1048576,30,FALSE))</f>
        <v>JJSDJPJTXXX</v>
      </c>
      <c r="BB170" s="442">
        <f>(VLOOKUP(A170,TradesEquity!$1:$1048576,31,FALSE))</f>
        <v>6530490016</v>
      </c>
      <c r="BC170" s="442" t="str">
        <f>(VLOOKUP(A170,TradesEquity!$1:$1048576,32,FALSE))</f>
        <v>N</v>
      </c>
      <c r="BI170" s="442" t="str">
        <f>(VLOOKUP(A170,TradesEquity!$1:$1048576,38,FALSE))</f>
        <v xml:space="preserve">                  </v>
      </c>
      <c r="BJ170" s="442" t="str">
        <f>(VLOOKUP(A170,TradesEquity!$1:$1048576,39,FALSE))</f>
        <v xml:space="preserve">                          </v>
      </c>
      <c r="BK170" s="442" t="str">
        <f>(VLOOKUP(A170,TradesEquity!$1:$1048576,40,FALSE))</f>
        <v>GOLDJPJXXXX</v>
      </c>
    </row>
    <row r="171" spans="1:63">
      <c r="A171" s="502">
        <v>2019200418</v>
      </c>
      <c r="D171" s="432" t="s">
        <v>2027</v>
      </c>
      <c r="F171" s="433">
        <f>VLOOKUP(A171,TradesEquity!$1:$1048576,2,FALSE)</f>
        <v>44221</v>
      </c>
      <c r="H171" s="433">
        <f>VLOOKUP(A171,TradesEquity!$1:$1048576,21,FALSE)</f>
        <v>44223</v>
      </c>
      <c r="I171" s="434" t="str">
        <f>IF(VLOOKUP(A171,TradesEquity!$1:$1048576,3,FALSE)="BUY","B","S")</f>
        <v>B</v>
      </c>
      <c r="J171" s="434" t="str">
        <f>VLOOKUP(A171,TradesEquity!$1:$1048576,5,FALSE)</f>
        <v>JP3544000007</v>
      </c>
      <c r="K171" s="432" t="s">
        <v>19</v>
      </c>
      <c r="L171" s="435" t="s">
        <v>2028</v>
      </c>
      <c r="AE171" s="436" t="str">
        <f>VLOOKUP(A171,TradesEquity!$1:$1048576,10,FALSE)</f>
        <v>JPY</v>
      </c>
      <c r="AF171" s="436" t="str">
        <f t="shared" si="4"/>
        <v>JPY</v>
      </c>
      <c r="AG171" s="436" t="str">
        <f t="shared" si="4"/>
        <v>JPY</v>
      </c>
      <c r="AH171" s="436" t="str">
        <f t="shared" si="4"/>
        <v>JPY</v>
      </c>
      <c r="AI171" s="436">
        <f>ABS(VLOOKUP(A171,TradesEquity!$1:$1048576,13,FALSE))</f>
        <v>2200</v>
      </c>
      <c r="AJ171" s="437">
        <v>0</v>
      </c>
      <c r="AK171" s="437">
        <v>1</v>
      </c>
      <c r="AL171" s="436">
        <f>VLOOKUP(A171,TradesEquity!$1:$1048576,11,FALSE)</f>
        <v>1944.8227300000001</v>
      </c>
      <c r="AM171" s="437">
        <v>1</v>
      </c>
      <c r="AN171" s="436">
        <f>ABS(VLOOKUP(A171,TradesEquity!$1:$1048576,14,FALSE))</f>
        <v>4278610.0060000001</v>
      </c>
      <c r="AO171" s="436">
        <f>ABS(VLOOKUP(A171,TradesEquity!$1:$1048576,15,FALSE))</f>
        <v>2567</v>
      </c>
      <c r="AP171" s="438">
        <f>ABS(VLOOKUP(A171,TradesEquity!$1:$1048576,16,FALSE))</f>
        <v>0</v>
      </c>
      <c r="AQ171" s="367">
        <v>0</v>
      </c>
      <c r="AR171" s="367">
        <v>0</v>
      </c>
      <c r="AS171" s="367">
        <v>0</v>
      </c>
      <c r="AT171" s="367">
        <v>0</v>
      </c>
      <c r="AU171" s="367">
        <v>0</v>
      </c>
      <c r="AV171" s="438">
        <f>ABS(VLOOKUP(A171,TradesEquity!$1:$1048576,18,FALSE))</f>
        <v>4281177.0060000001</v>
      </c>
      <c r="AW171" s="439">
        <v>0</v>
      </c>
      <c r="AX171" s="440">
        <v>4542</v>
      </c>
      <c r="AY171" s="441" t="s">
        <v>2029</v>
      </c>
      <c r="AZ171" s="442" t="str">
        <f>(VLOOKUP(A171,TradesEquity!$1:$1048576,29,FALSE))</f>
        <v>GSILGB2XXXX</v>
      </c>
      <c r="BA171" s="442" t="str">
        <f>(VLOOKUP(A171,TradesEquity!$1:$1048576,30,FALSE))</f>
        <v>JJSDJPJTXXX</v>
      </c>
      <c r="BB171" s="442">
        <f>(VLOOKUP(A171,TradesEquity!$1:$1048576,31,FALSE))</f>
        <v>6530490016</v>
      </c>
      <c r="BC171" s="442" t="str">
        <f>(VLOOKUP(A171,TradesEquity!$1:$1048576,32,FALSE))</f>
        <v>N</v>
      </c>
      <c r="BI171" s="442" t="str">
        <f>(VLOOKUP(A171,TradesEquity!$1:$1048576,38,FALSE))</f>
        <v xml:space="preserve">                  </v>
      </c>
      <c r="BJ171" s="442" t="str">
        <f>(VLOOKUP(A171,TradesEquity!$1:$1048576,39,FALSE))</f>
        <v xml:space="preserve">                          </v>
      </c>
      <c r="BK171" s="442" t="str">
        <f>(VLOOKUP(A171,TradesEquity!$1:$1048576,40,FALSE))</f>
        <v>GOLDJPJXXXX</v>
      </c>
    </row>
    <row r="172" spans="1:63">
      <c r="A172" s="502">
        <v>2019200419</v>
      </c>
      <c r="D172" s="432" t="s">
        <v>2027</v>
      </c>
      <c r="F172" s="433">
        <f>VLOOKUP(A172,TradesEquity!$1:$1048576,2,FALSE)</f>
        <v>44221</v>
      </c>
      <c r="H172" s="433">
        <f>VLOOKUP(A172,TradesEquity!$1:$1048576,21,FALSE)</f>
        <v>44223</v>
      </c>
      <c r="I172" s="434" t="str">
        <f>IF(VLOOKUP(A172,TradesEquity!$1:$1048576,3,FALSE)="BUY","B","S")</f>
        <v>B</v>
      </c>
      <c r="J172" s="434" t="str">
        <f>VLOOKUP(A172,TradesEquity!$1:$1048576,5,FALSE)</f>
        <v>JP3627400009</v>
      </c>
      <c r="K172" s="432" t="s">
        <v>19</v>
      </c>
      <c r="L172" s="435" t="s">
        <v>2028</v>
      </c>
      <c r="AE172" s="436" t="str">
        <f>VLOOKUP(A172,TradesEquity!$1:$1048576,10,FALSE)</f>
        <v>JPY</v>
      </c>
      <c r="AF172" s="436" t="str">
        <f t="shared" si="4"/>
        <v>JPY</v>
      </c>
      <c r="AG172" s="436" t="str">
        <f t="shared" si="4"/>
        <v>JPY</v>
      </c>
      <c r="AH172" s="436" t="str">
        <f t="shared" si="4"/>
        <v>JPY</v>
      </c>
      <c r="AI172" s="436">
        <f>ABS(VLOOKUP(A172,TradesEquity!$1:$1048576,13,FALSE))</f>
        <v>2200</v>
      </c>
      <c r="AJ172" s="437">
        <v>0</v>
      </c>
      <c r="AK172" s="437">
        <v>1</v>
      </c>
      <c r="AL172" s="436">
        <f>VLOOKUP(A172,TradesEquity!$1:$1048576,11,FALSE)</f>
        <v>2390.181818</v>
      </c>
      <c r="AM172" s="437">
        <v>1</v>
      </c>
      <c r="AN172" s="436">
        <f>ABS(VLOOKUP(A172,TradesEquity!$1:$1048576,14,FALSE))</f>
        <v>5258399.9995999997</v>
      </c>
      <c r="AO172" s="436">
        <f>ABS(VLOOKUP(A172,TradesEquity!$1:$1048576,15,FALSE))</f>
        <v>3155</v>
      </c>
      <c r="AP172" s="438">
        <f>ABS(VLOOKUP(A172,TradesEquity!$1:$1048576,16,FALSE))</f>
        <v>0</v>
      </c>
      <c r="AQ172" s="367">
        <v>0</v>
      </c>
      <c r="AR172" s="367">
        <v>0</v>
      </c>
      <c r="AS172" s="367">
        <v>0</v>
      </c>
      <c r="AT172" s="367">
        <v>0</v>
      </c>
      <c r="AU172" s="367">
        <v>0</v>
      </c>
      <c r="AV172" s="438">
        <f>ABS(VLOOKUP(A172,TradesEquity!$1:$1048576,18,FALSE))</f>
        <v>5261554.9995999997</v>
      </c>
      <c r="AW172" s="439">
        <v>0</v>
      </c>
      <c r="AX172" s="440">
        <v>4542</v>
      </c>
      <c r="AY172" s="441" t="s">
        <v>2029</v>
      </c>
      <c r="AZ172" s="442" t="str">
        <f>(VLOOKUP(A172,TradesEquity!$1:$1048576,29,FALSE))</f>
        <v>GSILGB2XXXX</v>
      </c>
      <c r="BA172" s="442" t="str">
        <f>(VLOOKUP(A172,TradesEquity!$1:$1048576,30,FALSE))</f>
        <v>JJSDJPJTXXX</v>
      </c>
      <c r="BB172" s="442">
        <f>(VLOOKUP(A172,TradesEquity!$1:$1048576,31,FALSE))</f>
        <v>6530490016</v>
      </c>
      <c r="BC172" s="442" t="str">
        <f>(VLOOKUP(A172,TradesEquity!$1:$1048576,32,FALSE))</f>
        <v>N</v>
      </c>
      <c r="BI172" s="442" t="str">
        <f>(VLOOKUP(A172,TradesEquity!$1:$1048576,38,FALSE))</f>
        <v xml:space="preserve">                  </v>
      </c>
      <c r="BJ172" s="442" t="str">
        <f>(VLOOKUP(A172,TradesEquity!$1:$1048576,39,FALSE))</f>
        <v xml:space="preserve">                          </v>
      </c>
      <c r="BK172" s="442" t="str">
        <f>(VLOOKUP(A172,TradesEquity!$1:$1048576,40,FALSE))</f>
        <v>GOLDJPJXXXX</v>
      </c>
    </row>
    <row r="173" spans="1:63">
      <c r="A173" s="502">
        <v>2019200420</v>
      </c>
      <c r="D173" s="432" t="s">
        <v>2027</v>
      </c>
      <c r="F173" s="433">
        <f>VLOOKUP(A173,TradesEquity!$1:$1048576,2,FALSE)</f>
        <v>44221</v>
      </c>
      <c r="H173" s="433">
        <f>VLOOKUP(A173,TradesEquity!$1:$1048576,21,FALSE)</f>
        <v>44224</v>
      </c>
      <c r="I173" s="434" t="str">
        <f>IF(VLOOKUP(A173,TradesEquity!$1:$1048576,3,FALSE)="BUY","B","S")</f>
        <v>B</v>
      </c>
      <c r="J173" s="434" t="str">
        <f>VLOOKUP(A173,TradesEquity!$1:$1048576,5,FALSE)</f>
        <v>AU000000SFR8</v>
      </c>
      <c r="K173" s="432" t="s">
        <v>19</v>
      </c>
      <c r="L173" s="435" t="s">
        <v>2028</v>
      </c>
      <c r="AE173" s="436" t="str">
        <f>VLOOKUP(A173,TradesEquity!$1:$1048576,10,FALSE)</f>
        <v>AUD</v>
      </c>
      <c r="AF173" s="436" t="str">
        <f t="shared" si="4"/>
        <v>AUD</v>
      </c>
      <c r="AG173" s="436" t="str">
        <f t="shared" si="4"/>
        <v>AUD</v>
      </c>
      <c r="AH173" s="436" t="str">
        <f t="shared" si="4"/>
        <v>AUD</v>
      </c>
      <c r="AI173" s="436">
        <f>ABS(VLOOKUP(A173,TradesEquity!$1:$1048576,13,FALSE))</f>
        <v>42000</v>
      </c>
      <c r="AJ173" s="437">
        <v>0</v>
      </c>
      <c r="AK173" s="437">
        <v>1</v>
      </c>
      <c r="AL173" s="436">
        <f>VLOOKUP(A173,TradesEquity!$1:$1048576,11,FALSE)</f>
        <v>5.0746000000000002</v>
      </c>
      <c r="AM173" s="437">
        <v>1</v>
      </c>
      <c r="AN173" s="436">
        <f>ABS(VLOOKUP(A173,TradesEquity!$1:$1048576,14,FALSE))</f>
        <v>213133.2</v>
      </c>
      <c r="AO173" s="436">
        <f>ABS(VLOOKUP(A173,TradesEquity!$1:$1048576,15,FALSE))</f>
        <v>127.88</v>
      </c>
      <c r="AP173" s="438">
        <f>ABS(VLOOKUP(A173,TradesEquity!$1:$1048576,16,FALSE))</f>
        <v>0</v>
      </c>
      <c r="AQ173" s="367">
        <v>0</v>
      </c>
      <c r="AR173" s="367">
        <v>0</v>
      </c>
      <c r="AS173" s="367">
        <v>0</v>
      </c>
      <c r="AT173" s="367">
        <v>0</v>
      </c>
      <c r="AU173" s="367">
        <v>0</v>
      </c>
      <c r="AV173" s="438">
        <f>ABS(VLOOKUP(A173,TradesEquity!$1:$1048576,18,FALSE))</f>
        <v>213261.08000000002</v>
      </c>
      <c r="AW173" s="439">
        <v>0</v>
      </c>
      <c r="AX173" s="440">
        <v>4542</v>
      </c>
      <c r="AY173" s="441" t="s">
        <v>2029</v>
      </c>
      <c r="AZ173" s="442" t="str">
        <f>(VLOOKUP(A173,TradesEquity!$1:$1048576,29,FALSE))</f>
        <v>GSILGB2XXXX</v>
      </c>
      <c r="BA173" s="442" t="str">
        <f>(VLOOKUP(A173,TradesEquity!$1:$1048576,30,FALSE))</f>
        <v>CAETAU21</v>
      </c>
      <c r="BB173" s="442" t="str">
        <f>(VLOOKUP(A173,TradesEquity!$1:$1048576,31,FALSE))</f>
        <v>011-109048-061</v>
      </c>
      <c r="BC173" s="442" t="str">
        <f>(VLOOKUP(A173,TradesEquity!$1:$1048576,32,FALSE))</f>
        <v>N</v>
      </c>
      <c r="BI173" s="442" t="str">
        <f>(VLOOKUP(A173,TradesEquity!$1:$1048576,38,FALSE))</f>
        <v xml:space="preserve">        </v>
      </c>
      <c r="BJ173" s="442" t="str">
        <f>(VLOOKUP(A173,TradesEquity!$1:$1048576,39,FALSE))</f>
        <v xml:space="preserve">        </v>
      </c>
      <c r="BK173" s="442" t="str">
        <f>(VLOOKUP(A173,TradesEquity!$1:$1048576,40,FALSE))</f>
        <v>HKBAAU2SSYD</v>
      </c>
    </row>
    <row r="174" spans="1:63">
      <c r="A174" s="502">
        <v>2019200421</v>
      </c>
      <c r="D174" s="432" t="s">
        <v>2027</v>
      </c>
      <c r="F174" s="433">
        <f>VLOOKUP(A174,TradesEquity!$1:$1048576,2,FALSE)</f>
        <v>44221</v>
      </c>
      <c r="H174" s="433">
        <f>VLOOKUP(A174,TradesEquity!$1:$1048576,21,FALSE)</f>
        <v>44223</v>
      </c>
      <c r="I174" s="434" t="str">
        <f>IF(VLOOKUP(A174,TradesEquity!$1:$1048576,3,FALSE)="BUY","B","S")</f>
        <v>B</v>
      </c>
      <c r="J174" s="434" t="str">
        <f>VLOOKUP(A174,TradesEquity!$1:$1048576,5,FALSE)</f>
        <v>CNE100001TJ4</v>
      </c>
      <c r="K174" s="432" t="s">
        <v>19</v>
      </c>
      <c r="L174" s="435" t="s">
        <v>2028</v>
      </c>
      <c r="AE174" s="436" t="str">
        <f>VLOOKUP(A174,TradesEquity!$1:$1048576,10,FALSE)</f>
        <v>HKD</v>
      </c>
      <c r="AF174" s="436" t="str">
        <f t="shared" si="4"/>
        <v>HKD</v>
      </c>
      <c r="AG174" s="436" t="str">
        <f t="shared" si="4"/>
        <v>HKD</v>
      </c>
      <c r="AH174" s="436" t="str">
        <f t="shared" si="4"/>
        <v>HKD</v>
      </c>
      <c r="AI174" s="436">
        <f>ABS(VLOOKUP(A174,TradesEquity!$1:$1048576,13,FALSE))</f>
        <v>430000</v>
      </c>
      <c r="AJ174" s="437">
        <v>0</v>
      </c>
      <c r="AK174" s="437">
        <v>1</v>
      </c>
      <c r="AL174" s="436">
        <f>VLOOKUP(A174,TradesEquity!$1:$1048576,11,FALSE)</f>
        <v>2.9624999999999999</v>
      </c>
      <c r="AM174" s="437">
        <v>1</v>
      </c>
      <c r="AN174" s="436">
        <f>ABS(VLOOKUP(A174,TradesEquity!$1:$1048576,14,FALSE))</f>
        <v>1273875</v>
      </c>
      <c r="AO174" s="436">
        <f>ABS(VLOOKUP(A174,TradesEquity!$1:$1048576,15,FALSE))</f>
        <v>764.33</v>
      </c>
      <c r="AP174" s="438">
        <f>ABS(VLOOKUP(A174,TradesEquity!$1:$1048576,16,FALSE))</f>
        <v>1372.05</v>
      </c>
      <c r="AQ174" s="367">
        <v>0</v>
      </c>
      <c r="AR174" s="367">
        <v>0</v>
      </c>
      <c r="AS174" s="367">
        <v>0</v>
      </c>
      <c r="AT174" s="367">
        <v>0</v>
      </c>
      <c r="AU174" s="367">
        <v>0</v>
      </c>
      <c r="AV174" s="438">
        <f>ABS(VLOOKUP(A174,TradesEquity!$1:$1048576,18,FALSE))</f>
        <v>1276011.3800000001</v>
      </c>
      <c r="AW174" s="439">
        <v>0</v>
      </c>
      <c r="AX174" s="440">
        <v>4542</v>
      </c>
      <c r="AY174" s="441" t="s">
        <v>2029</v>
      </c>
      <c r="AZ174" s="442" t="e">
        <f>(VLOOKUP(A174,TradesEquity!$1:$1048576,29,FALSE))</f>
        <v>#N/A</v>
      </c>
      <c r="BA174" s="442" t="e">
        <f>(VLOOKUP(A174,TradesEquity!$1:$1048576,30,FALSE))</f>
        <v>#N/A</v>
      </c>
      <c r="BB174" s="442" t="e">
        <f>(VLOOKUP(A174,TradesEquity!$1:$1048576,31,FALSE))</f>
        <v>#N/A</v>
      </c>
      <c r="BC174" s="442" t="e">
        <f>(VLOOKUP(A174,TradesEquity!$1:$1048576,32,FALSE))</f>
        <v>#N/A</v>
      </c>
      <c r="BI174" s="442" t="e">
        <f>(VLOOKUP(A174,TradesEquity!$1:$1048576,38,FALSE))</f>
        <v>#N/A</v>
      </c>
      <c r="BJ174" s="442" t="e">
        <f>(VLOOKUP(A174,TradesEquity!$1:$1048576,39,FALSE))</f>
        <v>#N/A</v>
      </c>
      <c r="BK174" s="442" t="e">
        <f>(VLOOKUP(A174,TradesEquity!$1:$1048576,40,FALSE))</f>
        <v>#N/A</v>
      </c>
    </row>
    <row r="175" spans="1:63">
      <c r="A175" s="502">
        <v>2019200422</v>
      </c>
      <c r="D175" s="432" t="s">
        <v>2027</v>
      </c>
      <c r="F175" s="433">
        <f>VLOOKUP(A175,TradesEquity!$1:$1048576,2,FALSE)</f>
        <v>44222</v>
      </c>
      <c r="H175" s="433">
        <f>VLOOKUP(A175,TradesEquity!$1:$1048576,21,FALSE)</f>
        <v>44224</v>
      </c>
      <c r="I175" s="434" t="str">
        <f>IF(VLOOKUP(A175,TradesEquity!$1:$1048576,3,FALSE)="BUY","B","S")</f>
        <v>S</v>
      </c>
      <c r="J175" s="434" t="str">
        <f>VLOOKUP(A175,TradesEquity!$1:$1048576,5,FALSE)</f>
        <v>KR7006401004</v>
      </c>
      <c r="K175" s="432" t="s">
        <v>19</v>
      </c>
      <c r="L175" s="435" t="s">
        <v>2028</v>
      </c>
      <c r="AE175" s="436" t="str">
        <f>VLOOKUP(A175,TradesEquity!$1:$1048576,10,FALSE)</f>
        <v>KRW</v>
      </c>
      <c r="AF175" s="436" t="str">
        <f t="shared" si="4"/>
        <v>KRW</v>
      </c>
      <c r="AG175" s="436" t="str">
        <f t="shared" si="4"/>
        <v>KRW</v>
      </c>
      <c r="AH175" s="436" t="str">
        <f t="shared" si="4"/>
        <v>KRW</v>
      </c>
      <c r="AI175" s="436">
        <f>ABS(VLOOKUP(A175,TradesEquity!$1:$1048576,13,FALSE))</f>
        <v>300</v>
      </c>
      <c r="AJ175" s="437">
        <v>0</v>
      </c>
      <c r="AK175" s="437">
        <v>1</v>
      </c>
      <c r="AL175" s="436">
        <f>VLOOKUP(A175,TradesEquity!$1:$1048576,11,FALSE)</f>
        <v>551103.33330000006</v>
      </c>
      <c r="AM175" s="437">
        <v>1</v>
      </c>
      <c r="AN175" s="436">
        <f>ABS(VLOOKUP(A175,TradesEquity!$1:$1048576,14,FALSE))</f>
        <v>165330999.99000001</v>
      </c>
      <c r="AO175" s="436">
        <f>ABS(VLOOKUP(A175,TradesEquity!$1:$1048576,15,FALSE))</f>
        <v>247997</v>
      </c>
      <c r="AP175" s="438">
        <f>ABS(VLOOKUP(A175,TradesEquity!$1:$1048576,16,FALSE))</f>
        <v>380254</v>
      </c>
      <c r="AQ175" s="367">
        <v>0</v>
      </c>
      <c r="AR175" s="367">
        <v>0</v>
      </c>
      <c r="AS175" s="367">
        <v>0</v>
      </c>
      <c r="AT175" s="367">
        <v>0</v>
      </c>
      <c r="AU175" s="367">
        <v>0</v>
      </c>
      <c r="AV175" s="438">
        <f>ABS(VLOOKUP(A175,TradesEquity!$1:$1048576,18,FALSE))</f>
        <v>164702748.99000001</v>
      </c>
      <c r="AW175" s="439">
        <v>0</v>
      </c>
      <c r="AX175" s="440">
        <v>4542</v>
      </c>
      <c r="AY175" s="441" t="s">
        <v>2029</v>
      </c>
      <c r="AZ175" s="442" t="e">
        <f>(VLOOKUP(A175,TradesEquity!$1:$1048576,29,FALSE))</f>
        <v>#N/A</v>
      </c>
      <c r="BA175" s="442" t="e">
        <f>(VLOOKUP(A175,TradesEquity!$1:$1048576,30,FALSE))</f>
        <v>#N/A</v>
      </c>
      <c r="BB175" s="442" t="e">
        <f>(VLOOKUP(A175,TradesEquity!$1:$1048576,31,FALSE))</f>
        <v>#N/A</v>
      </c>
      <c r="BC175" s="442" t="e">
        <f>(VLOOKUP(A175,TradesEquity!$1:$1048576,32,FALSE))</f>
        <v>#N/A</v>
      </c>
      <c r="BI175" s="442" t="e">
        <f>(VLOOKUP(A175,TradesEquity!$1:$1048576,38,FALSE))</f>
        <v>#N/A</v>
      </c>
      <c r="BJ175" s="442" t="e">
        <f>(VLOOKUP(A175,TradesEquity!$1:$1048576,39,FALSE))</f>
        <v>#N/A</v>
      </c>
      <c r="BK175" s="442" t="e">
        <f>(VLOOKUP(A175,TradesEquity!$1:$1048576,40,FALSE))</f>
        <v>#N/A</v>
      </c>
    </row>
    <row r="176" spans="1:63">
      <c r="A176" s="502">
        <v>2019200423</v>
      </c>
      <c r="D176" s="432" t="s">
        <v>2027</v>
      </c>
      <c r="F176" s="433">
        <f>VLOOKUP(A176,TradesEquity!$1:$1048576,2,FALSE)</f>
        <v>44223</v>
      </c>
      <c r="H176" s="433">
        <f>VLOOKUP(A176,TradesEquity!$1:$1048576,21,FALSE)</f>
        <v>44225</v>
      </c>
      <c r="I176" s="434" t="str">
        <f>IF(VLOOKUP(A176,TradesEquity!$1:$1048576,3,FALSE)="BUY","B","S")</f>
        <v>S</v>
      </c>
      <c r="J176" s="434" t="str">
        <f>VLOOKUP(A176,TradesEquity!$1:$1048576,5,FALSE)</f>
        <v>KR7006401004</v>
      </c>
      <c r="K176" s="432" t="s">
        <v>19</v>
      </c>
      <c r="L176" s="435" t="s">
        <v>2028</v>
      </c>
      <c r="AE176" s="436" t="str">
        <f>VLOOKUP(A176,TradesEquity!$1:$1048576,10,FALSE)</f>
        <v>KRW</v>
      </c>
      <c r="AF176" s="436" t="str">
        <f t="shared" ref="AF176:AH239" si="6">AE176</f>
        <v>KRW</v>
      </c>
      <c r="AG176" s="436" t="str">
        <f t="shared" si="6"/>
        <v>KRW</v>
      </c>
      <c r="AH176" s="436" t="str">
        <f t="shared" si="6"/>
        <v>KRW</v>
      </c>
      <c r="AI176" s="436">
        <f>ABS(VLOOKUP(A176,TradesEquity!$1:$1048576,13,FALSE))</f>
        <v>300</v>
      </c>
      <c r="AJ176" s="437">
        <v>0</v>
      </c>
      <c r="AK176" s="437">
        <v>1</v>
      </c>
      <c r="AL176" s="436">
        <f>VLOOKUP(A176,TradesEquity!$1:$1048576,11,FALSE)</f>
        <v>605356.66666700004</v>
      </c>
      <c r="AM176" s="437">
        <v>1</v>
      </c>
      <c r="AN176" s="436">
        <f>ABS(VLOOKUP(A176,TradesEquity!$1:$1048576,14,FALSE))</f>
        <v>181607000.00010002</v>
      </c>
      <c r="AO176" s="436">
        <f>ABS(VLOOKUP(A176,TradesEquity!$1:$1048576,15,FALSE))</f>
        <v>272411</v>
      </c>
      <c r="AP176" s="438">
        <f>ABS(VLOOKUP(A176,TradesEquity!$1:$1048576,16,FALSE))</f>
        <v>417664</v>
      </c>
      <c r="AQ176" s="367">
        <v>0</v>
      </c>
      <c r="AR176" s="367">
        <v>0</v>
      </c>
      <c r="AS176" s="367">
        <v>0</v>
      </c>
      <c r="AT176" s="367">
        <v>0</v>
      </c>
      <c r="AU176" s="367">
        <v>0</v>
      </c>
      <c r="AV176" s="438">
        <f>ABS(VLOOKUP(A176,TradesEquity!$1:$1048576,18,FALSE))</f>
        <v>180916925.00010002</v>
      </c>
      <c r="AW176" s="439">
        <v>0</v>
      </c>
      <c r="AX176" s="440">
        <v>4542</v>
      </c>
      <c r="AY176" s="441" t="s">
        <v>2029</v>
      </c>
      <c r="AZ176" s="442" t="e">
        <f>(VLOOKUP(A176,TradesEquity!$1:$1048576,29,FALSE))</f>
        <v>#N/A</v>
      </c>
      <c r="BA176" s="442" t="e">
        <f>(VLOOKUP(A176,TradesEquity!$1:$1048576,30,FALSE))</f>
        <v>#N/A</v>
      </c>
      <c r="BB176" s="442" t="e">
        <f>(VLOOKUP(A176,TradesEquity!$1:$1048576,31,FALSE))</f>
        <v>#N/A</v>
      </c>
      <c r="BC176" s="442" t="e">
        <f>(VLOOKUP(A176,TradesEquity!$1:$1048576,32,FALSE))</f>
        <v>#N/A</v>
      </c>
      <c r="BI176" s="442" t="e">
        <f>(VLOOKUP(A176,TradesEquity!$1:$1048576,38,FALSE))</f>
        <v>#N/A</v>
      </c>
      <c r="BJ176" s="442" t="e">
        <f>(VLOOKUP(A176,TradesEquity!$1:$1048576,39,FALSE))</f>
        <v>#N/A</v>
      </c>
      <c r="BK176" s="442" t="e">
        <f>(VLOOKUP(A176,TradesEquity!$1:$1048576,40,FALSE))</f>
        <v>#N/A</v>
      </c>
    </row>
    <row r="177" spans="1:63">
      <c r="A177" s="502">
        <v>2019200424</v>
      </c>
      <c r="D177" s="432" t="s">
        <v>2027</v>
      </c>
      <c r="F177" s="433">
        <f>VLOOKUP(A177,TradesEquity!$1:$1048576,2,FALSE)</f>
        <v>44225</v>
      </c>
      <c r="H177" s="433">
        <f>VLOOKUP(A177,TradesEquity!$1:$1048576,21,FALSE)</f>
        <v>44229</v>
      </c>
      <c r="I177" s="434" t="str">
        <f>IF(VLOOKUP(A177,TradesEquity!$1:$1048576,3,FALSE)="BUY","B","S")</f>
        <v>B</v>
      </c>
      <c r="J177" s="434" t="str">
        <f>VLOOKUP(A177,TradesEquity!$1:$1048576,5,FALSE)</f>
        <v>AU000000WSA9</v>
      </c>
      <c r="K177" s="432" t="s">
        <v>19</v>
      </c>
      <c r="L177" s="435" t="s">
        <v>2028</v>
      </c>
      <c r="AE177" s="436" t="str">
        <f>VLOOKUP(A177,TradesEquity!$1:$1048576,10,FALSE)</f>
        <v>AUD</v>
      </c>
      <c r="AF177" s="436" t="str">
        <f t="shared" si="6"/>
        <v>AUD</v>
      </c>
      <c r="AG177" s="436" t="str">
        <f t="shared" si="6"/>
        <v>AUD</v>
      </c>
      <c r="AH177" s="436" t="str">
        <f t="shared" si="6"/>
        <v>AUD</v>
      </c>
      <c r="AI177" s="436">
        <f>ABS(VLOOKUP(A177,TradesEquity!$1:$1048576,13,FALSE))</f>
        <v>61726</v>
      </c>
      <c r="AJ177" s="437">
        <v>0</v>
      </c>
      <c r="AK177" s="437">
        <v>1</v>
      </c>
      <c r="AL177" s="436">
        <f>VLOOKUP(A177,TradesEquity!$1:$1048576,11,FALSE)</f>
        <v>2.3704670000000001</v>
      </c>
      <c r="AM177" s="437">
        <v>1</v>
      </c>
      <c r="AN177" s="436">
        <f>ABS(VLOOKUP(A177,TradesEquity!$1:$1048576,14,FALSE))</f>
        <v>146319.446042</v>
      </c>
      <c r="AO177" s="436">
        <f>ABS(VLOOKUP(A177,TradesEquity!$1:$1048576,15,FALSE))</f>
        <v>87.79</v>
      </c>
      <c r="AP177" s="438">
        <f>ABS(VLOOKUP(A177,TradesEquity!$1:$1048576,16,FALSE))</f>
        <v>0</v>
      </c>
      <c r="AQ177" s="367">
        <v>0</v>
      </c>
      <c r="AR177" s="367">
        <v>0</v>
      </c>
      <c r="AS177" s="367">
        <v>0</v>
      </c>
      <c r="AT177" s="367">
        <v>0</v>
      </c>
      <c r="AU177" s="367">
        <v>0</v>
      </c>
      <c r="AV177" s="438">
        <f>ABS(VLOOKUP(A177,TradesEquity!$1:$1048576,18,FALSE))</f>
        <v>146407.236042</v>
      </c>
      <c r="AW177" s="439">
        <v>0</v>
      </c>
      <c r="AX177" s="440">
        <v>4542</v>
      </c>
      <c r="AY177" s="441" t="s">
        <v>2029</v>
      </c>
      <c r="AZ177" s="442" t="str">
        <f>(VLOOKUP(A177,TradesEquity!$1:$1048576,29,FALSE))</f>
        <v>GSILGB2XXXX</v>
      </c>
      <c r="BA177" s="442" t="str">
        <f>(VLOOKUP(A177,TradesEquity!$1:$1048576,30,FALSE))</f>
        <v>CAETAU21</v>
      </c>
      <c r="BB177" s="442" t="str">
        <f>(VLOOKUP(A177,TradesEquity!$1:$1048576,31,FALSE))</f>
        <v>011-109048-061</v>
      </c>
      <c r="BC177" s="442" t="str">
        <f>(VLOOKUP(A177,TradesEquity!$1:$1048576,32,FALSE))</f>
        <v>N</v>
      </c>
      <c r="BI177" s="442" t="str">
        <f>(VLOOKUP(A177,TradesEquity!$1:$1048576,38,FALSE))</f>
        <v xml:space="preserve">        </v>
      </c>
      <c r="BJ177" s="442" t="str">
        <f>(VLOOKUP(A177,TradesEquity!$1:$1048576,39,FALSE))</f>
        <v xml:space="preserve">        </v>
      </c>
      <c r="BK177" s="442" t="str">
        <f>(VLOOKUP(A177,TradesEquity!$1:$1048576,40,FALSE))</f>
        <v>HKBAAU2SSYD</v>
      </c>
    </row>
    <row r="178" spans="1:63">
      <c r="A178" s="502">
        <v>2019200425</v>
      </c>
      <c r="D178" s="432" t="s">
        <v>2027</v>
      </c>
      <c r="F178" s="433">
        <f>VLOOKUP(A178,TradesEquity!$1:$1048576,2,FALSE)</f>
        <v>44228</v>
      </c>
      <c r="H178" s="433">
        <f>VLOOKUP(A178,TradesEquity!$1:$1048576,21,FALSE)</f>
        <v>44230</v>
      </c>
      <c r="I178" s="434" t="str">
        <f>IF(VLOOKUP(A178,TradesEquity!$1:$1048576,3,FALSE)="BUY","B","S")</f>
        <v>S</v>
      </c>
      <c r="J178" s="434" t="str">
        <f>VLOOKUP(A178,TradesEquity!$1:$1048576,5,FALSE)</f>
        <v>KR7096771001</v>
      </c>
      <c r="K178" s="432" t="s">
        <v>19</v>
      </c>
      <c r="L178" s="435" t="s">
        <v>2028</v>
      </c>
      <c r="AE178" s="436" t="str">
        <f>VLOOKUP(A178,TradesEquity!$1:$1048576,10,FALSE)</f>
        <v>KRW</v>
      </c>
      <c r="AF178" s="436" t="str">
        <f t="shared" si="6"/>
        <v>KRW</v>
      </c>
      <c r="AG178" s="436" t="str">
        <f t="shared" si="6"/>
        <v>KRW</v>
      </c>
      <c r="AH178" s="436" t="str">
        <f t="shared" si="6"/>
        <v>KRW</v>
      </c>
      <c r="AI178" s="436">
        <f>ABS(VLOOKUP(A178,TradesEquity!$1:$1048576,13,FALSE))</f>
        <v>1100</v>
      </c>
      <c r="AJ178" s="437">
        <v>0</v>
      </c>
      <c r="AK178" s="437">
        <v>1</v>
      </c>
      <c r="AL178" s="436">
        <f>VLOOKUP(A178,TradesEquity!$1:$1048576,11,FALSE)</f>
        <v>199226.81820000001</v>
      </c>
      <c r="AM178" s="437">
        <v>1</v>
      </c>
      <c r="AN178" s="436">
        <f>ABS(VLOOKUP(A178,TradesEquity!$1:$1048576,14,FALSE))</f>
        <v>219149500.02000001</v>
      </c>
      <c r="AO178" s="436">
        <f>ABS(VLOOKUP(A178,TradesEquity!$1:$1048576,15,FALSE))</f>
        <v>328724</v>
      </c>
      <c r="AP178" s="438">
        <f>ABS(VLOOKUP(A178,TradesEquity!$1:$1048576,16,FALSE))</f>
        <v>504012</v>
      </c>
      <c r="AQ178" s="367">
        <v>0</v>
      </c>
      <c r="AR178" s="367">
        <v>0</v>
      </c>
      <c r="AS178" s="367">
        <v>0</v>
      </c>
      <c r="AT178" s="367">
        <v>0</v>
      </c>
      <c r="AU178" s="367">
        <v>0</v>
      </c>
      <c r="AV178" s="438">
        <f>ABS(VLOOKUP(A178,TradesEquity!$1:$1048576,18,FALSE))</f>
        <v>218316764.02000001</v>
      </c>
      <c r="AW178" s="439">
        <v>0</v>
      </c>
      <c r="AX178" s="440">
        <v>4542</v>
      </c>
      <c r="AY178" s="441" t="s">
        <v>2029</v>
      </c>
      <c r="AZ178" s="442" t="e">
        <f>(VLOOKUP(A178,TradesEquity!$1:$1048576,29,FALSE))</f>
        <v>#N/A</v>
      </c>
      <c r="BA178" s="442" t="e">
        <f>(VLOOKUP(A178,TradesEquity!$1:$1048576,30,FALSE))</f>
        <v>#N/A</v>
      </c>
      <c r="BB178" s="442" t="e">
        <f>(VLOOKUP(A178,TradesEquity!$1:$1048576,31,FALSE))</f>
        <v>#N/A</v>
      </c>
      <c r="BC178" s="442" t="e">
        <f>(VLOOKUP(A178,TradesEquity!$1:$1048576,32,FALSE))</f>
        <v>#N/A</v>
      </c>
      <c r="BI178" s="442" t="e">
        <f>(VLOOKUP(A178,TradesEquity!$1:$1048576,38,FALSE))</f>
        <v>#N/A</v>
      </c>
      <c r="BJ178" s="442" t="e">
        <f>(VLOOKUP(A178,TradesEquity!$1:$1048576,39,FALSE))</f>
        <v>#N/A</v>
      </c>
      <c r="BK178" s="442" t="e">
        <f>(VLOOKUP(A178,TradesEquity!$1:$1048576,40,FALSE))</f>
        <v>#N/A</v>
      </c>
    </row>
    <row r="179" spans="1:63">
      <c r="A179" s="502">
        <v>2019200426</v>
      </c>
      <c r="D179" s="432" t="s">
        <v>2027</v>
      </c>
      <c r="F179" s="433">
        <f>VLOOKUP(A179,TradesEquity!$1:$1048576,2,FALSE)</f>
        <v>44230</v>
      </c>
      <c r="H179" s="433">
        <f>VLOOKUP(A179,TradesEquity!$1:$1048576,21,FALSE)</f>
        <v>44232</v>
      </c>
      <c r="I179" s="434" t="str">
        <f>IF(VLOOKUP(A179,TradesEquity!$1:$1048576,3,FALSE)="BUY","B","S")</f>
        <v>S</v>
      </c>
      <c r="J179" s="434" t="str">
        <f>VLOOKUP(A179,TradesEquity!$1:$1048576,5,FALSE)</f>
        <v>KR7096771001</v>
      </c>
      <c r="K179" s="432" t="s">
        <v>19</v>
      </c>
      <c r="L179" s="435" t="s">
        <v>2028</v>
      </c>
      <c r="AE179" s="436" t="str">
        <f>VLOOKUP(A179,TradesEquity!$1:$1048576,10,FALSE)</f>
        <v>KRW</v>
      </c>
      <c r="AF179" s="436" t="str">
        <f t="shared" si="6"/>
        <v>KRW</v>
      </c>
      <c r="AG179" s="436" t="str">
        <f t="shared" si="6"/>
        <v>KRW</v>
      </c>
      <c r="AH179" s="436" t="str">
        <f t="shared" si="6"/>
        <v>KRW</v>
      </c>
      <c r="AI179" s="436">
        <f>ABS(VLOOKUP(A179,TradesEquity!$1:$1048576,13,FALSE))</f>
        <v>1100</v>
      </c>
      <c r="AJ179" s="437">
        <v>0</v>
      </c>
      <c r="AK179" s="437">
        <v>1</v>
      </c>
      <c r="AL179" s="436">
        <f>VLOOKUP(A179,TradesEquity!$1:$1048576,11,FALSE)</f>
        <v>230827.7273</v>
      </c>
      <c r="AM179" s="437">
        <v>1</v>
      </c>
      <c r="AN179" s="436">
        <f>ABS(VLOOKUP(A179,TradesEquity!$1:$1048576,14,FALSE))</f>
        <v>253910500.03</v>
      </c>
      <c r="AO179" s="436">
        <f>ABS(VLOOKUP(A179,TradesEquity!$1:$1048576,15,FALSE))</f>
        <v>380866</v>
      </c>
      <c r="AP179" s="438">
        <f>ABS(VLOOKUP(A179,TradesEquity!$1:$1048576,16,FALSE))</f>
        <v>583910</v>
      </c>
      <c r="AQ179" s="367">
        <v>0</v>
      </c>
      <c r="AR179" s="367">
        <v>0</v>
      </c>
      <c r="AS179" s="367">
        <v>0</v>
      </c>
      <c r="AT179" s="367">
        <v>0</v>
      </c>
      <c r="AU179" s="367">
        <v>0</v>
      </c>
      <c r="AV179" s="438">
        <f>ABS(VLOOKUP(A179,TradesEquity!$1:$1048576,18,FALSE))</f>
        <v>252945724.03</v>
      </c>
      <c r="AW179" s="439">
        <v>0</v>
      </c>
      <c r="AX179" s="440">
        <v>4542</v>
      </c>
      <c r="AY179" s="441" t="s">
        <v>2029</v>
      </c>
      <c r="AZ179" s="442" t="e">
        <f>(VLOOKUP(A179,TradesEquity!$1:$1048576,29,FALSE))</f>
        <v>#N/A</v>
      </c>
      <c r="BA179" s="442" t="e">
        <f>(VLOOKUP(A179,TradesEquity!$1:$1048576,30,FALSE))</f>
        <v>#N/A</v>
      </c>
      <c r="BB179" s="442" t="e">
        <f>(VLOOKUP(A179,TradesEquity!$1:$1048576,31,FALSE))</f>
        <v>#N/A</v>
      </c>
      <c r="BC179" s="442" t="e">
        <f>(VLOOKUP(A179,TradesEquity!$1:$1048576,32,FALSE))</f>
        <v>#N/A</v>
      </c>
      <c r="BI179" s="442" t="e">
        <f>(VLOOKUP(A179,TradesEquity!$1:$1048576,38,FALSE))</f>
        <v>#N/A</v>
      </c>
      <c r="BJ179" s="442" t="e">
        <f>(VLOOKUP(A179,TradesEquity!$1:$1048576,39,FALSE))</f>
        <v>#N/A</v>
      </c>
      <c r="BK179" s="442" t="e">
        <f>(VLOOKUP(A179,TradesEquity!$1:$1048576,40,FALSE))</f>
        <v>#N/A</v>
      </c>
    </row>
    <row r="180" spans="1:63">
      <c r="A180" s="502">
        <v>2019200427</v>
      </c>
      <c r="D180" s="432" t="s">
        <v>2027</v>
      </c>
      <c r="F180" s="433">
        <f>VLOOKUP(A180,TradesEquity!$1:$1048576,2,FALSE)</f>
        <v>44231</v>
      </c>
      <c r="H180" s="433">
        <f>VLOOKUP(A180,TradesEquity!$1:$1048576,21,FALSE)</f>
        <v>44235</v>
      </c>
      <c r="I180" s="434" t="str">
        <f>IF(VLOOKUP(A180,TradesEquity!$1:$1048576,3,FALSE)="BUY","B","S")</f>
        <v>B</v>
      </c>
      <c r="J180" s="434" t="str">
        <f>VLOOKUP(A180,TradesEquity!$1:$1048576,5,FALSE)</f>
        <v>JP3627400009</v>
      </c>
      <c r="K180" s="432" t="s">
        <v>19</v>
      </c>
      <c r="L180" s="435" t="s">
        <v>2028</v>
      </c>
      <c r="AE180" s="436" t="str">
        <f>VLOOKUP(A180,TradesEquity!$1:$1048576,10,FALSE)</f>
        <v>JPY</v>
      </c>
      <c r="AF180" s="436" t="str">
        <f t="shared" si="6"/>
        <v>JPY</v>
      </c>
      <c r="AG180" s="436" t="str">
        <f t="shared" si="6"/>
        <v>JPY</v>
      </c>
      <c r="AH180" s="436" t="str">
        <f t="shared" si="6"/>
        <v>JPY</v>
      </c>
      <c r="AI180" s="436">
        <f>ABS(VLOOKUP(A180,TradesEquity!$1:$1048576,13,FALSE))</f>
        <v>3400</v>
      </c>
      <c r="AJ180" s="437">
        <v>0</v>
      </c>
      <c r="AK180" s="437">
        <v>1</v>
      </c>
      <c r="AL180" s="436">
        <f>VLOOKUP(A180,TradesEquity!$1:$1048576,11,FALSE)</f>
        <v>2215.882353</v>
      </c>
      <c r="AM180" s="437">
        <v>1</v>
      </c>
      <c r="AN180" s="436">
        <f>ABS(VLOOKUP(A180,TradesEquity!$1:$1048576,14,FALSE))</f>
        <v>7534000.0001999997</v>
      </c>
      <c r="AO180" s="436">
        <f>ABS(VLOOKUP(A180,TradesEquity!$1:$1048576,15,FALSE))</f>
        <v>4520</v>
      </c>
      <c r="AP180" s="438">
        <f>ABS(VLOOKUP(A180,TradesEquity!$1:$1048576,16,FALSE))</f>
        <v>0</v>
      </c>
      <c r="AQ180" s="367">
        <v>0</v>
      </c>
      <c r="AR180" s="367">
        <v>0</v>
      </c>
      <c r="AS180" s="367">
        <v>0</v>
      </c>
      <c r="AT180" s="367">
        <v>0</v>
      </c>
      <c r="AU180" s="367">
        <v>0</v>
      </c>
      <c r="AV180" s="438">
        <f>ABS(VLOOKUP(A180,TradesEquity!$1:$1048576,18,FALSE))</f>
        <v>7538520.0001999997</v>
      </c>
      <c r="AW180" s="439">
        <v>0</v>
      </c>
      <c r="AX180" s="440">
        <v>4542</v>
      </c>
      <c r="AY180" s="441" t="s">
        <v>2029</v>
      </c>
      <c r="AZ180" s="442" t="str">
        <f>(VLOOKUP(A180,TradesEquity!$1:$1048576,29,FALSE))</f>
        <v>GSILGB2XXXX</v>
      </c>
      <c r="BA180" s="442" t="str">
        <f>(VLOOKUP(A180,TradesEquity!$1:$1048576,30,FALSE))</f>
        <v>JJSDJPJTXXX</v>
      </c>
      <c r="BB180" s="442">
        <f>(VLOOKUP(A180,TradesEquity!$1:$1048576,31,FALSE))</f>
        <v>6530490016</v>
      </c>
      <c r="BC180" s="442" t="str">
        <f>(VLOOKUP(A180,TradesEquity!$1:$1048576,32,FALSE))</f>
        <v>N</v>
      </c>
      <c r="BI180" s="442" t="str">
        <f>(VLOOKUP(A180,TradesEquity!$1:$1048576,38,FALSE))</f>
        <v xml:space="preserve">                  </v>
      </c>
      <c r="BJ180" s="442" t="str">
        <f>(VLOOKUP(A180,TradesEquity!$1:$1048576,39,FALSE))</f>
        <v xml:space="preserve">                          </v>
      </c>
      <c r="BK180" s="442" t="str">
        <f>(VLOOKUP(A180,TradesEquity!$1:$1048576,40,FALSE))</f>
        <v>GOLDJPJXXXX</v>
      </c>
    </row>
    <row r="181" spans="1:63">
      <c r="A181" s="502">
        <v>2019200428</v>
      </c>
      <c r="D181" s="432" t="s">
        <v>2027</v>
      </c>
      <c r="F181" s="433">
        <f>VLOOKUP(A181,TradesEquity!$1:$1048576,2,FALSE)</f>
        <v>44232</v>
      </c>
      <c r="H181" s="433">
        <f>VLOOKUP(A181,TradesEquity!$1:$1048576,21,FALSE)</f>
        <v>44236</v>
      </c>
      <c r="I181" s="434" t="str">
        <f>IF(VLOOKUP(A181,TradesEquity!$1:$1048576,3,FALSE)="BUY","B","S")</f>
        <v>B</v>
      </c>
      <c r="J181" s="434" t="str">
        <f>VLOOKUP(A181,TradesEquity!$1:$1048576,5,FALSE)</f>
        <v>JP3627400009</v>
      </c>
      <c r="K181" s="432" t="s">
        <v>19</v>
      </c>
      <c r="L181" s="435" t="s">
        <v>2028</v>
      </c>
      <c r="AE181" s="436" t="str">
        <f>VLOOKUP(A181,TradesEquity!$1:$1048576,10,FALSE)</f>
        <v>JPY</v>
      </c>
      <c r="AF181" s="436" t="str">
        <f t="shared" si="6"/>
        <v>JPY</v>
      </c>
      <c r="AG181" s="436" t="str">
        <f t="shared" si="6"/>
        <v>JPY</v>
      </c>
      <c r="AH181" s="436" t="str">
        <f t="shared" si="6"/>
        <v>JPY</v>
      </c>
      <c r="AI181" s="436">
        <f>ABS(VLOOKUP(A181,TradesEquity!$1:$1048576,13,FALSE))</f>
        <v>3000</v>
      </c>
      <c r="AJ181" s="437">
        <v>0</v>
      </c>
      <c r="AK181" s="437">
        <v>1</v>
      </c>
      <c r="AL181" s="436">
        <f>VLOOKUP(A181,TradesEquity!$1:$1048576,11,FALSE)</f>
        <v>2236.5700000000002</v>
      </c>
      <c r="AM181" s="437">
        <v>1</v>
      </c>
      <c r="AN181" s="436">
        <f>ABS(VLOOKUP(A181,TradesEquity!$1:$1048576,14,FALSE))</f>
        <v>6709710.0000000009</v>
      </c>
      <c r="AO181" s="436">
        <f>ABS(VLOOKUP(A181,TradesEquity!$1:$1048576,15,FALSE))</f>
        <v>4026</v>
      </c>
      <c r="AP181" s="438">
        <f>ABS(VLOOKUP(A181,TradesEquity!$1:$1048576,16,FALSE))</f>
        <v>0</v>
      </c>
      <c r="AQ181" s="367">
        <v>0</v>
      </c>
      <c r="AR181" s="367">
        <v>0</v>
      </c>
      <c r="AS181" s="367">
        <v>0</v>
      </c>
      <c r="AT181" s="367">
        <v>0</v>
      </c>
      <c r="AU181" s="367">
        <v>0</v>
      </c>
      <c r="AV181" s="438">
        <f>ABS(VLOOKUP(A181,TradesEquity!$1:$1048576,18,FALSE))</f>
        <v>6713736.0000000009</v>
      </c>
      <c r="AW181" s="439">
        <v>0</v>
      </c>
      <c r="AX181" s="440">
        <v>4542</v>
      </c>
      <c r="AY181" s="441" t="s">
        <v>2029</v>
      </c>
      <c r="AZ181" s="442" t="str">
        <f>(VLOOKUP(A181,TradesEquity!$1:$1048576,29,FALSE))</f>
        <v>GSILGB2XXXX</v>
      </c>
      <c r="BA181" s="442" t="str">
        <f>(VLOOKUP(A181,TradesEquity!$1:$1048576,30,FALSE))</f>
        <v>JJSDJPJTXXX</v>
      </c>
      <c r="BB181" s="442">
        <f>(VLOOKUP(A181,TradesEquity!$1:$1048576,31,FALSE))</f>
        <v>6530490016</v>
      </c>
      <c r="BC181" s="442" t="str">
        <f>(VLOOKUP(A181,TradesEquity!$1:$1048576,32,FALSE))</f>
        <v>N</v>
      </c>
      <c r="BI181" s="442" t="str">
        <f>(VLOOKUP(A181,TradesEquity!$1:$1048576,38,FALSE))</f>
        <v xml:space="preserve">                  </v>
      </c>
      <c r="BJ181" s="442" t="str">
        <f>(VLOOKUP(A181,TradesEquity!$1:$1048576,39,FALSE))</f>
        <v xml:space="preserve">                          </v>
      </c>
      <c r="BK181" s="442" t="str">
        <f>(VLOOKUP(A181,TradesEquity!$1:$1048576,40,FALSE))</f>
        <v>GOLDJPJXXXX</v>
      </c>
    </row>
    <row r="182" spans="1:63">
      <c r="A182" s="502">
        <v>2019200429</v>
      </c>
      <c r="D182" s="432" t="s">
        <v>2027</v>
      </c>
      <c r="F182" s="433">
        <f>VLOOKUP(A182,TradesEquity!$1:$1048576,2,FALSE)</f>
        <v>44232</v>
      </c>
      <c r="H182" s="433">
        <f>VLOOKUP(A182,TradesEquity!$1:$1048576,21,FALSE)</f>
        <v>44236</v>
      </c>
      <c r="I182" s="434" t="str">
        <f>IF(VLOOKUP(A182,TradesEquity!$1:$1048576,3,FALSE)="BUY","B","S")</f>
        <v>B</v>
      </c>
      <c r="J182" s="434" t="str">
        <f>VLOOKUP(A182,TradesEquity!$1:$1048576,5,FALSE)</f>
        <v>JP3691600005</v>
      </c>
      <c r="K182" s="432" t="s">
        <v>19</v>
      </c>
      <c r="L182" s="435" t="s">
        <v>2028</v>
      </c>
      <c r="AE182" s="436" t="str">
        <f>VLOOKUP(A182,TradesEquity!$1:$1048576,10,FALSE)</f>
        <v>JPY</v>
      </c>
      <c r="AF182" s="436" t="str">
        <f t="shared" si="6"/>
        <v>JPY</v>
      </c>
      <c r="AG182" s="436" t="str">
        <f t="shared" si="6"/>
        <v>JPY</v>
      </c>
      <c r="AH182" s="436" t="str">
        <f t="shared" si="6"/>
        <v>JPY</v>
      </c>
      <c r="AI182" s="436">
        <f>ABS(VLOOKUP(A182,TradesEquity!$1:$1048576,13,FALSE))</f>
        <v>3300</v>
      </c>
      <c r="AJ182" s="437">
        <v>0</v>
      </c>
      <c r="AK182" s="437">
        <v>1</v>
      </c>
      <c r="AL182" s="436">
        <f>VLOOKUP(A182,TradesEquity!$1:$1048576,11,FALSE)</f>
        <v>2954</v>
      </c>
      <c r="AM182" s="437">
        <v>1</v>
      </c>
      <c r="AN182" s="436">
        <f>ABS(VLOOKUP(A182,TradesEquity!$1:$1048576,14,FALSE))</f>
        <v>9748200</v>
      </c>
      <c r="AO182" s="436">
        <f>ABS(VLOOKUP(A182,TradesEquity!$1:$1048576,15,FALSE))</f>
        <v>5849</v>
      </c>
      <c r="AP182" s="438">
        <f>ABS(VLOOKUP(A182,TradesEquity!$1:$1048576,16,FALSE))</f>
        <v>0</v>
      </c>
      <c r="AQ182" s="367">
        <v>0</v>
      </c>
      <c r="AR182" s="367">
        <v>0</v>
      </c>
      <c r="AS182" s="367">
        <v>0</v>
      </c>
      <c r="AT182" s="367">
        <v>0</v>
      </c>
      <c r="AU182" s="367">
        <v>0</v>
      </c>
      <c r="AV182" s="438">
        <f>ABS(VLOOKUP(A182,TradesEquity!$1:$1048576,18,FALSE))</f>
        <v>9754049</v>
      </c>
      <c r="AW182" s="439">
        <v>0</v>
      </c>
      <c r="AX182" s="440">
        <v>4542</v>
      </c>
      <c r="AY182" s="441" t="s">
        <v>2029</v>
      </c>
      <c r="AZ182" s="442" t="str">
        <f>(VLOOKUP(A182,TradesEquity!$1:$1048576,29,FALSE))</f>
        <v>GSILGB2XXXX</v>
      </c>
      <c r="BA182" s="442" t="str">
        <f>(VLOOKUP(A182,TradesEquity!$1:$1048576,30,FALSE))</f>
        <v>JJSDJPJTXXX</v>
      </c>
      <c r="BB182" s="442">
        <f>(VLOOKUP(A182,TradesEquity!$1:$1048576,31,FALSE))</f>
        <v>6530490016</v>
      </c>
      <c r="BC182" s="442" t="str">
        <f>(VLOOKUP(A182,TradesEquity!$1:$1048576,32,FALSE))</f>
        <v>N</v>
      </c>
      <c r="BI182" s="442" t="str">
        <f>(VLOOKUP(A182,TradesEquity!$1:$1048576,38,FALSE))</f>
        <v xml:space="preserve">                  </v>
      </c>
      <c r="BJ182" s="442" t="str">
        <f>(VLOOKUP(A182,TradesEquity!$1:$1048576,39,FALSE))</f>
        <v xml:space="preserve">                          </v>
      </c>
      <c r="BK182" s="442" t="str">
        <f>(VLOOKUP(A182,TradesEquity!$1:$1048576,40,FALSE))</f>
        <v>GOLDJPJXXXX</v>
      </c>
    </row>
    <row r="183" spans="1:63">
      <c r="A183" s="502">
        <v>2019200430</v>
      </c>
      <c r="D183" s="432" t="s">
        <v>2027</v>
      </c>
      <c r="F183" s="433">
        <f>VLOOKUP(A183,TradesEquity!$1:$1048576,2,FALSE)</f>
        <v>44235</v>
      </c>
      <c r="H183" s="433">
        <f>VLOOKUP(A183,TradesEquity!$1:$1048576,21,FALSE)</f>
        <v>44237</v>
      </c>
      <c r="I183" s="434" t="str">
        <f>IF(VLOOKUP(A183,TradesEquity!$1:$1048576,3,FALSE)="BUY","B","S")</f>
        <v>B</v>
      </c>
      <c r="J183" s="434" t="str">
        <f>VLOOKUP(A183,TradesEquity!$1:$1048576,5,FALSE)</f>
        <v>JP3691600005</v>
      </c>
      <c r="K183" s="432" t="s">
        <v>19</v>
      </c>
      <c r="L183" s="435" t="s">
        <v>2028</v>
      </c>
      <c r="AE183" s="436" t="str">
        <f>VLOOKUP(A183,TradesEquity!$1:$1048576,10,FALSE)</f>
        <v>JPY</v>
      </c>
      <c r="AF183" s="436" t="str">
        <f t="shared" si="6"/>
        <v>JPY</v>
      </c>
      <c r="AG183" s="436" t="str">
        <f t="shared" si="6"/>
        <v>JPY</v>
      </c>
      <c r="AH183" s="436" t="str">
        <f t="shared" si="6"/>
        <v>JPY</v>
      </c>
      <c r="AI183" s="436">
        <f>ABS(VLOOKUP(A183,TradesEquity!$1:$1048576,13,FALSE))</f>
        <v>3000</v>
      </c>
      <c r="AJ183" s="437">
        <v>0</v>
      </c>
      <c r="AK183" s="437">
        <v>1</v>
      </c>
      <c r="AL183" s="436">
        <f>VLOOKUP(A183,TradesEquity!$1:$1048576,11,FALSE)</f>
        <v>2990.6333300000001</v>
      </c>
      <c r="AM183" s="437">
        <v>1</v>
      </c>
      <c r="AN183" s="436">
        <f>ABS(VLOOKUP(A183,TradesEquity!$1:$1048576,14,FALSE))</f>
        <v>8971899.9900000002</v>
      </c>
      <c r="AO183" s="436">
        <f>ABS(VLOOKUP(A183,TradesEquity!$1:$1048576,15,FALSE))</f>
        <v>5383</v>
      </c>
      <c r="AP183" s="438">
        <f>ABS(VLOOKUP(A183,TradesEquity!$1:$1048576,16,FALSE))</f>
        <v>0</v>
      </c>
      <c r="AQ183" s="367">
        <v>0</v>
      </c>
      <c r="AR183" s="367">
        <v>0</v>
      </c>
      <c r="AS183" s="367">
        <v>0</v>
      </c>
      <c r="AT183" s="367">
        <v>0</v>
      </c>
      <c r="AU183" s="367">
        <v>0</v>
      </c>
      <c r="AV183" s="438">
        <f>ABS(VLOOKUP(A183,TradesEquity!$1:$1048576,18,FALSE))</f>
        <v>8977282.9900000002</v>
      </c>
      <c r="AW183" s="439">
        <v>0</v>
      </c>
      <c r="AX183" s="440">
        <v>4542</v>
      </c>
      <c r="AY183" s="441" t="s">
        <v>2029</v>
      </c>
      <c r="AZ183" s="442" t="str">
        <f>(VLOOKUP(A183,TradesEquity!$1:$1048576,29,FALSE))</f>
        <v>GSILGB2XXXX</v>
      </c>
      <c r="BA183" s="442" t="str">
        <f>(VLOOKUP(A183,TradesEquity!$1:$1048576,30,FALSE))</f>
        <v>JJSDJPJTXXX</v>
      </c>
      <c r="BB183" s="442">
        <f>(VLOOKUP(A183,TradesEquity!$1:$1048576,31,FALSE))</f>
        <v>6530490016</v>
      </c>
      <c r="BC183" s="442" t="str">
        <f>(VLOOKUP(A183,TradesEquity!$1:$1048576,32,FALSE))</f>
        <v>N</v>
      </c>
      <c r="BI183" s="442" t="str">
        <f>(VLOOKUP(A183,TradesEquity!$1:$1048576,38,FALSE))</f>
        <v xml:space="preserve">                  </v>
      </c>
      <c r="BJ183" s="442" t="str">
        <f>(VLOOKUP(A183,TradesEquity!$1:$1048576,39,FALSE))</f>
        <v xml:space="preserve">                          </v>
      </c>
      <c r="BK183" s="442" t="str">
        <f>(VLOOKUP(A183,TradesEquity!$1:$1048576,40,FALSE))</f>
        <v>GOLDJPJXXXX</v>
      </c>
    </row>
    <row r="184" spans="1:63">
      <c r="A184" s="502">
        <v>2019200431</v>
      </c>
      <c r="D184" s="432" t="s">
        <v>2027</v>
      </c>
      <c r="F184" s="433">
        <f>VLOOKUP(A184,TradesEquity!$1:$1048576,2,FALSE)</f>
        <v>44235</v>
      </c>
      <c r="H184" s="433">
        <f>VLOOKUP(A184,TradesEquity!$1:$1048576,21,FALSE)</f>
        <v>44237</v>
      </c>
      <c r="I184" s="434" t="str">
        <f>IF(VLOOKUP(A184,TradesEquity!$1:$1048576,3,FALSE)="BUY","B","S")</f>
        <v>B</v>
      </c>
      <c r="J184" s="434" t="str">
        <f>VLOOKUP(A184,TradesEquity!$1:$1048576,5,FALSE)</f>
        <v>JP3627400009</v>
      </c>
      <c r="K184" s="432" t="s">
        <v>19</v>
      </c>
      <c r="L184" s="435" t="s">
        <v>2028</v>
      </c>
      <c r="AE184" s="436" t="str">
        <f>VLOOKUP(A184,TradesEquity!$1:$1048576,10,FALSE)</f>
        <v>JPY</v>
      </c>
      <c r="AF184" s="436" t="str">
        <f t="shared" si="6"/>
        <v>JPY</v>
      </c>
      <c r="AG184" s="436" t="str">
        <f t="shared" si="6"/>
        <v>JPY</v>
      </c>
      <c r="AH184" s="436" t="str">
        <f t="shared" si="6"/>
        <v>JPY</v>
      </c>
      <c r="AI184" s="436">
        <f>ABS(VLOOKUP(A184,TradesEquity!$1:$1048576,13,FALSE))</f>
        <v>3000</v>
      </c>
      <c r="AJ184" s="437">
        <v>0</v>
      </c>
      <c r="AK184" s="437">
        <v>1</v>
      </c>
      <c r="AL184" s="436">
        <f>VLOOKUP(A184,TradesEquity!$1:$1048576,11,FALSE)</f>
        <v>2252</v>
      </c>
      <c r="AM184" s="437">
        <v>1</v>
      </c>
      <c r="AN184" s="436">
        <f>ABS(VLOOKUP(A184,TradesEquity!$1:$1048576,14,FALSE))</f>
        <v>6756000</v>
      </c>
      <c r="AO184" s="436">
        <f>ABS(VLOOKUP(A184,TradesEquity!$1:$1048576,15,FALSE))</f>
        <v>4054</v>
      </c>
      <c r="AP184" s="438">
        <f>ABS(VLOOKUP(A184,TradesEquity!$1:$1048576,16,FALSE))</f>
        <v>0</v>
      </c>
      <c r="AQ184" s="367">
        <v>0</v>
      </c>
      <c r="AR184" s="367">
        <v>0</v>
      </c>
      <c r="AS184" s="367">
        <v>0</v>
      </c>
      <c r="AT184" s="367">
        <v>0</v>
      </c>
      <c r="AU184" s="367">
        <v>0</v>
      </c>
      <c r="AV184" s="438">
        <f>ABS(VLOOKUP(A184,TradesEquity!$1:$1048576,18,FALSE))</f>
        <v>6760054</v>
      </c>
      <c r="AW184" s="439">
        <v>0</v>
      </c>
      <c r="AX184" s="440">
        <v>4542</v>
      </c>
      <c r="AY184" s="441" t="s">
        <v>2029</v>
      </c>
      <c r="AZ184" s="442" t="str">
        <f>(VLOOKUP(A184,TradesEquity!$1:$1048576,29,FALSE))</f>
        <v>GSILGB2XXXX</v>
      </c>
      <c r="BA184" s="442" t="str">
        <f>(VLOOKUP(A184,TradesEquity!$1:$1048576,30,FALSE))</f>
        <v>JJSDJPJTXXX</v>
      </c>
      <c r="BB184" s="442">
        <f>(VLOOKUP(A184,TradesEquity!$1:$1048576,31,FALSE))</f>
        <v>6530490016</v>
      </c>
      <c r="BC184" s="442" t="str">
        <f>(VLOOKUP(A184,TradesEquity!$1:$1048576,32,FALSE))</f>
        <v>N</v>
      </c>
      <c r="BI184" s="442" t="str">
        <f>(VLOOKUP(A184,TradesEquity!$1:$1048576,38,FALSE))</f>
        <v xml:space="preserve">                  </v>
      </c>
      <c r="BJ184" s="442" t="str">
        <f>(VLOOKUP(A184,TradesEquity!$1:$1048576,39,FALSE))</f>
        <v xml:space="preserve">                          </v>
      </c>
      <c r="BK184" s="442" t="str">
        <f>(VLOOKUP(A184,TradesEquity!$1:$1048576,40,FALSE))</f>
        <v>GOLDJPJXXXX</v>
      </c>
    </row>
    <row r="185" spans="1:63">
      <c r="A185" s="502">
        <v>2019200432</v>
      </c>
      <c r="D185" s="432" t="s">
        <v>2027</v>
      </c>
      <c r="F185" s="433">
        <f>VLOOKUP(A185,TradesEquity!$1:$1048576,2,FALSE)</f>
        <v>44236</v>
      </c>
      <c r="H185" s="433">
        <f>VLOOKUP(A185,TradesEquity!$1:$1048576,21,FALSE)</f>
        <v>44239</v>
      </c>
      <c r="I185" s="434" t="str">
        <f>IF(VLOOKUP(A185,TradesEquity!$1:$1048576,3,FALSE)="BUY","B","S")</f>
        <v>B</v>
      </c>
      <c r="J185" s="434" t="str">
        <f>VLOOKUP(A185,TradesEquity!$1:$1048576,5,FALSE)</f>
        <v>JP3627400009</v>
      </c>
      <c r="K185" s="432" t="s">
        <v>19</v>
      </c>
      <c r="L185" s="435" t="s">
        <v>2028</v>
      </c>
      <c r="AE185" s="436" t="str">
        <f>VLOOKUP(A185,TradesEquity!$1:$1048576,10,FALSE)</f>
        <v>JPY</v>
      </c>
      <c r="AF185" s="436" t="str">
        <f t="shared" si="6"/>
        <v>JPY</v>
      </c>
      <c r="AG185" s="436" t="str">
        <f t="shared" si="6"/>
        <v>JPY</v>
      </c>
      <c r="AH185" s="436" t="str">
        <f t="shared" si="6"/>
        <v>JPY</v>
      </c>
      <c r="AI185" s="436">
        <f>ABS(VLOOKUP(A185,TradesEquity!$1:$1048576,13,FALSE))</f>
        <v>3000</v>
      </c>
      <c r="AJ185" s="437">
        <v>0</v>
      </c>
      <c r="AK185" s="437">
        <v>1</v>
      </c>
      <c r="AL185" s="436">
        <f>VLOOKUP(A185,TradesEquity!$1:$1048576,11,FALSE)</f>
        <v>2182</v>
      </c>
      <c r="AM185" s="437">
        <v>1</v>
      </c>
      <c r="AN185" s="436">
        <f>ABS(VLOOKUP(A185,TradesEquity!$1:$1048576,14,FALSE))</f>
        <v>6546000</v>
      </c>
      <c r="AO185" s="436">
        <f>ABS(VLOOKUP(A185,TradesEquity!$1:$1048576,15,FALSE))</f>
        <v>3928</v>
      </c>
      <c r="AP185" s="438">
        <f>ABS(VLOOKUP(A185,TradesEquity!$1:$1048576,16,FALSE))</f>
        <v>0</v>
      </c>
      <c r="AQ185" s="367">
        <v>0</v>
      </c>
      <c r="AR185" s="367">
        <v>0</v>
      </c>
      <c r="AS185" s="367">
        <v>0</v>
      </c>
      <c r="AT185" s="367">
        <v>0</v>
      </c>
      <c r="AU185" s="367">
        <v>0</v>
      </c>
      <c r="AV185" s="438">
        <f>ABS(VLOOKUP(A185,TradesEquity!$1:$1048576,18,FALSE))</f>
        <v>6549928</v>
      </c>
      <c r="AW185" s="439">
        <v>0</v>
      </c>
      <c r="AX185" s="440">
        <v>4542</v>
      </c>
      <c r="AY185" s="441" t="s">
        <v>2029</v>
      </c>
      <c r="AZ185" s="442" t="str">
        <f>(VLOOKUP(A185,TradesEquity!$1:$1048576,29,FALSE))</f>
        <v>GSILGB2XXXX</v>
      </c>
      <c r="BA185" s="442" t="str">
        <f>(VLOOKUP(A185,TradesEquity!$1:$1048576,30,FALSE))</f>
        <v>JJSDJPJTXXX</v>
      </c>
      <c r="BB185" s="442">
        <f>(VLOOKUP(A185,TradesEquity!$1:$1048576,31,FALSE))</f>
        <v>6530490016</v>
      </c>
      <c r="BC185" s="442" t="str">
        <f>(VLOOKUP(A185,TradesEquity!$1:$1048576,32,FALSE))</f>
        <v>N</v>
      </c>
      <c r="BI185" s="442" t="str">
        <f>(VLOOKUP(A185,TradesEquity!$1:$1048576,38,FALSE))</f>
        <v xml:space="preserve">                  </v>
      </c>
      <c r="BJ185" s="442" t="str">
        <f>(VLOOKUP(A185,TradesEquity!$1:$1048576,39,FALSE))</f>
        <v xml:space="preserve">                          </v>
      </c>
      <c r="BK185" s="442" t="str">
        <f>(VLOOKUP(A185,TradesEquity!$1:$1048576,40,FALSE))</f>
        <v>GOLDJPJXXXX</v>
      </c>
    </row>
    <row r="186" spans="1:63">
      <c r="A186" s="502">
        <v>2019200433</v>
      </c>
      <c r="D186" s="432" t="s">
        <v>2027</v>
      </c>
      <c r="F186" s="433">
        <f>VLOOKUP(A186,TradesEquity!$1:$1048576,2,FALSE)</f>
        <v>44242</v>
      </c>
      <c r="H186" s="433">
        <f>VLOOKUP(A186,TradesEquity!$1:$1048576,21,FALSE)</f>
        <v>44244</v>
      </c>
      <c r="I186" s="434" t="str">
        <f>IF(VLOOKUP(A186,TradesEquity!$1:$1048576,3,FALSE)="BUY","B","S")</f>
        <v>B</v>
      </c>
      <c r="J186" s="434" t="str">
        <f>VLOOKUP(A186,TradesEquity!$1:$1048576,5,FALSE)</f>
        <v>JP3147200004</v>
      </c>
      <c r="K186" s="432" t="s">
        <v>19</v>
      </c>
      <c r="L186" s="435" t="s">
        <v>2028</v>
      </c>
      <c r="AE186" s="436" t="str">
        <f>VLOOKUP(A186,TradesEquity!$1:$1048576,10,FALSE)</f>
        <v>JPY</v>
      </c>
      <c r="AF186" s="436" t="str">
        <f t="shared" si="6"/>
        <v>JPY</v>
      </c>
      <c r="AG186" s="436" t="str">
        <f t="shared" si="6"/>
        <v>JPY</v>
      </c>
      <c r="AH186" s="436" t="str">
        <f t="shared" si="6"/>
        <v>JPY</v>
      </c>
      <c r="AI186" s="436">
        <f>ABS(VLOOKUP(A186,TradesEquity!$1:$1048576,13,FALSE))</f>
        <v>8300</v>
      </c>
      <c r="AJ186" s="437">
        <v>0</v>
      </c>
      <c r="AK186" s="437">
        <v>1</v>
      </c>
      <c r="AL186" s="436">
        <f>VLOOKUP(A186,TradesEquity!$1:$1048576,11,FALSE)</f>
        <v>1028.8722889999999</v>
      </c>
      <c r="AM186" s="437">
        <v>1</v>
      </c>
      <c r="AN186" s="436">
        <f>ABS(VLOOKUP(A186,TradesEquity!$1:$1048576,14,FALSE))</f>
        <v>8539639.9986999985</v>
      </c>
      <c r="AO186" s="436">
        <f>ABS(VLOOKUP(A186,TradesEquity!$1:$1048576,15,FALSE))</f>
        <v>5124</v>
      </c>
      <c r="AP186" s="438">
        <f>ABS(VLOOKUP(A186,TradesEquity!$1:$1048576,16,FALSE))</f>
        <v>0</v>
      </c>
      <c r="AQ186" s="367">
        <v>0</v>
      </c>
      <c r="AR186" s="367">
        <v>0</v>
      </c>
      <c r="AS186" s="367">
        <v>0</v>
      </c>
      <c r="AT186" s="367">
        <v>0</v>
      </c>
      <c r="AU186" s="367">
        <v>0</v>
      </c>
      <c r="AV186" s="438">
        <f>ABS(VLOOKUP(A186,TradesEquity!$1:$1048576,18,FALSE))</f>
        <v>8544763.9986999985</v>
      </c>
      <c r="AW186" s="439">
        <v>0</v>
      </c>
      <c r="AX186" s="440">
        <v>4542</v>
      </c>
      <c r="AY186" s="441" t="s">
        <v>2029</v>
      </c>
      <c r="AZ186" s="442" t="str">
        <f>(VLOOKUP(A186,TradesEquity!$1:$1048576,29,FALSE))</f>
        <v>GSILGB2XXXX</v>
      </c>
      <c r="BA186" s="442" t="str">
        <f>(VLOOKUP(A186,TradesEquity!$1:$1048576,30,FALSE))</f>
        <v>JJSDJPJTXXX</v>
      </c>
      <c r="BB186" s="442">
        <f>(VLOOKUP(A186,TradesEquity!$1:$1048576,31,FALSE))</f>
        <v>6530490016</v>
      </c>
      <c r="BC186" s="442" t="str">
        <f>(VLOOKUP(A186,TradesEquity!$1:$1048576,32,FALSE))</f>
        <v>N</v>
      </c>
      <c r="BI186" s="442" t="str">
        <f>(VLOOKUP(A186,TradesEquity!$1:$1048576,38,FALSE))</f>
        <v xml:space="preserve">                  </v>
      </c>
      <c r="BJ186" s="442" t="str">
        <f>(VLOOKUP(A186,TradesEquity!$1:$1048576,39,FALSE))</f>
        <v xml:space="preserve">                          </v>
      </c>
      <c r="BK186" s="442" t="str">
        <f>(VLOOKUP(A186,TradesEquity!$1:$1048576,40,FALSE))</f>
        <v>GOLDJPJXXXX</v>
      </c>
    </row>
    <row r="187" spans="1:63">
      <c r="A187" s="502">
        <v>2019200434</v>
      </c>
      <c r="D187" s="432" t="s">
        <v>2027</v>
      </c>
      <c r="F187" s="433">
        <f>VLOOKUP(A187,TradesEquity!$1:$1048576,2,FALSE)</f>
        <v>44251</v>
      </c>
      <c r="H187" s="433">
        <f>VLOOKUP(A187,TradesEquity!$1:$1048576,21,FALSE)</f>
        <v>44253</v>
      </c>
      <c r="I187" s="434" t="str">
        <f>IF(VLOOKUP(A187,TradesEquity!$1:$1048576,3,FALSE)="BUY","B","S")</f>
        <v>B</v>
      </c>
      <c r="J187" s="434" t="str">
        <f>VLOOKUP(A187,TradesEquity!$1:$1048576,5,FALSE)</f>
        <v>JP3332600000</v>
      </c>
      <c r="K187" s="432" t="s">
        <v>19</v>
      </c>
      <c r="L187" s="435" t="s">
        <v>2028</v>
      </c>
      <c r="AE187" s="436" t="str">
        <f>VLOOKUP(A187,TradesEquity!$1:$1048576,10,FALSE)</f>
        <v>JPY</v>
      </c>
      <c r="AF187" s="436" t="str">
        <f t="shared" si="6"/>
        <v>JPY</v>
      </c>
      <c r="AG187" s="436" t="str">
        <f t="shared" si="6"/>
        <v>JPY</v>
      </c>
      <c r="AH187" s="436" t="str">
        <f t="shared" si="6"/>
        <v>JPY</v>
      </c>
      <c r="AI187" s="436">
        <f>ABS(VLOOKUP(A187,TradesEquity!$1:$1048576,13,FALSE))</f>
        <v>7100</v>
      </c>
      <c r="AJ187" s="437">
        <v>0</v>
      </c>
      <c r="AK187" s="437">
        <v>1</v>
      </c>
      <c r="AL187" s="436">
        <f>VLOOKUP(A187,TradesEquity!$1:$1048576,11,FALSE)</f>
        <v>847.11549300000001</v>
      </c>
      <c r="AM187" s="437">
        <v>1</v>
      </c>
      <c r="AN187" s="436">
        <f>ABS(VLOOKUP(A187,TradesEquity!$1:$1048576,14,FALSE))</f>
        <v>6014520.0003000004</v>
      </c>
      <c r="AO187" s="436">
        <f>ABS(VLOOKUP(A187,TradesEquity!$1:$1048576,15,FALSE))</f>
        <v>3609</v>
      </c>
      <c r="AP187" s="438">
        <f>ABS(VLOOKUP(A187,TradesEquity!$1:$1048576,16,FALSE))</f>
        <v>0</v>
      </c>
      <c r="AQ187" s="367">
        <v>0</v>
      </c>
      <c r="AR187" s="367">
        <v>0</v>
      </c>
      <c r="AS187" s="367">
        <v>0</v>
      </c>
      <c r="AT187" s="367">
        <v>0</v>
      </c>
      <c r="AU187" s="367">
        <v>0</v>
      </c>
      <c r="AV187" s="438">
        <f>ABS(VLOOKUP(A187,TradesEquity!$1:$1048576,18,FALSE))</f>
        <v>6018129.0003000004</v>
      </c>
      <c r="AW187" s="439">
        <v>0</v>
      </c>
      <c r="AX187" s="440">
        <v>4542</v>
      </c>
      <c r="AY187" s="441" t="s">
        <v>2029</v>
      </c>
      <c r="AZ187" s="442" t="str">
        <f>(VLOOKUP(A187,TradesEquity!$1:$1048576,29,FALSE))</f>
        <v>GSILGB2XXXX</v>
      </c>
      <c r="BA187" s="442" t="str">
        <f>(VLOOKUP(A187,TradesEquity!$1:$1048576,30,FALSE))</f>
        <v>JJSDJPJTXXX</v>
      </c>
      <c r="BB187" s="442">
        <f>(VLOOKUP(A187,TradesEquity!$1:$1048576,31,FALSE))</f>
        <v>6530490016</v>
      </c>
      <c r="BC187" s="442" t="str">
        <f>(VLOOKUP(A187,TradesEquity!$1:$1048576,32,FALSE))</f>
        <v>N</v>
      </c>
      <c r="BI187" s="442" t="str">
        <f>(VLOOKUP(A187,TradesEquity!$1:$1048576,38,FALSE))</f>
        <v xml:space="preserve">                  </v>
      </c>
      <c r="BJ187" s="442" t="str">
        <f>(VLOOKUP(A187,TradesEquity!$1:$1048576,39,FALSE))</f>
        <v xml:space="preserve">                          </v>
      </c>
      <c r="BK187" s="442" t="str">
        <f>(VLOOKUP(A187,TradesEquity!$1:$1048576,40,FALSE))</f>
        <v>GOLDJPJXXXX</v>
      </c>
    </row>
    <row r="188" spans="1:63">
      <c r="A188" s="502">
        <v>2019200435</v>
      </c>
      <c r="D188" s="432" t="s">
        <v>2027</v>
      </c>
      <c r="F188" s="433">
        <f>VLOOKUP(A188,TradesEquity!$1:$1048576,2,FALSE)</f>
        <v>44251</v>
      </c>
      <c r="H188" s="433">
        <f>VLOOKUP(A188,TradesEquity!$1:$1048576,21,FALSE)</f>
        <v>44253</v>
      </c>
      <c r="I188" s="434" t="str">
        <f>IF(VLOOKUP(A188,TradesEquity!$1:$1048576,3,FALSE)="BUY","B","S")</f>
        <v>B</v>
      </c>
      <c r="J188" s="434" t="str">
        <f>VLOOKUP(A188,TradesEquity!$1:$1048576,5,FALSE)</f>
        <v>JP3734600004</v>
      </c>
      <c r="K188" s="432" t="s">
        <v>19</v>
      </c>
      <c r="L188" s="435" t="s">
        <v>2028</v>
      </c>
      <c r="AE188" s="436" t="str">
        <f>VLOOKUP(A188,TradesEquity!$1:$1048576,10,FALSE)</f>
        <v>JPY</v>
      </c>
      <c r="AF188" s="436" t="str">
        <f t="shared" si="6"/>
        <v>JPY</v>
      </c>
      <c r="AG188" s="436" t="str">
        <f t="shared" si="6"/>
        <v>JPY</v>
      </c>
      <c r="AH188" s="436" t="str">
        <f t="shared" si="6"/>
        <v>JPY</v>
      </c>
      <c r="AI188" s="436">
        <f>ABS(VLOOKUP(A188,TradesEquity!$1:$1048576,13,FALSE))</f>
        <v>27000</v>
      </c>
      <c r="AJ188" s="437">
        <v>0</v>
      </c>
      <c r="AK188" s="437">
        <v>1</v>
      </c>
      <c r="AL188" s="436">
        <f>VLOOKUP(A188,TradesEquity!$1:$1048576,11,FALSE)</f>
        <v>285.52814799999999</v>
      </c>
      <c r="AM188" s="437">
        <v>1</v>
      </c>
      <c r="AN188" s="436">
        <f>ABS(VLOOKUP(A188,TradesEquity!$1:$1048576,14,FALSE))</f>
        <v>7709259.9959999993</v>
      </c>
      <c r="AO188" s="436">
        <f>ABS(VLOOKUP(A188,TradesEquity!$1:$1048576,15,FALSE))</f>
        <v>4626</v>
      </c>
      <c r="AP188" s="438">
        <f>ABS(VLOOKUP(A188,TradesEquity!$1:$1048576,16,FALSE))</f>
        <v>0</v>
      </c>
      <c r="AQ188" s="367">
        <v>0</v>
      </c>
      <c r="AR188" s="367">
        <v>0</v>
      </c>
      <c r="AS188" s="367">
        <v>0</v>
      </c>
      <c r="AT188" s="367">
        <v>0</v>
      </c>
      <c r="AU188" s="367">
        <v>0</v>
      </c>
      <c r="AV188" s="438">
        <f>ABS(VLOOKUP(A188,TradesEquity!$1:$1048576,18,FALSE))</f>
        <v>7713885.9959999993</v>
      </c>
      <c r="AW188" s="439">
        <v>0</v>
      </c>
      <c r="AX188" s="440">
        <v>4542</v>
      </c>
      <c r="AY188" s="441" t="s">
        <v>2029</v>
      </c>
      <c r="AZ188" s="442" t="str">
        <f>(VLOOKUP(A188,TradesEquity!$1:$1048576,29,FALSE))</f>
        <v>GSILGB2XXXX</v>
      </c>
      <c r="BA188" s="442" t="str">
        <f>(VLOOKUP(A188,TradesEquity!$1:$1048576,30,FALSE))</f>
        <v>JJSDJPJTXXX</v>
      </c>
      <c r="BB188" s="442">
        <f>(VLOOKUP(A188,TradesEquity!$1:$1048576,31,FALSE))</f>
        <v>6530490016</v>
      </c>
      <c r="BC188" s="442" t="str">
        <f>(VLOOKUP(A188,TradesEquity!$1:$1048576,32,FALSE))</f>
        <v>N</v>
      </c>
      <c r="BI188" s="442" t="str">
        <f>(VLOOKUP(A188,TradesEquity!$1:$1048576,38,FALSE))</f>
        <v xml:space="preserve">                  </v>
      </c>
      <c r="BJ188" s="442" t="str">
        <f>(VLOOKUP(A188,TradesEquity!$1:$1048576,39,FALSE))</f>
        <v xml:space="preserve">                          </v>
      </c>
      <c r="BK188" s="442" t="str">
        <f>(VLOOKUP(A188,TradesEquity!$1:$1048576,40,FALSE))</f>
        <v>GOLDJPJXXXX</v>
      </c>
    </row>
    <row r="189" spans="1:63">
      <c r="A189" s="502">
        <v>2019200436</v>
      </c>
      <c r="D189" s="432" t="s">
        <v>2027</v>
      </c>
      <c r="F189" s="433">
        <f>VLOOKUP(A189,TradesEquity!$1:$1048576,2,FALSE)</f>
        <v>44256</v>
      </c>
      <c r="H189" s="433">
        <f>VLOOKUP(A189,TradesEquity!$1:$1048576,21,FALSE)</f>
        <v>44258</v>
      </c>
      <c r="I189" s="434" t="str">
        <f>IF(VLOOKUP(A189,TradesEquity!$1:$1048576,3,FALSE)="BUY","B","S")</f>
        <v>B</v>
      </c>
      <c r="J189" s="434" t="str">
        <f>VLOOKUP(A189,TradesEquity!$1:$1048576,5,FALSE)</f>
        <v>JP3449020001</v>
      </c>
      <c r="K189" s="432" t="s">
        <v>19</v>
      </c>
      <c r="L189" s="435" t="s">
        <v>2028</v>
      </c>
      <c r="AE189" s="436" t="str">
        <f>VLOOKUP(A189,TradesEquity!$1:$1048576,10,FALSE)</f>
        <v>JPY</v>
      </c>
      <c r="AF189" s="436" t="str">
        <f t="shared" si="6"/>
        <v>JPY</v>
      </c>
      <c r="AG189" s="436" t="str">
        <f t="shared" si="6"/>
        <v>JPY</v>
      </c>
      <c r="AH189" s="436" t="str">
        <f t="shared" si="6"/>
        <v>JPY</v>
      </c>
      <c r="AI189" s="436">
        <f>ABS(VLOOKUP(A189,TradesEquity!$1:$1048576,13,FALSE))</f>
        <v>17000</v>
      </c>
      <c r="AJ189" s="437">
        <v>0</v>
      </c>
      <c r="AK189" s="437">
        <v>1</v>
      </c>
      <c r="AL189" s="436">
        <f>VLOOKUP(A189,TradesEquity!$1:$1048576,11,FALSE)</f>
        <v>2657.2294000000002</v>
      </c>
      <c r="AM189" s="437">
        <v>1</v>
      </c>
      <c r="AN189" s="436">
        <f>ABS(VLOOKUP(A189,TradesEquity!$1:$1048576,14,FALSE))</f>
        <v>45172899.800000004</v>
      </c>
      <c r="AO189" s="436">
        <f>ABS(VLOOKUP(A189,TradesEquity!$1:$1048576,15,FALSE))</f>
        <v>27104</v>
      </c>
      <c r="AP189" s="438">
        <f>ABS(VLOOKUP(A189,TradesEquity!$1:$1048576,16,FALSE))</f>
        <v>0</v>
      </c>
      <c r="AQ189" s="367">
        <v>0</v>
      </c>
      <c r="AR189" s="367">
        <v>0</v>
      </c>
      <c r="AS189" s="367">
        <v>0</v>
      </c>
      <c r="AT189" s="367">
        <v>0</v>
      </c>
      <c r="AU189" s="367">
        <v>0</v>
      </c>
      <c r="AV189" s="438">
        <f>ABS(VLOOKUP(A189,TradesEquity!$1:$1048576,18,FALSE))</f>
        <v>45200003.800000004</v>
      </c>
      <c r="AW189" s="439">
        <v>0</v>
      </c>
      <c r="AX189" s="440">
        <v>4542</v>
      </c>
      <c r="AY189" s="441" t="s">
        <v>2029</v>
      </c>
      <c r="AZ189" s="442" t="str">
        <f>(VLOOKUP(A189,TradesEquity!$1:$1048576,29,FALSE))</f>
        <v>GSILGB2XXXX</v>
      </c>
      <c r="BA189" s="442" t="str">
        <f>(VLOOKUP(A189,TradesEquity!$1:$1048576,30,FALSE))</f>
        <v>JJSDJPJTXXX</v>
      </c>
      <c r="BB189" s="442">
        <f>(VLOOKUP(A189,TradesEquity!$1:$1048576,31,FALSE))</f>
        <v>6530490016</v>
      </c>
      <c r="BC189" s="442" t="str">
        <f>(VLOOKUP(A189,TradesEquity!$1:$1048576,32,FALSE))</f>
        <v>N</v>
      </c>
      <c r="BI189" s="442" t="str">
        <f>(VLOOKUP(A189,TradesEquity!$1:$1048576,38,FALSE))</f>
        <v xml:space="preserve">                  </v>
      </c>
      <c r="BJ189" s="442" t="str">
        <f>(VLOOKUP(A189,TradesEquity!$1:$1048576,39,FALSE))</f>
        <v xml:space="preserve">                          </v>
      </c>
      <c r="BK189" s="442" t="str">
        <f>(VLOOKUP(A189,TradesEquity!$1:$1048576,40,FALSE))</f>
        <v>GOLDJPJXXXX</v>
      </c>
    </row>
    <row r="190" spans="1:63">
      <c r="A190" s="502">
        <v>2019200437</v>
      </c>
      <c r="D190" s="432" t="s">
        <v>2027</v>
      </c>
      <c r="F190" s="433">
        <f>VLOOKUP(A190,TradesEquity!$1:$1048576,2,FALSE)</f>
        <v>44260</v>
      </c>
      <c r="H190" s="433">
        <f>VLOOKUP(A190,TradesEquity!$1:$1048576,21,FALSE)</f>
        <v>44264</v>
      </c>
      <c r="I190" s="434" t="str">
        <f>IF(VLOOKUP(A190,TradesEquity!$1:$1048576,3,FALSE)="BUY","B","S")</f>
        <v>B</v>
      </c>
      <c r="J190" s="434" t="str">
        <f>VLOOKUP(A190,TradesEquity!$1:$1048576,5,FALSE)</f>
        <v>FR0013176526</v>
      </c>
      <c r="K190" s="432" t="s">
        <v>19</v>
      </c>
      <c r="L190" s="435" t="s">
        <v>2028</v>
      </c>
      <c r="AE190" s="436" t="str">
        <f>VLOOKUP(A190,TradesEquity!$1:$1048576,10,FALSE)</f>
        <v>EUR</v>
      </c>
      <c r="AF190" s="436" t="str">
        <f t="shared" si="6"/>
        <v>EUR</v>
      </c>
      <c r="AG190" s="436" t="str">
        <f t="shared" si="6"/>
        <v>EUR</v>
      </c>
      <c r="AH190" s="436" t="str">
        <f t="shared" si="6"/>
        <v>EUR</v>
      </c>
      <c r="AI190" s="436">
        <f>ABS(VLOOKUP(A190,TradesEquity!$1:$1048576,13,FALSE))</f>
        <v>3800</v>
      </c>
      <c r="AJ190" s="437">
        <v>0</v>
      </c>
      <c r="AK190" s="437">
        <v>1</v>
      </c>
      <c r="AL190" s="436">
        <f>VLOOKUP(A190,TradesEquity!$1:$1048576,11,FALSE)</f>
        <v>29.857177</v>
      </c>
      <c r="AM190" s="437">
        <v>1</v>
      </c>
      <c r="AN190" s="436">
        <f>ABS(VLOOKUP(A190,TradesEquity!$1:$1048576,14,FALSE))</f>
        <v>113457.2726</v>
      </c>
      <c r="AO190" s="436">
        <f>ABS(VLOOKUP(A190,TradesEquity!$1:$1048576,15,FALSE))</f>
        <v>68.069999999999993</v>
      </c>
      <c r="AP190" s="438">
        <f>ABS(VLOOKUP(A190,TradesEquity!$1:$1048576,16,FALSE))</f>
        <v>340.37</v>
      </c>
      <c r="AQ190" s="367">
        <v>0</v>
      </c>
      <c r="AR190" s="367">
        <v>0</v>
      </c>
      <c r="AS190" s="367">
        <v>0</v>
      </c>
      <c r="AT190" s="367">
        <v>0</v>
      </c>
      <c r="AU190" s="367">
        <v>0</v>
      </c>
      <c r="AV190" s="438">
        <f>ABS(VLOOKUP(A190,TradesEquity!$1:$1048576,18,FALSE))</f>
        <v>113865.7126</v>
      </c>
      <c r="AW190" s="439">
        <v>0</v>
      </c>
      <c r="AX190" s="440">
        <v>4542</v>
      </c>
      <c r="AY190" s="441" t="s">
        <v>2029</v>
      </c>
      <c r="AZ190" s="442" t="str">
        <f>(VLOOKUP(A190,TradesEquity!$1:$1048576,29,FALSE))</f>
        <v>GSILGB2XXXX</v>
      </c>
      <c r="BA190" s="442" t="str">
        <f>(VLOOKUP(A190,TradesEquity!$1:$1048576,30,FALSE))</f>
        <v>SICVFRPPXXX</v>
      </c>
      <c r="BB190" s="442" t="str">
        <f>(VLOOKUP(A190,TradesEquity!$1:$1048576,31,FALSE))</f>
        <v>SICVPARBFRPPXXX000L10</v>
      </c>
      <c r="BC190" s="442" t="str">
        <f>(VLOOKUP(A190,TradesEquity!$1:$1048576,32,FALSE))</f>
        <v>N</v>
      </c>
      <c r="BI190" s="442" t="str">
        <f>(VLOOKUP(A190,TradesEquity!$1:$1048576,38,FALSE))</f>
        <v xml:space="preserve">        </v>
      </c>
      <c r="BJ190" s="442" t="str">
        <f>(VLOOKUP(A190,TradesEquity!$1:$1048576,39,FALSE))</f>
        <v xml:space="preserve">        </v>
      </c>
      <c r="BK190" s="442" t="str">
        <f>(VLOOKUP(A190,TradesEquity!$1:$1048576,40,FALSE))</f>
        <v>PARBFRPPXXX</v>
      </c>
    </row>
    <row r="191" spans="1:63">
      <c r="A191" s="502">
        <f>(A190+1)</f>
        <v>2019200438</v>
      </c>
      <c r="D191" s="432" t="s">
        <v>2027</v>
      </c>
      <c r="F191" s="433">
        <f>VLOOKUP(A191,TradesEquity!$1:$1048576,2,FALSE)</f>
        <v>44264</v>
      </c>
      <c r="H191" s="433">
        <f>VLOOKUP(A191,TradesEquity!$1:$1048576,21,FALSE)</f>
        <v>44266</v>
      </c>
      <c r="I191" s="434" t="str">
        <f>IF(VLOOKUP(A191,TradesEquity!$1:$1048576,3,FALSE)="BUY","B","S")</f>
        <v>S</v>
      </c>
      <c r="J191" s="434" t="str">
        <f>VLOOKUP(A191,TradesEquity!$1:$1048576,5,FALSE)</f>
        <v>KR7357780006</v>
      </c>
      <c r="K191" s="432" t="s">
        <v>19</v>
      </c>
      <c r="L191" s="435" t="s">
        <v>2028</v>
      </c>
      <c r="AE191" s="436" t="str">
        <f>VLOOKUP(A191,TradesEquity!$1:$1048576,10,FALSE)</f>
        <v>KRW</v>
      </c>
      <c r="AF191" s="436" t="str">
        <f t="shared" si="6"/>
        <v>KRW</v>
      </c>
      <c r="AG191" s="436" t="str">
        <f t="shared" si="6"/>
        <v>KRW</v>
      </c>
      <c r="AH191" s="436" t="str">
        <f t="shared" si="6"/>
        <v>KRW</v>
      </c>
      <c r="AI191" s="436">
        <f>ABS(VLOOKUP(A191,TradesEquity!$1:$1048576,13,FALSE))</f>
        <v>165</v>
      </c>
      <c r="AJ191" s="437">
        <v>0</v>
      </c>
      <c r="AK191" s="437">
        <v>1</v>
      </c>
      <c r="AL191" s="436">
        <f>VLOOKUP(A191,TradesEquity!$1:$1048576,11,FALSE)</f>
        <v>288547.27269999997</v>
      </c>
      <c r="AM191" s="437">
        <v>1</v>
      </c>
      <c r="AN191" s="436">
        <f>ABS(VLOOKUP(A191,TradesEquity!$1:$1048576,14,FALSE))</f>
        <v>47610299.995499998</v>
      </c>
      <c r="AO191" s="436">
        <f>ABS(VLOOKUP(A191,TradesEquity!$1:$1048576,15,FALSE))</f>
        <v>71415</v>
      </c>
      <c r="AP191" s="438">
        <f>ABS(VLOOKUP(A191,TradesEquity!$1:$1048576,16,FALSE))</f>
        <v>109498</v>
      </c>
      <c r="AQ191" s="367">
        <v>0</v>
      </c>
      <c r="AR191" s="367">
        <v>0</v>
      </c>
      <c r="AS191" s="367">
        <v>0</v>
      </c>
      <c r="AT191" s="367">
        <v>0</v>
      </c>
      <c r="AU191" s="367">
        <v>0</v>
      </c>
      <c r="AV191" s="438">
        <f>ABS(VLOOKUP(A191,TradesEquity!$1:$1048576,18,FALSE))</f>
        <v>47429386.995499998</v>
      </c>
      <c r="AW191" s="439">
        <v>0</v>
      </c>
      <c r="AX191" s="440">
        <v>4542</v>
      </c>
      <c r="AY191" s="441" t="s">
        <v>2029</v>
      </c>
      <c r="AZ191" s="442" t="e">
        <f>(VLOOKUP(A191,TradesEquity!$1:$1048576,29,FALSE))</f>
        <v>#N/A</v>
      </c>
      <c r="BA191" s="442" t="e">
        <f>(VLOOKUP(A191,TradesEquity!$1:$1048576,30,FALSE))</f>
        <v>#N/A</v>
      </c>
      <c r="BB191" s="442" t="e">
        <f>(VLOOKUP(A191,TradesEquity!$1:$1048576,31,FALSE))</f>
        <v>#N/A</v>
      </c>
      <c r="BC191" s="442" t="e">
        <f>(VLOOKUP(A191,TradesEquity!$1:$1048576,32,FALSE))</f>
        <v>#N/A</v>
      </c>
      <c r="BI191" s="442" t="e">
        <f>(VLOOKUP(A191,TradesEquity!$1:$1048576,38,FALSE))</f>
        <v>#N/A</v>
      </c>
      <c r="BJ191" s="442" t="e">
        <f>(VLOOKUP(A191,TradesEquity!$1:$1048576,39,FALSE))</f>
        <v>#N/A</v>
      </c>
      <c r="BK191" s="442" t="e">
        <f>(VLOOKUP(A191,TradesEquity!$1:$1048576,40,FALSE))</f>
        <v>#N/A</v>
      </c>
    </row>
    <row r="192" spans="1:63">
      <c r="A192" s="502">
        <f t="shared" ref="A192:A204" si="7">(A191+1)</f>
        <v>2019200439</v>
      </c>
      <c r="D192" s="432" t="s">
        <v>2027</v>
      </c>
      <c r="F192" s="433">
        <f>VLOOKUP(A192,TradesEquity!$1:$1048576,2,FALSE)</f>
        <v>44264</v>
      </c>
      <c r="H192" s="433">
        <f>VLOOKUP(A192,TradesEquity!$1:$1048576,21,FALSE)</f>
        <v>44266</v>
      </c>
      <c r="I192" s="434" t="str">
        <f>IF(VLOOKUP(A192,TradesEquity!$1:$1048576,3,FALSE)="BUY","B","S")</f>
        <v>S</v>
      </c>
      <c r="J192" s="434" t="str">
        <f>VLOOKUP(A192,TradesEquity!$1:$1048576,5,FALSE)</f>
        <v>KR7086520004</v>
      </c>
      <c r="K192" s="432" t="s">
        <v>19</v>
      </c>
      <c r="L192" s="435" t="s">
        <v>2028</v>
      </c>
      <c r="AE192" s="436" t="str">
        <f>VLOOKUP(A192,TradesEquity!$1:$1048576,10,FALSE)</f>
        <v>KRW</v>
      </c>
      <c r="AF192" s="436" t="str">
        <f t="shared" si="6"/>
        <v>KRW</v>
      </c>
      <c r="AG192" s="436" t="str">
        <f t="shared" si="6"/>
        <v>KRW</v>
      </c>
      <c r="AH192" s="436" t="str">
        <f t="shared" si="6"/>
        <v>KRW</v>
      </c>
      <c r="AI192" s="436">
        <f>ABS(VLOOKUP(A192,TradesEquity!$1:$1048576,13,FALSE))</f>
        <v>2390</v>
      </c>
      <c r="AJ192" s="437">
        <v>0</v>
      </c>
      <c r="AK192" s="437">
        <v>1</v>
      </c>
      <c r="AL192" s="436">
        <f>VLOOKUP(A192,TradesEquity!$1:$1048576,11,FALSE)</f>
        <v>64285.188300000002</v>
      </c>
      <c r="AM192" s="437">
        <v>1</v>
      </c>
      <c r="AN192" s="436">
        <f>ABS(VLOOKUP(A192,TradesEquity!$1:$1048576,14,FALSE))</f>
        <v>153641600.037</v>
      </c>
      <c r="AO192" s="436">
        <f>ABS(VLOOKUP(A192,TradesEquity!$1:$1048576,15,FALSE))</f>
        <v>230462</v>
      </c>
      <c r="AP192" s="438">
        <f>ABS(VLOOKUP(A192,TradesEquity!$1:$1048576,16,FALSE))</f>
        <v>353361</v>
      </c>
      <c r="AQ192" s="367">
        <v>0</v>
      </c>
      <c r="AR192" s="367">
        <v>0</v>
      </c>
      <c r="AS192" s="367">
        <v>0</v>
      </c>
      <c r="AT192" s="367">
        <v>0</v>
      </c>
      <c r="AU192" s="367">
        <v>0</v>
      </c>
      <c r="AV192" s="438">
        <f>ABS(VLOOKUP(A192,TradesEquity!$1:$1048576,18,FALSE))</f>
        <v>153057777.037</v>
      </c>
      <c r="AW192" s="439">
        <v>0</v>
      </c>
      <c r="AX192" s="440">
        <v>4542</v>
      </c>
      <c r="AY192" s="441" t="s">
        <v>2029</v>
      </c>
      <c r="AZ192" s="442" t="e">
        <f>(VLOOKUP(A192,TradesEquity!$1:$1048576,29,FALSE))</f>
        <v>#N/A</v>
      </c>
      <c r="BA192" s="442" t="e">
        <f>(VLOOKUP(A192,TradesEquity!$1:$1048576,30,FALSE))</f>
        <v>#N/A</v>
      </c>
      <c r="BB192" s="442" t="e">
        <f>(VLOOKUP(A192,TradesEquity!$1:$1048576,31,FALSE))</f>
        <v>#N/A</v>
      </c>
      <c r="BC192" s="442" t="e">
        <f>(VLOOKUP(A192,TradesEquity!$1:$1048576,32,FALSE))</f>
        <v>#N/A</v>
      </c>
      <c r="BI192" s="442" t="e">
        <f>(VLOOKUP(A192,TradesEquity!$1:$1048576,38,FALSE))</f>
        <v>#N/A</v>
      </c>
      <c r="BJ192" s="442" t="e">
        <f>(VLOOKUP(A192,TradesEquity!$1:$1048576,39,FALSE))</f>
        <v>#N/A</v>
      </c>
      <c r="BK192" s="442" t="e">
        <f>(VLOOKUP(A192,TradesEquity!$1:$1048576,40,FALSE))</f>
        <v>#N/A</v>
      </c>
    </row>
    <row r="193" spans="1:63">
      <c r="A193" s="502">
        <f t="shared" si="7"/>
        <v>2019200440</v>
      </c>
      <c r="D193" s="432" t="s">
        <v>2027</v>
      </c>
      <c r="F193" s="433">
        <f>VLOOKUP(A193,TradesEquity!$1:$1048576,2,FALSE)</f>
        <v>44264</v>
      </c>
      <c r="H193" s="433">
        <f>VLOOKUP(A193,TradesEquity!$1:$1048576,21,FALSE)</f>
        <v>44266</v>
      </c>
      <c r="I193" s="434" t="str">
        <f>IF(VLOOKUP(A193,TradesEquity!$1:$1048576,3,FALSE)="BUY","B","S")</f>
        <v>S</v>
      </c>
      <c r="J193" s="434" t="str">
        <f>VLOOKUP(A193,TradesEquity!$1:$1048576,5,FALSE)</f>
        <v>KR7005070008</v>
      </c>
      <c r="K193" s="432" t="s">
        <v>19</v>
      </c>
      <c r="L193" s="435" t="s">
        <v>2028</v>
      </c>
      <c r="AE193" s="436" t="str">
        <f>VLOOKUP(A193,TradesEquity!$1:$1048576,10,FALSE)</f>
        <v>KRW</v>
      </c>
      <c r="AF193" s="436" t="str">
        <f t="shared" si="6"/>
        <v>KRW</v>
      </c>
      <c r="AG193" s="436" t="str">
        <f t="shared" si="6"/>
        <v>KRW</v>
      </c>
      <c r="AH193" s="436" t="str">
        <f t="shared" si="6"/>
        <v>KRW</v>
      </c>
      <c r="AI193" s="436">
        <f>ABS(VLOOKUP(A193,TradesEquity!$1:$1048576,13,FALSE))</f>
        <v>8355</v>
      </c>
      <c r="AJ193" s="437">
        <v>0</v>
      </c>
      <c r="AK193" s="437">
        <v>1</v>
      </c>
      <c r="AL193" s="436">
        <f>VLOOKUP(A193,TradesEquity!$1:$1048576,11,FALSE)</f>
        <v>17759.7965</v>
      </c>
      <c r="AM193" s="437">
        <v>1</v>
      </c>
      <c r="AN193" s="436">
        <f>ABS(VLOOKUP(A193,TradesEquity!$1:$1048576,14,FALSE))</f>
        <v>148383099.75749999</v>
      </c>
      <c r="AO193" s="436">
        <f>ABS(VLOOKUP(A193,TradesEquity!$1:$1048576,15,FALSE))</f>
        <v>222575</v>
      </c>
      <c r="AP193" s="438">
        <f>ABS(VLOOKUP(A193,TradesEquity!$1:$1048576,16,FALSE))</f>
        <v>341212</v>
      </c>
      <c r="AQ193" s="367">
        <v>0</v>
      </c>
      <c r="AR193" s="367">
        <v>0</v>
      </c>
      <c r="AS193" s="367">
        <v>0</v>
      </c>
      <c r="AT193" s="367">
        <v>0</v>
      </c>
      <c r="AU193" s="367">
        <v>0</v>
      </c>
      <c r="AV193" s="438">
        <f>ABS(VLOOKUP(A193,TradesEquity!$1:$1048576,18,FALSE))</f>
        <v>147819312.75749999</v>
      </c>
      <c r="AW193" s="439">
        <v>0</v>
      </c>
      <c r="AX193" s="440">
        <v>4542</v>
      </c>
      <c r="AY193" s="441" t="s">
        <v>2029</v>
      </c>
      <c r="AZ193" s="442" t="e">
        <f>(VLOOKUP(A193,TradesEquity!$1:$1048576,29,FALSE))</f>
        <v>#N/A</v>
      </c>
      <c r="BA193" s="442" t="e">
        <f>(VLOOKUP(A193,TradesEquity!$1:$1048576,30,FALSE))</f>
        <v>#N/A</v>
      </c>
      <c r="BB193" s="442" t="e">
        <f>(VLOOKUP(A193,TradesEquity!$1:$1048576,31,FALSE))</f>
        <v>#N/A</v>
      </c>
      <c r="BC193" s="442" t="e">
        <f>(VLOOKUP(A193,TradesEquity!$1:$1048576,32,FALSE))</f>
        <v>#N/A</v>
      </c>
      <c r="BI193" s="442" t="e">
        <f>(VLOOKUP(A193,TradesEquity!$1:$1048576,38,FALSE))</f>
        <v>#N/A</v>
      </c>
      <c r="BJ193" s="442" t="e">
        <f>(VLOOKUP(A193,TradesEquity!$1:$1048576,39,FALSE))</f>
        <v>#N/A</v>
      </c>
      <c r="BK193" s="442" t="e">
        <f>(VLOOKUP(A193,TradesEquity!$1:$1048576,40,FALSE))</f>
        <v>#N/A</v>
      </c>
    </row>
    <row r="194" spans="1:63">
      <c r="A194" s="502">
        <f t="shared" si="7"/>
        <v>2019200441</v>
      </c>
      <c r="D194" s="432" t="s">
        <v>2027</v>
      </c>
      <c r="F194" s="433">
        <f>VLOOKUP(A194,TradesEquity!$1:$1048576,2,FALSE)</f>
        <v>44264</v>
      </c>
      <c r="H194" s="433">
        <f>VLOOKUP(A194,TradesEquity!$1:$1048576,21,FALSE)</f>
        <v>44266</v>
      </c>
      <c r="I194" s="434" t="str">
        <f>IF(VLOOKUP(A194,TradesEquity!$1:$1048576,3,FALSE)="BUY","B","S")</f>
        <v>B</v>
      </c>
      <c r="J194" s="434" t="str">
        <f>VLOOKUP(A194,TradesEquity!$1:$1048576,5,FALSE)</f>
        <v>JP3627400009</v>
      </c>
      <c r="K194" s="432" t="s">
        <v>19</v>
      </c>
      <c r="L194" s="435" t="s">
        <v>2028</v>
      </c>
      <c r="AE194" s="436" t="str">
        <f>VLOOKUP(A194,TradesEquity!$1:$1048576,10,FALSE)</f>
        <v>JPY</v>
      </c>
      <c r="AF194" s="436" t="str">
        <f t="shared" si="6"/>
        <v>JPY</v>
      </c>
      <c r="AG194" s="436" t="str">
        <f t="shared" si="6"/>
        <v>JPY</v>
      </c>
      <c r="AH194" s="436" t="str">
        <f t="shared" si="6"/>
        <v>JPY</v>
      </c>
      <c r="AI194" s="436">
        <f>ABS(VLOOKUP(A194,TradesEquity!$1:$1048576,13,FALSE))</f>
        <v>3900</v>
      </c>
      <c r="AJ194" s="437">
        <v>0</v>
      </c>
      <c r="AK194" s="437">
        <v>1</v>
      </c>
      <c r="AL194" s="436">
        <f>VLOOKUP(A194,TradesEquity!$1:$1048576,11,FALSE)</f>
        <v>2098.8435899999999</v>
      </c>
      <c r="AM194" s="437">
        <v>1</v>
      </c>
      <c r="AN194" s="436">
        <f>ABS(VLOOKUP(A194,TradesEquity!$1:$1048576,14,FALSE))</f>
        <v>8185490.0010000002</v>
      </c>
      <c r="AO194" s="436">
        <f>ABS(VLOOKUP(A194,TradesEquity!$1:$1048576,15,FALSE))</f>
        <v>4911</v>
      </c>
      <c r="AP194" s="438">
        <f>ABS(VLOOKUP(A194,TradesEquity!$1:$1048576,16,FALSE))</f>
        <v>0</v>
      </c>
      <c r="AQ194" s="367">
        <v>0</v>
      </c>
      <c r="AR194" s="367">
        <v>0</v>
      </c>
      <c r="AS194" s="367">
        <v>0</v>
      </c>
      <c r="AT194" s="367">
        <v>0</v>
      </c>
      <c r="AU194" s="367">
        <v>0</v>
      </c>
      <c r="AV194" s="438">
        <f>ABS(VLOOKUP(A194,TradesEquity!$1:$1048576,18,FALSE))</f>
        <v>8190401.0010000002</v>
      </c>
      <c r="AW194" s="439">
        <v>0</v>
      </c>
      <c r="AX194" s="440">
        <v>4542</v>
      </c>
      <c r="AY194" s="441" t="s">
        <v>2029</v>
      </c>
      <c r="AZ194" s="442" t="str">
        <f>(VLOOKUP(A194,TradesEquity!$1:$1048576,29,FALSE))</f>
        <v>GSILGB2XXXX</v>
      </c>
      <c r="BA194" s="442" t="str">
        <f>(VLOOKUP(A194,TradesEquity!$1:$1048576,30,FALSE))</f>
        <v>JJSDJPJTXXX</v>
      </c>
      <c r="BB194" s="442">
        <f>(VLOOKUP(A194,TradesEquity!$1:$1048576,31,FALSE))</f>
        <v>6530490016</v>
      </c>
      <c r="BC194" s="442" t="str">
        <f>(VLOOKUP(A194,TradesEquity!$1:$1048576,32,FALSE))</f>
        <v>N</v>
      </c>
      <c r="BI194" s="442" t="str">
        <f>(VLOOKUP(A194,TradesEquity!$1:$1048576,38,FALSE))</f>
        <v xml:space="preserve">                  </v>
      </c>
      <c r="BJ194" s="442" t="str">
        <f>(VLOOKUP(A194,TradesEquity!$1:$1048576,39,FALSE))</f>
        <v xml:space="preserve">                          </v>
      </c>
      <c r="BK194" s="442" t="str">
        <f>(VLOOKUP(A194,TradesEquity!$1:$1048576,40,FALSE))</f>
        <v>GOLDJPJXXXX</v>
      </c>
    </row>
    <row r="195" spans="1:63">
      <c r="A195" s="502">
        <f t="shared" si="7"/>
        <v>2019200442</v>
      </c>
      <c r="D195" s="432" t="s">
        <v>2027</v>
      </c>
      <c r="F195" s="433">
        <f>VLOOKUP(A195,TradesEquity!$1:$1048576,2,FALSE)</f>
        <v>44264</v>
      </c>
      <c r="H195" s="433">
        <f>VLOOKUP(A195,TradesEquity!$1:$1048576,21,FALSE)</f>
        <v>44266</v>
      </c>
      <c r="I195" s="434" t="str">
        <f>IF(VLOOKUP(A195,TradesEquity!$1:$1048576,3,FALSE)="BUY","B","S")</f>
        <v>B</v>
      </c>
      <c r="J195" s="434" t="str">
        <f>VLOOKUP(A195,TradesEquity!$1:$1048576,5,FALSE)</f>
        <v>CNE100001TJ4</v>
      </c>
      <c r="K195" s="432" t="s">
        <v>19</v>
      </c>
      <c r="L195" s="435" t="s">
        <v>2028</v>
      </c>
      <c r="AE195" s="436" t="str">
        <f>VLOOKUP(A195,TradesEquity!$1:$1048576,10,FALSE)</f>
        <v>HKD</v>
      </c>
      <c r="AF195" s="436" t="str">
        <f t="shared" si="6"/>
        <v>HKD</v>
      </c>
      <c r="AG195" s="436" t="str">
        <f t="shared" si="6"/>
        <v>HKD</v>
      </c>
      <c r="AH195" s="436" t="str">
        <f t="shared" si="6"/>
        <v>HKD</v>
      </c>
      <c r="AI195" s="436">
        <f>ABS(VLOOKUP(A195,TradesEquity!$1:$1048576,13,FALSE))</f>
        <v>570000</v>
      </c>
      <c r="AJ195" s="437">
        <v>0</v>
      </c>
      <c r="AK195" s="437">
        <v>1</v>
      </c>
      <c r="AL195" s="436">
        <f>VLOOKUP(A195,TradesEquity!$1:$1048576,11,FALSE)</f>
        <v>2.6724559999999999</v>
      </c>
      <c r="AM195" s="437">
        <v>1</v>
      </c>
      <c r="AN195" s="436">
        <f>ABS(VLOOKUP(A195,TradesEquity!$1:$1048576,14,FALSE))</f>
        <v>1523299.92</v>
      </c>
      <c r="AO195" s="436">
        <f>ABS(VLOOKUP(A195,TradesEquity!$1:$1048576,15,FALSE))</f>
        <v>913.98</v>
      </c>
      <c r="AP195" s="438">
        <f>ABS(VLOOKUP(A195,TradesEquity!$1:$1048576,16,FALSE))</f>
        <v>1640.59</v>
      </c>
      <c r="AQ195" s="367">
        <v>0</v>
      </c>
      <c r="AR195" s="367">
        <v>0</v>
      </c>
      <c r="AS195" s="367">
        <v>0</v>
      </c>
      <c r="AT195" s="367">
        <v>0</v>
      </c>
      <c r="AU195" s="367">
        <v>0</v>
      </c>
      <c r="AV195" s="438">
        <f>ABS(VLOOKUP(A195,TradesEquity!$1:$1048576,18,FALSE))</f>
        <v>1525854.49</v>
      </c>
      <c r="AW195" s="439">
        <v>0</v>
      </c>
      <c r="AX195" s="440">
        <v>4542</v>
      </c>
      <c r="AY195" s="441" t="s">
        <v>2029</v>
      </c>
      <c r="AZ195" s="442" t="str">
        <f>(VLOOKUP(A195,TradesEquity!$1:$1048576,29,FALSE))</f>
        <v>GSILGB2XXXX</v>
      </c>
      <c r="BA195" s="442" t="str">
        <f>(VLOOKUP(A195,TradesEquity!$1:$1048576,30,FALSE))</f>
        <v>XHKCHKH1XXX</v>
      </c>
      <c r="BB195" s="442" t="str">
        <f>(VLOOKUP(A195,TradesEquity!$1:$1048576,31,FALSE))</f>
        <v xml:space="preserve">        </v>
      </c>
      <c r="BC195" s="442" t="str">
        <f>(VLOOKUP(A195,TradesEquity!$1:$1048576,32,FALSE))</f>
        <v>N</v>
      </c>
      <c r="BI195" s="442" t="str">
        <f>(VLOOKUP(A195,TradesEquity!$1:$1048576,38,FALSE))</f>
        <v>CCASS</v>
      </c>
      <c r="BJ195" s="442" t="str">
        <f>(VLOOKUP(A195,TradesEquity!$1:$1048576,39,FALSE))</f>
        <v>B01451</v>
      </c>
      <c r="BK195" s="442" t="str">
        <f>(VLOOKUP(A195,TradesEquity!$1:$1048576,40,FALSE))</f>
        <v>GSASHKH1XX</v>
      </c>
    </row>
    <row r="196" spans="1:63">
      <c r="A196" s="502">
        <f t="shared" si="7"/>
        <v>2019200443</v>
      </c>
      <c r="D196" s="432" t="s">
        <v>2027</v>
      </c>
      <c r="F196" s="433">
        <f>VLOOKUP(A196,TradesEquity!$1:$1048576,2,FALSE)</f>
        <v>44265</v>
      </c>
      <c r="H196" s="433">
        <f>VLOOKUP(A196,TradesEquity!$1:$1048576,21,FALSE)</f>
        <v>44267</v>
      </c>
      <c r="I196" s="434" t="str">
        <f>IF(VLOOKUP(A196,TradesEquity!$1:$1048576,3,FALSE)="BUY","B","S")</f>
        <v>B</v>
      </c>
      <c r="J196" s="434" t="str">
        <f>VLOOKUP(A196,TradesEquity!$1:$1048576,5,FALSE)</f>
        <v>AU000000WSA9</v>
      </c>
      <c r="K196" s="432" t="s">
        <v>19</v>
      </c>
      <c r="L196" s="435" t="s">
        <v>2028</v>
      </c>
      <c r="AE196" s="436" t="str">
        <f>VLOOKUP(A196,TradesEquity!$1:$1048576,10,FALSE)</f>
        <v>AUD</v>
      </c>
      <c r="AF196" s="436" t="str">
        <f t="shared" si="6"/>
        <v>AUD</v>
      </c>
      <c r="AG196" s="436" t="str">
        <f t="shared" si="6"/>
        <v>AUD</v>
      </c>
      <c r="AH196" s="436" t="str">
        <f t="shared" si="6"/>
        <v>AUD</v>
      </c>
      <c r="AI196" s="436">
        <f>ABS(VLOOKUP(A196,TradesEquity!$1:$1048576,13,FALSE))</f>
        <v>80000</v>
      </c>
      <c r="AJ196" s="437">
        <v>0</v>
      </c>
      <c r="AK196" s="437">
        <v>1</v>
      </c>
      <c r="AL196" s="436">
        <f>VLOOKUP(A196,TradesEquity!$1:$1048576,11,FALSE)</f>
        <v>2.1118410000000001</v>
      </c>
      <c r="AM196" s="437">
        <v>1</v>
      </c>
      <c r="AN196" s="436">
        <f>ABS(VLOOKUP(A196,TradesEquity!$1:$1048576,14,FALSE))</f>
        <v>168947.28</v>
      </c>
      <c r="AO196" s="436">
        <f>ABS(VLOOKUP(A196,TradesEquity!$1:$1048576,15,FALSE))</f>
        <v>101.37</v>
      </c>
      <c r="AP196" s="438">
        <f>ABS(VLOOKUP(A196,TradesEquity!$1:$1048576,16,FALSE))</f>
        <v>0</v>
      </c>
      <c r="AQ196" s="367">
        <v>0</v>
      </c>
      <c r="AR196" s="367">
        <v>0</v>
      </c>
      <c r="AS196" s="367">
        <v>0</v>
      </c>
      <c r="AT196" s="367">
        <v>0</v>
      </c>
      <c r="AU196" s="367">
        <v>0</v>
      </c>
      <c r="AV196" s="438">
        <f>ABS(VLOOKUP(A196,TradesEquity!$1:$1048576,18,FALSE))</f>
        <v>169048.65</v>
      </c>
      <c r="AW196" s="439">
        <v>0</v>
      </c>
      <c r="AX196" s="440">
        <v>4542</v>
      </c>
      <c r="AY196" s="441" t="s">
        <v>2029</v>
      </c>
      <c r="AZ196" s="442" t="str">
        <f>(VLOOKUP(A196,TradesEquity!$1:$1048576,29,FALSE))</f>
        <v>GSILGB2XXXX</v>
      </c>
      <c r="BA196" s="442" t="str">
        <f>(VLOOKUP(A196,TradesEquity!$1:$1048576,30,FALSE))</f>
        <v>CAETAU21</v>
      </c>
      <c r="BB196" s="442" t="str">
        <f>(VLOOKUP(A196,TradesEquity!$1:$1048576,31,FALSE))</f>
        <v>011-109048-061</v>
      </c>
      <c r="BC196" s="442" t="str">
        <f>(VLOOKUP(A196,TradesEquity!$1:$1048576,32,FALSE))</f>
        <v>N</v>
      </c>
      <c r="BI196" s="442" t="str">
        <f>(VLOOKUP(A196,TradesEquity!$1:$1048576,38,FALSE))</f>
        <v xml:space="preserve">        </v>
      </c>
      <c r="BJ196" s="442" t="str">
        <f>(VLOOKUP(A196,TradesEquity!$1:$1048576,39,FALSE))</f>
        <v xml:space="preserve">        </v>
      </c>
      <c r="BK196" s="442" t="str">
        <f>(VLOOKUP(A196,TradesEquity!$1:$1048576,40,FALSE))</f>
        <v>HKBAAU2SSYD</v>
      </c>
    </row>
    <row r="197" spans="1:63">
      <c r="A197" s="502">
        <f t="shared" si="7"/>
        <v>2019200444</v>
      </c>
      <c r="D197" s="432" t="s">
        <v>2027</v>
      </c>
      <c r="F197" s="433">
        <f>VLOOKUP(A197,TradesEquity!$1:$1048576,2,FALSE)</f>
        <v>44266</v>
      </c>
      <c r="H197" s="433">
        <f>VLOOKUP(A197,TradesEquity!$1:$1048576,21,FALSE)</f>
        <v>44270</v>
      </c>
      <c r="I197" s="434" t="str">
        <f>IF(VLOOKUP(A197,TradesEquity!$1:$1048576,3,FALSE)="BUY","B","S")</f>
        <v>S</v>
      </c>
      <c r="J197" s="434" t="str">
        <f>VLOOKUP(A197,TradesEquity!$1:$1048576,5,FALSE)</f>
        <v>DE0007664005</v>
      </c>
      <c r="K197" s="432" t="s">
        <v>19</v>
      </c>
      <c r="L197" s="435" t="s">
        <v>2028</v>
      </c>
      <c r="AE197" s="436" t="str">
        <f>VLOOKUP(A197,TradesEquity!$1:$1048576,10,FALSE)</f>
        <v>EUR</v>
      </c>
      <c r="AF197" s="436" t="str">
        <f t="shared" si="6"/>
        <v>EUR</v>
      </c>
      <c r="AG197" s="436" t="str">
        <f t="shared" si="6"/>
        <v>EUR</v>
      </c>
      <c r="AH197" s="436" t="str">
        <f t="shared" si="6"/>
        <v>EUR</v>
      </c>
      <c r="AI197" s="436">
        <f>ABS(VLOOKUP(A197,TradesEquity!$1:$1048576,13,FALSE))</f>
        <v>790</v>
      </c>
      <c r="AJ197" s="437">
        <v>0</v>
      </c>
      <c r="AK197" s="437">
        <v>1</v>
      </c>
      <c r="AL197" s="436">
        <f>VLOOKUP(A197,TradesEquity!$1:$1048576,11,FALSE)</f>
        <v>230.8</v>
      </c>
      <c r="AM197" s="437">
        <v>1</v>
      </c>
      <c r="AN197" s="436">
        <f>ABS(VLOOKUP(A197,TradesEquity!$1:$1048576,14,FALSE))</f>
        <v>182332</v>
      </c>
      <c r="AO197" s="436">
        <f>ABS(VLOOKUP(A197,TradesEquity!$1:$1048576,15,FALSE))</f>
        <v>109.4</v>
      </c>
      <c r="AP197" s="438">
        <f>ABS(VLOOKUP(A197,TradesEquity!$1:$1048576,16,FALSE))</f>
        <v>0</v>
      </c>
      <c r="AQ197" s="367">
        <v>0</v>
      </c>
      <c r="AR197" s="367">
        <v>0</v>
      </c>
      <c r="AS197" s="367">
        <v>0</v>
      </c>
      <c r="AT197" s="367">
        <v>0</v>
      </c>
      <c r="AU197" s="367">
        <v>0</v>
      </c>
      <c r="AV197" s="438">
        <f>ABS(VLOOKUP(A197,TradesEquity!$1:$1048576,18,FALSE))</f>
        <v>182222.6</v>
      </c>
      <c r="AW197" s="439">
        <v>0</v>
      </c>
      <c r="AX197" s="440">
        <v>4542</v>
      </c>
      <c r="AY197" s="441" t="s">
        <v>2029</v>
      </c>
      <c r="AZ197" s="442" t="e">
        <f>(VLOOKUP(A197,TradesEquity!$1:$1048576,29,FALSE))</f>
        <v>#N/A</v>
      </c>
      <c r="BA197" s="442" t="e">
        <f>(VLOOKUP(A197,TradesEquity!$1:$1048576,30,FALSE))</f>
        <v>#N/A</v>
      </c>
      <c r="BB197" s="442" t="e">
        <f>(VLOOKUP(A197,TradesEquity!$1:$1048576,31,FALSE))</f>
        <v>#N/A</v>
      </c>
      <c r="BC197" s="442" t="e">
        <f>(VLOOKUP(A197,TradesEquity!$1:$1048576,32,FALSE))</f>
        <v>#N/A</v>
      </c>
      <c r="BI197" s="442" t="e">
        <f>(VLOOKUP(A197,TradesEquity!$1:$1048576,38,FALSE))</f>
        <v>#N/A</v>
      </c>
      <c r="BJ197" s="442" t="e">
        <f>(VLOOKUP(A197,TradesEquity!$1:$1048576,39,FALSE))</f>
        <v>#N/A</v>
      </c>
      <c r="BK197" s="442" t="e">
        <f>(VLOOKUP(A197,TradesEquity!$1:$1048576,40,FALSE))</f>
        <v>#N/A</v>
      </c>
    </row>
    <row r="198" spans="1:63">
      <c r="A198" s="502">
        <f t="shared" si="7"/>
        <v>2019200445</v>
      </c>
      <c r="D198" s="432" t="s">
        <v>2027</v>
      </c>
      <c r="F198" s="433">
        <f>VLOOKUP(A198,TradesEquity!$1:$1048576,2,FALSE)</f>
        <v>44266</v>
      </c>
      <c r="H198" s="433">
        <f>VLOOKUP(A198,TradesEquity!$1:$1048576,21,FALSE)</f>
        <v>44270</v>
      </c>
      <c r="I198" s="434" t="str">
        <f>IF(VLOOKUP(A198,TradesEquity!$1:$1048576,3,FALSE)="BUY","B","S")</f>
        <v>B</v>
      </c>
      <c r="J198" s="434" t="str">
        <f>VLOOKUP(A198,TradesEquity!$1:$1048576,5,FALSE)</f>
        <v>DE0007664039</v>
      </c>
      <c r="K198" s="432" t="s">
        <v>19</v>
      </c>
      <c r="L198" s="435" t="s">
        <v>2028</v>
      </c>
      <c r="AE198" s="436" t="str">
        <f>VLOOKUP(A198,TradesEquity!$1:$1048576,10,FALSE)</f>
        <v>EUR</v>
      </c>
      <c r="AF198" s="436" t="str">
        <f t="shared" si="6"/>
        <v>EUR</v>
      </c>
      <c r="AG198" s="436" t="str">
        <f t="shared" si="6"/>
        <v>EUR</v>
      </c>
      <c r="AH198" s="436" t="str">
        <f t="shared" si="6"/>
        <v>EUR</v>
      </c>
      <c r="AI198" s="436">
        <f>ABS(VLOOKUP(A198,TradesEquity!$1:$1048576,13,FALSE))</f>
        <v>960</v>
      </c>
      <c r="AJ198" s="437">
        <v>0</v>
      </c>
      <c r="AK198" s="437">
        <v>1</v>
      </c>
      <c r="AL198" s="436">
        <f>VLOOKUP(A198,TradesEquity!$1:$1048576,11,FALSE)</f>
        <v>192.04</v>
      </c>
      <c r="AM198" s="437">
        <v>1</v>
      </c>
      <c r="AN198" s="436">
        <f>ABS(VLOOKUP(A198,TradesEquity!$1:$1048576,14,FALSE))</f>
        <v>184358.39999999999</v>
      </c>
      <c r="AO198" s="436">
        <f>ABS(VLOOKUP(A198,TradesEquity!$1:$1048576,15,FALSE))</f>
        <v>110.62</v>
      </c>
      <c r="AP198" s="438">
        <f>ABS(VLOOKUP(A198,TradesEquity!$1:$1048576,16,FALSE))</f>
        <v>0</v>
      </c>
      <c r="AQ198" s="367">
        <v>0</v>
      </c>
      <c r="AR198" s="367">
        <v>0</v>
      </c>
      <c r="AS198" s="367">
        <v>0</v>
      </c>
      <c r="AT198" s="367">
        <v>0</v>
      </c>
      <c r="AU198" s="367">
        <v>0</v>
      </c>
      <c r="AV198" s="438">
        <f>ABS(VLOOKUP(A198,TradesEquity!$1:$1048576,18,FALSE))</f>
        <v>184469.02</v>
      </c>
      <c r="AW198" s="439">
        <v>0</v>
      </c>
      <c r="AX198" s="440">
        <v>4542</v>
      </c>
      <c r="AY198" s="441" t="s">
        <v>2029</v>
      </c>
      <c r="AZ198" s="442" t="str">
        <f>(VLOOKUP(A198,TradesEquity!$1:$1048576,29,FALSE))</f>
        <v>EMSIITM1XXX</v>
      </c>
      <c r="BA198" s="442" t="str">
        <f>(VLOOKUP(A198,TradesEquity!$1:$1048576,30,FALSE))</f>
        <v>DAKVDEFFXXX</v>
      </c>
      <c r="BB198" s="442" t="str">
        <f>(VLOOKUP(A198,TradesEquity!$1:$1048576,31,FALSE))</f>
        <v>DAKV8135000</v>
      </c>
      <c r="BC198" s="442" t="str">
        <f>(VLOOKUP(A198,TradesEquity!$1:$1048576,32,FALSE))</f>
        <v>N</v>
      </c>
      <c r="BI198" s="442" t="str">
        <f>(VLOOKUP(A198,TradesEquity!$1:$1048576,38,FALSE))</f>
        <v xml:space="preserve">        </v>
      </c>
      <c r="BJ198" s="442" t="str">
        <f>(VLOOKUP(A198,TradesEquity!$1:$1048576,39,FALSE))</f>
        <v xml:space="preserve">        </v>
      </c>
      <c r="BK198" s="442" t="str">
        <f>(VLOOKUP(A198,TradesEquity!$1:$1048576,40,FALSE))</f>
        <v>BCITITMMD03</v>
      </c>
    </row>
    <row r="199" spans="1:63">
      <c r="A199" s="502">
        <f t="shared" si="7"/>
        <v>2019200446</v>
      </c>
      <c r="D199" s="432" t="s">
        <v>2027</v>
      </c>
      <c r="F199" s="433">
        <f>VLOOKUP(A199,TradesEquity!$1:$1048576,2,FALSE)</f>
        <v>44272</v>
      </c>
      <c r="H199" s="433">
        <f>VLOOKUP(A199,TradesEquity!$1:$1048576,21,FALSE)</f>
        <v>44274</v>
      </c>
      <c r="I199" s="434" t="str">
        <f>IF(VLOOKUP(A199,TradesEquity!$1:$1048576,3,FALSE)="BUY","B","S")</f>
        <v>B</v>
      </c>
      <c r="J199" s="434" t="str">
        <f>VLOOKUP(A199,TradesEquity!$1:$1048576,5,FALSE)</f>
        <v>AU000000WSA9</v>
      </c>
      <c r="K199" s="432" t="s">
        <v>19</v>
      </c>
      <c r="L199" s="435" t="s">
        <v>2028</v>
      </c>
      <c r="AE199" s="436" t="str">
        <f>VLOOKUP(A199,TradesEquity!$1:$1048576,10,FALSE)</f>
        <v>AUD</v>
      </c>
      <c r="AF199" s="436" t="str">
        <f t="shared" si="6"/>
        <v>AUD</v>
      </c>
      <c r="AG199" s="436" t="str">
        <f t="shared" si="6"/>
        <v>AUD</v>
      </c>
      <c r="AH199" s="436" t="str">
        <f t="shared" si="6"/>
        <v>AUD</v>
      </c>
      <c r="AI199" s="436">
        <f>ABS(VLOOKUP(A199,TradesEquity!$1:$1048576,13,FALSE))</f>
        <v>70000</v>
      </c>
      <c r="AJ199" s="437">
        <v>0</v>
      </c>
      <c r="AK199" s="437">
        <v>1</v>
      </c>
      <c r="AL199" s="436">
        <f>VLOOKUP(A199,TradesEquity!$1:$1048576,11,FALSE)</f>
        <v>2.03376</v>
      </c>
      <c r="AM199" s="437">
        <v>1</v>
      </c>
      <c r="AN199" s="436">
        <f>ABS(VLOOKUP(A199,TradesEquity!$1:$1048576,14,FALSE))</f>
        <v>142363.20000000001</v>
      </c>
      <c r="AO199" s="436">
        <f>ABS(VLOOKUP(A199,TradesEquity!$1:$1048576,15,FALSE))</f>
        <v>85.42</v>
      </c>
      <c r="AP199" s="438">
        <f>ABS(VLOOKUP(A199,TradesEquity!$1:$1048576,16,FALSE))</f>
        <v>0</v>
      </c>
      <c r="AQ199" s="367">
        <v>0</v>
      </c>
      <c r="AR199" s="367">
        <v>0</v>
      </c>
      <c r="AS199" s="367">
        <v>0</v>
      </c>
      <c r="AT199" s="367">
        <v>0</v>
      </c>
      <c r="AU199" s="367">
        <v>0</v>
      </c>
      <c r="AV199" s="438">
        <f>ABS(VLOOKUP(A199,TradesEquity!$1:$1048576,18,FALSE))</f>
        <v>142448.62000000002</v>
      </c>
      <c r="AW199" s="439">
        <v>0</v>
      </c>
      <c r="AX199" s="440">
        <v>4542</v>
      </c>
      <c r="AY199" s="441" t="s">
        <v>2029</v>
      </c>
      <c r="AZ199" s="442" t="str">
        <f>(VLOOKUP(A199,TradesEquity!$1:$1048576,29,FALSE))</f>
        <v>GSILGB2XXXX</v>
      </c>
      <c r="BA199" s="442" t="str">
        <f>(VLOOKUP(A199,TradesEquity!$1:$1048576,30,FALSE))</f>
        <v>CAETAU21</v>
      </c>
      <c r="BB199" s="442" t="str">
        <f>(VLOOKUP(A199,TradesEquity!$1:$1048576,31,FALSE))</f>
        <v>011-109048-061</v>
      </c>
      <c r="BC199" s="442" t="str">
        <f>(VLOOKUP(A199,TradesEquity!$1:$1048576,32,FALSE))</f>
        <v>N</v>
      </c>
      <c r="BI199" s="442" t="str">
        <f>(VLOOKUP(A199,TradesEquity!$1:$1048576,38,FALSE))</f>
        <v xml:space="preserve">        </v>
      </c>
      <c r="BJ199" s="442" t="str">
        <f>(VLOOKUP(A199,TradesEquity!$1:$1048576,39,FALSE))</f>
        <v xml:space="preserve">        </v>
      </c>
      <c r="BK199" s="442" t="str">
        <f>(VLOOKUP(A199,TradesEquity!$1:$1048576,40,FALSE))</f>
        <v>HKBAAU2SSYD</v>
      </c>
    </row>
    <row r="200" spans="1:63">
      <c r="A200" s="502">
        <f t="shared" si="7"/>
        <v>2019200447</v>
      </c>
      <c r="D200" s="432" t="s">
        <v>2027</v>
      </c>
      <c r="F200" s="433">
        <f>VLOOKUP(A200,TradesEquity!$1:$1048576,2,FALSE)</f>
        <v>44277</v>
      </c>
      <c r="H200" s="433">
        <f>VLOOKUP(A200,TradesEquity!$1:$1048576,21,FALSE)</f>
        <v>44279</v>
      </c>
      <c r="I200" s="434" t="str">
        <f>IF(VLOOKUP(A200,TradesEquity!$1:$1048576,3,FALSE)="BUY","B","S")</f>
        <v>B</v>
      </c>
      <c r="J200" s="434" t="str">
        <f>VLOOKUP(A200,TradesEquity!$1:$1048576,5,FALSE)</f>
        <v>JP3627400009</v>
      </c>
      <c r="K200" s="432" t="s">
        <v>19</v>
      </c>
      <c r="L200" s="435" t="s">
        <v>2028</v>
      </c>
      <c r="AE200" s="436" t="str">
        <f>VLOOKUP(A200,TradesEquity!$1:$1048576,10,FALSE)</f>
        <v>JPY</v>
      </c>
      <c r="AF200" s="436" t="str">
        <f t="shared" si="6"/>
        <v>JPY</v>
      </c>
      <c r="AG200" s="436" t="str">
        <f t="shared" si="6"/>
        <v>JPY</v>
      </c>
      <c r="AH200" s="436" t="str">
        <f t="shared" si="6"/>
        <v>JPY</v>
      </c>
      <c r="AI200" s="436">
        <f>ABS(VLOOKUP(A200,TradesEquity!$1:$1048576,13,FALSE))</f>
        <v>2600</v>
      </c>
      <c r="AJ200" s="437">
        <v>0</v>
      </c>
      <c r="AK200" s="437">
        <v>1</v>
      </c>
      <c r="AL200" s="436">
        <f>VLOOKUP(A200,TradesEquity!$1:$1048576,11,FALSE)</f>
        <v>2243.5</v>
      </c>
      <c r="AM200" s="437">
        <v>1</v>
      </c>
      <c r="AN200" s="436">
        <f>ABS(VLOOKUP(A200,TradesEquity!$1:$1048576,14,FALSE))</f>
        <v>5833100</v>
      </c>
      <c r="AO200" s="436">
        <f>ABS(VLOOKUP(A200,TradesEquity!$1:$1048576,15,FALSE))</f>
        <v>3500</v>
      </c>
      <c r="AP200" s="438">
        <f>ABS(VLOOKUP(A200,TradesEquity!$1:$1048576,16,FALSE))</f>
        <v>0</v>
      </c>
      <c r="AQ200" s="367">
        <v>0</v>
      </c>
      <c r="AR200" s="367">
        <v>0</v>
      </c>
      <c r="AS200" s="367">
        <v>0</v>
      </c>
      <c r="AT200" s="367">
        <v>0</v>
      </c>
      <c r="AU200" s="367">
        <v>0</v>
      </c>
      <c r="AV200" s="438">
        <f>ABS(VLOOKUP(A200,TradesEquity!$1:$1048576,18,FALSE))</f>
        <v>5836600</v>
      </c>
      <c r="AW200" s="439">
        <v>0</v>
      </c>
      <c r="AX200" s="440">
        <v>4542</v>
      </c>
      <c r="AY200" s="441" t="s">
        <v>2029</v>
      </c>
      <c r="AZ200" s="442" t="str">
        <f>(VLOOKUP(A200,TradesEquity!$1:$1048576,29,FALSE))</f>
        <v>GSILGB2XXXX</v>
      </c>
      <c r="BA200" s="442" t="str">
        <f>(VLOOKUP(A200,TradesEquity!$1:$1048576,30,FALSE))</f>
        <v>JJSDJPJTXXX</v>
      </c>
      <c r="BB200" s="442">
        <f>(VLOOKUP(A200,TradesEquity!$1:$1048576,31,FALSE))</f>
        <v>6530490016</v>
      </c>
      <c r="BC200" s="442" t="str">
        <f>(VLOOKUP(A200,TradesEquity!$1:$1048576,32,FALSE))</f>
        <v>N</v>
      </c>
      <c r="BI200" s="442" t="str">
        <f>(VLOOKUP(A200,TradesEquity!$1:$1048576,38,FALSE))</f>
        <v xml:space="preserve">                  </v>
      </c>
      <c r="BJ200" s="442" t="str">
        <f>(VLOOKUP(A200,TradesEquity!$1:$1048576,39,FALSE))</f>
        <v xml:space="preserve">                          </v>
      </c>
      <c r="BK200" s="442" t="str">
        <f>(VLOOKUP(A200,TradesEquity!$1:$1048576,40,FALSE))</f>
        <v>GOLDJPJXXXX</v>
      </c>
    </row>
    <row r="201" spans="1:63">
      <c r="A201" s="502">
        <f t="shared" si="7"/>
        <v>2019200448</v>
      </c>
      <c r="D201" s="432" t="s">
        <v>2027</v>
      </c>
      <c r="F201" s="433">
        <f>VLOOKUP(A201,TradesEquity!$1:$1048576,2,FALSE)</f>
        <v>44278</v>
      </c>
      <c r="H201" s="433">
        <f>VLOOKUP(A201,TradesEquity!$1:$1048576,21,FALSE)</f>
        <v>44280</v>
      </c>
      <c r="I201" s="434" t="str">
        <f>IF(VLOOKUP(A201,TradesEquity!$1:$1048576,3,FALSE)="BUY","B","S")</f>
        <v>B</v>
      </c>
      <c r="J201" s="434" t="str">
        <f>VLOOKUP(A201,TradesEquity!$1:$1048576,5,FALSE)</f>
        <v>FR0013176526</v>
      </c>
      <c r="K201" s="432" t="s">
        <v>19</v>
      </c>
      <c r="L201" s="435" t="s">
        <v>2028</v>
      </c>
      <c r="AE201" s="436" t="str">
        <f>VLOOKUP(A201,TradesEquity!$1:$1048576,10,FALSE)</f>
        <v>EUR</v>
      </c>
      <c r="AF201" s="436" t="str">
        <f t="shared" si="6"/>
        <v>EUR</v>
      </c>
      <c r="AG201" s="436" t="str">
        <f t="shared" si="6"/>
        <v>EUR</v>
      </c>
      <c r="AH201" s="436" t="str">
        <f t="shared" si="6"/>
        <v>EUR</v>
      </c>
      <c r="AI201" s="436">
        <f>ABS(VLOOKUP(A201,TradesEquity!$1:$1048576,13,FALSE))</f>
        <v>5100</v>
      </c>
      <c r="AJ201" s="437">
        <v>0</v>
      </c>
      <c r="AK201" s="437">
        <v>1</v>
      </c>
      <c r="AL201" s="436">
        <f>VLOOKUP(A201,TradesEquity!$1:$1048576,11,FALSE)</f>
        <v>28.1433</v>
      </c>
      <c r="AM201" s="437">
        <v>1</v>
      </c>
      <c r="AN201" s="436">
        <f>ABS(VLOOKUP(A201,TradesEquity!$1:$1048576,14,FALSE))</f>
        <v>143530.82999999999</v>
      </c>
      <c r="AO201" s="436">
        <f>ABS(VLOOKUP(A201,TradesEquity!$1:$1048576,15,FALSE))</f>
        <v>86.12</v>
      </c>
      <c r="AP201" s="438">
        <f>ABS(VLOOKUP(A201,TradesEquity!$1:$1048576,16,FALSE))</f>
        <v>430.59</v>
      </c>
      <c r="AQ201" s="367">
        <v>0</v>
      </c>
      <c r="AR201" s="367">
        <v>0</v>
      </c>
      <c r="AS201" s="367">
        <v>0</v>
      </c>
      <c r="AT201" s="367">
        <v>0</v>
      </c>
      <c r="AU201" s="367">
        <v>0</v>
      </c>
      <c r="AV201" s="438">
        <f>ABS(VLOOKUP(A201,TradesEquity!$1:$1048576,18,FALSE))</f>
        <v>144047.53999999998</v>
      </c>
      <c r="AW201" s="439">
        <v>0</v>
      </c>
      <c r="AX201" s="440">
        <v>4542</v>
      </c>
      <c r="AY201" s="441" t="s">
        <v>2029</v>
      </c>
      <c r="AZ201" s="442" t="e">
        <f>(VLOOKUP(A201,TradesEquity!$1:$1048576,29,FALSE))</f>
        <v>#N/A</v>
      </c>
      <c r="BA201" s="442" t="e">
        <f>(VLOOKUP(A201,TradesEquity!$1:$1048576,30,FALSE))</f>
        <v>#N/A</v>
      </c>
      <c r="BB201" s="442" t="e">
        <f>(VLOOKUP(A201,TradesEquity!$1:$1048576,31,FALSE))</f>
        <v>#N/A</v>
      </c>
      <c r="BC201" s="442" t="e">
        <f>(VLOOKUP(A201,TradesEquity!$1:$1048576,32,FALSE))</f>
        <v>#N/A</v>
      </c>
      <c r="BI201" s="442" t="e">
        <f>(VLOOKUP(A201,TradesEquity!$1:$1048576,38,FALSE))</f>
        <v>#N/A</v>
      </c>
      <c r="BJ201" s="442" t="e">
        <f>(VLOOKUP(A201,TradesEquity!$1:$1048576,39,FALSE))</f>
        <v>#N/A</v>
      </c>
      <c r="BK201" s="442" t="e">
        <f>(VLOOKUP(A201,TradesEquity!$1:$1048576,40,FALSE))</f>
        <v>#N/A</v>
      </c>
    </row>
    <row r="202" spans="1:63">
      <c r="A202" s="502">
        <f t="shared" si="7"/>
        <v>2019200449</v>
      </c>
      <c r="D202" s="432" t="s">
        <v>2027</v>
      </c>
      <c r="F202" s="433">
        <f>VLOOKUP(A202,TradesEquity!$1:$1048576,2,FALSE)</f>
        <v>44279</v>
      </c>
      <c r="H202" s="433">
        <f>VLOOKUP(A202,TradesEquity!$1:$1048576,21,FALSE)</f>
        <v>44281</v>
      </c>
      <c r="I202" s="434" t="str">
        <f>IF(VLOOKUP(A202,TradesEquity!$1:$1048576,3,FALSE)="BUY","B","S")</f>
        <v>B</v>
      </c>
      <c r="J202" s="434" t="str">
        <f>VLOOKUP(A202,TradesEquity!$1:$1048576,5,FALSE)</f>
        <v>FR0013176526</v>
      </c>
      <c r="K202" s="432" t="s">
        <v>19</v>
      </c>
      <c r="L202" s="435" t="s">
        <v>2028</v>
      </c>
      <c r="AE202" s="436" t="str">
        <f>VLOOKUP(A202,TradesEquity!$1:$1048576,10,FALSE)</f>
        <v>EUR</v>
      </c>
      <c r="AF202" s="436" t="str">
        <f t="shared" si="6"/>
        <v>EUR</v>
      </c>
      <c r="AG202" s="436" t="str">
        <f t="shared" si="6"/>
        <v>EUR</v>
      </c>
      <c r="AH202" s="436" t="str">
        <f t="shared" si="6"/>
        <v>EUR</v>
      </c>
      <c r="AI202" s="436">
        <f>ABS(VLOOKUP(A202,TradesEquity!$1:$1048576,13,FALSE))</f>
        <v>5000</v>
      </c>
      <c r="AJ202" s="437">
        <v>0</v>
      </c>
      <c r="AK202" s="437">
        <v>1</v>
      </c>
      <c r="AL202" s="436">
        <f>VLOOKUP(A202,TradesEquity!$1:$1048576,11,FALSE)</f>
        <v>28.3385</v>
      </c>
      <c r="AM202" s="437">
        <v>1</v>
      </c>
      <c r="AN202" s="436">
        <f>ABS(VLOOKUP(A202,TradesEquity!$1:$1048576,14,FALSE))</f>
        <v>141692.5</v>
      </c>
      <c r="AO202" s="436">
        <f>ABS(VLOOKUP(A202,TradesEquity!$1:$1048576,15,FALSE))</f>
        <v>85.02</v>
      </c>
      <c r="AP202" s="438">
        <f>ABS(VLOOKUP(A202,TradesEquity!$1:$1048576,16,FALSE))</f>
        <v>425.08</v>
      </c>
      <c r="AQ202" s="367">
        <v>0</v>
      </c>
      <c r="AR202" s="367">
        <v>0</v>
      </c>
      <c r="AS202" s="367">
        <v>0</v>
      </c>
      <c r="AT202" s="367">
        <v>0</v>
      </c>
      <c r="AU202" s="367">
        <v>0</v>
      </c>
      <c r="AV202" s="438">
        <f>ABS(VLOOKUP(A202,TradesEquity!$1:$1048576,18,FALSE))</f>
        <v>142202.59999999998</v>
      </c>
      <c r="AW202" s="439">
        <v>0</v>
      </c>
      <c r="AX202" s="440">
        <v>4542</v>
      </c>
      <c r="AY202" s="441" t="s">
        <v>2029</v>
      </c>
      <c r="AZ202" s="442" t="e">
        <f>(VLOOKUP(A202,TradesEquity!$1:$1048576,29,FALSE))</f>
        <v>#N/A</v>
      </c>
      <c r="BA202" s="442" t="e">
        <f>(VLOOKUP(A202,TradesEquity!$1:$1048576,30,FALSE))</f>
        <v>#N/A</v>
      </c>
      <c r="BB202" s="442" t="e">
        <f>(VLOOKUP(A202,TradesEquity!$1:$1048576,31,FALSE))</f>
        <v>#N/A</v>
      </c>
      <c r="BC202" s="442" t="e">
        <f>(VLOOKUP(A202,TradesEquity!$1:$1048576,32,FALSE))</f>
        <v>#N/A</v>
      </c>
      <c r="BI202" s="442" t="e">
        <f>(VLOOKUP(A202,TradesEquity!$1:$1048576,38,FALSE))</f>
        <v>#N/A</v>
      </c>
      <c r="BJ202" s="442" t="e">
        <f>(VLOOKUP(A202,TradesEquity!$1:$1048576,39,FALSE))</f>
        <v>#N/A</v>
      </c>
      <c r="BK202" s="442" t="e">
        <f>(VLOOKUP(A202,TradesEquity!$1:$1048576,40,FALSE))</f>
        <v>#N/A</v>
      </c>
    </row>
    <row r="203" spans="1:63">
      <c r="A203" s="502">
        <f t="shared" si="7"/>
        <v>2019200450</v>
      </c>
      <c r="D203" s="432" t="s">
        <v>2027</v>
      </c>
      <c r="F203" s="433">
        <f>VLOOKUP(A203,TradesEquity!$1:$1048576,2,FALSE)</f>
        <v>44280</v>
      </c>
      <c r="H203" s="433">
        <f>VLOOKUP(A203,TradesEquity!$1:$1048576,21,FALSE)</f>
        <v>44284</v>
      </c>
      <c r="I203" s="434" t="str">
        <f>IF(VLOOKUP(A203,TradesEquity!$1:$1048576,3,FALSE)="BUY","B","S")</f>
        <v>B</v>
      </c>
      <c r="J203" s="434" t="str">
        <f>VLOOKUP(A203,TradesEquity!$1:$1048576,5,FALSE)</f>
        <v>CNE100001TJ4</v>
      </c>
      <c r="K203" s="432" t="s">
        <v>19</v>
      </c>
      <c r="L203" s="435" t="s">
        <v>2028</v>
      </c>
      <c r="AE203" s="436" t="str">
        <f>VLOOKUP(A203,TradesEquity!$1:$1048576,10,FALSE)</f>
        <v>HKD</v>
      </c>
      <c r="AF203" s="436" t="str">
        <f t="shared" si="6"/>
        <v>HKD</v>
      </c>
      <c r="AG203" s="436" t="str">
        <f t="shared" si="6"/>
        <v>HKD</v>
      </c>
      <c r="AH203" s="436" t="str">
        <f t="shared" si="6"/>
        <v>HKD</v>
      </c>
      <c r="AI203" s="436">
        <f>ABS(VLOOKUP(A203,TradesEquity!$1:$1048576,13,FALSE))</f>
        <v>330000</v>
      </c>
      <c r="AJ203" s="437">
        <v>0</v>
      </c>
      <c r="AK203" s="437">
        <v>1</v>
      </c>
      <c r="AL203" s="436">
        <f>VLOOKUP(A203,TradesEquity!$1:$1048576,11,FALSE)</f>
        <v>2.5767730000000002</v>
      </c>
      <c r="AM203" s="437">
        <v>1</v>
      </c>
      <c r="AN203" s="436">
        <f>ABS(VLOOKUP(A203,TradesEquity!$1:$1048576,14,FALSE))</f>
        <v>850335.09000000008</v>
      </c>
      <c r="AO203" s="436">
        <f>ABS(VLOOKUP(A203,TradesEquity!$1:$1048576,15,FALSE))</f>
        <v>510.2</v>
      </c>
      <c r="AP203" s="438">
        <f>ABS(VLOOKUP(A203,TradesEquity!$1:$1048576,16,FALSE))</f>
        <v>915.82</v>
      </c>
      <c r="AQ203" s="367">
        <v>0</v>
      </c>
      <c r="AR203" s="367">
        <v>0</v>
      </c>
      <c r="AS203" s="367">
        <v>0</v>
      </c>
      <c r="AT203" s="367">
        <v>0</v>
      </c>
      <c r="AU203" s="367">
        <v>0</v>
      </c>
      <c r="AV203" s="438">
        <f>ABS(VLOOKUP(A203,TradesEquity!$1:$1048576,18,FALSE))</f>
        <v>851761.11</v>
      </c>
      <c r="AW203" s="439">
        <v>0</v>
      </c>
      <c r="AX203" s="440">
        <v>4542</v>
      </c>
      <c r="AY203" s="441" t="s">
        <v>2029</v>
      </c>
      <c r="AZ203" s="442" t="str">
        <f>(VLOOKUP(A203,TradesEquity!$1:$1048576,29,FALSE))</f>
        <v>GSILGB2XXXX</v>
      </c>
      <c r="BA203" s="442" t="str">
        <f>(VLOOKUP(A203,TradesEquity!$1:$1048576,30,FALSE))</f>
        <v>XHKCHKH1XXX</v>
      </c>
      <c r="BB203" s="442" t="str">
        <f>(VLOOKUP(A203,TradesEquity!$1:$1048576,31,FALSE))</f>
        <v xml:space="preserve">        </v>
      </c>
      <c r="BC203" s="442" t="str">
        <f>(VLOOKUP(A203,TradesEquity!$1:$1048576,32,FALSE))</f>
        <v>N</v>
      </c>
      <c r="BI203" s="442" t="str">
        <f>(VLOOKUP(A203,TradesEquity!$1:$1048576,38,FALSE))</f>
        <v>CCASS</v>
      </c>
      <c r="BJ203" s="442" t="str">
        <f>(VLOOKUP(A203,TradesEquity!$1:$1048576,39,FALSE))</f>
        <v>B01451</v>
      </c>
      <c r="BK203" s="442" t="str">
        <f>(VLOOKUP(A203,TradesEquity!$1:$1048576,40,FALSE))</f>
        <v>GSASHKH1XX</v>
      </c>
    </row>
    <row r="204" spans="1:63">
      <c r="A204" s="502">
        <f t="shared" si="7"/>
        <v>2019200451</v>
      </c>
      <c r="D204" s="432" t="s">
        <v>2027</v>
      </c>
      <c r="F204" s="433">
        <f>VLOOKUP(A204,TradesEquity!$1:$1048576,2,FALSE)</f>
        <v>44280</v>
      </c>
      <c r="H204" s="433">
        <f>VLOOKUP(A204,TradesEquity!$1:$1048576,21,FALSE)</f>
        <v>44284</v>
      </c>
      <c r="I204" s="434" t="str">
        <f>IF(VLOOKUP(A204,TradesEquity!$1:$1048576,3,FALSE)="BUY","B","S")</f>
        <v>B</v>
      </c>
      <c r="J204" s="434" t="str">
        <f>VLOOKUP(A204,TradesEquity!$1:$1048576,5,FALSE)</f>
        <v>JP3332600000</v>
      </c>
      <c r="K204" s="432" t="s">
        <v>19</v>
      </c>
      <c r="L204" s="435" t="s">
        <v>2028</v>
      </c>
      <c r="AE204" s="436" t="str">
        <f>VLOOKUP(A204,TradesEquity!$1:$1048576,10,FALSE)</f>
        <v>JPY</v>
      </c>
      <c r="AF204" s="436" t="str">
        <f t="shared" si="6"/>
        <v>JPY</v>
      </c>
      <c r="AG204" s="436" t="str">
        <f t="shared" si="6"/>
        <v>JPY</v>
      </c>
      <c r="AH204" s="436" t="str">
        <f t="shared" si="6"/>
        <v>JPY</v>
      </c>
      <c r="AI204" s="436">
        <f>ABS(VLOOKUP(A204,TradesEquity!$1:$1048576,13,FALSE))</f>
        <v>9100</v>
      </c>
      <c r="AJ204" s="437">
        <v>0</v>
      </c>
      <c r="AK204" s="437">
        <v>1</v>
      </c>
      <c r="AL204" s="436">
        <f>VLOOKUP(A204,TradesEquity!$1:$1048576,11,FALSE)</f>
        <v>825.39340700000002</v>
      </c>
      <c r="AM204" s="437">
        <v>1</v>
      </c>
      <c r="AN204" s="436">
        <f>ABS(VLOOKUP(A204,TradesEquity!$1:$1048576,14,FALSE))</f>
        <v>7511080.0037000002</v>
      </c>
      <c r="AO204" s="436">
        <f>ABS(VLOOKUP(A204,TradesEquity!$1:$1048576,15,FALSE))</f>
        <v>4507</v>
      </c>
      <c r="AP204" s="438">
        <f>ABS(VLOOKUP(A204,TradesEquity!$1:$1048576,16,FALSE))</f>
        <v>0</v>
      </c>
      <c r="AQ204" s="367">
        <v>0</v>
      </c>
      <c r="AR204" s="367">
        <v>0</v>
      </c>
      <c r="AS204" s="367">
        <v>0</v>
      </c>
      <c r="AT204" s="367">
        <v>0</v>
      </c>
      <c r="AU204" s="367">
        <v>0</v>
      </c>
      <c r="AV204" s="438">
        <f>ABS(VLOOKUP(A204,TradesEquity!$1:$1048576,18,FALSE))</f>
        <v>7515587.0037000002</v>
      </c>
      <c r="AW204" s="439">
        <v>0</v>
      </c>
      <c r="AX204" s="440">
        <v>4542</v>
      </c>
      <c r="AY204" s="441" t="s">
        <v>2029</v>
      </c>
      <c r="AZ204" s="442" t="str">
        <f>(VLOOKUP(A204,TradesEquity!$1:$1048576,29,FALSE))</f>
        <v>GSILGB2XXXX</v>
      </c>
      <c r="BA204" s="442" t="str">
        <f>(VLOOKUP(A204,TradesEquity!$1:$1048576,30,FALSE))</f>
        <v>JJSDJPJTXXX</v>
      </c>
      <c r="BB204" s="442">
        <f>(VLOOKUP(A204,TradesEquity!$1:$1048576,31,FALSE))</f>
        <v>6530490016</v>
      </c>
      <c r="BC204" s="442" t="str">
        <f>(VLOOKUP(A204,TradesEquity!$1:$1048576,32,FALSE))</f>
        <v>N</v>
      </c>
      <c r="BI204" s="442" t="str">
        <f>(VLOOKUP(A204,TradesEquity!$1:$1048576,38,FALSE))</f>
        <v xml:space="preserve">                  </v>
      </c>
      <c r="BJ204" s="442" t="str">
        <f>(VLOOKUP(A204,TradesEquity!$1:$1048576,39,FALSE))</f>
        <v xml:space="preserve">                          </v>
      </c>
      <c r="BK204" s="442" t="str">
        <f>(VLOOKUP(A204,TradesEquity!$1:$1048576,40,FALSE))</f>
        <v>GOLDJPJXXXX</v>
      </c>
    </row>
    <row r="205" spans="1:63">
      <c r="A205" s="502">
        <v>2019200452</v>
      </c>
      <c r="D205" s="432" t="s">
        <v>2027</v>
      </c>
      <c r="F205" s="433">
        <f>VLOOKUP(A205,TradesEquity!$1:$1048576,2,FALSE)</f>
        <v>44280</v>
      </c>
      <c r="H205" s="433">
        <f>VLOOKUP(A205,TradesEquity!$1:$1048576,21,FALSE)</f>
        <v>44284</v>
      </c>
      <c r="I205" s="434" t="str">
        <f>IF(VLOOKUP(A205,TradesEquity!$1:$1048576,3,FALSE)="BUY","B","S")</f>
        <v>B</v>
      </c>
      <c r="J205" s="434" t="str">
        <f>VLOOKUP(A205,TradesEquity!$1:$1048576,5,FALSE)</f>
        <v>DE0005439004</v>
      </c>
      <c r="K205" s="432" t="s">
        <v>19</v>
      </c>
      <c r="L205" s="435" t="s">
        <v>2028</v>
      </c>
      <c r="AE205" s="436" t="str">
        <f>VLOOKUP(A205,TradesEquity!$1:$1048576,10,FALSE)</f>
        <v>EUR</v>
      </c>
      <c r="AF205" s="436" t="str">
        <f t="shared" si="6"/>
        <v>EUR</v>
      </c>
      <c r="AG205" s="436" t="str">
        <f t="shared" si="6"/>
        <v>EUR</v>
      </c>
      <c r="AH205" s="436" t="str">
        <f t="shared" si="6"/>
        <v>EUR</v>
      </c>
      <c r="AI205" s="436">
        <f>ABS(VLOOKUP(A205,TradesEquity!$1:$1048576,13,FALSE))</f>
        <v>1090</v>
      </c>
      <c r="AJ205" s="437">
        <v>0</v>
      </c>
      <c r="AK205" s="437">
        <v>1</v>
      </c>
      <c r="AL205" s="436">
        <f>VLOOKUP(A205,TradesEquity!$1:$1048576,11,FALSE)</f>
        <v>111.36279999999999</v>
      </c>
      <c r="AM205" s="437">
        <v>1</v>
      </c>
      <c r="AN205" s="436">
        <f>ABS(VLOOKUP(A205,TradesEquity!$1:$1048576,14,FALSE))</f>
        <v>121385.45199999999</v>
      </c>
      <c r="AO205" s="436">
        <f>ABS(VLOOKUP(A205,TradesEquity!$1:$1048576,15,FALSE))</f>
        <v>72.83</v>
      </c>
      <c r="AP205" s="438">
        <f>ABS(VLOOKUP(A205,TradesEquity!$1:$1048576,16,FALSE))</f>
        <v>0</v>
      </c>
      <c r="AQ205" s="367">
        <v>0</v>
      </c>
      <c r="AR205" s="367">
        <v>0</v>
      </c>
      <c r="AS205" s="367">
        <v>0</v>
      </c>
      <c r="AT205" s="367">
        <v>0</v>
      </c>
      <c r="AU205" s="367">
        <v>0</v>
      </c>
      <c r="AV205" s="438">
        <f>ABS(VLOOKUP(A205,TradesEquity!$1:$1048576,18,FALSE))</f>
        <v>121458.28199999999</v>
      </c>
      <c r="AW205" s="439">
        <v>0</v>
      </c>
      <c r="AX205" s="440">
        <v>4542</v>
      </c>
      <c r="AY205" s="441" t="s">
        <v>2029</v>
      </c>
      <c r="AZ205" s="442" t="str">
        <f>(VLOOKUP(A205,TradesEquity!$1:$1048576,29,FALSE))</f>
        <v>EMSIITM1XXX</v>
      </c>
      <c r="BA205" s="442" t="str">
        <f>(VLOOKUP(A205,TradesEquity!$1:$1048576,30,FALSE))</f>
        <v>DAKVDEFFXXX</v>
      </c>
      <c r="BB205" s="442" t="str">
        <f>(VLOOKUP(A205,TradesEquity!$1:$1048576,31,FALSE))</f>
        <v>DAKV8135000</v>
      </c>
      <c r="BC205" s="442" t="str">
        <f>(VLOOKUP(A205,TradesEquity!$1:$1048576,32,FALSE))</f>
        <v>N</v>
      </c>
      <c r="BI205" s="442" t="str">
        <f>(VLOOKUP(A205,TradesEquity!$1:$1048576,38,FALSE))</f>
        <v xml:space="preserve">        </v>
      </c>
      <c r="BJ205" s="442" t="str">
        <f>(VLOOKUP(A205,TradesEquity!$1:$1048576,39,FALSE))</f>
        <v xml:space="preserve">        </v>
      </c>
      <c r="BK205" s="442" t="str">
        <f>(VLOOKUP(A205,TradesEquity!$1:$1048576,40,FALSE))</f>
        <v>BCITITMMD03</v>
      </c>
    </row>
    <row r="206" spans="1:63">
      <c r="A206" s="502">
        <f t="shared" ref="A206:A215" si="8">(A205+1)</f>
        <v>2019200453</v>
      </c>
      <c r="D206" s="432" t="s">
        <v>2027</v>
      </c>
      <c r="F206" s="433">
        <f>VLOOKUP(A206,TradesEquity!$1:$1048576,2,FALSE)</f>
        <v>44293</v>
      </c>
      <c r="H206" s="433">
        <f>VLOOKUP(A206,TradesEquity!$1:$1048576,21,FALSE)</f>
        <v>44295</v>
      </c>
      <c r="I206" s="434" t="str">
        <f>IF(VLOOKUP(A206,TradesEquity!$1:$1048576,3,FALSE)="BUY","B","S")</f>
        <v>S</v>
      </c>
      <c r="J206" s="434" t="str">
        <f>VLOOKUP(A206,TradesEquity!$1:$1048576,5,FALSE)</f>
        <v>JP3592200004</v>
      </c>
      <c r="K206" s="432" t="s">
        <v>19</v>
      </c>
      <c r="L206" s="435" t="s">
        <v>2028</v>
      </c>
      <c r="AE206" s="436" t="str">
        <f>VLOOKUP(A206,TradesEquity!$1:$1048576,10,FALSE)</f>
        <v>JPY</v>
      </c>
      <c r="AF206" s="436" t="str">
        <f t="shared" si="6"/>
        <v>JPY</v>
      </c>
      <c r="AG206" s="436" t="str">
        <f t="shared" si="6"/>
        <v>JPY</v>
      </c>
      <c r="AH206" s="436" t="str">
        <f t="shared" si="6"/>
        <v>JPY</v>
      </c>
      <c r="AI206" s="436">
        <f>ABS(VLOOKUP(A206,TradesEquity!$1:$1048576,13,FALSE))</f>
        <v>22000</v>
      </c>
      <c r="AJ206" s="437">
        <v>0</v>
      </c>
      <c r="AK206" s="437">
        <v>1</v>
      </c>
      <c r="AL206" s="436">
        <f>VLOOKUP(A206,TradesEquity!$1:$1048576,11,FALSE)</f>
        <v>4530</v>
      </c>
      <c r="AM206" s="437">
        <v>1</v>
      </c>
      <c r="AN206" s="436">
        <f>ABS(VLOOKUP(A206,TradesEquity!$1:$1048576,14,FALSE))</f>
        <v>99660000</v>
      </c>
      <c r="AO206" s="436">
        <f>ABS(VLOOKUP(A206,TradesEquity!$1:$1048576,15,FALSE))</f>
        <v>59796</v>
      </c>
      <c r="AP206" s="438">
        <f>ABS(VLOOKUP(A206,TradesEquity!$1:$1048576,16,FALSE))</f>
        <v>0</v>
      </c>
      <c r="AQ206" s="367">
        <v>0</v>
      </c>
      <c r="AR206" s="367">
        <v>0</v>
      </c>
      <c r="AS206" s="367">
        <v>0</v>
      </c>
      <c r="AT206" s="367">
        <v>0</v>
      </c>
      <c r="AU206" s="367">
        <v>0</v>
      </c>
      <c r="AV206" s="438">
        <f>ABS(VLOOKUP(A206,TradesEquity!$1:$1048576,18,FALSE))</f>
        <v>99600204</v>
      </c>
      <c r="AW206" s="439">
        <v>0</v>
      </c>
      <c r="AX206" s="440">
        <v>4542</v>
      </c>
      <c r="AY206" s="441" t="s">
        <v>2029</v>
      </c>
      <c r="AZ206" s="442" t="str">
        <f>(VLOOKUP(A206,TradesEquity!$1:$1048576,29,FALSE))</f>
        <v>GSILGB2XXXX</v>
      </c>
      <c r="BA206" s="442" t="str">
        <f>(VLOOKUP(A206,TradesEquity!$1:$1048576,30,FALSE))</f>
        <v>JJSDJPJTXXX</v>
      </c>
      <c r="BB206" s="442">
        <f>(VLOOKUP(A206,TradesEquity!$1:$1048576,31,FALSE))</f>
        <v>6530490016</v>
      </c>
      <c r="BC206" s="442" t="str">
        <f>(VLOOKUP(A206,TradesEquity!$1:$1048576,32,FALSE))</f>
        <v>N</v>
      </c>
      <c r="BI206" s="442" t="str">
        <f>(VLOOKUP(A206,TradesEquity!$1:$1048576,38,FALSE))</f>
        <v xml:space="preserve">                  </v>
      </c>
      <c r="BJ206" s="442" t="str">
        <f>(VLOOKUP(A206,TradesEquity!$1:$1048576,39,FALSE))</f>
        <v xml:space="preserve">                          </v>
      </c>
      <c r="BK206" s="442" t="str">
        <f>(VLOOKUP(A206,TradesEquity!$1:$1048576,40,FALSE))</f>
        <v>GOLDJPJXXXX</v>
      </c>
    </row>
    <row r="207" spans="1:63">
      <c r="A207" s="502">
        <f t="shared" si="8"/>
        <v>2019200454</v>
      </c>
      <c r="D207" s="432" t="s">
        <v>2027</v>
      </c>
      <c r="F207" s="433">
        <f>VLOOKUP(A207,TradesEquity!$1:$1048576,2,FALSE)</f>
        <v>44293</v>
      </c>
      <c r="H207" s="433">
        <f>VLOOKUP(A207,TradesEquity!$1:$1048576,21,FALSE)</f>
        <v>44295</v>
      </c>
      <c r="I207" s="434" t="str">
        <f>IF(VLOOKUP(A207,TradesEquity!$1:$1048576,3,FALSE)="BUY","B","S")</f>
        <v>B</v>
      </c>
      <c r="J207" s="434" t="str">
        <f>VLOOKUP(A207,TradesEquity!$1:$1048576,5,FALSE)</f>
        <v>JP3332600000</v>
      </c>
      <c r="K207" s="432" t="s">
        <v>19</v>
      </c>
      <c r="L207" s="435" t="s">
        <v>2028</v>
      </c>
      <c r="AE207" s="436" t="str">
        <f>VLOOKUP(A207,TradesEquity!$1:$1048576,10,FALSE)</f>
        <v>JPY</v>
      </c>
      <c r="AF207" s="436" t="str">
        <f t="shared" si="6"/>
        <v>JPY</v>
      </c>
      <c r="AG207" s="436" t="str">
        <f t="shared" si="6"/>
        <v>JPY</v>
      </c>
      <c r="AH207" s="436" t="str">
        <f t="shared" si="6"/>
        <v>JPY</v>
      </c>
      <c r="AI207" s="436">
        <f>ABS(VLOOKUP(A207,TradesEquity!$1:$1048576,13,FALSE))</f>
        <v>2800</v>
      </c>
      <c r="AJ207" s="437">
        <v>0</v>
      </c>
      <c r="AK207" s="437">
        <v>1</v>
      </c>
      <c r="AL207" s="436">
        <f>VLOOKUP(A207,TradesEquity!$1:$1048576,11,FALSE)</f>
        <v>824.11785699999996</v>
      </c>
      <c r="AM207" s="437">
        <v>1</v>
      </c>
      <c r="AN207" s="436">
        <f>ABS(VLOOKUP(A207,TradesEquity!$1:$1048576,14,FALSE))</f>
        <v>2307529.9995999997</v>
      </c>
      <c r="AO207" s="436">
        <f>ABS(VLOOKUP(A207,TradesEquity!$1:$1048576,15,FALSE))</f>
        <v>1385</v>
      </c>
      <c r="AP207" s="438">
        <f>ABS(VLOOKUP(A207,TradesEquity!$1:$1048576,16,FALSE))</f>
        <v>0</v>
      </c>
      <c r="AQ207" s="367">
        <v>0</v>
      </c>
      <c r="AR207" s="367">
        <v>0</v>
      </c>
      <c r="AS207" s="367">
        <v>0</v>
      </c>
      <c r="AT207" s="367">
        <v>0</v>
      </c>
      <c r="AU207" s="367">
        <v>0</v>
      </c>
      <c r="AV207" s="438">
        <f>ABS(VLOOKUP(A207,TradesEquity!$1:$1048576,18,FALSE))</f>
        <v>2308914.9995999997</v>
      </c>
      <c r="AW207" s="439">
        <v>0</v>
      </c>
      <c r="AX207" s="440">
        <v>4542</v>
      </c>
      <c r="AY207" s="441" t="s">
        <v>2029</v>
      </c>
      <c r="AZ207" s="442" t="str">
        <f>(VLOOKUP(A207,TradesEquity!$1:$1048576,29,FALSE))</f>
        <v>GSILGB2XXXX</v>
      </c>
      <c r="BA207" s="442" t="str">
        <f>(VLOOKUP(A207,TradesEquity!$1:$1048576,30,FALSE))</f>
        <v>JJSDJPJTXXX</v>
      </c>
      <c r="BB207" s="442">
        <f>(VLOOKUP(A207,TradesEquity!$1:$1048576,31,FALSE))</f>
        <v>6530490016</v>
      </c>
      <c r="BC207" s="442" t="str">
        <f>(VLOOKUP(A207,TradesEquity!$1:$1048576,32,FALSE))</f>
        <v>N</v>
      </c>
      <c r="BI207" s="442" t="str">
        <f>(VLOOKUP(A207,TradesEquity!$1:$1048576,38,FALSE))</f>
        <v xml:space="preserve">                  </v>
      </c>
      <c r="BJ207" s="442" t="str">
        <f>(VLOOKUP(A207,TradesEquity!$1:$1048576,39,FALSE))</f>
        <v xml:space="preserve">                          </v>
      </c>
      <c r="BK207" s="442" t="str">
        <f>(VLOOKUP(A207,TradesEquity!$1:$1048576,40,FALSE))</f>
        <v>GOLDJPJXXXX</v>
      </c>
    </row>
    <row r="208" spans="1:63">
      <c r="A208" s="502">
        <f t="shared" si="8"/>
        <v>2019200455</v>
      </c>
      <c r="D208" s="432" t="s">
        <v>2027</v>
      </c>
      <c r="F208" s="433">
        <f>VLOOKUP(A208,TradesEquity!$1:$1048576,2,FALSE)</f>
        <v>44294</v>
      </c>
      <c r="H208" s="433">
        <f>VLOOKUP(A208,TradesEquity!$1:$1048576,21,FALSE)</f>
        <v>44298</v>
      </c>
      <c r="I208" s="434" t="str">
        <f>IF(VLOOKUP(A208,TradesEquity!$1:$1048576,3,FALSE)="BUY","B","S")</f>
        <v>B</v>
      </c>
      <c r="J208" s="434" t="str">
        <f>VLOOKUP(A208,TradesEquity!$1:$1048576,5,FALSE)</f>
        <v>JP3544000007</v>
      </c>
      <c r="K208" s="432" t="s">
        <v>19</v>
      </c>
      <c r="L208" s="435" t="s">
        <v>2028</v>
      </c>
      <c r="AE208" s="436" t="str">
        <f>VLOOKUP(A208,TradesEquity!$1:$1048576,10,FALSE)</f>
        <v>JPY</v>
      </c>
      <c r="AF208" s="436" t="str">
        <f t="shared" si="6"/>
        <v>JPY</v>
      </c>
      <c r="AG208" s="436" t="str">
        <f t="shared" si="6"/>
        <v>JPY</v>
      </c>
      <c r="AH208" s="436" t="str">
        <f t="shared" si="6"/>
        <v>JPY</v>
      </c>
      <c r="AI208" s="436">
        <f>ABS(VLOOKUP(A208,TradesEquity!$1:$1048576,13,FALSE))</f>
        <v>11600</v>
      </c>
      <c r="AJ208" s="437">
        <v>0</v>
      </c>
      <c r="AK208" s="437">
        <v>1</v>
      </c>
      <c r="AL208" s="436">
        <f>VLOOKUP(A208,TradesEquity!$1:$1048576,11,FALSE)</f>
        <v>1876.63607</v>
      </c>
      <c r="AM208" s="437">
        <v>1</v>
      </c>
      <c r="AN208" s="436">
        <f>ABS(VLOOKUP(A208,TradesEquity!$1:$1048576,14,FALSE))</f>
        <v>21768978.412</v>
      </c>
      <c r="AO208" s="436">
        <f>ABS(VLOOKUP(A208,TradesEquity!$1:$1048576,15,FALSE))</f>
        <v>13061</v>
      </c>
      <c r="AP208" s="438">
        <f>ABS(VLOOKUP(A208,TradesEquity!$1:$1048576,16,FALSE))</f>
        <v>0</v>
      </c>
      <c r="AQ208" s="367">
        <v>0</v>
      </c>
      <c r="AR208" s="367">
        <v>0</v>
      </c>
      <c r="AS208" s="367">
        <v>0</v>
      </c>
      <c r="AT208" s="367">
        <v>0</v>
      </c>
      <c r="AU208" s="367">
        <v>0</v>
      </c>
      <c r="AV208" s="438">
        <f>ABS(VLOOKUP(A208,TradesEquity!$1:$1048576,18,FALSE))</f>
        <v>21782039.412</v>
      </c>
      <c r="AW208" s="439">
        <v>0</v>
      </c>
      <c r="AX208" s="440">
        <v>4542</v>
      </c>
      <c r="AY208" s="441" t="s">
        <v>2029</v>
      </c>
      <c r="AZ208" s="442" t="str">
        <f>(VLOOKUP(A208,TradesEquity!$1:$1048576,29,FALSE))</f>
        <v>GSILGB2XXXX</v>
      </c>
      <c r="BA208" s="442" t="str">
        <f>(VLOOKUP(A208,TradesEquity!$1:$1048576,30,FALSE))</f>
        <v>JJSDJPJTXXX</v>
      </c>
      <c r="BB208" s="442">
        <f>(VLOOKUP(A208,TradesEquity!$1:$1048576,31,FALSE))</f>
        <v>6530490016</v>
      </c>
      <c r="BC208" s="442" t="str">
        <f>(VLOOKUP(A208,TradesEquity!$1:$1048576,32,FALSE))</f>
        <v>N</v>
      </c>
      <c r="BI208" s="442" t="str">
        <f>(VLOOKUP(A208,TradesEquity!$1:$1048576,38,FALSE))</f>
        <v xml:space="preserve">                  </v>
      </c>
      <c r="BJ208" s="442" t="str">
        <f>(VLOOKUP(A208,TradesEquity!$1:$1048576,39,FALSE))</f>
        <v xml:space="preserve">                          </v>
      </c>
      <c r="BK208" s="442" t="str">
        <f>(VLOOKUP(A208,TradesEquity!$1:$1048576,40,FALSE))</f>
        <v>GOLDJPJXXXX</v>
      </c>
    </row>
    <row r="209" spans="1:63">
      <c r="A209" s="502">
        <f t="shared" si="8"/>
        <v>2019200456</v>
      </c>
      <c r="D209" s="432" t="s">
        <v>2027</v>
      </c>
      <c r="F209" s="433">
        <f>VLOOKUP(A209,TradesEquity!$1:$1048576,2,FALSE)</f>
        <v>44294</v>
      </c>
      <c r="H209" s="433">
        <f>VLOOKUP(A209,TradesEquity!$1:$1048576,21,FALSE)</f>
        <v>44298</v>
      </c>
      <c r="I209" s="434" t="str">
        <f>IF(VLOOKUP(A209,TradesEquity!$1:$1048576,3,FALSE)="BUY","B","S")</f>
        <v>S</v>
      </c>
      <c r="J209" s="434" t="str">
        <f>VLOOKUP(A209,TradesEquity!$1:$1048576,5,FALSE)</f>
        <v>JP3111200006</v>
      </c>
      <c r="K209" s="432" t="s">
        <v>19</v>
      </c>
      <c r="L209" s="435" t="s">
        <v>2028</v>
      </c>
      <c r="AE209" s="436" t="str">
        <f>VLOOKUP(A209,TradesEquity!$1:$1048576,10,FALSE)</f>
        <v>JPY</v>
      </c>
      <c r="AF209" s="436" t="str">
        <f t="shared" si="6"/>
        <v>JPY</v>
      </c>
      <c r="AG209" s="436" t="str">
        <f t="shared" si="6"/>
        <v>JPY</v>
      </c>
      <c r="AH209" s="436" t="str">
        <f t="shared" si="6"/>
        <v>JPY</v>
      </c>
      <c r="AI209" s="436">
        <f>ABS(VLOOKUP(A209,TradesEquity!$1:$1048576,13,FALSE))</f>
        <v>17600</v>
      </c>
      <c r="AJ209" s="437">
        <v>0</v>
      </c>
      <c r="AK209" s="437">
        <v>1</v>
      </c>
      <c r="AL209" s="436">
        <f>VLOOKUP(A209,TradesEquity!$1:$1048576,11,FALSE)</f>
        <v>1232.67983</v>
      </c>
      <c r="AM209" s="437">
        <v>1</v>
      </c>
      <c r="AN209" s="436">
        <f>ABS(VLOOKUP(A209,TradesEquity!$1:$1048576,14,FALSE))</f>
        <v>21695165.008000001</v>
      </c>
      <c r="AO209" s="436">
        <f>ABS(VLOOKUP(A209,TradesEquity!$1:$1048576,15,FALSE))</f>
        <v>13017</v>
      </c>
      <c r="AP209" s="438">
        <f>ABS(VLOOKUP(A209,TradesEquity!$1:$1048576,16,FALSE))</f>
        <v>0</v>
      </c>
      <c r="AQ209" s="367">
        <v>0</v>
      </c>
      <c r="AR209" s="367">
        <v>0</v>
      </c>
      <c r="AS209" s="367">
        <v>0</v>
      </c>
      <c r="AT209" s="367">
        <v>0</v>
      </c>
      <c r="AU209" s="367">
        <v>0</v>
      </c>
      <c r="AV209" s="438">
        <f>ABS(VLOOKUP(A209,TradesEquity!$1:$1048576,18,FALSE))</f>
        <v>21682148.008000001</v>
      </c>
      <c r="AW209" s="439">
        <v>0</v>
      </c>
      <c r="AX209" s="440">
        <v>4542</v>
      </c>
      <c r="AY209" s="441" t="s">
        <v>2029</v>
      </c>
      <c r="AZ209" s="442" t="str">
        <f>(VLOOKUP(A209,TradesEquity!$1:$1048576,29,FALSE))</f>
        <v>GSILGB2XXXX</v>
      </c>
      <c r="BA209" s="442" t="str">
        <f>(VLOOKUP(A209,TradesEquity!$1:$1048576,30,FALSE))</f>
        <v>JJSDJPJTXXX</v>
      </c>
      <c r="BB209" s="442">
        <f>(VLOOKUP(A209,TradesEquity!$1:$1048576,31,FALSE))</f>
        <v>6530490016</v>
      </c>
      <c r="BC209" s="442" t="str">
        <f>(VLOOKUP(A209,TradesEquity!$1:$1048576,32,FALSE))</f>
        <v>N</v>
      </c>
      <c r="BI209" s="442" t="str">
        <f>(VLOOKUP(A209,TradesEquity!$1:$1048576,38,FALSE))</f>
        <v xml:space="preserve">                  </v>
      </c>
      <c r="BJ209" s="442" t="str">
        <f>(VLOOKUP(A209,TradesEquity!$1:$1048576,39,FALSE))</f>
        <v xml:space="preserve">                          </v>
      </c>
      <c r="BK209" s="442" t="str">
        <f>(VLOOKUP(A209,TradesEquity!$1:$1048576,40,FALSE))</f>
        <v>GOLDJPJXXXX</v>
      </c>
    </row>
    <row r="210" spans="1:63">
      <c r="A210" s="502">
        <f t="shared" si="8"/>
        <v>2019200457</v>
      </c>
      <c r="D210" s="432" t="s">
        <v>2027</v>
      </c>
      <c r="F210" s="433">
        <f>VLOOKUP(A210,TradesEquity!$1:$1048576,2,FALSE)</f>
        <v>44299</v>
      </c>
      <c r="H210" s="433">
        <f>VLOOKUP(A210,TradesEquity!$1:$1048576,21,FALSE)</f>
        <v>44301</v>
      </c>
      <c r="I210" s="434" t="str">
        <f>IF(VLOOKUP(A210,TradesEquity!$1:$1048576,3,FALSE)="BUY","B","S")</f>
        <v>B</v>
      </c>
      <c r="J210" s="434" t="str">
        <f>VLOOKUP(A210,TradesEquity!$1:$1048576,5,FALSE)</f>
        <v>JP3866800000</v>
      </c>
      <c r="K210" s="432" t="s">
        <v>19</v>
      </c>
      <c r="L210" s="435" t="s">
        <v>2028</v>
      </c>
      <c r="AE210" s="436" t="str">
        <f>VLOOKUP(A210,TradesEquity!$1:$1048576,10,FALSE)</f>
        <v>JPY</v>
      </c>
      <c r="AF210" s="436" t="str">
        <f t="shared" si="6"/>
        <v>JPY</v>
      </c>
      <c r="AG210" s="436" t="str">
        <f t="shared" si="6"/>
        <v>JPY</v>
      </c>
      <c r="AH210" s="436" t="str">
        <f t="shared" si="6"/>
        <v>JPY</v>
      </c>
      <c r="AI210" s="436">
        <f>ABS(VLOOKUP(A210,TradesEquity!$1:$1048576,13,FALSE))</f>
        <v>5000</v>
      </c>
      <c r="AJ210" s="437">
        <v>0</v>
      </c>
      <c r="AK210" s="437">
        <v>1</v>
      </c>
      <c r="AL210" s="436">
        <f>VLOOKUP(A210,TradesEquity!$1:$1048576,11,FALSE)</f>
        <v>1397.6220000000001</v>
      </c>
      <c r="AM210" s="437">
        <v>1</v>
      </c>
      <c r="AN210" s="436">
        <f>ABS(VLOOKUP(A210,TradesEquity!$1:$1048576,14,FALSE))</f>
        <v>6988110</v>
      </c>
      <c r="AO210" s="436">
        <f>ABS(VLOOKUP(A210,TradesEquity!$1:$1048576,15,FALSE))</f>
        <v>4193</v>
      </c>
      <c r="AP210" s="438">
        <f>ABS(VLOOKUP(A210,TradesEquity!$1:$1048576,16,FALSE))</f>
        <v>0</v>
      </c>
      <c r="AQ210" s="367">
        <v>0</v>
      </c>
      <c r="AR210" s="367">
        <v>0</v>
      </c>
      <c r="AS210" s="367">
        <v>0</v>
      </c>
      <c r="AT210" s="367">
        <v>0</v>
      </c>
      <c r="AU210" s="367">
        <v>0</v>
      </c>
      <c r="AV210" s="438">
        <f>ABS(VLOOKUP(A210,TradesEquity!$1:$1048576,18,FALSE))</f>
        <v>6992303</v>
      </c>
      <c r="AW210" s="439">
        <v>0</v>
      </c>
      <c r="AX210" s="440">
        <v>4542</v>
      </c>
      <c r="AY210" s="441" t="s">
        <v>2029</v>
      </c>
      <c r="AZ210" s="442" t="str">
        <f>(VLOOKUP(A210,TradesEquity!$1:$1048576,29,FALSE))</f>
        <v>GSILGB2XXXX</v>
      </c>
      <c r="BA210" s="442" t="str">
        <f>(VLOOKUP(A210,TradesEquity!$1:$1048576,30,FALSE))</f>
        <v>JJSDJPJTXXX</v>
      </c>
      <c r="BB210" s="442">
        <f>(VLOOKUP(A210,TradesEquity!$1:$1048576,31,FALSE))</f>
        <v>6530490016</v>
      </c>
      <c r="BC210" s="442" t="str">
        <f>(VLOOKUP(A210,TradesEquity!$1:$1048576,32,FALSE))</f>
        <v>N</v>
      </c>
      <c r="BI210" s="442" t="str">
        <f>(VLOOKUP(A210,TradesEquity!$1:$1048576,38,FALSE))</f>
        <v xml:space="preserve">                  </v>
      </c>
      <c r="BJ210" s="442" t="str">
        <f>(VLOOKUP(A210,TradesEquity!$1:$1048576,39,FALSE))</f>
        <v xml:space="preserve">                          </v>
      </c>
      <c r="BK210" s="442" t="str">
        <f>(VLOOKUP(A210,TradesEquity!$1:$1048576,40,FALSE))</f>
        <v>GOLDJPJXXXX</v>
      </c>
    </row>
    <row r="211" spans="1:63">
      <c r="A211" s="502">
        <f t="shared" si="8"/>
        <v>2019200458</v>
      </c>
      <c r="D211" s="432" t="s">
        <v>2027</v>
      </c>
      <c r="F211" s="433">
        <f>VLOOKUP(A211,TradesEquity!$1:$1048576,2,FALSE)</f>
        <v>44299</v>
      </c>
      <c r="H211" s="433">
        <f>VLOOKUP(A211,TradesEquity!$1:$1048576,21,FALSE)</f>
        <v>44301</v>
      </c>
      <c r="I211" s="434" t="str">
        <f>IF(VLOOKUP(A211,TradesEquity!$1:$1048576,3,FALSE)="BUY","B","S")</f>
        <v>B</v>
      </c>
      <c r="J211" s="434" t="str">
        <f>VLOOKUP(A211,TradesEquity!$1:$1048576,5,FALSE)</f>
        <v>FR0013176526</v>
      </c>
      <c r="K211" s="432" t="s">
        <v>19</v>
      </c>
      <c r="L211" s="435" t="s">
        <v>2028</v>
      </c>
      <c r="AE211" s="436" t="str">
        <f>VLOOKUP(A211,TradesEquity!$1:$1048576,10,FALSE)</f>
        <v>EUR</v>
      </c>
      <c r="AF211" s="436" t="str">
        <f t="shared" si="6"/>
        <v>EUR</v>
      </c>
      <c r="AG211" s="436" t="str">
        <f t="shared" si="6"/>
        <v>EUR</v>
      </c>
      <c r="AH211" s="436" t="str">
        <f t="shared" si="6"/>
        <v>EUR</v>
      </c>
      <c r="AI211" s="436">
        <f>ABS(VLOOKUP(A211,TradesEquity!$1:$1048576,13,FALSE))</f>
        <v>4200</v>
      </c>
      <c r="AJ211" s="437">
        <v>0</v>
      </c>
      <c r="AK211" s="437">
        <v>1</v>
      </c>
      <c r="AL211" s="436">
        <f>VLOOKUP(A211,TradesEquity!$1:$1048576,11,FALSE)</f>
        <v>27.2988</v>
      </c>
      <c r="AM211" s="437">
        <v>1</v>
      </c>
      <c r="AN211" s="436">
        <f>ABS(VLOOKUP(A211,TradesEquity!$1:$1048576,14,FALSE))</f>
        <v>114654.96</v>
      </c>
      <c r="AO211" s="436">
        <f>ABS(VLOOKUP(A211,TradesEquity!$1:$1048576,15,FALSE))</f>
        <v>68.790000000000006</v>
      </c>
      <c r="AP211" s="438">
        <f>ABS(VLOOKUP(A211,TradesEquity!$1:$1048576,16,FALSE))</f>
        <v>343.96</v>
      </c>
      <c r="AQ211" s="367">
        <v>0</v>
      </c>
      <c r="AR211" s="367">
        <v>0</v>
      </c>
      <c r="AS211" s="367">
        <v>0</v>
      </c>
      <c r="AT211" s="367">
        <v>0</v>
      </c>
      <c r="AU211" s="367">
        <v>0</v>
      </c>
      <c r="AV211" s="438">
        <f>ABS(VLOOKUP(A211,TradesEquity!$1:$1048576,18,FALSE))</f>
        <v>115067.71</v>
      </c>
      <c r="AW211" s="439">
        <v>0</v>
      </c>
      <c r="AX211" s="440">
        <v>4542</v>
      </c>
      <c r="AY211" s="441" t="s">
        <v>2029</v>
      </c>
      <c r="AZ211" s="442" t="str">
        <f>(VLOOKUP(A211,TradesEquity!$1:$1048576,29,FALSE))</f>
        <v>EMSIITM1XXX</v>
      </c>
      <c r="BA211" s="442" t="str">
        <f>(VLOOKUP(A211,TradesEquity!$1:$1048576,30,FALSE))</f>
        <v>SICVFRPPXXX</v>
      </c>
      <c r="BB211" s="442" t="str">
        <f>(VLOOKUP(A211,TradesEquity!$1:$1048576,31,FALSE))</f>
        <v>SICVBCITITMMD00000L10</v>
      </c>
      <c r="BC211" s="442" t="str">
        <f>(VLOOKUP(A211,TradesEquity!$1:$1048576,32,FALSE))</f>
        <v>N</v>
      </c>
      <c r="BI211" s="442" t="str">
        <f>(VLOOKUP(A211,TradesEquity!$1:$1048576,38,FALSE))</f>
        <v xml:space="preserve">        </v>
      </c>
      <c r="BJ211" s="442" t="str">
        <f>(VLOOKUP(A211,TradesEquity!$1:$1048576,39,FALSE))</f>
        <v xml:space="preserve">        </v>
      </c>
      <c r="BK211" s="442" t="str">
        <f>(VLOOKUP(A211,TradesEquity!$1:$1048576,40,FALSE))</f>
        <v>BCITITMMD00</v>
      </c>
    </row>
    <row r="212" spans="1:63">
      <c r="A212" s="502">
        <f t="shared" si="8"/>
        <v>2019200459</v>
      </c>
      <c r="D212" s="432" t="s">
        <v>2027</v>
      </c>
      <c r="F212" s="433">
        <f>VLOOKUP(A212,TradesEquity!$1:$1048576,2,FALSE)</f>
        <v>44301</v>
      </c>
      <c r="H212" s="433">
        <f>VLOOKUP(A212,TradesEquity!$1:$1048576,21,FALSE)</f>
        <v>44305</v>
      </c>
      <c r="I212" s="434" t="str">
        <f>IF(VLOOKUP(A212,TradesEquity!$1:$1048576,3,FALSE)="BUY","B","S")</f>
        <v>S</v>
      </c>
      <c r="J212" s="434" t="str">
        <f>VLOOKUP(A212,TradesEquity!$1:$1048576,5,FALSE)</f>
        <v>JP3592200004</v>
      </c>
      <c r="K212" s="432" t="s">
        <v>19</v>
      </c>
      <c r="L212" s="435" t="s">
        <v>2028</v>
      </c>
      <c r="AE212" s="436" t="str">
        <f>VLOOKUP(A212,TradesEquity!$1:$1048576,10,FALSE)</f>
        <v>JPY</v>
      </c>
      <c r="AF212" s="436" t="str">
        <f t="shared" si="6"/>
        <v>JPY</v>
      </c>
      <c r="AG212" s="436" t="str">
        <f t="shared" si="6"/>
        <v>JPY</v>
      </c>
      <c r="AH212" s="436" t="str">
        <f t="shared" si="6"/>
        <v>JPY</v>
      </c>
      <c r="AI212" s="436">
        <f>ABS(VLOOKUP(A212,TradesEquity!$1:$1048576,13,FALSE))</f>
        <v>11000</v>
      </c>
      <c r="AJ212" s="437">
        <v>0</v>
      </c>
      <c r="AK212" s="437">
        <v>1</v>
      </c>
      <c r="AL212" s="436">
        <f>VLOOKUP(A212,TradesEquity!$1:$1048576,11,FALSE)</f>
        <v>4914.7</v>
      </c>
      <c r="AM212" s="437">
        <v>1</v>
      </c>
      <c r="AN212" s="436">
        <f>ABS(VLOOKUP(A212,TradesEquity!$1:$1048576,14,FALSE))</f>
        <v>54061700</v>
      </c>
      <c r="AO212" s="436">
        <f>ABS(VLOOKUP(A212,TradesEquity!$1:$1048576,15,FALSE))</f>
        <v>32437</v>
      </c>
      <c r="AP212" s="438">
        <f>ABS(VLOOKUP(A212,TradesEquity!$1:$1048576,16,FALSE))</f>
        <v>0</v>
      </c>
      <c r="AQ212" s="367">
        <v>0</v>
      </c>
      <c r="AR212" s="367">
        <v>0</v>
      </c>
      <c r="AS212" s="367">
        <v>0</v>
      </c>
      <c r="AT212" s="367">
        <v>0</v>
      </c>
      <c r="AU212" s="367">
        <v>0</v>
      </c>
      <c r="AV212" s="438">
        <f>ABS(VLOOKUP(A212,TradesEquity!$1:$1048576,18,FALSE))</f>
        <v>54029263</v>
      </c>
      <c r="AW212" s="439">
        <v>0</v>
      </c>
      <c r="AX212" s="440">
        <v>4542</v>
      </c>
      <c r="AY212" s="441" t="s">
        <v>2029</v>
      </c>
      <c r="AZ212" s="442" t="str">
        <f>(VLOOKUP(A212,TradesEquity!$1:$1048576,29,FALSE))</f>
        <v>GSILGB2XXXX</v>
      </c>
      <c r="BA212" s="442" t="str">
        <f>(VLOOKUP(A212,TradesEquity!$1:$1048576,30,FALSE))</f>
        <v>JJSDJPJTXXX</v>
      </c>
      <c r="BB212" s="442">
        <f>(VLOOKUP(A212,TradesEquity!$1:$1048576,31,FALSE))</f>
        <v>6530490016</v>
      </c>
      <c r="BC212" s="442" t="str">
        <f>(VLOOKUP(A212,TradesEquity!$1:$1048576,32,FALSE))</f>
        <v>N</v>
      </c>
      <c r="BI212" s="442" t="str">
        <f>(VLOOKUP(A212,TradesEquity!$1:$1048576,38,FALSE))</f>
        <v xml:space="preserve">                  </v>
      </c>
      <c r="BJ212" s="442" t="str">
        <f>(VLOOKUP(A212,TradesEquity!$1:$1048576,39,FALSE))</f>
        <v xml:space="preserve">                          </v>
      </c>
      <c r="BK212" s="442" t="str">
        <f>(VLOOKUP(A212,TradesEquity!$1:$1048576,40,FALSE))</f>
        <v>GOLDJPJXXXX</v>
      </c>
    </row>
    <row r="213" spans="1:63">
      <c r="A213" s="502">
        <f t="shared" si="8"/>
        <v>2019200460</v>
      </c>
      <c r="D213" s="432" t="s">
        <v>2027</v>
      </c>
      <c r="F213" s="433">
        <f>VLOOKUP(A213,TradesEquity!$1:$1048576,2,FALSE)</f>
        <v>44307</v>
      </c>
      <c r="H213" s="433">
        <f>VLOOKUP(A213,TradesEquity!$1:$1048576,21,FALSE)</f>
        <v>44309</v>
      </c>
      <c r="I213" s="434" t="str">
        <f>IF(VLOOKUP(A213,TradesEquity!$1:$1048576,3,FALSE)="BUY","B","S")</f>
        <v>B</v>
      </c>
      <c r="J213" s="434" t="str">
        <f>VLOOKUP(A213,TradesEquity!$1:$1048576,5,FALSE)</f>
        <v>JP3866800000</v>
      </c>
      <c r="K213" s="432" t="s">
        <v>19</v>
      </c>
      <c r="L213" s="435" t="s">
        <v>2028</v>
      </c>
      <c r="AE213" s="436" t="str">
        <f>VLOOKUP(A213,TradesEquity!$1:$1048576,10,FALSE)</f>
        <v>JPY</v>
      </c>
      <c r="AF213" s="436" t="str">
        <f t="shared" si="6"/>
        <v>JPY</v>
      </c>
      <c r="AG213" s="436" t="str">
        <f t="shared" si="6"/>
        <v>JPY</v>
      </c>
      <c r="AH213" s="436" t="str">
        <f t="shared" si="6"/>
        <v>JPY</v>
      </c>
      <c r="AI213" s="436">
        <f>ABS(VLOOKUP(A213,TradesEquity!$1:$1048576,13,FALSE))</f>
        <v>11000</v>
      </c>
      <c r="AJ213" s="437">
        <v>0</v>
      </c>
      <c r="AK213" s="437">
        <v>1</v>
      </c>
      <c r="AL213" s="436">
        <f>VLOOKUP(A213,TradesEquity!$1:$1048576,11,FALSE)</f>
        <v>1312.2236359999999</v>
      </c>
      <c r="AM213" s="437">
        <v>1</v>
      </c>
      <c r="AN213" s="436">
        <f>ABS(VLOOKUP(A213,TradesEquity!$1:$1048576,14,FALSE))</f>
        <v>14434459.995999999</v>
      </c>
      <c r="AO213" s="436">
        <f>ABS(VLOOKUP(A213,TradesEquity!$1:$1048576,15,FALSE))</f>
        <v>8661</v>
      </c>
      <c r="AP213" s="438">
        <f>ABS(VLOOKUP(A213,TradesEquity!$1:$1048576,16,FALSE))</f>
        <v>0</v>
      </c>
      <c r="AQ213" s="367">
        <v>0</v>
      </c>
      <c r="AR213" s="367">
        <v>0</v>
      </c>
      <c r="AS213" s="367">
        <v>0</v>
      </c>
      <c r="AT213" s="367">
        <v>0</v>
      </c>
      <c r="AU213" s="367">
        <v>0</v>
      </c>
      <c r="AV213" s="438">
        <f>ABS(VLOOKUP(A213,TradesEquity!$1:$1048576,18,FALSE))</f>
        <v>14443120.995999999</v>
      </c>
      <c r="AW213" s="439">
        <v>0</v>
      </c>
      <c r="AX213" s="440">
        <v>4542</v>
      </c>
      <c r="AY213" s="441" t="s">
        <v>2029</v>
      </c>
      <c r="AZ213" s="442" t="str">
        <f>(VLOOKUP(A213,TradesEquity!$1:$1048576,29,FALSE))</f>
        <v>GSILGB2XXXX</v>
      </c>
      <c r="BA213" s="442" t="str">
        <f>(VLOOKUP(A213,TradesEquity!$1:$1048576,30,FALSE))</f>
        <v>JJSDJPJTXXX</v>
      </c>
      <c r="BB213" s="442">
        <f>(VLOOKUP(A213,TradesEquity!$1:$1048576,31,FALSE))</f>
        <v>6530490016</v>
      </c>
      <c r="BC213" s="442" t="str">
        <f>(VLOOKUP(A213,TradesEquity!$1:$1048576,32,FALSE))</f>
        <v>N</v>
      </c>
      <c r="BI213" s="442" t="str">
        <f>(VLOOKUP(A213,TradesEquity!$1:$1048576,38,FALSE))</f>
        <v xml:space="preserve">                  </v>
      </c>
      <c r="BJ213" s="442" t="str">
        <f>(VLOOKUP(A213,TradesEquity!$1:$1048576,39,FALSE))</f>
        <v xml:space="preserve">                          </v>
      </c>
      <c r="BK213" s="442" t="str">
        <f>(VLOOKUP(A213,TradesEquity!$1:$1048576,40,FALSE))</f>
        <v>GOLDJPJXXXX</v>
      </c>
    </row>
    <row r="214" spans="1:63">
      <c r="A214" s="502">
        <f t="shared" si="8"/>
        <v>2019200461</v>
      </c>
      <c r="D214" s="432" t="s">
        <v>2027</v>
      </c>
      <c r="F214" s="433">
        <f>VLOOKUP(A214,TradesEquity!$1:$1048576,2,FALSE)</f>
        <v>44307</v>
      </c>
      <c r="H214" s="433">
        <f>VLOOKUP(A214,TradesEquity!$1:$1048576,21,FALSE)</f>
        <v>44309</v>
      </c>
      <c r="I214" s="434" t="str">
        <f>IF(VLOOKUP(A214,TradesEquity!$1:$1048576,3,FALSE)="BUY","B","S")</f>
        <v>B</v>
      </c>
      <c r="J214" s="434" t="str">
        <f>VLOOKUP(A214,TradesEquity!$1:$1048576,5,FALSE)</f>
        <v>JP3592200004</v>
      </c>
      <c r="K214" s="432" t="s">
        <v>19</v>
      </c>
      <c r="L214" s="435" t="s">
        <v>2028</v>
      </c>
      <c r="AE214" s="436" t="str">
        <f>VLOOKUP(A214,TradesEquity!$1:$1048576,10,FALSE)</f>
        <v>JPY</v>
      </c>
      <c r="AF214" s="436" t="str">
        <f t="shared" si="6"/>
        <v>JPY</v>
      </c>
      <c r="AG214" s="436" t="str">
        <f t="shared" si="6"/>
        <v>JPY</v>
      </c>
      <c r="AH214" s="436" t="str">
        <f t="shared" si="6"/>
        <v>JPY</v>
      </c>
      <c r="AI214" s="436">
        <f>ABS(VLOOKUP(A214,TradesEquity!$1:$1048576,13,FALSE))</f>
        <v>11000</v>
      </c>
      <c r="AJ214" s="437">
        <v>0</v>
      </c>
      <c r="AK214" s="437">
        <v>1</v>
      </c>
      <c r="AL214" s="436">
        <f>VLOOKUP(A214,TradesEquity!$1:$1048576,11,FALSE)</f>
        <v>4188.8545450000001</v>
      </c>
      <c r="AM214" s="437">
        <v>1</v>
      </c>
      <c r="AN214" s="436">
        <f>ABS(VLOOKUP(A214,TradesEquity!$1:$1048576,14,FALSE))</f>
        <v>46077399.995000005</v>
      </c>
      <c r="AO214" s="436">
        <f>ABS(VLOOKUP(A214,TradesEquity!$1:$1048576,15,FALSE))</f>
        <v>27646</v>
      </c>
      <c r="AP214" s="438">
        <f>ABS(VLOOKUP(A214,TradesEquity!$1:$1048576,16,FALSE))</f>
        <v>0</v>
      </c>
      <c r="AQ214" s="367">
        <v>0</v>
      </c>
      <c r="AR214" s="367">
        <v>0</v>
      </c>
      <c r="AS214" s="367">
        <v>0</v>
      </c>
      <c r="AT214" s="367">
        <v>0</v>
      </c>
      <c r="AU214" s="367">
        <v>0</v>
      </c>
      <c r="AV214" s="438">
        <f>ABS(VLOOKUP(A214,TradesEquity!$1:$1048576,18,FALSE))</f>
        <v>46105045.995000005</v>
      </c>
      <c r="AW214" s="439">
        <v>0</v>
      </c>
      <c r="AX214" s="440">
        <v>4542</v>
      </c>
      <c r="AY214" s="441" t="s">
        <v>2029</v>
      </c>
      <c r="AZ214" s="442" t="str">
        <f>(VLOOKUP(A214,TradesEquity!$1:$1048576,29,FALSE))</f>
        <v>GSILGB2XXXX</v>
      </c>
      <c r="BA214" s="442" t="str">
        <f>(VLOOKUP(A214,TradesEquity!$1:$1048576,30,FALSE))</f>
        <v>JJSDJPJTXXX</v>
      </c>
      <c r="BB214" s="442">
        <f>(VLOOKUP(A214,TradesEquity!$1:$1048576,31,FALSE))</f>
        <v>6530490016</v>
      </c>
      <c r="BC214" s="442" t="str">
        <f>(VLOOKUP(A214,TradesEquity!$1:$1048576,32,FALSE))</f>
        <v>N</v>
      </c>
      <c r="BI214" s="442" t="str">
        <f>(VLOOKUP(A214,TradesEquity!$1:$1048576,38,FALSE))</f>
        <v xml:space="preserve">                  </v>
      </c>
      <c r="BJ214" s="442" t="str">
        <f>(VLOOKUP(A214,TradesEquity!$1:$1048576,39,FALSE))</f>
        <v xml:space="preserve">                          </v>
      </c>
      <c r="BK214" s="442" t="str">
        <f>(VLOOKUP(A214,TradesEquity!$1:$1048576,40,FALSE))</f>
        <v>GOLDJPJXXXX</v>
      </c>
    </row>
    <row r="215" spans="1:63">
      <c r="A215" s="502">
        <f t="shared" si="8"/>
        <v>2019200462</v>
      </c>
      <c r="D215" s="432" t="s">
        <v>2027</v>
      </c>
      <c r="F215" s="433">
        <f>VLOOKUP(A215,TradesEquity!$1:$1048576,2,FALSE)</f>
        <v>44307</v>
      </c>
      <c r="H215" s="433">
        <f>VLOOKUP(A215,TradesEquity!$1:$1048576,21,FALSE)</f>
        <v>44309</v>
      </c>
      <c r="I215" s="434" t="str">
        <f>IF(VLOOKUP(A215,TradesEquity!$1:$1048576,3,FALSE)="BUY","B","S")</f>
        <v>S</v>
      </c>
      <c r="J215" s="434" t="str">
        <f>VLOOKUP(A215,TradesEquity!$1:$1048576,5,FALSE)</f>
        <v>IT0005424830</v>
      </c>
      <c r="K215" s="432" t="s">
        <v>19</v>
      </c>
      <c r="L215" s="435" t="s">
        <v>2028</v>
      </c>
      <c r="AE215" s="436" t="str">
        <f>VLOOKUP(A215,TradesEquity!$1:$1048576,10,FALSE)</f>
        <v>EUR</v>
      </c>
      <c r="AF215" s="436" t="str">
        <f t="shared" si="6"/>
        <v>EUR</v>
      </c>
      <c r="AG215" s="436" t="str">
        <f t="shared" si="6"/>
        <v>EUR</v>
      </c>
      <c r="AH215" s="436" t="str">
        <f t="shared" si="6"/>
        <v>EUR</v>
      </c>
      <c r="AI215" s="436">
        <f>ABS(VLOOKUP(A215,TradesEquity!$1:$1048576,13,FALSE))</f>
        <v>4187</v>
      </c>
      <c r="AJ215" s="437">
        <v>0</v>
      </c>
      <c r="AK215" s="437">
        <v>1</v>
      </c>
      <c r="AL215" s="436">
        <f>VLOOKUP(A215,TradesEquity!$1:$1048576,11,FALSE)</f>
        <v>4.9228290000000001</v>
      </c>
      <c r="AM215" s="437">
        <v>1</v>
      </c>
      <c r="AN215" s="436">
        <f>ABS(VLOOKUP(A215,TradesEquity!$1:$1048576,14,FALSE))</f>
        <v>20611.885022999999</v>
      </c>
      <c r="AO215" s="436">
        <f>ABS(VLOOKUP(A215,TradesEquity!$1:$1048576,15,FALSE))</f>
        <v>12.37</v>
      </c>
      <c r="AP215" s="438">
        <f>ABS(VLOOKUP(A215,TradesEquity!$1:$1048576,16,FALSE))</f>
        <v>0</v>
      </c>
      <c r="AQ215" s="367">
        <v>0</v>
      </c>
      <c r="AR215" s="367">
        <v>0</v>
      </c>
      <c r="AS215" s="367">
        <v>0</v>
      </c>
      <c r="AT215" s="367">
        <v>0</v>
      </c>
      <c r="AU215" s="367">
        <v>0</v>
      </c>
      <c r="AV215" s="438">
        <f>ABS(VLOOKUP(A215,TradesEquity!$1:$1048576,18,FALSE))</f>
        <v>20599.515023</v>
      </c>
      <c r="AW215" s="439">
        <v>0</v>
      </c>
      <c r="AX215" s="440">
        <v>4542</v>
      </c>
      <c r="AY215" s="441" t="s">
        <v>2029</v>
      </c>
      <c r="AZ215" s="442" t="str">
        <f>(VLOOKUP(A215,TradesEquity!$1:$1048576,29,FALSE))</f>
        <v>GSILGB2XXXX</v>
      </c>
      <c r="BA215" s="442" t="str">
        <f>(VLOOKUP(A215,TradesEquity!$1:$1048576,30,FALSE))</f>
        <v>MOTIITMMXXX</v>
      </c>
      <c r="BB215" s="442" t="str">
        <f>(VLOOKUP(A215,TradesEquity!$1:$1048576,31,FALSE))</f>
        <v>MOTICITIITMXXXX6013800</v>
      </c>
      <c r="BC215" s="442" t="str">
        <f>(VLOOKUP(A215,TradesEquity!$1:$1048576,32,FALSE))</f>
        <v>N</v>
      </c>
      <c r="BI215" s="442" t="str">
        <f>(VLOOKUP(A215,TradesEquity!$1:$1048576,38,FALSE))</f>
        <v xml:space="preserve">        </v>
      </c>
      <c r="BJ215" s="442" t="str">
        <f>(VLOOKUP(A215,TradesEquity!$1:$1048576,39,FALSE))</f>
        <v xml:space="preserve">        </v>
      </c>
      <c r="BK215" s="442" t="str">
        <f>(VLOOKUP(A215,TradesEquity!$1:$1048576,40,FALSE))</f>
        <v>CITIITM1012</v>
      </c>
    </row>
    <row r="216" spans="1:63">
      <c r="A216" s="502">
        <v>2019200463</v>
      </c>
      <c r="D216" s="432" t="s">
        <v>2027</v>
      </c>
      <c r="F216" s="433">
        <f>VLOOKUP(A216,TradesEquity!$1:$1048576,2,FALSE)</f>
        <v>44308</v>
      </c>
      <c r="H216" s="433">
        <f>VLOOKUP(A216,TradesEquity!$1:$1048576,21,FALSE)</f>
        <v>44312</v>
      </c>
      <c r="I216" s="434" t="str">
        <f>IF(VLOOKUP(A216,TradesEquity!$1:$1048576,3,FALSE)="BUY","B","S")</f>
        <v>B</v>
      </c>
      <c r="J216" s="434" t="str">
        <f>VLOOKUP(A216,TradesEquity!$1:$1048576,5,FALSE)</f>
        <v>FR0000131906</v>
      </c>
      <c r="K216" s="432" t="s">
        <v>19</v>
      </c>
      <c r="L216" s="435" t="s">
        <v>2028</v>
      </c>
      <c r="AE216" s="436" t="str">
        <f>VLOOKUP(A216,TradesEquity!$1:$1048576,10,FALSE)</f>
        <v>EUR</v>
      </c>
      <c r="AF216" s="436" t="str">
        <f t="shared" si="6"/>
        <v>EUR</v>
      </c>
      <c r="AG216" s="436" t="str">
        <f t="shared" si="6"/>
        <v>EUR</v>
      </c>
      <c r="AH216" s="436" t="str">
        <f t="shared" si="6"/>
        <v>EUR</v>
      </c>
      <c r="AI216" s="436">
        <f>ABS(VLOOKUP(A216,TradesEquity!$1:$1048576,13,FALSE))</f>
        <v>4500</v>
      </c>
      <c r="AJ216" s="437">
        <v>0</v>
      </c>
      <c r="AK216" s="437">
        <v>1</v>
      </c>
      <c r="AL216" s="436">
        <f>VLOOKUP(A216,TradesEquity!$1:$1048576,11,FALSE)</f>
        <v>33.870199999999997</v>
      </c>
      <c r="AM216" s="437">
        <v>1</v>
      </c>
      <c r="AN216" s="436">
        <f>ABS(VLOOKUP(A216,TradesEquity!$1:$1048576,14,FALSE))</f>
        <v>152415.9</v>
      </c>
      <c r="AO216" s="436">
        <f>ABS(VLOOKUP(A216,TradesEquity!$1:$1048576,15,FALSE))</f>
        <v>91.45</v>
      </c>
      <c r="AP216" s="438">
        <f>ABS(VLOOKUP(A216,TradesEquity!$1:$1048576,16,FALSE))</f>
        <v>457.25</v>
      </c>
      <c r="AQ216" s="367">
        <v>0</v>
      </c>
      <c r="AR216" s="367">
        <v>0</v>
      </c>
      <c r="AS216" s="367">
        <v>0</v>
      </c>
      <c r="AT216" s="367">
        <v>0</v>
      </c>
      <c r="AU216" s="367">
        <v>0</v>
      </c>
      <c r="AV216" s="438">
        <f>ABS(VLOOKUP(A216,TradesEquity!$1:$1048576,18,FALSE))</f>
        <v>152964.6</v>
      </c>
      <c r="AW216" s="439">
        <v>0</v>
      </c>
      <c r="AX216" s="440">
        <v>4542</v>
      </c>
      <c r="AY216" s="441" t="s">
        <v>2029</v>
      </c>
      <c r="AZ216" s="442" t="str">
        <f>(VLOOKUP(A216,TradesEquity!$1:$1048576,29,FALSE))</f>
        <v>EMSIITM1XXX</v>
      </c>
      <c r="BA216" s="442" t="str">
        <f>(VLOOKUP(A216,TradesEquity!$1:$1048576,30,FALSE))</f>
        <v>SICVFRPPXXX</v>
      </c>
      <c r="BB216" s="442" t="str">
        <f>(VLOOKUP(A216,TradesEquity!$1:$1048576,31,FALSE))</f>
        <v>SICVBCITITMMD00000L10</v>
      </c>
      <c r="BC216" s="442" t="str">
        <f>(VLOOKUP(A216,TradesEquity!$1:$1048576,32,FALSE))</f>
        <v>N</v>
      </c>
      <c r="BI216" s="442" t="str">
        <f>(VLOOKUP(A216,TradesEquity!$1:$1048576,38,FALSE))</f>
        <v xml:space="preserve">        </v>
      </c>
      <c r="BJ216" s="442" t="str">
        <f>(VLOOKUP(A216,TradesEquity!$1:$1048576,39,FALSE))</f>
        <v xml:space="preserve">        </v>
      </c>
      <c r="BK216" s="442" t="str">
        <f>(VLOOKUP(A216,TradesEquity!$1:$1048576,40,FALSE))</f>
        <v>BCITITMMD00</v>
      </c>
    </row>
    <row r="217" spans="1:63">
      <c r="A217" s="502">
        <v>2019200464</v>
      </c>
      <c r="D217" s="432" t="s">
        <v>2027</v>
      </c>
      <c r="F217" s="433">
        <f>VLOOKUP(A217,TradesEquity!$1:$1048576,2,FALSE)</f>
        <v>44309</v>
      </c>
      <c r="H217" s="433">
        <f>VLOOKUP(A217,TradesEquity!$1:$1048576,21,FALSE)</f>
        <v>44312</v>
      </c>
      <c r="I217" s="434" t="str">
        <f>IF(VLOOKUP(A217,TradesEquity!$1:$1048576,3,FALSE)="BUY","B","S")</f>
        <v>S</v>
      </c>
      <c r="J217" s="434" t="str">
        <f>VLOOKUP(A217,TradesEquity!$1:$1048576,5,FALSE)</f>
        <v>IT0005424830</v>
      </c>
      <c r="K217" s="432" t="s">
        <v>19</v>
      </c>
      <c r="L217" s="435" t="s">
        <v>2028</v>
      </c>
      <c r="AE217" s="436" t="str">
        <f>VLOOKUP(A217,TradesEquity!$1:$1048576,10,FALSE)</f>
        <v>EUR</v>
      </c>
      <c r="AF217" s="436" t="str">
        <f t="shared" si="6"/>
        <v>EUR</v>
      </c>
      <c r="AG217" s="436" t="str">
        <f t="shared" si="6"/>
        <v>EUR</v>
      </c>
      <c r="AH217" s="436" t="str">
        <f t="shared" si="6"/>
        <v>EUR</v>
      </c>
      <c r="AI217" s="436">
        <f>ABS(VLOOKUP(A217,TradesEquity!$1:$1048576,13,FALSE))</f>
        <v>1240</v>
      </c>
      <c r="AJ217" s="437">
        <v>0</v>
      </c>
      <c r="AK217" s="437">
        <v>1</v>
      </c>
      <c r="AL217" s="436">
        <f>VLOOKUP(A217,TradesEquity!$1:$1048576,11,FALSE)</f>
        <v>4.8864960000000002</v>
      </c>
      <c r="AM217" s="437">
        <v>1</v>
      </c>
      <c r="AN217" s="436">
        <f>ABS(VLOOKUP(A217,TradesEquity!$1:$1048576,14,FALSE))</f>
        <v>6059.25504</v>
      </c>
      <c r="AO217" s="436">
        <f>ABS(VLOOKUP(A217,TradesEquity!$1:$1048576,15,FALSE))</f>
        <v>3.64</v>
      </c>
      <c r="AP217" s="438">
        <f>ABS(VLOOKUP(A217,TradesEquity!$1:$1048576,16,FALSE))</f>
        <v>0</v>
      </c>
      <c r="AQ217" s="367">
        <v>0</v>
      </c>
      <c r="AR217" s="367">
        <v>0</v>
      </c>
      <c r="AS217" s="367">
        <v>0</v>
      </c>
      <c r="AT217" s="367">
        <v>0</v>
      </c>
      <c r="AU217" s="367">
        <v>0</v>
      </c>
      <c r="AV217" s="438">
        <f>ABS(VLOOKUP(A217,TradesEquity!$1:$1048576,18,FALSE))</f>
        <v>6055.6150399999997</v>
      </c>
      <c r="AW217" s="439">
        <v>0</v>
      </c>
      <c r="AX217" s="440">
        <v>4542</v>
      </c>
      <c r="AY217" s="441" t="s">
        <v>2029</v>
      </c>
      <c r="AZ217" s="442" t="str">
        <f>(VLOOKUP(A217,TradesEquity!$1:$1048576,29,FALSE))</f>
        <v>GSILGB2XXXX</v>
      </c>
      <c r="BA217" s="442" t="str">
        <f>(VLOOKUP(A217,TradesEquity!$1:$1048576,30,FALSE))</f>
        <v>MOTIITMMXXX</v>
      </c>
      <c r="BB217" s="442" t="str">
        <f>(VLOOKUP(A217,TradesEquity!$1:$1048576,31,FALSE))</f>
        <v>MOTICITIITMXXXX6013800</v>
      </c>
      <c r="BC217" s="442" t="str">
        <f>(VLOOKUP(A217,TradesEquity!$1:$1048576,32,FALSE))</f>
        <v>N</v>
      </c>
      <c r="BI217" s="442" t="str">
        <f>(VLOOKUP(A217,TradesEquity!$1:$1048576,38,FALSE))</f>
        <v xml:space="preserve">        </v>
      </c>
      <c r="BJ217" s="442" t="str">
        <f>(VLOOKUP(A217,TradesEquity!$1:$1048576,39,FALSE))</f>
        <v xml:space="preserve">        </v>
      </c>
      <c r="BK217" s="442" t="str">
        <f>(VLOOKUP(A217,TradesEquity!$1:$1048576,40,FALSE))</f>
        <v>CITIITM1012</v>
      </c>
    </row>
    <row r="218" spans="1:63">
      <c r="A218" s="502">
        <v>2019200465</v>
      </c>
      <c r="D218" s="432" t="s">
        <v>2027</v>
      </c>
      <c r="F218" s="433">
        <f>VLOOKUP(A218,TradesEquity!$1:$1048576,2,FALSE)</f>
        <v>44309</v>
      </c>
      <c r="H218" s="433">
        <f>VLOOKUP(A218,TradesEquity!$1:$1048576,21,FALSE)</f>
        <v>44313</v>
      </c>
      <c r="I218" s="434" t="str">
        <f>IF(VLOOKUP(A218,TradesEquity!$1:$1048576,3,FALSE)="BUY","B","S")</f>
        <v>S</v>
      </c>
      <c r="J218" s="434" t="str">
        <f>VLOOKUP(A218,TradesEquity!$1:$1048576,5,FALSE)</f>
        <v>IT0005424830</v>
      </c>
      <c r="K218" s="432" t="s">
        <v>19</v>
      </c>
      <c r="L218" s="435" t="s">
        <v>2028</v>
      </c>
      <c r="AE218" s="436" t="str">
        <f>VLOOKUP(A218,TradesEquity!$1:$1048576,10,FALSE)</f>
        <v>EUR</v>
      </c>
      <c r="AF218" s="436" t="str">
        <f t="shared" si="6"/>
        <v>EUR</v>
      </c>
      <c r="AG218" s="436" t="str">
        <f t="shared" si="6"/>
        <v>EUR</v>
      </c>
      <c r="AH218" s="436" t="str">
        <f t="shared" si="6"/>
        <v>EUR</v>
      </c>
      <c r="AI218" s="436">
        <f>ABS(VLOOKUP(A218,TradesEquity!$1:$1048576,13,FALSE))</f>
        <v>4084</v>
      </c>
      <c r="AJ218" s="437">
        <v>0</v>
      </c>
      <c r="AK218" s="437">
        <v>1</v>
      </c>
      <c r="AL218" s="436">
        <f>VLOOKUP(A218,TradesEquity!$1:$1048576,11,FALSE)</f>
        <v>4.8109859999999998</v>
      </c>
      <c r="AM218" s="437">
        <v>1</v>
      </c>
      <c r="AN218" s="436">
        <f>ABS(VLOOKUP(A218,TradesEquity!$1:$1048576,14,FALSE))</f>
        <v>19648.066823999998</v>
      </c>
      <c r="AO218" s="436">
        <f>ABS(VLOOKUP(A218,TradesEquity!$1:$1048576,15,FALSE))</f>
        <v>11.79</v>
      </c>
      <c r="AP218" s="438">
        <f>ABS(VLOOKUP(A218,TradesEquity!$1:$1048576,16,FALSE))</f>
        <v>0</v>
      </c>
      <c r="AQ218" s="367">
        <v>0</v>
      </c>
      <c r="AR218" s="367">
        <v>0</v>
      </c>
      <c r="AS218" s="367">
        <v>0</v>
      </c>
      <c r="AT218" s="367">
        <v>0</v>
      </c>
      <c r="AU218" s="367">
        <v>0</v>
      </c>
      <c r="AV218" s="438">
        <f>ABS(VLOOKUP(A218,TradesEquity!$1:$1048576,18,FALSE))</f>
        <v>19636.276823999997</v>
      </c>
      <c r="AW218" s="439">
        <v>0</v>
      </c>
      <c r="AX218" s="440">
        <v>4542</v>
      </c>
      <c r="AY218" s="441" t="s">
        <v>2029</v>
      </c>
      <c r="AZ218" s="442" t="str">
        <f>(VLOOKUP(A218,TradesEquity!$1:$1048576,29,FALSE))</f>
        <v>GSILGB2XXXX</v>
      </c>
      <c r="BA218" s="442" t="str">
        <f>(VLOOKUP(A218,TradesEquity!$1:$1048576,30,FALSE))</f>
        <v>MOTIITMMXXX</v>
      </c>
      <c r="BB218" s="442" t="str">
        <f>(VLOOKUP(A218,TradesEquity!$1:$1048576,31,FALSE))</f>
        <v>MOTICITIITMXXXX6013800</v>
      </c>
      <c r="BC218" s="442" t="str">
        <f>(VLOOKUP(A218,TradesEquity!$1:$1048576,32,FALSE))</f>
        <v>N</v>
      </c>
      <c r="BI218" s="442" t="str">
        <f>(VLOOKUP(A218,TradesEquity!$1:$1048576,38,FALSE))</f>
        <v xml:space="preserve">        </v>
      </c>
      <c r="BJ218" s="442" t="str">
        <f>(VLOOKUP(A218,TradesEquity!$1:$1048576,39,FALSE))</f>
        <v xml:space="preserve">        </v>
      </c>
      <c r="BK218" s="442" t="str">
        <f>(VLOOKUP(A218,TradesEquity!$1:$1048576,40,FALSE))</f>
        <v>CITIITM1012</v>
      </c>
    </row>
    <row r="219" spans="1:63">
      <c r="A219" s="502">
        <v>2019200466</v>
      </c>
      <c r="D219" s="432" t="s">
        <v>2027</v>
      </c>
      <c r="F219" s="433">
        <f>VLOOKUP(A219,TradesEquity!$1:$1048576,2,FALSE)</f>
        <v>44312</v>
      </c>
      <c r="H219" s="433">
        <f>VLOOKUP(A219,TradesEquity!$1:$1048576,21,FALSE)</f>
        <v>44314</v>
      </c>
      <c r="I219" s="434" t="str">
        <f>IF(VLOOKUP(A219,TradesEquity!$1:$1048576,3,FALSE)="BUY","B","S")</f>
        <v>B</v>
      </c>
      <c r="J219" s="434" t="str">
        <f>VLOOKUP(A219,TradesEquity!$1:$1048576,5,FALSE)</f>
        <v>JP3866800000</v>
      </c>
      <c r="K219" s="432" t="s">
        <v>19</v>
      </c>
      <c r="L219" s="435" t="s">
        <v>2028</v>
      </c>
      <c r="AE219" s="436" t="str">
        <f>VLOOKUP(A219,TradesEquity!$1:$1048576,10,FALSE)</f>
        <v>JPY</v>
      </c>
      <c r="AF219" s="436" t="str">
        <f t="shared" si="6"/>
        <v>JPY</v>
      </c>
      <c r="AG219" s="436" t="str">
        <f t="shared" si="6"/>
        <v>JPY</v>
      </c>
      <c r="AH219" s="436" t="str">
        <f t="shared" si="6"/>
        <v>JPY</v>
      </c>
      <c r="AI219" s="436">
        <f>ABS(VLOOKUP(A219,TradesEquity!$1:$1048576,13,FALSE))</f>
        <v>9000</v>
      </c>
      <c r="AJ219" s="437">
        <v>0</v>
      </c>
      <c r="AK219" s="437">
        <v>1</v>
      </c>
      <c r="AL219" s="436">
        <f>VLOOKUP(A219,TradesEquity!$1:$1048576,11,FALSE)</f>
        <v>1319.5</v>
      </c>
      <c r="AM219" s="437">
        <v>1</v>
      </c>
      <c r="AN219" s="436">
        <f>ABS(VLOOKUP(A219,TradesEquity!$1:$1048576,14,FALSE))</f>
        <v>11875500</v>
      </c>
      <c r="AO219" s="436">
        <f>ABS(VLOOKUP(A219,TradesEquity!$1:$1048576,15,FALSE))</f>
        <v>7124</v>
      </c>
      <c r="AP219" s="438">
        <f>ABS(VLOOKUP(A219,TradesEquity!$1:$1048576,16,FALSE))</f>
        <v>0</v>
      </c>
      <c r="AQ219" s="367">
        <v>0</v>
      </c>
      <c r="AR219" s="367">
        <v>0</v>
      </c>
      <c r="AS219" s="367">
        <v>0</v>
      </c>
      <c r="AT219" s="367">
        <v>0</v>
      </c>
      <c r="AU219" s="367">
        <v>0</v>
      </c>
      <c r="AV219" s="438">
        <f>ABS(VLOOKUP(A219,TradesEquity!$1:$1048576,18,FALSE))</f>
        <v>11882624</v>
      </c>
      <c r="AW219" s="439">
        <v>0</v>
      </c>
      <c r="AX219" s="440">
        <v>4542</v>
      </c>
      <c r="AY219" s="441" t="s">
        <v>2029</v>
      </c>
      <c r="AZ219" s="442" t="str">
        <f>(VLOOKUP(A219,TradesEquity!$1:$1048576,29,FALSE))</f>
        <v>GSILGB2XXXX</v>
      </c>
      <c r="BA219" s="442" t="str">
        <f>(VLOOKUP(A219,TradesEquity!$1:$1048576,30,FALSE))</f>
        <v>JJSDJPJTXXX</v>
      </c>
      <c r="BB219" s="442">
        <f>(VLOOKUP(A219,TradesEquity!$1:$1048576,31,FALSE))</f>
        <v>6530490016</v>
      </c>
      <c r="BC219" s="442" t="str">
        <f>(VLOOKUP(A219,TradesEquity!$1:$1048576,32,FALSE))</f>
        <v>N</v>
      </c>
      <c r="BI219" s="442" t="str">
        <f>(VLOOKUP(A219,TradesEquity!$1:$1048576,38,FALSE))</f>
        <v xml:space="preserve">                  </v>
      </c>
      <c r="BJ219" s="442" t="str">
        <f>(VLOOKUP(A219,TradesEquity!$1:$1048576,39,FALSE))</f>
        <v xml:space="preserve">                          </v>
      </c>
      <c r="BK219" s="442" t="str">
        <f>(VLOOKUP(A219,TradesEquity!$1:$1048576,40,FALSE))</f>
        <v>GOLDJPJXXXX</v>
      </c>
    </row>
    <row r="220" spans="1:63">
      <c r="A220" s="502">
        <v>2019200467</v>
      </c>
      <c r="D220" s="432" t="s">
        <v>2027</v>
      </c>
      <c r="F220" s="433">
        <f>VLOOKUP(A220,TradesEquity!$1:$1048576,2,FALSE)</f>
        <v>44312</v>
      </c>
      <c r="H220" s="433">
        <f>VLOOKUP(A220,TradesEquity!$1:$1048576,21,FALSE)</f>
        <v>44314</v>
      </c>
      <c r="I220" s="434" t="str">
        <f>IF(VLOOKUP(A220,TradesEquity!$1:$1048576,3,FALSE)="BUY","B","S")</f>
        <v>B</v>
      </c>
      <c r="J220" s="434" t="str">
        <f>VLOOKUP(A220,TradesEquity!$1:$1048576,5,FALSE)</f>
        <v>JP3544000007</v>
      </c>
      <c r="K220" s="432" t="s">
        <v>19</v>
      </c>
      <c r="L220" s="435" t="s">
        <v>2028</v>
      </c>
      <c r="AE220" s="436" t="str">
        <f>VLOOKUP(A220,TradesEquity!$1:$1048576,10,FALSE)</f>
        <v>JPY</v>
      </c>
      <c r="AF220" s="436" t="str">
        <f t="shared" si="6"/>
        <v>JPY</v>
      </c>
      <c r="AG220" s="436" t="str">
        <f t="shared" si="6"/>
        <v>JPY</v>
      </c>
      <c r="AH220" s="436" t="str">
        <f t="shared" si="6"/>
        <v>JPY</v>
      </c>
      <c r="AI220" s="436">
        <f>ABS(VLOOKUP(A220,TradesEquity!$1:$1048576,13,FALSE))</f>
        <v>5000</v>
      </c>
      <c r="AJ220" s="437">
        <v>0</v>
      </c>
      <c r="AK220" s="437">
        <v>1</v>
      </c>
      <c r="AL220" s="436">
        <f>VLOOKUP(A220,TradesEquity!$1:$1048576,11,FALSE)</f>
        <v>1791.192</v>
      </c>
      <c r="AM220" s="437">
        <v>1</v>
      </c>
      <c r="AN220" s="436">
        <f>ABS(VLOOKUP(A220,TradesEquity!$1:$1048576,14,FALSE))</f>
        <v>8955960</v>
      </c>
      <c r="AO220" s="436">
        <f>ABS(VLOOKUP(A220,TradesEquity!$1:$1048576,15,FALSE))</f>
        <v>5374</v>
      </c>
      <c r="AP220" s="438">
        <f>ABS(VLOOKUP(A220,TradesEquity!$1:$1048576,16,FALSE))</f>
        <v>0</v>
      </c>
      <c r="AQ220" s="367">
        <v>0</v>
      </c>
      <c r="AR220" s="367">
        <v>0</v>
      </c>
      <c r="AS220" s="367">
        <v>0</v>
      </c>
      <c r="AT220" s="367">
        <v>0</v>
      </c>
      <c r="AU220" s="367">
        <v>0</v>
      </c>
      <c r="AV220" s="438">
        <f>ABS(VLOOKUP(A220,TradesEquity!$1:$1048576,18,FALSE))</f>
        <v>8961334</v>
      </c>
      <c r="AW220" s="439">
        <v>0</v>
      </c>
      <c r="AX220" s="440">
        <v>4542</v>
      </c>
      <c r="AY220" s="441" t="s">
        <v>2029</v>
      </c>
      <c r="AZ220" s="442" t="str">
        <f>(VLOOKUP(A220,TradesEquity!$1:$1048576,29,FALSE))</f>
        <v>GSILGB2XXXX</v>
      </c>
      <c r="BA220" s="442" t="str">
        <f>(VLOOKUP(A220,TradesEquity!$1:$1048576,30,FALSE))</f>
        <v>JJSDJPJTXXX</v>
      </c>
      <c r="BB220" s="442">
        <f>(VLOOKUP(A220,TradesEquity!$1:$1048576,31,FALSE))</f>
        <v>6530490016</v>
      </c>
      <c r="BC220" s="442" t="str">
        <f>(VLOOKUP(A220,TradesEquity!$1:$1048576,32,FALSE))</f>
        <v>N</v>
      </c>
      <c r="BI220" s="442" t="str">
        <f>(VLOOKUP(A220,TradesEquity!$1:$1048576,38,FALSE))</f>
        <v xml:space="preserve">                  </v>
      </c>
      <c r="BJ220" s="442" t="str">
        <f>(VLOOKUP(A220,TradesEquity!$1:$1048576,39,FALSE))</f>
        <v xml:space="preserve">                          </v>
      </c>
      <c r="BK220" s="442" t="str">
        <f>(VLOOKUP(A220,TradesEquity!$1:$1048576,40,FALSE))</f>
        <v>GOLDJPJXXXX</v>
      </c>
    </row>
    <row r="221" spans="1:63">
      <c r="A221" s="502">
        <v>2019200468</v>
      </c>
      <c r="D221" s="432" t="s">
        <v>2027</v>
      </c>
      <c r="F221" s="433">
        <f>VLOOKUP(A221,TradesEquity!$1:$1048576,2,FALSE)</f>
        <v>44313</v>
      </c>
      <c r="H221" s="433">
        <f>VLOOKUP(A221,TradesEquity!$1:$1048576,21,FALSE)</f>
        <v>44315</v>
      </c>
      <c r="I221" s="434" t="str">
        <f>IF(VLOOKUP(A221,TradesEquity!$1:$1048576,3,FALSE)="BUY","B","S")</f>
        <v>S</v>
      </c>
      <c r="J221" s="434" t="str">
        <f>VLOOKUP(A221,TradesEquity!$1:$1048576,5,FALSE)</f>
        <v>IT0005424830</v>
      </c>
      <c r="K221" s="432" t="s">
        <v>19</v>
      </c>
      <c r="L221" s="435" t="s">
        <v>2028</v>
      </c>
      <c r="AE221" s="436" t="str">
        <f>VLOOKUP(A221,TradesEquity!$1:$1048576,10,FALSE)</f>
        <v>EUR</v>
      </c>
      <c r="AF221" s="436" t="str">
        <f t="shared" si="6"/>
        <v>EUR</v>
      </c>
      <c r="AG221" s="436" t="str">
        <f t="shared" si="6"/>
        <v>EUR</v>
      </c>
      <c r="AH221" s="436" t="str">
        <f t="shared" si="6"/>
        <v>EUR</v>
      </c>
      <c r="AI221" s="436">
        <f>ABS(VLOOKUP(A221,TradesEquity!$1:$1048576,13,FALSE))</f>
        <v>5062</v>
      </c>
      <c r="AJ221" s="437">
        <v>0</v>
      </c>
      <c r="AK221" s="437">
        <v>1</v>
      </c>
      <c r="AL221" s="436">
        <f>VLOOKUP(A221,TradesEquity!$1:$1048576,11,FALSE)</f>
        <v>4.7933789999999998</v>
      </c>
      <c r="AM221" s="437">
        <v>1</v>
      </c>
      <c r="AN221" s="436">
        <f>ABS(VLOOKUP(A221,TradesEquity!$1:$1048576,14,FALSE))</f>
        <v>24264.084498</v>
      </c>
      <c r="AO221" s="436">
        <f>ABS(VLOOKUP(A221,TradesEquity!$1:$1048576,15,FALSE))</f>
        <v>14.56</v>
      </c>
      <c r="AP221" s="438">
        <f>ABS(VLOOKUP(A221,TradesEquity!$1:$1048576,16,FALSE))</f>
        <v>0</v>
      </c>
      <c r="AQ221" s="367">
        <v>0</v>
      </c>
      <c r="AR221" s="367">
        <v>0</v>
      </c>
      <c r="AS221" s="367">
        <v>0</v>
      </c>
      <c r="AT221" s="367">
        <v>0</v>
      </c>
      <c r="AU221" s="367">
        <v>0</v>
      </c>
      <c r="AV221" s="438">
        <f>ABS(VLOOKUP(A221,TradesEquity!$1:$1048576,18,FALSE))</f>
        <v>24249.524497999999</v>
      </c>
      <c r="AW221" s="439">
        <v>0</v>
      </c>
      <c r="AX221" s="440">
        <v>4542</v>
      </c>
      <c r="AY221" s="441" t="s">
        <v>2029</v>
      </c>
      <c r="AZ221" s="442" t="str">
        <f>(VLOOKUP(A221,TradesEquity!$1:$1048576,29,FALSE))</f>
        <v>GSILGB2XXXX</v>
      </c>
      <c r="BA221" s="442" t="str">
        <f>(VLOOKUP(A221,TradesEquity!$1:$1048576,30,FALSE))</f>
        <v>MOTIITMMXXX</v>
      </c>
      <c r="BB221" s="442" t="str">
        <f>(VLOOKUP(A221,TradesEquity!$1:$1048576,31,FALSE))</f>
        <v>MOTICITIITMXXXX6013800</v>
      </c>
      <c r="BC221" s="442" t="str">
        <f>(VLOOKUP(A221,TradesEquity!$1:$1048576,32,FALSE))</f>
        <v>N</v>
      </c>
      <c r="BI221" s="442" t="str">
        <f>(VLOOKUP(A221,TradesEquity!$1:$1048576,38,FALSE))</f>
        <v xml:space="preserve">        </v>
      </c>
      <c r="BJ221" s="442" t="str">
        <f>(VLOOKUP(A221,TradesEquity!$1:$1048576,39,FALSE))</f>
        <v xml:space="preserve">        </v>
      </c>
      <c r="BK221" s="442" t="str">
        <f>(VLOOKUP(A221,TradesEquity!$1:$1048576,40,FALSE))</f>
        <v>CITIITM1012</v>
      </c>
    </row>
    <row r="222" spans="1:63">
      <c r="A222" s="502">
        <v>2019200469</v>
      </c>
      <c r="D222" s="432" t="s">
        <v>2027</v>
      </c>
      <c r="F222" s="433">
        <f>VLOOKUP(A222,TradesEquity!$1:$1048576,2,FALSE)</f>
        <v>44314</v>
      </c>
      <c r="H222" s="433">
        <f>VLOOKUP(A222,TradesEquity!$1:$1048576,21,FALSE)</f>
        <v>44316</v>
      </c>
      <c r="I222" s="434" t="str">
        <f>IF(VLOOKUP(A222,TradesEquity!$1:$1048576,3,FALSE)="BUY","B","S")</f>
        <v>S</v>
      </c>
      <c r="J222" s="434" t="str">
        <f>VLOOKUP(A222,TradesEquity!$1:$1048576,5,FALSE)</f>
        <v>IT0005424830</v>
      </c>
      <c r="K222" s="432" t="s">
        <v>19</v>
      </c>
      <c r="L222" s="435" t="s">
        <v>2028</v>
      </c>
      <c r="AE222" s="436" t="str">
        <f>VLOOKUP(A222,TradesEquity!$1:$1048576,10,FALSE)</f>
        <v>EUR</v>
      </c>
      <c r="AF222" s="436" t="str">
        <f t="shared" si="6"/>
        <v>EUR</v>
      </c>
      <c r="AG222" s="436" t="str">
        <f t="shared" si="6"/>
        <v>EUR</v>
      </c>
      <c r="AH222" s="436" t="str">
        <f t="shared" si="6"/>
        <v>EUR</v>
      </c>
      <c r="AI222" s="436">
        <f>ABS(VLOOKUP(A222,TradesEquity!$1:$1048576,13,FALSE))</f>
        <v>1427</v>
      </c>
      <c r="AJ222" s="437">
        <v>0</v>
      </c>
      <c r="AK222" s="437">
        <v>1</v>
      </c>
      <c r="AL222" s="436">
        <f>VLOOKUP(A222,TradesEquity!$1:$1048576,11,FALSE)</f>
        <v>4.7937180000000001</v>
      </c>
      <c r="AM222" s="437">
        <v>1</v>
      </c>
      <c r="AN222" s="436">
        <f>ABS(VLOOKUP(A222,TradesEquity!$1:$1048576,14,FALSE))</f>
        <v>6840.6355860000003</v>
      </c>
      <c r="AO222" s="436">
        <f>ABS(VLOOKUP(A222,TradesEquity!$1:$1048576,15,FALSE))</f>
        <v>4.0999999999999996</v>
      </c>
      <c r="AP222" s="438">
        <f>ABS(VLOOKUP(A222,TradesEquity!$1:$1048576,16,FALSE))</f>
        <v>0</v>
      </c>
      <c r="AQ222" s="367">
        <v>0</v>
      </c>
      <c r="AR222" s="367">
        <v>0</v>
      </c>
      <c r="AS222" s="367">
        <v>0</v>
      </c>
      <c r="AT222" s="367">
        <v>0</v>
      </c>
      <c r="AU222" s="367">
        <v>0</v>
      </c>
      <c r="AV222" s="438">
        <f>ABS(VLOOKUP(A222,TradesEquity!$1:$1048576,18,FALSE))</f>
        <v>6836.535586</v>
      </c>
      <c r="AW222" s="439">
        <v>0</v>
      </c>
      <c r="AX222" s="440">
        <v>4542</v>
      </c>
      <c r="AY222" s="441" t="s">
        <v>2029</v>
      </c>
      <c r="AZ222" s="442" t="str">
        <f>(VLOOKUP(A222,TradesEquity!$1:$1048576,29,FALSE))</f>
        <v>GSILGB2XXXX</v>
      </c>
      <c r="BA222" s="442" t="str">
        <f>(VLOOKUP(A222,TradesEquity!$1:$1048576,30,FALSE))</f>
        <v>MOTIITMMXXX</v>
      </c>
      <c r="BB222" s="442" t="str">
        <f>(VLOOKUP(A222,TradesEquity!$1:$1048576,31,FALSE))</f>
        <v>MOTICITIITMXXXX6013800</v>
      </c>
      <c r="BC222" s="442" t="str">
        <f>(VLOOKUP(A222,TradesEquity!$1:$1048576,32,FALSE))</f>
        <v>N</v>
      </c>
      <c r="BI222" s="442" t="str">
        <f>(VLOOKUP(A222,TradesEquity!$1:$1048576,38,FALSE))</f>
        <v xml:space="preserve">        </v>
      </c>
      <c r="BJ222" s="442" t="str">
        <f>(VLOOKUP(A222,TradesEquity!$1:$1048576,39,FALSE))</f>
        <v xml:space="preserve">        </v>
      </c>
      <c r="BK222" s="442" t="str">
        <f>(VLOOKUP(A222,TradesEquity!$1:$1048576,40,FALSE))</f>
        <v>CITIITM1012</v>
      </c>
    </row>
    <row r="223" spans="1:63">
      <c r="A223" s="502">
        <v>2019200470</v>
      </c>
      <c r="D223" s="432" t="s">
        <v>2027</v>
      </c>
      <c r="F223" s="433">
        <f>VLOOKUP(A223,TradesEquity!$1:$1048576,2,FALSE)</f>
        <v>44316</v>
      </c>
      <c r="H223" s="433">
        <f>VLOOKUP(A223,TradesEquity!$1:$1048576,21,FALSE)</f>
        <v>44323</v>
      </c>
      <c r="I223" s="434" t="str">
        <f>IF(VLOOKUP(A223,TradesEquity!$1:$1048576,3,FALSE)="BUY","B","S")</f>
        <v>S</v>
      </c>
      <c r="J223" s="434" t="str">
        <f>VLOOKUP(A223,TradesEquity!$1:$1048576,5,FALSE)</f>
        <v>JP3102000001</v>
      </c>
      <c r="K223" s="432" t="s">
        <v>19</v>
      </c>
      <c r="L223" s="435" t="s">
        <v>2028</v>
      </c>
      <c r="AE223" s="436" t="str">
        <f>VLOOKUP(A223,TradesEquity!$1:$1048576,10,FALSE)</f>
        <v>JPY</v>
      </c>
      <c r="AF223" s="436" t="str">
        <f t="shared" si="6"/>
        <v>JPY</v>
      </c>
      <c r="AG223" s="436" t="str">
        <f t="shared" si="6"/>
        <v>JPY</v>
      </c>
      <c r="AH223" s="436" t="str">
        <f t="shared" si="6"/>
        <v>JPY</v>
      </c>
      <c r="AI223" s="436">
        <f>ABS(VLOOKUP(A223,TradesEquity!$1:$1048576,13,FALSE))</f>
        <v>2200</v>
      </c>
      <c r="AJ223" s="437">
        <v>0</v>
      </c>
      <c r="AK223" s="437">
        <v>1</v>
      </c>
      <c r="AL223" s="436">
        <f>VLOOKUP(A223,TradesEquity!$1:$1048576,11,FALSE)</f>
        <v>4243.6636360000002</v>
      </c>
      <c r="AM223" s="437">
        <v>1</v>
      </c>
      <c r="AN223" s="436">
        <f>ABS(VLOOKUP(A223,TradesEquity!$1:$1048576,14,FALSE))</f>
        <v>9336059.9992000014</v>
      </c>
      <c r="AO223" s="436">
        <f>ABS(VLOOKUP(A223,TradesEquity!$1:$1048576,15,FALSE))</f>
        <v>5602</v>
      </c>
      <c r="AP223" s="438">
        <f>ABS(VLOOKUP(A223,TradesEquity!$1:$1048576,16,FALSE))</f>
        <v>0</v>
      </c>
      <c r="AQ223" s="367">
        <v>0</v>
      </c>
      <c r="AR223" s="367">
        <v>0</v>
      </c>
      <c r="AS223" s="367">
        <v>0</v>
      </c>
      <c r="AT223" s="367">
        <v>0</v>
      </c>
      <c r="AU223" s="367">
        <v>0</v>
      </c>
      <c r="AV223" s="438">
        <f>ABS(VLOOKUP(A223,TradesEquity!$1:$1048576,18,FALSE))</f>
        <v>9330457.9992000014</v>
      </c>
      <c r="AW223" s="439">
        <v>0</v>
      </c>
      <c r="AX223" s="440">
        <v>4542</v>
      </c>
      <c r="AY223" s="441" t="s">
        <v>2029</v>
      </c>
      <c r="AZ223" s="442" t="str">
        <f>(VLOOKUP(A223,TradesEquity!$1:$1048576,29,FALSE))</f>
        <v>GSILGB2XXXX</v>
      </c>
      <c r="BA223" s="442" t="str">
        <f>(VLOOKUP(A223,TradesEquity!$1:$1048576,30,FALSE))</f>
        <v>JJSDJPJTXXX</v>
      </c>
      <c r="BB223" s="442">
        <f>(VLOOKUP(A223,TradesEquity!$1:$1048576,31,FALSE))</f>
        <v>6530490016</v>
      </c>
      <c r="BC223" s="442" t="str">
        <f>(VLOOKUP(A223,TradesEquity!$1:$1048576,32,FALSE))</f>
        <v>N</v>
      </c>
      <c r="BI223" s="442" t="str">
        <f>(VLOOKUP(A223,TradesEquity!$1:$1048576,38,FALSE))</f>
        <v xml:space="preserve">                  </v>
      </c>
      <c r="BJ223" s="442" t="str">
        <f>(VLOOKUP(A223,TradesEquity!$1:$1048576,39,FALSE))</f>
        <v xml:space="preserve">                          </v>
      </c>
      <c r="BK223" s="442" t="str">
        <f>(VLOOKUP(A223,TradesEquity!$1:$1048576,40,FALSE))</f>
        <v>GOLDJPJXXXX</v>
      </c>
    </row>
    <row r="224" spans="1:63">
      <c r="A224" s="502">
        <v>2019200471</v>
      </c>
      <c r="D224" s="432" t="s">
        <v>2027</v>
      </c>
      <c r="F224" s="433">
        <f>VLOOKUP(A224,TradesEquity!$1:$1048576,2,FALSE)</f>
        <v>44322</v>
      </c>
      <c r="H224" s="433">
        <f>VLOOKUP(A224,TradesEquity!$1:$1048576,21,FALSE)</f>
        <v>44326</v>
      </c>
      <c r="I224" s="434" t="str">
        <f>IF(VLOOKUP(A224,TradesEquity!$1:$1048576,3,FALSE)="BUY","B","S")</f>
        <v>B</v>
      </c>
      <c r="J224" s="434" t="str">
        <f>VLOOKUP(A224,TradesEquity!$1:$1048576,5,FALSE)</f>
        <v>JP3866800000</v>
      </c>
      <c r="K224" s="432" t="s">
        <v>19</v>
      </c>
      <c r="L224" s="435" t="s">
        <v>2028</v>
      </c>
      <c r="AE224" s="436" t="str">
        <f>VLOOKUP(A224,TradesEquity!$1:$1048576,10,FALSE)</f>
        <v>JPY</v>
      </c>
      <c r="AF224" s="436" t="str">
        <f t="shared" si="6"/>
        <v>JPY</v>
      </c>
      <c r="AG224" s="436" t="str">
        <f t="shared" si="6"/>
        <v>JPY</v>
      </c>
      <c r="AH224" s="436" t="str">
        <f t="shared" si="6"/>
        <v>JPY</v>
      </c>
      <c r="AI224" s="436">
        <f>ABS(VLOOKUP(A224,TradesEquity!$1:$1048576,13,FALSE))</f>
        <v>25000</v>
      </c>
      <c r="AJ224" s="437">
        <v>0</v>
      </c>
      <c r="AK224" s="437">
        <v>1</v>
      </c>
      <c r="AL224" s="436">
        <f>VLOOKUP(A224,TradesEquity!$1:$1048576,11,FALSE)</f>
        <v>1308</v>
      </c>
      <c r="AM224" s="437">
        <v>1</v>
      </c>
      <c r="AN224" s="436">
        <f>ABS(VLOOKUP(A224,TradesEquity!$1:$1048576,14,FALSE))</f>
        <v>32700000</v>
      </c>
      <c r="AO224" s="436">
        <f>ABS(VLOOKUP(A224,TradesEquity!$1:$1048576,15,FALSE))</f>
        <v>19620</v>
      </c>
      <c r="AP224" s="438">
        <f>ABS(VLOOKUP(A224,TradesEquity!$1:$1048576,16,FALSE))</f>
        <v>0</v>
      </c>
      <c r="AQ224" s="367">
        <v>0</v>
      </c>
      <c r="AR224" s="367">
        <v>0</v>
      </c>
      <c r="AS224" s="367">
        <v>0</v>
      </c>
      <c r="AT224" s="367">
        <v>0</v>
      </c>
      <c r="AU224" s="367">
        <v>0</v>
      </c>
      <c r="AV224" s="438">
        <f>ABS(VLOOKUP(A224,TradesEquity!$1:$1048576,18,FALSE))</f>
        <v>32719620</v>
      </c>
      <c r="AW224" s="439">
        <v>0</v>
      </c>
      <c r="AX224" s="440">
        <v>4542</v>
      </c>
      <c r="AY224" s="441" t="s">
        <v>2029</v>
      </c>
      <c r="AZ224" s="442" t="str">
        <f>(VLOOKUP(A224,TradesEquity!$1:$1048576,29,FALSE))</f>
        <v>GSILGB2XXXX</v>
      </c>
      <c r="BA224" s="442" t="str">
        <f>(VLOOKUP(A224,TradesEquity!$1:$1048576,30,FALSE))</f>
        <v>JJSDJPJTXXX</v>
      </c>
      <c r="BB224" s="442">
        <f>(VLOOKUP(A224,TradesEquity!$1:$1048576,31,FALSE))</f>
        <v>6530490016</v>
      </c>
      <c r="BC224" s="442" t="str">
        <f>(VLOOKUP(A224,TradesEquity!$1:$1048576,32,FALSE))</f>
        <v>N</v>
      </c>
      <c r="BI224" s="442" t="str">
        <f>(VLOOKUP(A224,TradesEquity!$1:$1048576,38,FALSE))</f>
        <v xml:space="preserve">                  </v>
      </c>
      <c r="BJ224" s="442" t="str">
        <f>(VLOOKUP(A224,TradesEquity!$1:$1048576,39,FALSE))</f>
        <v xml:space="preserve">                          </v>
      </c>
      <c r="BK224" s="442" t="str">
        <f>(VLOOKUP(A224,TradesEquity!$1:$1048576,40,FALSE))</f>
        <v>GOLDJPJXXXX</v>
      </c>
    </row>
    <row r="225" spans="1:63">
      <c r="A225" s="502">
        <f>(A224+1)</f>
        <v>2019200472</v>
      </c>
      <c r="D225" s="432" t="s">
        <v>2027</v>
      </c>
      <c r="F225" s="433">
        <f>VLOOKUP(A225,TradesEquity!$1:$1048576,2,FALSE)</f>
        <v>44327</v>
      </c>
      <c r="H225" s="433">
        <f>VLOOKUP(A225,TradesEquity!$1:$1048576,21,FALSE)</f>
        <v>44329</v>
      </c>
      <c r="I225" s="434" t="str">
        <f>IF(VLOOKUP(A225,TradesEquity!$1:$1048576,3,FALSE)="BUY","B","S")</f>
        <v>S</v>
      </c>
      <c r="J225" s="434" t="str">
        <f>VLOOKUP(A225,TradesEquity!$1:$1048576,5,FALSE)</f>
        <v>KR7096771001</v>
      </c>
      <c r="K225" s="432" t="s">
        <v>19</v>
      </c>
      <c r="L225" s="435" t="s">
        <v>2028</v>
      </c>
      <c r="AE225" s="436" t="str">
        <f>VLOOKUP(A225,TradesEquity!$1:$1048576,10,FALSE)</f>
        <v>KRW</v>
      </c>
      <c r="AF225" s="436" t="str">
        <f t="shared" si="6"/>
        <v>KRW</v>
      </c>
      <c r="AG225" s="436" t="str">
        <f t="shared" si="6"/>
        <v>KRW</v>
      </c>
      <c r="AH225" s="436" t="str">
        <f t="shared" si="6"/>
        <v>KRW</v>
      </c>
      <c r="AI225" s="436">
        <f>ABS(VLOOKUP(A225,TradesEquity!$1:$1048576,13,FALSE))</f>
        <v>500</v>
      </c>
      <c r="AJ225" s="437">
        <v>0</v>
      </c>
      <c r="AK225" s="437">
        <v>1</v>
      </c>
      <c r="AL225" s="436">
        <f>VLOOKUP(A225,TradesEquity!$1:$1048576,11,FALSE)</f>
        <v>191298</v>
      </c>
      <c r="AM225" s="437">
        <v>1</v>
      </c>
      <c r="AN225" s="436">
        <f>ABS(VLOOKUP(A225,TradesEquity!$1:$1048576,14,FALSE))</f>
        <v>95649000</v>
      </c>
      <c r="AO225" s="436">
        <f>ABS(VLOOKUP(A225,TradesEquity!$1:$1048576,15,FALSE))</f>
        <v>143474</v>
      </c>
      <c r="AP225" s="438">
        <f>ABS(VLOOKUP(A225,TradesEquity!$1:$1048576,16,FALSE))</f>
        <v>219959</v>
      </c>
      <c r="AQ225" s="367">
        <v>0</v>
      </c>
      <c r="AR225" s="367">
        <v>0</v>
      </c>
      <c r="AS225" s="367">
        <v>0</v>
      </c>
      <c r="AT225" s="367">
        <v>0</v>
      </c>
      <c r="AU225" s="367">
        <v>0</v>
      </c>
      <c r="AV225" s="438">
        <f>ABS(VLOOKUP(A225,TradesEquity!$1:$1048576,18,FALSE))</f>
        <v>95285567</v>
      </c>
      <c r="AW225" s="439">
        <v>0</v>
      </c>
      <c r="AX225" s="440">
        <v>4542</v>
      </c>
      <c r="AY225" s="441" t="s">
        <v>2029</v>
      </c>
      <c r="AZ225" s="442" t="e">
        <f>(VLOOKUP(A225,TradesEquity!$1:$1048576,29,FALSE))</f>
        <v>#N/A</v>
      </c>
      <c r="BA225" s="442" t="e">
        <f>(VLOOKUP(A225,TradesEquity!$1:$1048576,30,FALSE))</f>
        <v>#N/A</v>
      </c>
      <c r="BB225" s="442" t="e">
        <f>(VLOOKUP(A225,TradesEquity!$1:$1048576,31,FALSE))</f>
        <v>#N/A</v>
      </c>
      <c r="BC225" s="442" t="e">
        <f>(VLOOKUP(A225,TradesEquity!$1:$1048576,32,FALSE))</f>
        <v>#N/A</v>
      </c>
      <c r="BI225" s="442" t="e">
        <f>(VLOOKUP(A225,TradesEquity!$1:$1048576,38,FALSE))</f>
        <v>#N/A</v>
      </c>
      <c r="BJ225" s="442" t="e">
        <f>(VLOOKUP(A225,TradesEquity!$1:$1048576,39,FALSE))</f>
        <v>#N/A</v>
      </c>
      <c r="BK225" s="442" t="e">
        <f>(VLOOKUP(A225,TradesEquity!$1:$1048576,40,FALSE))</f>
        <v>#N/A</v>
      </c>
    </row>
    <row r="226" spans="1:63">
      <c r="A226" s="502">
        <f t="shared" ref="A226:A228" si="9">(A225+1)</f>
        <v>2019200473</v>
      </c>
      <c r="D226" s="432" t="s">
        <v>2027</v>
      </c>
      <c r="F226" s="433">
        <f>VLOOKUP(A226,TradesEquity!$1:$1048576,2,FALSE)</f>
        <v>44327</v>
      </c>
      <c r="H226" s="433">
        <f>VLOOKUP(A226,TradesEquity!$1:$1048576,21,FALSE)</f>
        <v>44329</v>
      </c>
      <c r="I226" s="434" t="str">
        <f>IF(VLOOKUP(A226,TradesEquity!$1:$1048576,3,FALSE)="BUY","B","S")</f>
        <v>S</v>
      </c>
      <c r="J226" s="434" t="str">
        <f>VLOOKUP(A226,TradesEquity!$1:$1048576,5,FALSE)</f>
        <v>KR7006401004</v>
      </c>
      <c r="K226" s="432" t="s">
        <v>19</v>
      </c>
      <c r="L226" s="435" t="s">
        <v>2028</v>
      </c>
      <c r="AE226" s="436" t="str">
        <f>VLOOKUP(A226,TradesEquity!$1:$1048576,10,FALSE)</f>
        <v>KRW</v>
      </c>
      <c r="AF226" s="436" t="str">
        <f t="shared" si="6"/>
        <v>KRW</v>
      </c>
      <c r="AG226" s="436" t="str">
        <f t="shared" si="6"/>
        <v>KRW</v>
      </c>
      <c r="AH226" s="436" t="str">
        <f t="shared" si="6"/>
        <v>KRW</v>
      </c>
      <c r="AI226" s="436">
        <f>ABS(VLOOKUP(A226,TradesEquity!$1:$1048576,13,FALSE))</f>
        <v>410</v>
      </c>
      <c r="AJ226" s="437">
        <v>0</v>
      </c>
      <c r="AK226" s="437">
        <v>1</v>
      </c>
      <c r="AL226" s="436">
        <f>VLOOKUP(A226,TradesEquity!$1:$1048576,11,FALSE)</f>
        <v>438754.87800000003</v>
      </c>
      <c r="AM226" s="437">
        <v>1</v>
      </c>
      <c r="AN226" s="436">
        <f>ABS(VLOOKUP(A226,TradesEquity!$1:$1048576,14,FALSE))</f>
        <v>179889499.98000002</v>
      </c>
      <c r="AO226" s="436">
        <f>ABS(VLOOKUP(A226,TradesEquity!$1:$1048576,15,FALSE))</f>
        <v>269834</v>
      </c>
      <c r="AP226" s="438">
        <f>ABS(VLOOKUP(A226,TradesEquity!$1:$1048576,16,FALSE))</f>
        <v>413621</v>
      </c>
      <c r="AQ226" s="367">
        <v>0</v>
      </c>
      <c r="AR226" s="367">
        <v>0</v>
      </c>
      <c r="AS226" s="367">
        <v>0</v>
      </c>
      <c r="AT226" s="367">
        <v>0</v>
      </c>
      <c r="AU226" s="367">
        <v>0</v>
      </c>
      <c r="AV226" s="438">
        <f>ABS(VLOOKUP(A226,TradesEquity!$1:$1048576,18,FALSE))</f>
        <v>179206044.98000002</v>
      </c>
      <c r="AW226" s="439">
        <v>0</v>
      </c>
      <c r="AX226" s="440">
        <v>4542</v>
      </c>
      <c r="AY226" s="441" t="s">
        <v>2029</v>
      </c>
      <c r="AZ226" s="442" t="e">
        <f>(VLOOKUP(A226,TradesEquity!$1:$1048576,29,FALSE))</f>
        <v>#N/A</v>
      </c>
      <c r="BA226" s="442" t="e">
        <f>(VLOOKUP(A226,TradesEquity!$1:$1048576,30,FALSE))</f>
        <v>#N/A</v>
      </c>
      <c r="BB226" s="442" t="e">
        <f>(VLOOKUP(A226,TradesEquity!$1:$1048576,31,FALSE))</f>
        <v>#N/A</v>
      </c>
      <c r="BC226" s="442" t="e">
        <f>(VLOOKUP(A226,TradesEquity!$1:$1048576,32,FALSE))</f>
        <v>#N/A</v>
      </c>
      <c r="BI226" s="442" t="e">
        <f>(VLOOKUP(A226,TradesEquity!$1:$1048576,38,FALSE))</f>
        <v>#N/A</v>
      </c>
      <c r="BJ226" s="442" t="e">
        <f>(VLOOKUP(A226,TradesEquity!$1:$1048576,39,FALSE))</f>
        <v>#N/A</v>
      </c>
      <c r="BK226" s="442" t="e">
        <f>(VLOOKUP(A226,TradesEquity!$1:$1048576,40,FALSE))</f>
        <v>#N/A</v>
      </c>
    </row>
    <row r="227" spans="1:63">
      <c r="A227" s="502">
        <f t="shared" si="9"/>
        <v>2019200474</v>
      </c>
      <c r="D227" s="432" t="s">
        <v>2027</v>
      </c>
      <c r="F227" s="433">
        <f>VLOOKUP(A227,TradesEquity!$1:$1048576,2,FALSE)</f>
        <v>44327</v>
      </c>
      <c r="H227" s="433">
        <f>VLOOKUP(A227,TradesEquity!$1:$1048576,21,FALSE)</f>
        <v>44329</v>
      </c>
      <c r="I227" s="434" t="str">
        <f>IF(VLOOKUP(A227,TradesEquity!$1:$1048576,3,FALSE)="BUY","B","S")</f>
        <v>S</v>
      </c>
      <c r="J227" s="434" t="str">
        <f>VLOOKUP(A227,TradesEquity!$1:$1048576,5,FALSE)</f>
        <v>KR7051911006</v>
      </c>
      <c r="K227" s="432" t="s">
        <v>19</v>
      </c>
      <c r="L227" s="435" t="s">
        <v>2028</v>
      </c>
      <c r="AE227" s="436" t="str">
        <f>VLOOKUP(A227,TradesEquity!$1:$1048576,10,FALSE)</f>
        <v>KRW</v>
      </c>
      <c r="AF227" s="436" t="str">
        <f t="shared" si="6"/>
        <v>KRW</v>
      </c>
      <c r="AG227" s="436" t="str">
        <f t="shared" si="6"/>
        <v>KRW</v>
      </c>
      <c r="AH227" s="436" t="str">
        <f t="shared" si="6"/>
        <v>KRW</v>
      </c>
      <c r="AI227" s="436">
        <f>ABS(VLOOKUP(A227,TradesEquity!$1:$1048576,13,FALSE))</f>
        <v>600</v>
      </c>
      <c r="AJ227" s="437">
        <v>0</v>
      </c>
      <c r="AK227" s="437">
        <v>1</v>
      </c>
      <c r="AL227" s="436">
        <f>VLOOKUP(A227,TradesEquity!$1:$1048576,11,FALSE)</f>
        <v>431132.5</v>
      </c>
      <c r="AM227" s="437">
        <v>1</v>
      </c>
      <c r="AN227" s="436">
        <f>ABS(VLOOKUP(A227,TradesEquity!$1:$1048576,14,FALSE))</f>
        <v>258679500</v>
      </c>
      <c r="AO227" s="436">
        <f>ABS(VLOOKUP(A227,TradesEquity!$1:$1048576,15,FALSE))</f>
        <v>388019</v>
      </c>
      <c r="AP227" s="438">
        <f>ABS(VLOOKUP(A227,TradesEquity!$1:$1048576,16,FALSE))</f>
        <v>594897</v>
      </c>
      <c r="AQ227" s="367">
        <v>0</v>
      </c>
      <c r="AR227" s="367">
        <v>0</v>
      </c>
      <c r="AS227" s="367">
        <v>0</v>
      </c>
      <c r="AT227" s="367">
        <v>0</v>
      </c>
      <c r="AU227" s="367">
        <v>0</v>
      </c>
      <c r="AV227" s="438">
        <f>ABS(VLOOKUP(A227,TradesEquity!$1:$1048576,18,FALSE))</f>
        <v>257696584</v>
      </c>
      <c r="AW227" s="439">
        <v>0</v>
      </c>
      <c r="AX227" s="440">
        <v>4542</v>
      </c>
      <c r="AY227" s="441" t="s">
        <v>2029</v>
      </c>
      <c r="AZ227" s="442" t="e">
        <f>(VLOOKUP(A227,TradesEquity!$1:$1048576,29,FALSE))</f>
        <v>#N/A</v>
      </c>
      <c r="BA227" s="442" t="e">
        <f>(VLOOKUP(A227,TradesEquity!$1:$1048576,30,FALSE))</f>
        <v>#N/A</v>
      </c>
      <c r="BB227" s="442" t="e">
        <f>(VLOOKUP(A227,TradesEquity!$1:$1048576,31,FALSE))</f>
        <v>#N/A</v>
      </c>
      <c r="BC227" s="442" t="e">
        <f>(VLOOKUP(A227,TradesEquity!$1:$1048576,32,FALSE))</f>
        <v>#N/A</v>
      </c>
      <c r="BI227" s="442" t="e">
        <f>(VLOOKUP(A227,TradesEquity!$1:$1048576,38,FALSE))</f>
        <v>#N/A</v>
      </c>
      <c r="BJ227" s="442" t="e">
        <f>(VLOOKUP(A227,TradesEquity!$1:$1048576,39,FALSE))</f>
        <v>#N/A</v>
      </c>
      <c r="BK227" s="442" t="e">
        <f>(VLOOKUP(A227,TradesEquity!$1:$1048576,40,FALSE))</f>
        <v>#N/A</v>
      </c>
    </row>
    <row r="228" spans="1:63">
      <c r="A228" s="502">
        <f t="shared" si="9"/>
        <v>2019200475</v>
      </c>
      <c r="D228" s="432" t="s">
        <v>2027</v>
      </c>
      <c r="F228" s="433">
        <f>VLOOKUP(A228,TradesEquity!$1:$1048576,2,FALSE)</f>
        <v>44327</v>
      </c>
      <c r="H228" s="433">
        <f>VLOOKUP(A228,TradesEquity!$1:$1048576,21,FALSE)</f>
        <v>44329</v>
      </c>
      <c r="I228" s="434" t="str">
        <f>IF(VLOOKUP(A228,TradesEquity!$1:$1048576,3,FALSE)="BUY","B","S")</f>
        <v>B</v>
      </c>
      <c r="J228" s="434" t="str">
        <f>VLOOKUP(A228,TradesEquity!$1:$1048576,5,FALSE)</f>
        <v>JP3866800000</v>
      </c>
      <c r="K228" s="432" t="s">
        <v>19</v>
      </c>
      <c r="L228" s="435" t="s">
        <v>2028</v>
      </c>
      <c r="AE228" s="436" t="str">
        <f>VLOOKUP(A228,TradesEquity!$1:$1048576,10,FALSE)</f>
        <v>JPY</v>
      </c>
      <c r="AF228" s="436" t="str">
        <f t="shared" si="6"/>
        <v>JPY</v>
      </c>
      <c r="AG228" s="436" t="str">
        <f t="shared" si="6"/>
        <v>JPY</v>
      </c>
      <c r="AH228" s="436" t="str">
        <f t="shared" si="6"/>
        <v>JPY</v>
      </c>
      <c r="AI228" s="436">
        <f>ABS(VLOOKUP(A228,TradesEquity!$1:$1048576,13,FALSE))</f>
        <v>22000</v>
      </c>
      <c r="AJ228" s="437">
        <v>0</v>
      </c>
      <c r="AK228" s="437">
        <v>1</v>
      </c>
      <c r="AL228" s="436">
        <f>VLOOKUP(A228,TradesEquity!$1:$1048576,11,FALSE)</f>
        <v>1242.160455</v>
      </c>
      <c r="AM228" s="437">
        <v>1</v>
      </c>
      <c r="AN228" s="436">
        <f>ABS(VLOOKUP(A228,TradesEquity!$1:$1048576,14,FALSE))</f>
        <v>27327530.009999998</v>
      </c>
      <c r="AO228" s="436">
        <f>ABS(VLOOKUP(A228,TradesEquity!$1:$1048576,15,FALSE))</f>
        <v>16397</v>
      </c>
      <c r="AP228" s="438">
        <f>ABS(VLOOKUP(A228,TradesEquity!$1:$1048576,16,FALSE))</f>
        <v>0</v>
      </c>
      <c r="AQ228" s="367">
        <v>0</v>
      </c>
      <c r="AR228" s="367">
        <v>0</v>
      </c>
      <c r="AS228" s="367">
        <v>0</v>
      </c>
      <c r="AT228" s="367">
        <v>0</v>
      </c>
      <c r="AU228" s="367">
        <v>0</v>
      </c>
      <c r="AV228" s="438">
        <f>ABS(VLOOKUP(A228,TradesEquity!$1:$1048576,18,FALSE))</f>
        <v>27343927.009999998</v>
      </c>
      <c r="AW228" s="439">
        <v>0</v>
      </c>
      <c r="AX228" s="440">
        <v>4542</v>
      </c>
      <c r="AY228" s="441" t="s">
        <v>2029</v>
      </c>
      <c r="AZ228" s="442" t="str">
        <f>(VLOOKUP(A228,TradesEquity!$1:$1048576,29,FALSE))</f>
        <v>GSILGB2XXXX</v>
      </c>
      <c r="BA228" s="442" t="str">
        <f>(VLOOKUP(A228,TradesEquity!$1:$1048576,30,FALSE))</f>
        <v>JJSDJPJTXXX</v>
      </c>
      <c r="BB228" s="442">
        <f>(VLOOKUP(A228,TradesEquity!$1:$1048576,31,FALSE))</f>
        <v>6530490016</v>
      </c>
      <c r="BC228" s="442" t="str">
        <f>(VLOOKUP(A228,TradesEquity!$1:$1048576,32,FALSE))</f>
        <v>N</v>
      </c>
      <c r="BI228" s="442" t="str">
        <f>(VLOOKUP(A228,TradesEquity!$1:$1048576,38,FALSE))</f>
        <v xml:space="preserve">                  </v>
      </c>
      <c r="BJ228" s="442" t="str">
        <f>(VLOOKUP(A228,TradesEquity!$1:$1048576,39,FALSE))</f>
        <v xml:space="preserve">                          </v>
      </c>
      <c r="BK228" s="442" t="str">
        <f>(VLOOKUP(A228,TradesEquity!$1:$1048576,40,FALSE))</f>
        <v>GOLDJPJXXXX</v>
      </c>
    </row>
    <row r="229" spans="1:63">
      <c r="A229" s="502">
        <v>2019200476</v>
      </c>
      <c r="D229" s="432" t="s">
        <v>2027</v>
      </c>
      <c r="F229" s="433">
        <f>VLOOKUP(A229,TradesEquity!$1:$1048576,2,FALSE)</f>
        <v>44333</v>
      </c>
      <c r="H229" s="433">
        <f>VLOOKUP(A229,TradesEquity!$1:$1048576,21,FALSE)</f>
        <v>44335</v>
      </c>
      <c r="I229" s="434" t="str">
        <f>IF(VLOOKUP(A229,TradesEquity!$1:$1048576,3,FALSE)="BUY","B","S")</f>
        <v>B</v>
      </c>
      <c r="J229" s="434" t="str">
        <f>VLOOKUP(A229,TradesEquity!$1:$1048576,5,FALSE)</f>
        <v>JP3399720006</v>
      </c>
      <c r="K229" s="432" t="s">
        <v>19</v>
      </c>
      <c r="L229" s="435" t="s">
        <v>2028</v>
      </c>
      <c r="AE229" s="436" t="str">
        <f>VLOOKUP(A229,TradesEquity!$1:$1048576,10,FALSE)</f>
        <v>JPY</v>
      </c>
      <c r="AF229" s="436" t="str">
        <f t="shared" si="6"/>
        <v>JPY</v>
      </c>
      <c r="AG229" s="436" t="str">
        <f t="shared" si="6"/>
        <v>JPY</v>
      </c>
      <c r="AH229" s="436" t="str">
        <f t="shared" si="6"/>
        <v>JPY</v>
      </c>
      <c r="AI229" s="436">
        <f>ABS(VLOOKUP(A229,TradesEquity!$1:$1048576,13,FALSE))</f>
        <v>4500</v>
      </c>
      <c r="AJ229" s="437">
        <v>0</v>
      </c>
      <c r="AK229" s="437">
        <v>1</v>
      </c>
      <c r="AL229" s="436">
        <f>VLOOKUP(A229,TradesEquity!$1:$1048576,11,FALSE)</f>
        <v>2937.417778</v>
      </c>
      <c r="AM229" s="437">
        <v>1</v>
      </c>
      <c r="AN229" s="436">
        <f>ABS(VLOOKUP(A229,TradesEquity!$1:$1048576,14,FALSE))</f>
        <v>13218380.001</v>
      </c>
      <c r="AO229" s="436">
        <f>ABS(VLOOKUP(A229,TradesEquity!$1:$1048576,15,FALSE))</f>
        <v>7931</v>
      </c>
      <c r="AP229" s="438">
        <f>ABS(VLOOKUP(A229,TradesEquity!$1:$1048576,16,FALSE))</f>
        <v>0</v>
      </c>
      <c r="AQ229" s="367">
        <v>0</v>
      </c>
      <c r="AR229" s="367">
        <v>0</v>
      </c>
      <c r="AS229" s="367">
        <v>0</v>
      </c>
      <c r="AT229" s="367">
        <v>0</v>
      </c>
      <c r="AU229" s="367">
        <v>0</v>
      </c>
      <c r="AV229" s="438">
        <f>ABS(VLOOKUP(A229,TradesEquity!$1:$1048576,18,FALSE))</f>
        <v>13226311.001</v>
      </c>
      <c r="AW229" s="439">
        <v>0</v>
      </c>
      <c r="AX229" s="440">
        <v>4542</v>
      </c>
      <c r="AY229" s="441" t="s">
        <v>2029</v>
      </c>
      <c r="AZ229" s="442" t="str">
        <f>(VLOOKUP(A229,TradesEquity!$1:$1048576,29,FALSE))</f>
        <v>GSILGB2XXXX</v>
      </c>
      <c r="BA229" s="442" t="str">
        <f>(VLOOKUP(A229,TradesEquity!$1:$1048576,30,FALSE))</f>
        <v>JJSDJPJTXXX</v>
      </c>
      <c r="BB229" s="442">
        <f>(VLOOKUP(A229,TradesEquity!$1:$1048576,31,FALSE))</f>
        <v>6530490016</v>
      </c>
      <c r="BC229" s="442" t="str">
        <f>(VLOOKUP(A229,TradesEquity!$1:$1048576,32,FALSE))</f>
        <v>N</v>
      </c>
      <c r="BI229" s="442" t="str">
        <f>(VLOOKUP(A229,TradesEquity!$1:$1048576,38,FALSE))</f>
        <v xml:space="preserve">                  </v>
      </c>
      <c r="BJ229" s="442" t="str">
        <f>(VLOOKUP(A229,TradesEquity!$1:$1048576,39,FALSE))</f>
        <v xml:space="preserve">                          </v>
      </c>
      <c r="BK229" s="442" t="str">
        <f>(VLOOKUP(A229,TradesEquity!$1:$1048576,40,FALSE))</f>
        <v>GOLDJPJXXXX</v>
      </c>
    </row>
    <row r="230" spans="1:63">
      <c r="A230" s="502">
        <v>2019200477</v>
      </c>
      <c r="D230" s="432" t="s">
        <v>2027</v>
      </c>
      <c r="F230" s="433">
        <f>VLOOKUP(A230,TradesEquity!$1:$1048576,2,FALSE)</f>
        <v>44333</v>
      </c>
      <c r="H230" s="433">
        <f>VLOOKUP(A230,TradesEquity!$1:$1048576,21,FALSE)</f>
        <v>44335</v>
      </c>
      <c r="I230" s="434" t="str">
        <f>IF(VLOOKUP(A230,TradesEquity!$1:$1048576,3,FALSE)="BUY","B","S")</f>
        <v>B</v>
      </c>
      <c r="J230" s="434" t="str">
        <f>VLOOKUP(A230,TradesEquity!$1:$1048576,5,FALSE)</f>
        <v>JP3425000001</v>
      </c>
      <c r="K230" s="432" t="s">
        <v>19</v>
      </c>
      <c r="L230" s="435" t="s">
        <v>2028</v>
      </c>
      <c r="AE230" s="436" t="str">
        <f>VLOOKUP(A230,TradesEquity!$1:$1048576,10,FALSE)</f>
        <v>JPY</v>
      </c>
      <c r="AF230" s="436" t="str">
        <f t="shared" si="6"/>
        <v>JPY</v>
      </c>
      <c r="AG230" s="436" t="str">
        <f t="shared" si="6"/>
        <v>JPY</v>
      </c>
      <c r="AH230" s="436" t="str">
        <f t="shared" si="6"/>
        <v>JPY</v>
      </c>
      <c r="AI230" s="436">
        <f>ABS(VLOOKUP(A230,TradesEquity!$1:$1048576,13,FALSE))</f>
        <v>5000</v>
      </c>
      <c r="AJ230" s="437">
        <v>0</v>
      </c>
      <c r="AK230" s="437">
        <v>1</v>
      </c>
      <c r="AL230" s="436">
        <f>VLOOKUP(A230,TradesEquity!$1:$1048576,11,FALSE)</f>
        <v>2194.1759999999999</v>
      </c>
      <c r="AM230" s="437">
        <v>1</v>
      </c>
      <c r="AN230" s="436">
        <f>ABS(VLOOKUP(A230,TradesEquity!$1:$1048576,14,FALSE))</f>
        <v>10970880</v>
      </c>
      <c r="AO230" s="436">
        <f>ABS(VLOOKUP(A230,TradesEquity!$1:$1048576,15,FALSE))</f>
        <v>6583</v>
      </c>
      <c r="AP230" s="438">
        <f>ABS(VLOOKUP(A230,TradesEquity!$1:$1048576,16,FALSE))</f>
        <v>0</v>
      </c>
      <c r="AQ230" s="367">
        <v>0</v>
      </c>
      <c r="AR230" s="367">
        <v>0</v>
      </c>
      <c r="AS230" s="367">
        <v>0</v>
      </c>
      <c r="AT230" s="367">
        <v>0</v>
      </c>
      <c r="AU230" s="367">
        <v>0</v>
      </c>
      <c r="AV230" s="438">
        <f>ABS(VLOOKUP(A230,TradesEquity!$1:$1048576,18,FALSE))</f>
        <v>10977463</v>
      </c>
      <c r="AW230" s="439">
        <v>0</v>
      </c>
      <c r="AX230" s="440">
        <v>4542</v>
      </c>
      <c r="AY230" s="441" t="s">
        <v>2029</v>
      </c>
      <c r="AZ230" s="442" t="str">
        <f>(VLOOKUP(A230,TradesEquity!$1:$1048576,29,FALSE))</f>
        <v>GSILGB2XXXX</v>
      </c>
      <c r="BA230" s="442" t="str">
        <f>(VLOOKUP(A230,TradesEquity!$1:$1048576,30,FALSE))</f>
        <v>JJSDJPJTXXX</v>
      </c>
      <c r="BB230" s="442">
        <f>(VLOOKUP(A230,TradesEquity!$1:$1048576,31,FALSE))</f>
        <v>6530490016</v>
      </c>
      <c r="BC230" s="442" t="str">
        <f>(VLOOKUP(A230,TradesEquity!$1:$1048576,32,FALSE))</f>
        <v>N</v>
      </c>
      <c r="BI230" s="442" t="str">
        <f>(VLOOKUP(A230,TradesEquity!$1:$1048576,38,FALSE))</f>
        <v xml:space="preserve">                  </v>
      </c>
      <c r="BJ230" s="442" t="str">
        <f>(VLOOKUP(A230,TradesEquity!$1:$1048576,39,FALSE))</f>
        <v xml:space="preserve">                          </v>
      </c>
      <c r="BK230" s="442" t="str">
        <f>(VLOOKUP(A230,TradesEquity!$1:$1048576,40,FALSE))</f>
        <v>GOLDJPJXXXX</v>
      </c>
    </row>
    <row r="231" spans="1:63">
      <c r="A231" s="502">
        <v>2019200478</v>
      </c>
      <c r="D231" s="432" t="s">
        <v>2027</v>
      </c>
      <c r="F231" s="433">
        <f>VLOOKUP(A231,TradesEquity!$1:$1048576,2,FALSE)</f>
        <v>44333</v>
      </c>
      <c r="H231" s="433">
        <f>VLOOKUP(A231,TradesEquity!$1:$1048576,21,FALSE)</f>
        <v>44335</v>
      </c>
      <c r="I231" s="434" t="str">
        <f>IF(VLOOKUP(A231,TradesEquity!$1:$1048576,3,FALSE)="BUY","B","S")</f>
        <v>B</v>
      </c>
      <c r="J231" s="434" t="str">
        <f>VLOOKUP(A231,TradesEquity!$1:$1048576,5,FALSE)</f>
        <v>JP3449020001</v>
      </c>
      <c r="K231" s="432" t="s">
        <v>19</v>
      </c>
      <c r="L231" s="435" t="s">
        <v>2028</v>
      </c>
      <c r="AE231" s="436" t="str">
        <f>VLOOKUP(A231,TradesEquity!$1:$1048576,10,FALSE)</f>
        <v>JPY</v>
      </c>
      <c r="AF231" s="436" t="str">
        <f t="shared" si="6"/>
        <v>JPY</v>
      </c>
      <c r="AG231" s="436" t="str">
        <f t="shared" si="6"/>
        <v>JPY</v>
      </c>
      <c r="AH231" s="436" t="str">
        <f t="shared" si="6"/>
        <v>JPY</v>
      </c>
      <c r="AI231" s="436">
        <f>ABS(VLOOKUP(A231,TradesEquity!$1:$1048576,13,FALSE))</f>
        <v>5000</v>
      </c>
      <c r="AJ231" s="437">
        <v>0</v>
      </c>
      <c r="AK231" s="437">
        <v>1</v>
      </c>
      <c r="AL231" s="436">
        <f>VLOOKUP(A231,TradesEquity!$1:$1048576,11,FALSE)</f>
        <v>2599.2220000000002</v>
      </c>
      <c r="AM231" s="437">
        <v>1</v>
      </c>
      <c r="AN231" s="436">
        <f>ABS(VLOOKUP(A231,TradesEquity!$1:$1048576,14,FALSE))</f>
        <v>12996110.000000002</v>
      </c>
      <c r="AO231" s="436">
        <f>ABS(VLOOKUP(A231,TradesEquity!$1:$1048576,15,FALSE))</f>
        <v>7798</v>
      </c>
      <c r="AP231" s="438">
        <f>ABS(VLOOKUP(A231,TradesEquity!$1:$1048576,16,FALSE))</f>
        <v>0</v>
      </c>
      <c r="AQ231" s="367">
        <v>0</v>
      </c>
      <c r="AR231" s="367">
        <v>0</v>
      </c>
      <c r="AS231" s="367">
        <v>0</v>
      </c>
      <c r="AT231" s="367">
        <v>0</v>
      </c>
      <c r="AU231" s="367">
        <v>0</v>
      </c>
      <c r="AV231" s="438">
        <f>ABS(VLOOKUP(A231,TradesEquity!$1:$1048576,18,FALSE))</f>
        <v>13003908.000000002</v>
      </c>
      <c r="AW231" s="439">
        <v>0</v>
      </c>
      <c r="AX231" s="440">
        <v>4542</v>
      </c>
      <c r="AY231" s="441" t="s">
        <v>2029</v>
      </c>
      <c r="AZ231" s="442" t="str">
        <f>(VLOOKUP(A231,TradesEquity!$1:$1048576,29,FALSE))</f>
        <v>GSILGB2XXXX</v>
      </c>
      <c r="BA231" s="442" t="str">
        <f>(VLOOKUP(A231,TradesEquity!$1:$1048576,30,FALSE))</f>
        <v>JJSDJPJTXXX</v>
      </c>
      <c r="BB231" s="442">
        <f>(VLOOKUP(A231,TradesEquity!$1:$1048576,31,FALSE))</f>
        <v>6530490016</v>
      </c>
      <c r="BC231" s="442" t="str">
        <f>(VLOOKUP(A231,TradesEquity!$1:$1048576,32,FALSE))</f>
        <v>N</v>
      </c>
      <c r="BI231" s="442" t="str">
        <f>(VLOOKUP(A231,TradesEquity!$1:$1048576,38,FALSE))</f>
        <v xml:space="preserve">                  </v>
      </c>
      <c r="BJ231" s="442" t="str">
        <f>(VLOOKUP(A231,TradesEquity!$1:$1048576,39,FALSE))</f>
        <v xml:space="preserve">                          </v>
      </c>
      <c r="BK231" s="442" t="str">
        <f>(VLOOKUP(A231,TradesEquity!$1:$1048576,40,FALSE))</f>
        <v>GOLDJPJXXXX</v>
      </c>
    </row>
    <row r="232" spans="1:63">
      <c r="A232" s="502">
        <v>2019200479</v>
      </c>
      <c r="D232" s="432" t="s">
        <v>2027</v>
      </c>
      <c r="F232" s="433">
        <f>VLOOKUP(A232,TradesEquity!$1:$1048576,2,FALSE)</f>
        <v>44335</v>
      </c>
      <c r="H232" s="433">
        <f>VLOOKUP(A232,TradesEquity!$1:$1048576,21,FALSE)</f>
        <v>44337</v>
      </c>
      <c r="I232" s="434" t="str">
        <f>IF(VLOOKUP(A232,TradesEquity!$1:$1048576,3,FALSE)="BUY","B","S")</f>
        <v>B</v>
      </c>
      <c r="J232" s="434" t="str">
        <f>VLOOKUP(A232,TradesEquity!$1:$1048576,5,FALSE)</f>
        <v>JP3866800000</v>
      </c>
      <c r="K232" s="432" t="s">
        <v>19</v>
      </c>
      <c r="L232" s="435" t="s">
        <v>2028</v>
      </c>
      <c r="AE232" s="436" t="str">
        <f>VLOOKUP(A232,TradesEquity!$1:$1048576,10,FALSE)</f>
        <v>JPY</v>
      </c>
      <c r="AF232" s="436" t="str">
        <f t="shared" si="6"/>
        <v>JPY</v>
      </c>
      <c r="AG232" s="436" t="str">
        <f t="shared" si="6"/>
        <v>JPY</v>
      </c>
      <c r="AH232" s="436" t="str">
        <f t="shared" si="6"/>
        <v>JPY</v>
      </c>
      <c r="AI232" s="436">
        <f>ABS(VLOOKUP(A232,TradesEquity!$1:$1048576,13,FALSE))</f>
        <v>11000</v>
      </c>
      <c r="AJ232" s="437">
        <v>0</v>
      </c>
      <c r="AK232" s="437">
        <v>1</v>
      </c>
      <c r="AL232" s="436">
        <f>VLOOKUP(A232,TradesEquity!$1:$1048576,11,FALSE)</f>
        <v>1198.1313640000001</v>
      </c>
      <c r="AM232" s="437">
        <v>1</v>
      </c>
      <c r="AN232" s="436">
        <f>ABS(VLOOKUP(A232,TradesEquity!$1:$1048576,14,FALSE))</f>
        <v>13179445.004000001</v>
      </c>
      <c r="AO232" s="436">
        <f>ABS(VLOOKUP(A232,TradesEquity!$1:$1048576,15,FALSE))</f>
        <v>7908</v>
      </c>
      <c r="AP232" s="438">
        <f>ABS(VLOOKUP(A232,TradesEquity!$1:$1048576,16,FALSE))</f>
        <v>0</v>
      </c>
      <c r="AQ232" s="367">
        <v>0</v>
      </c>
      <c r="AR232" s="367">
        <v>0</v>
      </c>
      <c r="AS232" s="367">
        <v>0</v>
      </c>
      <c r="AT232" s="367">
        <v>0</v>
      </c>
      <c r="AU232" s="367">
        <v>0</v>
      </c>
      <c r="AV232" s="438">
        <f>ABS(VLOOKUP(A232,TradesEquity!$1:$1048576,18,FALSE))</f>
        <v>13187353.004000001</v>
      </c>
      <c r="AW232" s="439">
        <v>0</v>
      </c>
      <c r="AX232" s="440">
        <v>4542</v>
      </c>
      <c r="AY232" s="441" t="s">
        <v>2029</v>
      </c>
      <c r="AZ232" s="442" t="str">
        <f>(VLOOKUP(A232,TradesEquity!$1:$1048576,29,FALSE))</f>
        <v>GSILGB2XXXX</v>
      </c>
      <c r="BA232" s="442" t="str">
        <f>(VLOOKUP(A232,TradesEquity!$1:$1048576,30,FALSE))</f>
        <v>JJSDJPJTXXX</v>
      </c>
      <c r="BB232" s="442">
        <f>(VLOOKUP(A232,TradesEquity!$1:$1048576,31,FALSE))</f>
        <v>6530490016</v>
      </c>
      <c r="BC232" s="442" t="str">
        <f>(VLOOKUP(A232,TradesEquity!$1:$1048576,32,FALSE))</f>
        <v>N</v>
      </c>
      <c r="BI232" s="442"/>
      <c r="BJ232" s="442"/>
      <c r="BK232" s="442" t="s">
        <v>1919</v>
      </c>
    </row>
    <row r="233" spans="1:63">
      <c r="A233" s="536">
        <f t="shared" ref="A233" si="10">(A232+1)</f>
        <v>2019200480</v>
      </c>
      <c r="D233" s="432" t="s">
        <v>2027</v>
      </c>
      <c r="F233" s="433">
        <f>VLOOKUP(A233,TradesEquity!$1:$1048576,2,FALSE)</f>
        <v>44342</v>
      </c>
      <c r="H233" s="433">
        <f>VLOOKUP(A233,TradesEquity!$1:$1048576,21,FALSE)</f>
        <v>44344</v>
      </c>
      <c r="I233" s="434" t="str">
        <f>IF(VLOOKUP(A233,TradesEquity!$1:$1048576,3,FALSE)="BUY","B","S")</f>
        <v>B</v>
      </c>
      <c r="J233" s="434" t="str">
        <f>VLOOKUP(A233,TradesEquity!$1:$1048576,5,FALSE)</f>
        <v>KR7056190002</v>
      </c>
      <c r="K233" s="432" t="s">
        <v>19</v>
      </c>
      <c r="L233" s="435" t="s">
        <v>2028</v>
      </c>
      <c r="AE233" s="436" t="str">
        <f>VLOOKUP(A233,TradesEquity!$1:$1048576,10,FALSE)</f>
        <v>KRW</v>
      </c>
      <c r="AF233" s="436" t="str">
        <f t="shared" si="6"/>
        <v>KRW</v>
      </c>
      <c r="AG233" s="436" t="str">
        <f t="shared" si="6"/>
        <v>KRW</v>
      </c>
      <c r="AH233" s="436" t="str">
        <f t="shared" si="6"/>
        <v>KRW</v>
      </c>
      <c r="AI233" s="436">
        <f>ABS(VLOOKUP(A233,TradesEquity!$1:$1048576,13,FALSE))</f>
        <v>5970</v>
      </c>
      <c r="AJ233" s="437">
        <v>0</v>
      </c>
      <c r="AK233" s="437">
        <v>1</v>
      </c>
      <c r="AL233" s="436">
        <f>VLOOKUP(A233,TradesEquity!$1:$1048576,11,FALSE)</f>
        <v>42803.475700000003</v>
      </c>
      <c r="AM233" s="437">
        <v>1</v>
      </c>
      <c r="AN233" s="436">
        <f>ABS(VLOOKUP(A233,TradesEquity!$1:$1048576,14,FALSE))</f>
        <v>255536749.92900002</v>
      </c>
      <c r="AO233" s="436">
        <f>ABS(VLOOKUP(A233,TradesEquity!$1:$1048576,15,FALSE))</f>
        <v>383305</v>
      </c>
      <c r="AP233" s="438">
        <f>ABS(VLOOKUP(A233,TradesEquity!$1:$1048576,16,FALSE))</f>
        <v>0</v>
      </c>
      <c r="AQ233" s="367">
        <v>0</v>
      </c>
      <c r="AR233" s="367">
        <v>0</v>
      </c>
      <c r="AS233" s="367">
        <v>0</v>
      </c>
      <c r="AT233" s="367">
        <v>0</v>
      </c>
      <c r="AU233" s="367">
        <v>0</v>
      </c>
      <c r="AV233" s="438">
        <f>ABS(VLOOKUP(A233,TradesEquity!$1:$1048576,18,FALSE))</f>
        <v>255920054.92900002</v>
      </c>
      <c r="AW233" s="439">
        <v>0</v>
      </c>
      <c r="AX233" s="440">
        <v>4542</v>
      </c>
      <c r="AY233" s="441" t="s">
        <v>2029</v>
      </c>
      <c r="AZ233" s="442" t="e">
        <f>(VLOOKUP(A233,TradesEquity!$1:$1048576,29,FALSE))</f>
        <v>#N/A</v>
      </c>
      <c r="BA233" s="442" t="e">
        <f>(VLOOKUP(A233,TradesEquity!$1:$1048576,30,FALSE))</f>
        <v>#N/A</v>
      </c>
      <c r="BB233" s="442" t="e">
        <f>(VLOOKUP(A233,TradesEquity!$1:$1048576,31,FALSE))</f>
        <v>#N/A</v>
      </c>
      <c r="BC233" s="442" t="e">
        <f>(VLOOKUP(A233,TradesEquity!$1:$1048576,32,FALSE))</f>
        <v>#N/A</v>
      </c>
      <c r="BI233" s="442" t="e">
        <f>(VLOOKUP(A233,TradesEquity!$1:$1048576,38,FALSE))</f>
        <v>#N/A</v>
      </c>
      <c r="BJ233" s="442" t="e">
        <f>(VLOOKUP(A233,TradesEquity!$1:$1048576,39,FALSE))</f>
        <v>#N/A</v>
      </c>
      <c r="BK233" s="442" t="e">
        <f>(VLOOKUP(A233,TradesEquity!$1:$1048576,40,FALSE))</f>
        <v>#N/A</v>
      </c>
    </row>
    <row r="234" spans="1:63">
      <c r="A234" s="502">
        <v>2019200481</v>
      </c>
      <c r="D234" s="432" t="s">
        <v>2027</v>
      </c>
      <c r="F234" s="433">
        <f>VLOOKUP(A234,TradesEquity!$1:$1048576,2,FALSE)</f>
        <v>44343</v>
      </c>
      <c r="H234" s="433">
        <f>VLOOKUP(A234,TradesEquity!$1:$1048576,21,FALSE)</f>
        <v>44347</v>
      </c>
      <c r="I234" s="434" t="str">
        <f>IF(VLOOKUP(A234,TradesEquity!$1:$1048576,3,FALSE)="BUY","B","S")</f>
        <v>B</v>
      </c>
      <c r="J234" s="434" t="str">
        <f>VLOOKUP(A234,TradesEquity!$1:$1048576,5,FALSE)</f>
        <v>KR7056190002</v>
      </c>
      <c r="K234" s="432" t="s">
        <v>19</v>
      </c>
      <c r="L234" s="435" t="s">
        <v>2028</v>
      </c>
      <c r="AE234" s="436" t="str">
        <f>VLOOKUP(A234,TradesEquity!$1:$1048576,10,FALSE)</f>
        <v>KRW</v>
      </c>
      <c r="AF234" s="436" t="str">
        <f t="shared" si="6"/>
        <v>KRW</v>
      </c>
      <c r="AG234" s="436" t="str">
        <f t="shared" si="6"/>
        <v>KRW</v>
      </c>
      <c r="AH234" s="436" t="str">
        <f t="shared" si="6"/>
        <v>KRW</v>
      </c>
      <c r="AI234" s="436">
        <f>ABS(VLOOKUP(A234,TradesEquity!$1:$1048576,13,FALSE))</f>
        <v>1900</v>
      </c>
      <c r="AJ234" s="437">
        <v>0</v>
      </c>
      <c r="AK234" s="437">
        <v>1</v>
      </c>
      <c r="AL234" s="436">
        <f>VLOOKUP(A234,TradesEquity!$1:$1048576,11,FALSE)</f>
        <v>42857.657899999998</v>
      </c>
      <c r="AM234" s="437">
        <v>1</v>
      </c>
      <c r="AN234" s="436">
        <f>ABS(VLOOKUP(A234,TradesEquity!$1:$1048576,14,FALSE))</f>
        <v>81429550.00999999</v>
      </c>
      <c r="AO234" s="436">
        <f>ABS(VLOOKUP(A234,TradesEquity!$1:$1048576,15,FALSE))</f>
        <v>122144</v>
      </c>
      <c r="AP234" s="438">
        <f>ABS(VLOOKUP(A234,TradesEquity!$1:$1048576,16,FALSE))</f>
        <v>0</v>
      </c>
      <c r="AQ234" s="367">
        <v>0</v>
      </c>
      <c r="AR234" s="367">
        <v>0</v>
      </c>
      <c r="AS234" s="367">
        <v>0</v>
      </c>
      <c r="AT234" s="367">
        <v>0</v>
      </c>
      <c r="AU234" s="367">
        <v>0</v>
      </c>
      <c r="AV234" s="438">
        <f>ABS(VLOOKUP(A234,TradesEquity!$1:$1048576,18,FALSE))</f>
        <v>81551694.00999999</v>
      </c>
      <c r="AW234" s="439">
        <v>0</v>
      </c>
      <c r="AX234" s="440">
        <v>4542</v>
      </c>
      <c r="AY234" s="441" t="s">
        <v>2029</v>
      </c>
      <c r="AZ234" s="442" t="e">
        <f>(VLOOKUP(A234,TradesEquity!$1:$1048576,29,FALSE))</f>
        <v>#N/A</v>
      </c>
      <c r="BA234" s="442" t="e">
        <f>(VLOOKUP(A234,TradesEquity!$1:$1048576,30,FALSE))</f>
        <v>#N/A</v>
      </c>
      <c r="BB234" s="442" t="e">
        <f>(VLOOKUP(A234,TradesEquity!$1:$1048576,31,FALSE))</f>
        <v>#N/A</v>
      </c>
      <c r="BC234" s="442" t="e">
        <f>(VLOOKUP(A234,TradesEquity!$1:$1048576,32,FALSE))</f>
        <v>#N/A</v>
      </c>
      <c r="BI234" s="442" t="e">
        <f>(VLOOKUP(A234,TradesEquity!$1:$1048576,38,FALSE))</f>
        <v>#N/A</v>
      </c>
      <c r="BJ234" s="442" t="e">
        <f>(VLOOKUP(A234,TradesEquity!$1:$1048576,39,FALSE))</f>
        <v>#N/A</v>
      </c>
      <c r="BK234" s="442" t="e">
        <f>(VLOOKUP(A234,TradesEquity!$1:$1048576,40,FALSE))</f>
        <v>#N/A</v>
      </c>
    </row>
    <row r="235" spans="1:63">
      <c r="A235" s="536">
        <f t="shared" ref="A235" si="11">(A234+1)</f>
        <v>2019200482</v>
      </c>
      <c r="D235" s="432" t="s">
        <v>2027</v>
      </c>
      <c r="F235" s="433">
        <f>VLOOKUP(A235,TradesEquity!$1:$1048576,2,FALSE)</f>
        <v>44347</v>
      </c>
      <c r="H235" s="433">
        <f>VLOOKUP(A235,TradesEquity!$1:$1048576,21,FALSE)</f>
        <v>44349</v>
      </c>
      <c r="I235" s="434" t="str">
        <f>IF(VLOOKUP(A235,TradesEquity!$1:$1048576,3,FALSE)="BUY","B","S")</f>
        <v>B</v>
      </c>
      <c r="J235" s="434" t="str">
        <f>VLOOKUP(A235,TradesEquity!$1:$1048576,5,FALSE)</f>
        <v>JP3627400009</v>
      </c>
      <c r="K235" s="432" t="s">
        <v>19</v>
      </c>
      <c r="L235" s="435" t="s">
        <v>2028</v>
      </c>
      <c r="AE235" s="436" t="str">
        <f>VLOOKUP(A235,TradesEquity!$1:$1048576,10,FALSE)</f>
        <v>JPY</v>
      </c>
      <c r="AF235" s="436" t="str">
        <f t="shared" si="6"/>
        <v>JPY</v>
      </c>
      <c r="AG235" s="436" t="str">
        <f t="shared" si="6"/>
        <v>JPY</v>
      </c>
      <c r="AH235" s="436" t="str">
        <f t="shared" si="6"/>
        <v>JPY</v>
      </c>
      <c r="AI235" s="436">
        <f>ABS(VLOOKUP(A235,TradesEquity!$1:$1048576,13,FALSE))</f>
        <v>4500</v>
      </c>
      <c r="AJ235" s="437">
        <v>0</v>
      </c>
      <c r="AK235" s="437">
        <v>1</v>
      </c>
      <c r="AL235" s="436">
        <f>VLOOKUP(A235,TradesEquity!$1:$1048576,11,FALSE)</f>
        <v>2316.8222000000001</v>
      </c>
      <c r="AM235" s="437">
        <v>1</v>
      </c>
      <c r="AN235" s="436">
        <f>ABS(VLOOKUP(A235,TradesEquity!$1:$1048576,14,FALSE))</f>
        <v>10425699.9</v>
      </c>
      <c r="AO235" s="436">
        <f>ABS(VLOOKUP(A235,TradesEquity!$1:$1048576,15,FALSE))</f>
        <v>6255</v>
      </c>
      <c r="AP235" s="438">
        <f>ABS(VLOOKUP(A235,TradesEquity!$1:$1048576,16,FALSE))</f>
        <v>0</v>
      </c>
      <c r="AQ235" s="367">
        <v>0</v>
      </c>
      <c r="AR235" s="367">
        <v>0</v>
      </c>
      <c r="AS235" s="367">
        <v>0</v>
      </c>
      <c r="AT235" s="367">
        <v>0</v>
      </c>
      <c r="AU235" s="367">
        <v>0</v>
      </c>
      <c r="AV235" s="438">
        <f>ABS(VLOOKUP(A235,TradesEquity!$1:$1048576,18,FALSE))</f>
        <v>10431954.9</v>
      </c>
      <c r="AW235" s="439">
        <v>0</v>
      </c>
      <c r="AX235" s="440">
        <v>4542</v>
      </c>
      <c r="AY235" s="441" t="s">
        <v>2029</v>
      </c>
      <c r="AZ235" s="442" t="str">
        <f>(VLOOKUP(A235,TradesEquity!$1:$1048576,29,FALSE))</f>
        <v>GSILGB2XXXX</v>
      </c>
      <c r="BA235" s="442" t="str">
        <f>(VLOOKUP(A235,TradesEquity!$1:$1048576,30,FALSE))</f>
        <v>JJSDJPJTXXX</v>
      </c>
      <c r="BB235" s="442">
        <f>(VLOOKUP(A235,TradesEquity!$1:$1048576,31,FALSE))</f>
        <v>6530490016</v>
      </c>
      <c r="BC235" s="442" t="str">
        <f>(VLOOKUP(A235,TradesEquity!$1:$1048576,32,FALSE))</f>
        <v>N</v>
      </c>
      <c r="BI235" s="442"/>
      <c r="BJ235" s="442"/>
      <c r="BK235" s="442" t="str">
        <f>(VLOOKUP(A235,TradesEquity!$1:$1048576,40,FALSE))</f>
        <v>GOLDJPJXXXX</v>
      </c>
    </row>
    <row r="236" spans="1:63">
      <c r="A236" s="61">
        <v>2019200483</v>
      </c>
      <c r="D236" s="432" t="s">
        <v>2027</v>
      </c>
      <c r="F236" s="433">
        <f>VLOOKUP(A236,TradesEquity!$1:$1048576,2,FALSE)</f>
        <v>44351</v>
      </c>
      <c r="H236" s="433">
        <f>VLOOKUP(A236,TradesEquity!$1:$1048576,21,FALSE)</f>
        <v>44355</v>
      </c>
      <c r="I236" s="434" t="str">
        <f>IF(VLOOKUP(A236,TradesEquity!$1:$1048576,3,FALSE)="BUY","B","S")</f>
        <v>S</v>
      </c>
      <c r="J236" s="434" t="str">
        <f>VLOOKUP(A236,TradesEquity!$1:$1048576,5,FALSE)</f>
        <v>KR7357780006</v>
      </c>
      <c r="K236" s="432" t="s">
        <v>19</v>
      </c>
      <c r="L236" s="435" t="s">
        <v>2028</v>
      </c>
      <c r="AE236" s="436" t="str">
        <f>VLOOKUP(A236,TradesEquity!$1:$1048576,10,FALSE)</f>
        <v>KRW</v>
      </c>
      <c r="AF236" s="436" t="str">
        <f t="shared" si="6"/>
        <v>KRW</v>
      </c>
      <c r="AG236" s="436" t="str">
        <f t="shared" si="6"/>
        <v>KRW</v>
      </c>
      <c r="AH236" s="436" t="str">
        <f t="shared" si="6"/>
        <v>KRW</v>
      </c>
      <c r="AI236" s="436">
        <f>ABS(VLOOKUP(A236,TradesEquity!$1:$1048576,13,FALSE))</f>
        <v>420</v>
      </c>
      <c r="AJ236" s="437">
        <v>0</v>
      </c>
      <c r="AK236" s="437">
        <v>1</v>
      </c>
      <c r="AL236" s="436">
        <f>VLOOKUP(A236,TradesEquity!$1:$1048576,11,FALSE)</f>
        <v>340049.76190500002</v>
      </c>
      <c r="AM236" s="437">
        <v>1</v>
      </c>
      <c r="AN236" s="436">
        <f>ABS(VLOOKUP(A236,TradesEquity!$1:$1048576,14,FALSE))</f>
        <v>142820900.00010002</v>
      </c>
      <c r="AO236" s="436">
        <f>ABS(VLOOKUP(A236,TradesEquity!$1:$1048576,15,FALSE))</f>
        <v>214231</v>
      </c>
      <c r="AP236" s="438">
        <f>ABS(VLOOKUP(A236,TradesEquity!$1:$1048576,16,FALSE))</f>
        <v>328436</v>
      </c>
      <c r="AQ236" s="367">
        <v>0</v>
      </c>
      <c r="AR236" s="367">
        <v>0</v>
      </c>
      <c r="AS236" s="367">
        <v>0</v>
      </c>
      <c r="AT236" s="367">
        <v>0</v>
      </c>
      <c r="AU236" s="367">
        <v>0</v>
      </c>
      <c r="AV236" s="438">
        <f>ABS(VLOOKUP(A236,TradesEquity!$1:$1048576,18,FALSE))</f>
        <v>142278233.00010002</v>
      </c>
      <c r="AW236" s="439">
        <v>0</v>
      </c>
      <c r="AX236" s="440">
        <v>4542</v>
      </c>
      <c r="AY236" s="441" t="s">
        <v>2029</v>
      </c>
      <c r="AZ236" s="442" t="str">
        <f>(VLOOKUP(A236,TradesEquity!$1:$1048576,29,FALSE))</f>
        <v>SAMCKRS1XXX</v>
      </c>
      <c r="BA236" s="442" t="str">
        <f>(VLOOKUP(A236,TradesEquity!$1:$1048576,30,FALSE))</f>
        <v>KSDCKRSEXXX</v>
      </c>
      <c r="BB236" s="442" t="str">
        <f>(VLOOKUP(A236,TradesEquity!$1:$1048576,31,FALSE))</f>
        <v>30-00</v>
      </c>
      <c r="BC236" s="442" t="str">
        <f>(VLOOKUP(A236,TradesEquity!$1:$1048576,32,FALSE))</f>
        <v>N</v>
      </c>
      <c r="BI236" s="442" t="str">
        <f>(VLOOKUP(A236,TradesEquity!$1:$1048576,38,FALSE))</f>
        <v xml:space="preserve">        </v>
      </c>
      <c r="BJ236" s="442" t="str">
        <f>(VLOOKUP(A236,TradesEquity!$1:$1048576,39,FALSE))</f>
        <v xml:space="preserve">        </v>
      </c>
      <c r="BK236" s="442" t="str">
        <f>(VLOOKUP(A236,TradesEquity!$1:$1048576,40,FALSE))</f>
        <v>SAMCKRS1XXX</v>
      </c>
    </row>
    <row r="237" spans="1:63">
      <c r="A237" s="61">
        <v>2019200484</v>
      </c>
      <c r="D237" s="432" t="s">
        <v>2027</v>
      </c>
      <c r="F237" s="433">
        <f>VLOOKUP(A237,TradesEquity!$1:$1048576,2,FALSE)</f>
        <v>44351</v>
      </c>
      <c r="H237" s="433">
        <f>VLOOKUP(A237,TradesEquity!$1:$1048576,21,FALSE)</f>
        <v>44355</v>
      </c>
      <c r="I237" s="434" t="str">
        <f>IF(VLOOKUP(A237,TradesEquity!$1:$1048576,3,FALSE)="BUY","B","S")</f>
        <v>S</v>
      </c>
      <c r="J237" s="434" t="str">
        <f>VLOOKUP(A237,TradesEquity!$1:$1048576,5,FALSE)</f>
        <v>KR7383310000</v>
      </c>
      <c r="K237" s="432" t="s">
        <v>19</v>
      </c>
      <c r="L237" s="435" t="s">
        <v>2028</v>
      </c>
      <c r="AE237" s="436" t="str">
        <f>VLOOKUP(A237,TradesEquity!$1:$1048576,10,FALSE)</f>
        <v>KRW</v>
      </c>
      <c r="AF237" s="436" t="str">
        <f t="shared" si="6"/>
        <v>KRW</v>
      </c>
      <c r="AG237" s="436" t="str">
        <f t="shared" si="6"/>
        <v>KRW</v>
      </c>
      <c r="AH237" s="436" t="str">
        <f t="shared" si="6"/>
        <v>KRW</v>
      </c>
      <c r="AI237" s="436">
        <f>ABS(VLOOKUP(A237,TradesEquity!$1:$1048576,13,FALSE))</f>
        <v>373</v>
      </c>
      <c r="AJ237" s="437">
        <v>0</v>
      </c>
      <c r="AK237" s="437">
        <v>1</v>
      </c>
      <c r="AL237" s="436">
        <f>VLOOKUP(A237,TradesEquity!$1:$1048576,11,FALSE)</f>
        <v>152423.86060000001</v>
      </c>
      <c r="AM237" s="437">
        <v>1</v>
      </c>
      <c r="AN237" s="436">
        <f>ABS(VLOOKUP(A237,TradesEquity!$1:$1048576,14,FALSE))</f>
        <v>56854100.003800005</v>
      </c>
      <c r="AO237" s="436">
        <f>ABS(VLOOKUP(A237,TradesEquity!$1:$1048576,15,FALSE))</f>
        <v>85281</v>
      </c>
      <c r="AP237" s="438">
        <f>ABS(VLOOKUP(A237,TradesEquity!$1:$1048576,16,FALSE))</f>
        <v>130729</v>
      </c>
      <c r="AQ237" s="367">
        <v>0</v>
      </c>
      <c r="AR237" s="367">
        <v>0</v>
      </c>
      <c r="AS237" s="367">
        <v>0</v>
      </c>
      <c r="AT237" s="367">
        <v>0</v>
      </c>
      <c r="AU237" s="367">
        <v>0</v>
      </c>
      <c r="AV237" s="438">
        <f>ABS(VLOOKUP(A237,TradesEquity!$1:$1048576,18,FALSE))</f>
        <v>56638090.003800005</v>
      </c>
      <c r="AW237" s="439">
        <v>0</v>
      </c>
      <c r="AX237" s="440">
        <v>4542</v>
      </c>
      <c r="AY237" s="441" t="s">
        <v>2029</v>
      </c>
      <c r="AZ237" s="442" t="str">
        <f>(VLOOKUP(A237,TradesEquity!$1:$1048576,29,FALSE))</f>
        <v>SAMCKRS1XXX</v>
      </c>
      <c r="BA237" s="442" t="str">
        <f>(VLOOKUP(A237,TradesEquity!$1:$1048576,30,FALSE))</f>
        <v>KSDCKRSEXXX</v>
      </c>
      <c r="BB237" s="442" t="str">
        <f>(VLOOKUP(A237,TradesEquity!$1:$1048576,31,FALSE))</f>
        <v>30-00</v>
      </c>
      <c r="BC237" s="442" t="str">
        <f>(VLOOKUP(A237,TradesEquity!$1:$1048576,32,FALSE))</f>
        <v>N</v>
      </c>
      <c r="BI237" s="442" t="str">
        <f>(VLOOKUP(A237,TradesEquity!$1:$1048576,38,FALSE))</f>
        <v xml:space="preserve">        </v>
      </c>
      <c r="BJ237" s="442" t="str">
        <f>(VLOOKUP(A237,TradesEquity!$1:$1048576,39,FALSE))</f>
        <v xml:space="preserve">        </v>
      </c>
      <c r="BK237" s="442" t="str">
        <f>(VLOOKUP(A237,TradesEquity!$1:$1048576,40,FALSE))</f>
        <v>SAMCKRS1XXX</v>
      </c>
    </row>
    <row r="238" spans="1:63">
      <c r="A238" s="61">
        <v>2019200485</v>
      </c>
      <c r="D238" s="432" t="s">
        <v>2027</v>
      </c>
      <c r="F238" s="433">
        <f>VLOOKUP(A238,TradesEquity!$1:$1048576,2,FALSE)</f>
        <v>43834</v>
      </c>
      <c r="H238" s="433">
        <f>VLOOKUP(A238,TradesEquity!$1:$1048576,21,FALSE)</f>
        <v>44355</v>
      </c>
      <c r="I238" s="434" t="str">
        <f>IF(VLOOKUP(A238,TradesEquity!$1:$1048576,3,FALSE)="BUY","B","S")</f>
        <v>B</v>
      </c>
      <c r="J238" s="434" t="str">
        <f>VLOOKUP(A238,TradesEquity!$1:$1048576,5,FALSE)</f>
        <v>KR7036830008</v>
      </c>
      <c r="K238" s="432" t="s">
        <v>19</v>
      </c>
      <c r="L238" s="435" t="s">
        <v>2028</v>
      </c>
      <c r="AE238" s="436" t="str">
        <f>VLOOKUP(A238,TradesEquity!$1:$1048576,10,FALSE)</f>
        <v>KRW</v>
      </c>
      <c r="AF238" s="436" t="str">
        <f t="shared" si="6"/>
        <v>KRW</v>
      </c>
      <c r="AG238" s="436" t="str">
        <f t="shared" si="6"/>
        <v>KRW</v>
      </c>
      <c r="AH238" s="436" t="str">
        <f t="shared" si="6"/>
        <v>KRW</v>
      </c>
      <c r="AI238" s="436">
        <f>ABS(VLOOKUP(A238,TradesEquity!$1:$1048576,13,FALSE))</f>
        <v>5076</v>
      </c>
      <c r="AJ238" s="437">
        <v>0</v>
      </c>
      <c r="AK238" s="437">
        <v>1</v>
      </c>
      <c r="AL238" s="436">
        <f>VLOOKUP(A238,TradesEquity!$1:$1048576,11,FALSE)</f>
        <v>37650</v>
      </c>
      <c r="AM238" s="437">
        <v>1</v>
      </c>
      <c r="AN238" s="436">
        <f>ABS(VLOOKUP(A238,TradesEquity!$1:$1048576,14,FALSE))</f>
        <v>191111400</v>
      </c>
      <c r="AO238" s="436">
        <f>ABS(VLOOKUP(A238,TradesEquity!$1:$1048576,15,FALSE))</f>
        <v>0</v>
      </c>
      <c r="AP238" s="438">
        <f>ABS(VLOOKUP(A238,TradesEquity!$1:$1048576,16,FALSE))</f>
        <v>0</v>
      </c>
      <c r="AQ238" s="367">
        <v>0</v>
      </c>
      <c r="AR238" s="367">
        <v>0</v>
      </c>
      <c r="AS238" s="367">
        <v>0</v>
      </c>
      <c r="AT238" s="367">
        <v>0</v>
      </c>
      <c r="AU238" s="367">
        <v>0</v>
      </c>
      <c r="AV238" s="438">
        <f>ABS(VLOOKUP(A238,TradesEquity!$1:$1048576,18,FALSE))</f>
        <v>191111400</v>
      </c>
      <c r="AW238" s="439">
        <v>0</v>
      </c>
      <c r="AX238" s="440">
        <v>4542</v>
      </c>
      <c r="AY238" s="441" t="s">
        <v>2029</v>
      </c>
      <c r="AZ238" s="442" t="str">
        <f>(VLOOKUP(A238,TradesEquity!$1:$1048576,29,FALSE))</f>
        <v>SAMCKRS1XXX</v>
      </c>
      <c r="BA238" s="442" t="str">
        <f>(VLOOKUP(A238,TradesEquity!$1:$1048576,30,FALSE))</f>
        <v>KSDCKRSEXXX</v>
      </c>
      <c r="BB238" s="442" t="str">
        <f>(VLOOKUP(A238,TradesEquity!$1:$1048576,31,FALSE))</f>
        <v>30-00</v>
      </c>
      <c r="BC238" s="442" t="str">
        <f>(VLOOKUP(A238,TradesEquity!$1:$1048576,32,FALSE))</f>
        <v>N</v>
      </c>
      <c r="BI238" s="442" t="str">
        <f>(VLOOKUP(A238,TradesEquity!$1:$1048576,38,FALSE))</f>
        <v xml:space="preserve">        </v>
      </c>
      <c r="BJ238" s="442" t="str">
        <f>(VLOOKUP(A238,TradesEquity!$1:$1048576,39,FALSE))</f>
        <v xml:space="preserve">        </v>
      </c>
      <c r="BK238" s="442" t="str">
        <f>(VLOOKUP(A238,TradesEquity!$1:$1048576,40,FALSE))</f>
        <v>SAMCKRS1XXX</v>
      </c>
    </row>
    <row r="239" spans="1:63">
      <c r="A239" s="61">
        <v>2019200486</v>
      </c>
      <c r="D239" s="432" t="s">
        <v>2027</v>
      </c>
      <c r="F239" s="433">
        <f>VLOOKUP(A239,TradesEquity!$1:$1048576,2,FALSE)</f>
        <v>44364</v>
      </c>
      <c r="H239" s="433">
        <f>VLOOKUP(A239,TradesEquity!$1:$1048576,21,FALSE)</f>
        <v>44368</v>
      </c>
      <c r="I239" s="434" t="str">
        <f>IF(VLOOKUP(A239,TradesEquity!$1:$1048576,3,FALSE)="BUY","B","S")</f>
        <v>B</v>
      </c>
      <c r="J239" s="434" t="str">
        <f>VLOOKUP(A239,TradesEquity!$1:$1048576,5,FALSE)</f>
        <v>JP3544000007</v>
      </c>
      <c r="K239" s="432" t="s">
        <v>19</v>
      </c>
      <c r="L239" s="435" t="s">
        <v>2028</v>
      </c>
      <c r="AE239" s="436" t="str">
        <f>VLOOKUP(A239,TradesEquity!$1:$1048576,10,FALSE)</f>
        <v>JPY</v>
      </c>
      <c r="AF239" s="436" t="str">
        <f t="shared" si="6"/>
        <v>JPY</v>
      </c>
      <c r="AG239" s="436" t="str">
        <f t="shared" si="6"/>
        <v>JPY</v>
      </c>
      <c r="AH239" s="436" t="str">
        <f t="shared" si="6"/>
        <v>JPY</v>
      </c>
      <c r="AI239" s="436">
        <f>ABS(VLOOKUP(A239,TradesEquity!$1:$1048576,13,FALSE))</f>
        <v>5000</v>
      </c>
      <c r="AJ239" s="437">
        <v>0</v>
      </c>
      <c r="AK239" s="437">
        <v>1</v>
      </c>
      <c r="AL239" s="436">
        <f>VLOOKUP(A239,TradesEquity!$1:$1048576,11,FALSE)</f>
        <v>1721.38</v>
      </c>
      <c r="AM239" s="437">
        <v>1</v>
      </c>
      <c r="AN239" s="436">
        <f>ABS(VLOOKUP(A239,TradesEquity!$1:$1048576,14,FALSE))</f>
        <v>8606900</v>
      </c>
      <c r="AO239" s="436">
        <f>ABS(VLOOKUP(A239,TradesEquity!$1:$1048576,15,FALSE))</f>
        <v>5164</v>
      </c>
      <c r="AP239" s="438">
        <f>ABS(VLOOKUP(A239,TradesEquity!$1:$1048576,16,FALSE))</f>
        <v>0</v>
      </c>
      <c r="AQ239" s="367">
        <v>0</v>
      </c>
      <c r="AR239" s="367">
        <v>0</v>
      </c>
      <c r="AS239" s="367">
        <v>0</v>
      </c>
      <c r="AT239" s="367">
        <v>0</v>
      </c>
      <c r="AU239" s="367">
        <v>0</v>
      </c>
      <c r="AV239" s="438">
        <f>ABS(VLOOKUP(A239,TradesEquity!$1:$1048576,18,FALSE))</f>
        <v>8612064</v>
      </c>
      <c r="AW239" s="439">
        <v>0</v>
      </c>
      <c r="AX239" s="440">
        <v>4542</v>
      </c>
      <c r="AY239" s="441" t="s">
        <v>2029</v>
      </c>
      <c r="AZ239" s="442" t="str">
        <f>(VLOOKUP(A239,TradesEquity!$1:$1048576,29,FALSE))</f>
        <v>GSILGB2XXXX</v>
      </c>
      <c r="BA239" s="442" t="str">
        <f>(VLOOKUP(A239,TradesEquity!$1:$1048576,30,FALSE))</f>
        <v>JJSDJPJTXXX</v>
      </c>
      <c r="BB239" s="442">
        <f>(VLOOKUP(A239,TradesEquity!$1:$1048576,31,FALSE))</f>
        <v>6530490016</v>
      </c>
      <c r="BC239" s="442" t="str">
        <f>(VLOOKUP(A239,TradesEquity!$1:$1048576,32,FALSE))</f>
        <v>N</v>
      </c>
      <c r="BI239" s="442" t="str">
        <f>(VLOOKUP(A239,TradesEquity!$1:$1048576,38,FALSE))</f>
        <v xml:space="preserve">                  </v>
      </c>
      <c r="BJ239" s="442" t="str">
        <f>(VLOOKUP(A239,TradesEquity!$1:$1048576,39,FALSE))</f>
        <v xml:space="preserve">                          </v>
      </c>
      <c r="BK239" s="442" t="str">
        <f>(VLOOKUP(A239,TradesEquity!$1:$1048576,40,FALSE))</f>
        <v>GOLDJPJXXXX</v>
      </c>
    </row>
    <row r="240" spans="1:63">
      <c r="A240" s="61">
        <v>2019200487</v>
      </c>
      <c r="D240" s="432" t="s">
        <v>2027</v>
      </c>
      <c r="F240" s="433">
        <f>VLOOKUP(A240,TradesEquity!$1:$1048576,2,FALSE)</f>
        <v>44365</v>
      </c>
      <c r="H240" s="433">
        <f>VLOOKUP(A240,TradesEquity!$1:$1048576,21,FALSE)</f>
        <v>44369</v>
      </c>
      <c r="I240" s="434" t="str">
        <f>IF(VLOOKUP(A240,TradesEquity!$1:$1048576,3,FALSE)="BUY","B","S")</f>
        <v>B</v>
      </c>
      <c r="J240" s="434" t="str">
        <f>VLOOKUP(A240,TradesEquity!$1:$1048576,5,FALSE)</f>
        <v>FR0000131906</v>
      </c>
      <c r="K240" s="432" t="s">
        <v>19</v>
      </c>
      <c r="L240" s="435" t="s">
        <v>2028</v>
      </c>
      <c r="AE240" s="436" t="str">
        <f>VLOOKUP(A240,TradesEquity!$1:$1048576,10,FALSE)</f>
        <v>EUR</v>
      </c>
      <c r="AF240" s="436" t="str">
        <f t="shared" ref="AF240:AH298" si="12">AE240</f>
        <v>EUR</v>
      </c>
      <c r="AG240" s="436" t="str">
        <f t="shared" si="12"/>
        <v>EUR</v>
      </c>
      <c r="AH240" s="436" t="str">
        <f t="shared" si="12"/>
        <v>EUR</v>
      </c>
      <c r="AI240" s="436">
        <f>ABS(VLOOKUP(A240,TradesEquity!$1:$1048576,13,FALSE))</f>
        <v>3900</v>
      </c>
      <c r="AJ240" s="437">
        <v>0</v>
      </c>
      <c r="AK240" s="437">
        <v>1</v>
      </c>
      <c r="AL240" s="436">
        <f>VLOOKUP(A240,TradesEquity!$1:$1048576,11,FALSE)</f>
        <v>35.155099999999997</v>
      </c>
      <c r="AM240" s="437">
        <v>1</v>
      </c>
      <c r="AN240" s="436">
        <f>ABS(VLOOKUP(A240,TradesEquity!$1:$1048576,14,FALSE))</f>
        <v>137104.88999999998</v>
      </c>
      <c r="AO240" s="436">
        <f>ABS(VLOOKUP(A240,TradesEquity!$1:$1048576,15,FALSE))</f>
        <v>82.26</v>
      </c>
      <c r="AP240" s="438">
        <f>ABS(VLOOKUP(A240,TradesEquity!$1:$1048576,16,FALSE))</f>
        <v>411.31</v>
      </c>
      <c r="AQ240" s="367">
        <v>0</v>
      </c>
      <c r="AR240" s="367">
        <v>0</v>
      </c>
      <c r="AS240" s="367">
        <v>0</v>
      </c>
      <c r="AT240" s="367">
        <v>0</v>
      </c>
      <c r="AU240" s="367">
        <v>0</v>
      </c>
      <c r="AV240" s="438">
        <f>ABS(VLOOKUP(A240,TradesEquity!$1:$1048576,18,FALSE))</f>
        <v>137598.46</v>
      </c>
      <c r="AW240" s="439">
        <v>0</v>
      </c>
      <c r="AX240" s="440">
        <v>4542</v>
      </c>
      <c r="AY240" s="441" t="s">
        <v>2029</v>
      </c>
      <c r="AZ240" s="442" t="str">
        <f>(VLOOKUP(A240,TradesEquity!$1:$1048576,29,FALSE))</f>
        <v>EMSIITM1XXX</v>
      </c>
      <c r="BA240" s="442" t="str">
        <f>(VLOOKUP(A240,TradesEquity!$1:$1048576,30,FALSE))</f>
        <v>SICVFRPPXXX</v>
      </c>
      <c r="BB240" s="442" t="str">
        <f>(VLOOKUP(A240,TradesEquity!$1:$1048576,31,FALSE))</f>
        <v>SICVBCITITMMD00000L10</v>
      </c>
      <c r="BC240" s="442" t="str">
        <f>(VLOOKUP(A240,TradesEquity!$1:$1048576,32,FALSE))</f>
        <v>N</v>
      </c>
      <c r="BI240" s="442" t="str">
        <f>(VLOOKUP(A240,TradesEquity!$1:$1048576,38,FALSE))</f>
        <v xml:space="preserve">        </v>
      </c>
      <c r="BJ240" s="442" t="str">
        <f>(VLOOKUP(A240,TradesEquity!$1:$1048576,39,FALSE))</f>
        <v xml:space="preserve">        </v>
      </c>
      <c r="BK240" s="442" t="str">
        <f>(VLOOKUP(A240,TradesEquity!$1:$1048576,40,FALSE))</f>
        <v>BCITITMMD00</v>
      </c>
    </row>
    <row r="241" spans="1:63">
      <c r="A241" s="61">
        <v>2019200488</v>
      </c>
      <c r="D241" s="432" t="s">
        <v>2027</v>
      </c>
      <c r="F241" s="433">
        <f>VLOOKUP(A241,TradesEquity!$1:$1048576,2,FALSE)</f>
        <v>44365</v>
      </c>
      <c r="H241" s="433">
        <f>VLOOKUP(A241,TradesEquity!$1:$1048576,21,FALSE)</f>
        <v>44369</v>
      </c>
      <c r="I241" s="434" t="str">
        <f>IF(VLOOKUP(A241,TradesEquity!$1:$1048576,3,FALSE)="BUY","B","S")</f>
        <v>B</v>
      </c>
      <c r="J241" s="434" t="str">
        <f>VLOOKUP(A241,TradesEquity!$1:$1048576,5,FALSE)</f>
        <v>FR0013176526</v>
      </c>
      <c r="K241" s="432" t="s">
        <v>19</v>
      </c>
      <c r="L241" s="435" t="s">
        <v>2028</v>
      </c>
      <c r="AE241" s="436" t="str">
        <f>VLOOKUP(A241,TradesEquity!$1:$1048576,10,FALSE)</f>
        <v>EUR</v>
      </c>
      <c r="AF241" s="436" t="str">
        <f t="shared" si="12"/>
        <v>EUR</v>
      </c>
      <c r="AG241" s="436" t="str">
        <f t="shared" si="12"/>
        <v>EUR</v>
      </c>
      <c r="AH241" s="436" t="str">
        <f t="shared" si="12"/>
        <v>EUR</v>
      </c>
      <c r="AI241" s="436">
        <f>ABS(VLOOKUP(A241,TradesEquity!$1:$1048576,13,FALSE))</f>
        <v>6800</v>
      </c>
      <c r="AJ241" s="437">
        <v>0</v>
      </c>
      <c r="AK241" s="437">
        <v>1</v>
      </c>
      <c r="AL241" s="436">
        <f>VLOOKUP(A241,TradesEquity!$1:$1048576,11,FALSE)</f>
        <v>26.3658</v>
      </c>
      <c r="AM241" s="437">
        <v>1</v>
      </c>
      <c r="AN241" s="436">
        <f>ABS(VLOOKUP(A241,TradesEquity!$1:$1048576,14,FALSE))</f>
        <v>179287.44</v>
      </c>
      <c r="AO241" s="436">
        <f>ABS(VLOOKUP(A241,TradesEquity!$1:$1048576,15,FALSE))</f>
        <v>107.57</v>
      </c>
      <c r="AP241" s="438">
        <f>ABS(VLOOKUP(A241,TradesEquity!$1:$1048576,16,FALSE))</f>
        <v>537.86</v>
      </c>
      <c r="AQ241" s="367">
        <v>0</v>
      </c>
      <c r="AR241" s="367">
        <v>0</v>
      </c>
      <c r="AS241" s="367">
        <v>0</v>
      </c>
      <c r="AT241" s="367">
        <v>0</v>
      </c>
      <c r="AU241" s="367">
        <v>0</v>
      </c>
      <c r="AV241" s="438">
        <f>ABS(VLOOKUP(A241,TradesEquity!$1:$1048576,18,FALSE))</f>
        <v>179932.87</v>
      </c>
      <c r="AW241" s="439">
        <v>0</v>
      </c>
      <c r="AX241" s="440">
        <v>4542</v>
      </c>
      <c r="AY241" s="441" t="s">
        <v>2029</v>
      </c>
      <c r="AZ241" s="442" t="str">
        <f>(VLOOKUP(A241,TradesEquity!$1:$1048576,29,FALSE))</f>
        <v>EMSIITM1XXX</v>
      </c>
      <c r="BA241" s="442" t="str">
        <f>(VLOOKUP(A241,TradesEquity!$1:$1048576,30,FALSE))</f>
        <v>SICVFRPPXXX</v>
      </c>
      <c r="BB241" s="442" t="str">
        <f>(VLOOKUP(A241,TradesEquity!$1:$1048576,31,FALSE))</f>
        <v>SICVBCITITMMD00000L10</v>
      </c>
      <c r="BC241" s="442" t="str">
        <f>(VLOOKUP(A241,TradesEquity!$1:$1048576,32,FALSE))</f>
        <v>N</v>
      </c>
      <c r="BI241" s="442" t="str">
        <f>(VLOOKUP(A241,TradesEquity!$1:$1048576,38,FALSE))</f>
        <v xml:space="preserve">        </v>
      </c>
      <c r="BJ241" s="442" t="str">
        <f>(VLOOKUP(A241,TradesEquity!$1:$1048576,39,FALSE))</f>
        <v xml:space="preserve">        </v>
      </c>
      <c r="BK241" s="442" t="str">
        <f>(VLOOKUP(A241,TradesEquity!$1:$1048576,40,FALSE))</f>
        <v>BCITITMMD00</v>
      </c>
    </row>
    <row r="242" spans="1:63">
      <c r="A242" s="571">
        <v>2019200489</v>
      </c>
      <c r="D242" s="432" t="s">
        <v>2027</v>
      </c>
      <c r="F242" s="433">
        <f>VLOOKUP(A242,TradesEquity!$1:$1048576,2,FALSE)</f>
        <v>44372</v>
      </c>
      <c r="H242" s="433">
        <f>VLOOKUP(A242,TradesEquity!$1:$1048576,21,FALSE)</f>
        <v>44376</v>
      </c>
      <c r="I242" s="434" t="str">
        <f>IF(VLOOKUP(A242,TradesEquity!$1:$1048576,3,FALSE)="BUY","B","S")</f>
        <v>B</v>
      </c>
      <c r="J242" s="434" t="str">
        <f>VLOOKUP(A242,TradesEquity!$1:$1048576,5,FALSE)</f>
        <v>JP3544000007</v>
      </c>
      <c r="K242" s="432" t="s">
        <v>19</v>
      </c>
      <c r="L242" s="435" t="s">
        <v>2028</v>
      </c>
      <c r="AE242" s="436" t="str">
        <f>VLOOKUP(A242,TradesEquity!$1:$1048576,10,FALSE)</f>
        <v>JPY</v>
      </c>
      <c r="AF242" s="436" t="str">
        <f t="shared" si="12"/>
        <v>JPY</v>
      </c>
      <c r="AG242" s="436" t="str">
        <f t="shared" si="12"/>
        <v>JPY</v>
      </c>
      <c r="AH242" s="436" t="str">
        <f t="shared" si="12"/>
        <v>JPY</v>
      </c>
      <c r="AI242" s="436">
        <f>ABS(VLOOKUP(A242,TradesEquity!$1:$1048576,13,FALSE))</f>
        <v>6000</v>
      </c>
      <c r="AJ242" s="437">
        <v>0</v>
      </c>
      <c r="AK242" s="437">
        <v>1</v>
      </c>
      <c r="AL242" s="436">
        <f>VLOOKUP(A242,TradesEquity!$1:$1048576,11,FALSE)</f>
        <v>1724.521667</v>
      </c>
      <c r="AM242" s="437">
        <v>1</v>
      </c>
      <c r="AN242" s="436">
        <f>ABS(VLOOKUP(A242,TradesEquity!$1:$1048576,14,FALSE))</f>
        <v>10347130.002</v>
      </c>
      <c r="AO242" s="436">
        <f>ABS(VLOOKUP(A242,TradesEquity!$1:$1048576,15,FALSE))</f>
        <v>6208</v>
      </c>
      <c r="AP242" s="438">
        <f>ABS(VLOOKUP(A242,TradesEquity!$1:$1048576,16,FALSE))</f>
        <v>0</v>
      </c>
      <c r="AQ242" s="367">
        <v>0</v>
      </c>
      <c r="AR242" s="367">
        <v>0</v>
      </c>
      <c r="AS242" s="367">
        <v>0</v>
      </c>
      <c r="AT242" s="367">
        <v>0</v>
      </c>
      <c r="AU242" s="367">
        <v>0</v>
      </c>
      <c r="AV242" s="438">
        <f>ABS(VLOOKUP(A242,TradesEquity!$1:$1048576,18,FALSE))</f>
        <v>10353338.002</v>
      </c>
      <c r="AW242" s="439">
        <v>0</v>
      </c>
      <c r="AX242" s="440">
        <v>4542</v>
      </c>
      <c r="AY242" s="441" t="s">
        <v>2029</v>
      </c>
      <c r="AZ242" s="442" t="str">
        <f>(VLOOKUP(A242,TradesEquity!$1:$1048576,29,FALSE))</f>
        <v>GSILGB2XXXX</v>
      </c>
      <c r="BA242" s="442" t="str">
        <f>(VLOOKUP(A242,TradesEquity!$1:$1048576,30,FALSE))</f>
        <v>JJSDJPJTXXX</v>
      </c>
      <c r="BB242" s="442">
        <f>(VLOOKUP(A242,TradesEquity!$1:$1048576,31,FALSE))</f>
        <v>6530490016</v>
      </c>
      <c r="BC242" s="442" t="str">
        <f>(VLOOKUP(A242,TradesEquity!$1:$1048576,32,FALSE))</f>
        <v>N</v>
      </c>
      <c r="BI242" s="442" t="str">
        <f>(VLOOKUP(A242,TradesEquity!$1:$1048576,38,FALSE))</f>
        <v xml:space="preserve">                  </v>
      </c>
      <c r="BJ242" s="442" t="str">
        <f>(VLOOKUP(A242,TradesEquity!$1:$1048576,39,FALSE))</f>
        <v xml:space="preserve">                          </v>
      </c>
      <c r="BK242" s="442" t="str">
        <f>(VLOOKUP(A242,TradesEquity!$1:$1048576,40,FALSE))</f>
        <v>GOLDJPJXXXX</v>
      </c>
    </row>
    <row r="243" spans="1:63">
      <c r="A243" s="571">
        <v>2019200490</v>
      </c>
      <c r="D243" s="432" t="s">
        <v>2027</v>
      </c>
      <c r="F243" s="433">
        <f>VLOOKUP(A243,TradesEquity!$1:$1048576,2,FALSE)</f>
        <v>44372</v>
      </c>
      <c r="H243" s="433">
        <f>VLOOKUP(A243,TradesEquity!$1:$1048576,21,FALSE)</f>
        <v>44376</v>
      </c>
      <c r="I243" s="434" t="str">
        <f>IF(VLOOKUP(A243,TradesEquity!$1:$1048576,3,FALSE)="BUY","B","S")</f>
        <v>S</v>
      </c>
      <c r="J243" s="434" t="str">
        <f>VLOOKUP(A243,TradesEquity!$1:$1048576,5,FALSE)</f>
        <v>JP3866800000</v>
      </c>
      <c r="K243" s="432" t="s">
        <v>19</v>
      </c>
      <c r="L243" s="435" t="s">
        <v>2028</v>
      </c>
      <c r="AE243" s="436" t="str">
        <f>VLOOKUP(A243,TradesEquity!$1:$1048576,10,FALSE)</f>
        <v>JPY</v>
      </c>
      <c r="AF243" s="436" t="str">
        <f t="shared" si="12"/>
        <v>JPY</v>
      </c>
      <c r="AG243" s="436" t="str">
        <f t="shared" si="12"/>
        <v>JPY</v>
      </c>
      <c r="AH243" s="436" t="str">
        <f t="shared" si="12"/>
        <v>JPY</v>
      </c>
      <c r="AI243" s="436">
        <f>ABS(VLOOKUP(A243,TradesEquity!$1:$1048576,13,FALSE))</f>
        <v>4200</v>
      </c>
      <c r="AJ243" s="437">
        <v>0</v>
      </c>
      <c r="AK243" s="437">
        <v>1</v>
      </c>
      <c r="AL243" s="436">
        <f>VLOOKUP(A243,TradesEquity!$1:$1048576,11,FALSE)</f>
        <v>1303.4107140000001</v>
      </c>
      <c r="AM243" s="437">
        <v>1</v>
      </c>
      <c r="AN243" s="436">
        <f>ABS(VLOOKUP(A243,TradesEquity!$1:$1048576,14,FALSE))</f>
        <v>5474324.9988000002</v>
      </c>
      <c r="AO243" s="436">
        <f>ABS(VLOOKUP(A243,TradesEquity!$1:$1048576,15,FALSE))</f>
        <v>3285</v>
      </c>
      <c r="AP243" s="438">
        <f>ABS(VLOOKUP(A243,TradesEquity!$1:$1048576,16,FALSE))</f>
        <v>0</v>
      </c>
      <c r="AQ243" s="367">
        <v>0</v>
      </c>
      <c r="AR243" s="367">
        <v>0</v>
      </c>
      <c r="AS243" s="367">
        <v>0</v>
      </c>
      <c r="AT243" s="367">
        <v>0</v>
      </c>
      <c r="AU243" s="367">
        <v>0</v>
      </c>
      <c r="AV243" s="438">
        <f>ABS(VLOOKUP(A243,TradesEquity!$1:$1048576,18,FALSE))</f>
        <v>5471039.9988000002</v>
      </c>
      <c r="AW243" s="439">
        <v>0</v>
      </c>
      <c r="AX243" s="440">
        <v>4542</v>
      </c>
      <c r="AY243" s="441" t="s">
        <v>2029</v>
      </c>
      <c r="AZ243" s="442" t="str">
        <f>(VLOOKUP(A243,TradesEquity!$1:$1048576,29,FALSE))</f>
        <v>GSILGB2XXXX</v>
      </c>
      <c r="BA243" s="442" t="str">
        <f>(VLOOKUP(A243,TradesEquity!$1:$1048576,30,FALSE))</f>
        <v>JJSDJPJTXXX</v>
      </c>
      <c r="BB243" s="442">
        <f>(VLOOKUP(A243,TradesEquity!$1:$1048576,31,FALSE))</f>
        <v>6530490016</v>
      </c>
      <c r="BC243" s="442" t="str">
        <f>(VLOOKUP(A243,TradesEquity!$1:$1048576,32,FALSE))</f>
        <v>N</v>
      </c>
      <c r="BI243" s="442" t="str">
        <f>(VLOOKUP(A243,TradesEquity!$1:$1048576,38,FALSE))</f>
        <v xml:space="preserve">                  </v>
      </c>
      <c r="BJ243" s="442" t="str">
        <f>(VLOOKUP(A243,TradesEquity!$1:$1048576,39,FALSE))</f>
        <v xml:space="preserve">                          </v>
      </c>
      <c r="BK243" s="442" t="str">
        <f>(VLOOKUP(A243,TradesEquity!$1:$1048576,40,FALSE))</f>
        <v>GOLDJPJXXXX</v>
      </c>
    </row>
    <row r="244" spans="1:63">
      <c r="A244" s="571">
        <v>2019200495</v>
      </c>
      <c r="D244" s="432" t="s">
        <v>2027</v>
      </c>
      <c r="F244" s="433">
        <f>VLOOKUP(A244,TradesEquity!$1:$1048576,2,FALSE)</f>
        <v>44392</v>
      </c>
      <c r="H244" s="433">
        <f>VLOOKUP(A244,TradesEquity!$1:$1048576,21,FALSE)</f>
        <v>44396</v>
      </c>
      <c r="I244" s="434" t="str">
        <f>IF(VLOOKUP(A244,TradesEquity!$1:$1048576,3,FALSE)="BUY","B","S")</f>
        <v>S</v>
      </c>
      <c r="J244" s="434" t="e">
        <f ca="1">VLOOKUP(A244,TradesEquity!$1:$1048576,5,FALSE)</f>
        <v>#NAME?</v>
      </c>
      <c r="K244" s="432" t="s">
        <v>19</v>
      </c>
      <c r="L244" s="435" t="s">
        <v>2028</v>
      </c>
      <c r="AE244" s="436" t="str">
        <f>VLOOKUP(A244,TradesEquity!$1:$1048576,10,FALSE)</f>
        <v>JPY</v>
      </c>
      <c r="AF244" s="436" t="str">
        <f t="shared" si="12"/>
        <v>JPY</v>
      </c>
      <c r="AG244" s="436" t="str">
        <f t="shared" si="12"/>
        <v>JPY</v>
      </c>
      <c r="AH244" s="436" t="str">
        <f t="shared" si="12"/>
        <v>JPY</v>
      </c>
      <c r="AI244" s="436">
        <f>ABS(VLOOKUP(A244,TradesEquity!$1:$1048576,13,FALSE))</f>
        <v>5000</v>
      </c>
      <c r="AJ244" s="437">
        <v>0</v>
      </c>
      <c r="AK244" s="437">
        <v>1</v>
      </c>
      <c r="AL244" s="436">
        <f>VLOOKUP(A244,TradesEquity!$1:$1048576,11,FALSE)</f>
        <v>1311.59</v>
      </c>
      <c r="AM244" s="437">
        <v>1</v>
      </c>
      <c r="AN244" s="436">
        <f>ABS(VLOOKUP(A244,TradesEquity!$1:$1048576,14,FALSE))</f>
        <v>6557950</v>
      </c>
      <c r="AO244" s="436">
        <f>ABS(VLOOKUP(A244,TradesEquity!$1:$1048576,15,FALSE))</f>
        <v>3935</v>
      </c>
      <c r="AP244" s="438">
        <f>ABS(VLOOKUP(A244,TradesEquity!$1:$1048576,16,FALSE))</f>
        <v>0</v>
      </c>
      <c r="AQ244" s="367">
        <v>0</v>
      </c>
      <c r="AR244" s="367">
        <v>0</v>
      </c>
      <c r="AS244" s="367">
        <v>0</v>
      </c>
      <c r="AT244" s="367">
        <v>0</v>
      </c>
      <c r="AU244" s="367">
        <v>0</v>
      </c>
      <c r="AV244" s="438">
        <f>ABS(VLOOKUP(A244,TradesEquity!$1:$1048576,18,FALSE))</f>
        <v>6554015</v>
      </c>
      <c r="AW244" s="439">
        <v>0</v>
      </c>
      <c r="AX244" s="440">
        <v>4542</v>
      </c>
      <c r="AY244" s="441" t="s">
        <v>2029</v>
      </c>
      <c r="AZ244" s="442" t="e">
        <f ca="1">(VLOOKUP(A244,TradesEquity!$1:$1048576,29,FALSE))</f>
        <v>#NAME?</v>
      </c>
      <c r="BA244" s="442" t="e">
        <f ca="1">(VLOOKUP(A244,TradesEquity!$1:$1048576,30,FALSE))</f>
        <v>#NAME?</v>
      </c>
      <c r="BB244" s="442" t="e">
        <f ca="1">(VLOOKUP(A244,TradesEquity!$1:$1048576,31,FALSE))</f>
        <v>#NAME?</v>
      </c>
      <c r="BC244" s="442" t="e">
        <f ca="1">(VLOOKUP(A244,TradesEquity!$1:$1048576,32,FALSE))</f>
        <v>#NAME?</v>
      </c>
      <c r="BI244" s="442" t="e">
        <f ca="1">(VLOOKUP(A244,TradesEquity!$1:$1048576,38,FALSE))</f>
        <v>#NAME?</v>
      </c>
      <c r="BJ244" s="442" t="e">
        <f ca="1">(VLOOKUP(A244,TradesEquity!$1:$1048576,39,FALSE))</f>
        <v>#NAME?</v>
      </c>
      <c r="BK244" s="442" t="e">
        <f ca="1">(VLOOKUP(A244,TradesEquity!$1:$1048576,40,FALSE))</f>
        <v>#NAME?</v>
      </c>
    </row>
    <row r="245" spans="1:63">
      <c r="A245" s="61">
        <v>2019200498</v>
      </c>
      <c r="D245" s="432" t="s">
        <v>2027</v>
      </c>
      <c r="F245" s="433">
        <f>VLOOKUP(A245,TradesEquity!$1:$1048576,2,FALSE)</f>
        <v>44410</v>
      </c>
      <c r="H245" s="433">
        <f>VLOOKUP(A245,TradesEquity!$1:$1048576,21,FALSE)</f>
        <v>44412</v>
      </c>
      <c r="I245" s="434" t="str">
        <f>IF(VLOOKUP(A245,TradesEquity!$1:$1048576,3,FALSE)="BUY","B","S")</f>
        <v>S</v>
      </c>
      <c r="J245" s="434" t="e">
        <f ca="1">VLOOKUP(A245,TradesEquity!$1:$1048576,5,FALSE)</f>
        <v>#NAME?</v>
      </c>
      <c r="K245" s="432" t="s">
        <v>19</v>
      </c>
      <c r="L245" s="435" t="s">
        <v>2028</v>
      </c>
      <c r="AE245" s="436" t="e">
        <f ca="1">VLOOKUP(A245,TradesEquity!$1:$1048576,10,FALSE)</f>
        <v>#NAME?</v>
      </c>
      <c r="AF245" s="436" t="e">
        <f t="shared" ca="1" si="12"/>
        <v>#NAME?</v>
      </c>
      <c r="AG245" s="436" t="e">
        <f t="shared" ca="1" si="12"/>
        <v>#NAME?</v>
      </c>
      <c r="AH245" s="436" t="e">
        <f t="shared" ca="1" si="12"/>
        <v>#NAME?</v>
      </c>
      <c r="AI245" s="436">
        <f>ABS(VLOOKUP(A245,TradesEquity!$1:$1048576,13,FALSE))</f>
        <v>11000</v>
      </c>
      <c r="AJ245" s="437">
        <v>0</v>
      </c>
      <c r="AK245" s="437">
        <v>1</v>
      </c>
      <c r="AL245" s="436">
        <f>VLOOKUP(A245,TradesEquity!$1:$1048576,11,FALSE)</f>
        <v>9.4742999999999995</v>
      </c>
      <c r="AM245" s="437">
        <v>1</v>
      </c>
      <c r="AN245" s="436">
        <f>ABS(VLOOKUP(A245,TradesEquity!$1:$1048576,14,FALSE))</f>
        <v>104217.29999999999</v>
      </c>
      <c r="AO245" s="436">
        <f>ABS(VLOOKUP(A245,TradesEquity!$1:$1048576,15,FALSE))</f>
        <v>62.53</v>
      </c>
      <c r="AP245" s="438">
        <f>ABS(VLOOKUP(A245,TradesEquity!$1:$1048576,16,FALSE))</f>
        <v>0</v>
      </c>
      <c r="AQ245" s="367">
        <v>0</v>
      </c>
      <c r="AR245" s="367">
        <v>0</v>
      </c>
      <c r="AS245" s="367">
        <v>0</v>
      </c>
      <c r="AT245" s="367">
        <v>0</v>
      </c>
      <c r="AU245" s="367">
        <v>0</v>
      </c>
      <c r="AV245" s="438">
        <f>ABS(VLOOKUP(A245,TradesEquity!$1:$1048576,18,FALSE))</f>
        <v>104154.76999999999</v>
      </c>
      <c r="AW245" s="439">
        <v>0</v>
      </c>
      <c r="AX245" s="440">
        <v>4542</v>
      </c>
      <c r="AY245" s="441" t="s">
        <v>2029</v>
      </c>
      <c r="AZ245" s="442" t="e">
        <f ca="1">(VLOOKUP(A245,TradesEquity!$1:$1048576,29,FALSE))</f>
        <v>#NAME?</v>
      </c>
      <c r="BA245" s="442" t="e">
        <f ca="1">(VLOOKUP(A245,TradesEquity!$1:$1048576,30,FALSE))</f>
        <v>#NAME?</v>
      </c>
      <c r="BB245" s="442" t="e">
        <f ca="1">(VLOOKUP(A245,TradesEquity!$1:$1048576,31,FALSE))</f>
        <v>#NAME?</v>
      </c>
      <c r="BC245" s="442" t="e">
        <f ca="1">(VLOOKUP(A245,TradesEquity!$1:$1048576,32,FALSE))</f>
        <v>#NAME?</v>
      </c>
      <c r="BI245" s="442" t="e">
        <f ca="1">(VLOOKUP(A245,TradesEquity!$1:$1048576,38,FALSE))</f>
        <v>#NAME?</v>
      </c>
      <c r="BJ245" s="442" t="e">
        <f ca="1">(VLOOKUP(A245,TradesEquity!$1:$1048576,39,FALSE))</f>
        <v>#NAME?</v>
      </c>
      <c r="BK245" s="442" t="e">
        <f ca="1">(VLOOKUP(A245,TradesEquity!$1:$1048576,40,FALSE))</f>
        <v>#NAME?</v>
      </c>
    </row>
    <row r="246" spans="1:63">
      <c r="A246" s="61">
        <v>2019200499</v>
      </c>
      <c r="D246" s="432" t="s">
        <v>2027</v>
      </c>
      <c r="F246" s="433">
        <f>VLOOKUP(A246,TradesEquity!$1:$1048576,2,FALSE)</f>
        <v>44413</v>
      </c>
      <c r="H246" s="433">
        <f>VLOOKUP(A246,TradesEquity!$1:$1048576,21,FALSE)</f>
        <v>44418</v>
      </c>
      <c r="I246" s="434" t="str">
        <f>IF(VLOOKUP(A246,TradesEquity!$1:$1048576,3,FALSE)="BUY","B","S")</f>
        <v>S</v>
      </c>
      <c r="J246" s="434" t="e">
        <f ca="1">VLOOKUP(A246,TradesEquity!$1:$1048576,5,FALSE)</f>
        <v>#NAME?</v>
      </c>
      <c r="K246" s="432" t="s">
        <v>19</v>
      </c>
      <c r="L246" s="435" t="s">
        <v>2028</v>
      </c>
      <c r="AE246" s="436" t="e">
        <f ca="1">VLOOKUP(A246,TradesEquity!$1:$1048576,10,FALSE)</f>
        <v>#NAME?</v>
      </c>
      <c r="AF246" s="436" t="e">
        <f t="shared" ca="1" si="12"/>
        <v>#NAME?</v>
      </c>
      <c r="AG246" s="436" t="e">
        <f t="shared" ca="1" si="12"/>
        <v>#NAME?</v>
      </c>
      <c r="AH246" s="436" t="e">
        <f t="shared" ca="1" si="12"/>
        <v>#NAME?</v>
      </c>
      <c r="AI246" s="436">
        <f>ABS(VLOOKUP(A246,TradesEquity!$1:$1048576,13,FALSE))</f>
        <v>4000</v>
      </c>
      <c r="AJ246" s="437">
        <v>0</v>
      </c>
      <c r="AK246" s="437">
        <v>1</v>
      </c>
      <c r="AL246" s="436">
        <f>VLOOKUP(A246,TradesEquity!$1:$1048576,11,FALSE)</f>
        <v>1351.78125</v>
      </c>
      <c r="AM246" s="437">
        <v>1</v>
      </c>
      <c r="AN246" s="436">
        <f>ABS(VLOOKUP(A246,TradesEquity!$1:$1048576,14,FALSE))</f>
        <v>5407125</v>
      </c>
      <c r="AO246" s="436">
        <f>ABS(VLOOKUP(A246,TradesEquity!$1:$1048576,15,FALSE))</f>
        <v>3244</v>
      </c>
      <c r="AP246" s="438">
        <f>ABS(VLOOKUP(A246,TradesEquity!$1:$1048576,16,FALSE))</f>
        <v>0</v>
      </c>
      <c r="AQ246" s="367">
        <v>0</v>
      </c>
      <c r="AR246" s="367">
        <v>0</v>
      </c>
      <c r="AS246" s="367">
        <v>0</v>
      </c>
      <c r="AT246" s="367">
        <v>0</v>
      </c>
      <c r="AU246" s="367">
        <v>0</v>
      </c>
      <c r="AV246" s="438">
        <f>ABS(VLOOKUP(A246,TradesEquity!$1:$1048576,18,FALSE))</f>
        <v>5403881</v>
      </c>
      <c r="AW246" s="439">
        <v>0</v>
      </c>
      <c r="AX246" s="440">
        <v>4542</v>
      </c>
      <c r="AY246" s="441" t="s">
        <v>2029</v>
      </c>
      <c r="AZ246" s="442" t="e">
        <f ca="1">(VLOOKUP(A246,TradesEquity!$1:$1048576,29,FALSE))</f>
        <v>#NAME?</v>
      </c>
      <c r="BA246" s="442" t="e">
        <f ca="1">(VLOOKUP(A246,TradesEquity!$1:$1048576,30,FALSE))</f>
        <v>#NAME?</v>
      </c>
      <c r="BB246" s="442" t="e">
        <f ca="1">(VLOOKUP(A246,TradesEquity!$1:$1048576,31,FALSE))</f>
        <v>#NAME?</v>
      </c>
      <c r="BC246" s="442" t="e">
        <f ca="1">(VLOOKUP(A246,TradesEquity!$1:$1048576,32,FALSE))</f>
        <v>#NAME?</v>
      </c>
      <c r="BI246" s="442" t="e">
        <f ca="1">(VLOOKUP(A246,TradesEquity!$1:$1048576,38,FALSE))</f>
        <v>#NAME?</v>
      </c>
      <c r="BJ246" s="442" t="e">
        <f ca="1">(VLOOKUP(A246,TradesEquity!$1:$1048576,39,FALSE))</f>
        <v>#NAME?</v>
      </c>
      <c r="BK246" s="442" t="e">
        <f ca="1">(VLOOKUP(A246,TradesEquity!$1:$1048576,40,FALSE))</f>
        <v>#NAME?</v>
      </c>
    </row>
    <row r="247" spans="1:63">
      <c r="A247" s="61">
        <v>2019200501</v>
      </c>
      <c r="D247" s="432" t="s">
        <v>2027</v>
      </c>
      <c r="F247" s="433">
        <f>VLOOKUP(A247,TradesEquity!$1:$1048576,2,FALSE)</f>
        <v>44418</v>
      </c>
      <c r="H247" s="433">
        <f>VLOOKUP(A247,TradesEquity!$1:$1048576,21,FALSE)</f>
        <v>44420</v>
      </c>
      <c r="I247" s="434" t="str">
        <f>IF(VLOOKUP(A247,TradesEquity!$1:$1048576,3,FALSE)="BUY","B","S")</f>
        <v>B</v>
      </c>
      <c r="J247" s="434" t="e">
        <f ca="1">VLOOKUP(A247,TradesEquity!$1:$1048576,5,FALSE)</f>
        <v>#NAME?</v>
      </c>
      <c r="K247" s="432" t="s">
        <v>19</v>
      </c>
      <c r="L247" s="435" t="s">
        <v>2028</v>
      </c>
      <c r="AE247" s="436" t="e">
        <f ca="1">VLOOKUP(A247,TradesEquity!$1:$1048576,10,FALSE)</f>
        <v>#NAME?</v>
      </c>
      <c r="AF247" s="436" t="e">
        <f t="shared" ca="1" si="12"/>
        <v>#NAME?</v>
      </c>
      <c r="AG247" s="436" t="e">
        <f t="shared" ca="1" si="12"/>
        <v>#NAME?</v>
      </c>
      <c r="AH247" s="436" t="e">
        <f t="shared" ca="1" si="12"/>
        <v>#NAME?</v>
      </c>
      <c r="AI247" s="436">
        <f>ABS(VLOOKUP(A247,TradesEquity!$1:$1048576,13,FALSE))</f>
        <v>4100</v>
      </c>
      <c r="AJ247" s="437">
        <v>0</v>
      </c>
      <c r="AK247" s="437">
        <v>1</v>
      </c>
      <c r="AL247" s="436">
        <f>VLOOKUP(A247,TradesEquity!$1:$1048576,11,FALSE)</f>
        <v>4190.3048779999999</v>
      </c>
      <c r="AM247" s="437">
        <v>1</v>
      </c>
      <c r="AN247" s="436">
        <f>ABS(VLOOKUP(A247,TradesEquity!$1:$1048576,14,FALSE))</f>
        <v>17180249.9998</v>
      </c>
      <c r="AO247" s="436">
        <f>ABS(VLOOKUP(A247,TradesEquity!$1:$1048576,15,FALSE))</f>
        <v>10308</v>
      </c>
      <c r="AP247" s="438">
        <f>ABS(VLOOKUP(A247,TradesEquity!$1:$1048576,16,FALSE))</f>
        <v>0</v>
      </c>
      <c r="AQ247" s="367">
        <v>0</v>
      </c>
      <c r="AR247" s="367">
        <v>0</v>
      </c>
      <c r="AS247" s="367">
        <v>0</v>
      </c>
      <c r="AT247" s="367">
        <v>0</v>
      </c>
      <c r="AU247" s="367">
        <v>0</v>
      </c>
      <c r="AV247" s="438">
        <f>ABS(VLOOKUP(A247,TradesEquity!$1:$1048576,18,FALSE))</f>
        <v>17190557.9998</v>
      </c>
      <c r="AW247" s="439">
        <v>0</v>
      </c>
      <c r="AX247" s="440">
        <v>4542</v>
      </c>
      <c r="AY247" s="441" t="s">
        <v>2029</v>
      </c>
      <c r="AZ247" s="442" t="e">
        <f ca="1">(VLOOKUP(A247,TradesEquity!$1:$1048576,29,FALSE))</f>
        <v>#NAME?</v>
      </c>
      <c r="BA247" s="442" t="e">
        <f ca="1">(VLOOKUP(A247,TradesEquity!$1:$1048576,30,FALSE))</f>
        <v>#NAME?</v>
      </c>
      <c r="BB247" s="442" t="e">
        <f ca="1">(VLOOKUP(A247,TradesEquity!$1:$1048576,31,FALSE))</f>
        <v>#NAME?</v>
      </c>
      <c r="BC247" s="442" t="e">
        <f ca="1">(VLOOKUP(A247,TradesEquity!$1:$1048576,32,FALSE))</f>
        <v>#NAME?</v>
      </c>
      <c r="BI247" s="442"/>
      <c r="BJ247" s="442"/>
      <c r="BK247" s="442" t="e">
        <f ca="1">(VLOOKUP(A247,TradesEquity!$1:$1048576,40,FALSE))</f>
        <v>#NAME?</v>
      </c>
    </row>
    <row r="248" spans="1:63">
      <c r="A248" s="61">
        <v>2019200502</v>
      </c>
      <c r="D248" s="432" t="s">
        <v>2027</v>
      </c>
      <c r="F248" s="433">
        <f>VLOOKUP(A248,TradesEquity!$1:$1048576,2,FALSE)</f>
        <v>44418</v>
      </c>
      <c r="H248" s="433">
        <f>VLOOKUP(A248,TradesEquity!$1:$1048576,21,FALSE)</f>
        <v>44420</v>
      </c>
      <c r="I248" s="434" t="str">
        <f>IF(VLOOKUP(A248,TradesEquity!$1:$1048576,3,FALSE)="BUY","B","S")</f>
        <v>S</v>
      </c>
      <c r="J248" s="434" t="e">
        <f ca="1">VLOOKUP(A248,TradesEquity!$1:$1048576,5,FALSE)</f>
        <v>#NAME?</v>
      </c>
      <c r="K248" s="432" t="s">
        <v>19</v>
      </c>
      <c r="L248" s="435" t="s">
        <v>2028</v>
      </c>
      <c r="AE248" s="436" t="e">
        <f ca="1">VLOOKUP(A248,TradesEquity!$1:$1048576,10,FALSE)</f>
        <v>#NAME?</v>
      </c>
      <c r="AF248" s="436" t="e">
        <f t="shared" ca="1" si="12"/>
        <v>#NAME?</v>
      </c>
      <c r="AG248" s="436" t="e">
        <f t="shared" ca="1" si="12"/>
        <v>#NAME?</v>
      </c>
      <c r="AH248" s="436" t="e">
        <f t="shared" ca="1" si="12"/>
        <v>#NAME?</v>
      </c>
      <c r="AI248" s="436">
        <f>ABS(VLOOKUP(A248,TradesEquity!$1:$1048576,13,FALSE))</f>
        <v>22000</v>
      </c>
      <c r="AJ248" s="437">
        <v>0</v>
      </c>
      <c r="AK248" s="437">
        <v>1</v>
      </c>
      <c r="AL248" s="436">
        <f>VLOOKUP(A248,TradesEquity!$1:$1048576,11,FALSE)</f>
        <v>9.7878279999999993</v>
      </c>
      <c r="AM248" s="437">
        <v>1</v>
      </c>
      <c r="AN248" s="436">
        <f>ABS(VLOOKUP(A248,TradesEquity!$1:$1048576,14,FALSE))</f>
        <v>215332.21599999999</v>
      </c>
      <c r="AO248" s="436">
        <f>ABS(VLOOKUP(A248,TradesEquity!$1:$1048576,15,FALSE))</f>
        <v>129.19999999999999</v>
      </c>
      <c r="AP248" s="438">
        <f>ABS(VLOOKUP(A248,TradesEquity!$1:$1048576,16,FALSE))</f>
        <v>0</v>
      </c>
      <c r="AQ248" s="367">
        <v>0</v>
      </c>
      <c r="AR248" s="367">
        <v>0</v>
      </c>
      <c r="AS248" s="367">
        <v>0</v>
      </c>
      <c r="AT248" s="367">
        <v>0</v>
      </c>
      <c r="AU248" s="367">
        <v>0</v>
      </c>
      <c r="AV248" s="438">
        <f>ABS(VLOOKUP(A248,TradesEquity!$1:$1048576,18,FALSE))</f>
        <v>215203.01599999997</v>
      </c>
      <c r="AW248" s="439">
        <v>0</v>
      </c>
      <c r="AX248" s="440">
        <v>4542</v>
      </c>
      <c r="AY248" s="441" t="s">
        <v>2029</v>
      </c>
      <c r="AZ248" s="442" t="e">
        <f ca="1">(VLOOKUP(A248,TradesEquity!$1:$1048576,29,FALSE))</f>
        <v>#NAME?</v>
      </c>
      <c r="BA248" s="442" t="e">
        <f ca="1">(VLOOKUP(A248,TradesEquity!$1:$1048576,30,FALSE))</f>
        <v>#NAME?</v>
      </c>
      <c r="BB248" s="442" t="e">
        <f ca="1">(VLOOKUP(A248,TradesEquity!$1:$1048576,31,FALSE))</f>
        <v>#NAME?</v>
      </c>
      <c r="BC248" s="442" t="e">
        <f ca="1">(VLOOKUP(A248,TradesEquity!$1:$1048576,32,FALSE))</f>
        <v>#NAME?</v>
      </c>
      <c r="BI248" s="442"/>
      <c r="BJ248" s="442"/>
      <c r="BK248" s="442" t="e">
        <f ca="1">(VLOOKUP(A248,TradesEquity!$1:$1048576,40,FALSE))</f>
        <v>#NAME?</v>
      </c>
    </row>
    <row r="249" spans="1:63">
      <c r="A249" s="61">
        <v>2019200520</v>
      </c>
      <c r="D249" s="432" t="s">
        <v>2027</v>
      </c>
      <c r="F249" s="433">
        <f>VLOOKUP(A249,TradesEquity!$1:$1048576,2,FALSE)</f>
        <v>44475</v>
      </c>
      <c r="H249" s="433">
        <f>VLOOKUP(A249,TradesEquity!$1:$1048576,21,FALSE)</f>
        <v>44477</v>
      </c>
      <c r="I249" s="434" t="str">
        <f>IF(VLOOKUP(A249,TradesEquity!$1:$1048576,3,FALSE)="BUY","B","S")</f>
        <v>S</v>
      </c>
      <c r="J249" s="434" t="e">
        <f ca="1">VLOOKUP(A249,TradesEquity!$1:$1048576,5,FALSE)</f>
        <v>#NAME?</v>
      </c>
      <c r="K249" s="432" t="s">
        <v>19</v>
      </c>
      <c r="L249" s="435" t="s">
        <v>2028</v>
      </c>
      <c r="AE249" s="436" t="e">
        <f ca="1">VLOOKUP(A249,TradesEquity!$1:$1048576,10,FALSE)</f>
        <v>#NAME?</v>
      </c>
      <c r="AF249" s="436" t="e">
        <f t="shared" ca="1" si="12"/>
        <v>#NAME?</v>
      </c>
      <c r="AG249" s="436" t="e">
        <f t="shared" ca="1" si="12"/>
        <v>#NAME?</v>
      </c>
      <c r="AH249" s="436" t="e">
        <f t="shared" ca="1" si="12"/>
        <v>#NAME?</v>
      </c>
      <c r="AI249" s="436">
        <f>ABS(VLOOKUP(A249,TradesEquity!$1:$1048576,13,FALSE))</f>
        <v>42000</v>
      </c>
      <c r="AJ249" s="437">
        <v>0</v>
      </c>
      <c r="AK249" s="437">
        <v>1</v>
      </c>
      <c r="AL249" s="436">
        <f>VLOOKUP(A249,TradesEquity!$1:$1048576,11,FALSE)</f>
        <v>2.931238</v>
      </c>
      <c r="AM249" s="437">
        <v>1</v>
      </c>
      <c r="AN249" s="436">
        <f>ABS(VLOOKUP(A249,TradesEquity!$1:$1048576,14,FALSE))</f>
        <v>123111.996</v>
      </c>
      <c r="AO249" s="436">
        <f>ABS(VLOOKUP(A249,TradesEquity!$1:$1048576,15,FALSE))</f>
        <v>73.87</v>
      </c>
      <c r="AP249" s="438">
        <f>ABS(VLOOKUP(A249,TradesEquity!$1:$1048576,16,FALSE))</f>
        <v>0</v>
      </c>
      <c r="AQ249" s="367">
        <v>0</v>
      </c>
      <c r="AR249" s="367">
        <v>0</v>
      </c>
      <c r="AS249" s="367">
        <v>0</v>
      </c>
      <c r="AT249" s="367">
        <v>0</v>
      </c>
      <c r="AU249" s="367">
        <v>0</v>
      </c>
      <c r="AV249" s="438">
        <f>ABS(VLOOKUP(A249,TradesEquity!$1:$1048576,18,FALSE))</f>
        <v>123038.126</v>
      </c>
      <c r="AW249" s="439">
        <v>0</v>
      </c>
      <c r="AX249" s="440">
        <v>4542</v>
      </c>
      <c r="AY249" s="441" t="s">
        <v>2029</v>
      </c>
      <c r="AZ249" s="442" t="e">
        <f ca="1">(VLOOKUP(A249,TradesEquity!$1:$1048576,29,FALSE))</f>
        <v>#NAME?</v>
      </c>
      <c r="BA249" s="442" t="e">
        <f ca="1">(VLOOKUP(A249,TradesEquity!$1:$1048576,30,FALSE))</f>
        <v>#NAME?</v>
      </c>
      <c r="BB249" s="442" t="e">
        <f ca="1">(VLOOKUP(A249,TradesEquity!$1:$1048576,31,FALSE))</f>
        <v>#NAME?</v>
      </c>
      <c r="BC249" s="442" t="e">
        <f ca="1">(VLOOKUP(A249,TradesEquity!$1:$1048576,32,FALSE))</f>
        <v>#NAME?</v>
      </c>
      <c r="BI249" s="442"/>
      <c r="BJ249" s="442"/>
      <c r="BK249" s="442" t="e">
        <f ca="1">(VLOOKUP(A249,TradesEquity!$1:$1048576,40,FALSE))</f>
        <v>#NAME?</v>
      </c>
    </row>
    <row r="250" spans="1:63">
      <c r="A250" s="61">
        <v>2019200522</v>
      </c>
      <c r="D250" s="432" t="s">
        <v>2027</v>
      </c>
      <c r="F250" s="433">
        <f>VLOOKUP(A250,TradesEquity!$1:$1048576,2,FALSE)</f>
        <v>44495</v>
      </c>
      <c r="H250" s="433">
        <f>VLOOKUP(A250,TradesEquity!$1:$1048576,21,FALSE)</f>
        <v>44497</v>
      </c>
      <c r="I250" s="434" t="str">
        <f>IF(VLOOKUP(A250,TradesEquity!$1:$1048576,3,FALSE)="BUY","B","S")</f>
        <v>S</v>
      </c>
      <c r="J250" s="434" t="e">
        <f ca="1">VLOOKUP(A250,TradesEquity!$1:$1048576,5,FALSE)</f>
        <v>#NAME?</v>
      </c>
      <c r="K250" s="432" t="s">
        <v>19</v>
      </c>
      <c r="L250" s="435" t="s">
        <v>2028</v>
      </c>
      <c r="AE250" s="436" t="e">
        <f ca="1">VLOOKUP(A250,TradesEquity!$1:$1048576,10,FALSE)</f>
        <v>#NAME?</v>
      </c>
      <c r="AF250" s="436" t="e">
        <f t="shared" ca="1" si="12"/>
        <v>#NAME?</v>
      </c>
      <c r="AG250" s="436" t="e">
        <f t="shared" ca="1" si="12"/>
        <v>#NAME?</v>
      </c>
      <c r="AH250" s="436" t="e">
        <f t="shared" ca="1" si="12"/>
        <v>#NAME?</v>
      </c>
      <c r="AI250" s="436">
        <f>ABS(VLOOKUP(A250,TradesEquity!$1:$1048576,13,FALSE))</f>
        <v>7000</v>
      </c>
      <c r="AJ250" s="437">
        <v>0</v>
      </c>
      <c r="AK250" s="437">
        <v>1</v>
      </c>
      <c r="AL250" s="436">
        <f>VLOOKUP(A250,TradesEquity!$1:$1048576,11,FALSE)</f>
        <v>1525.4571000000001</v>
      </c>
      <c r="AM250" s="437">
        <v>1</v>
      </c>
      <c r="AN250" s="436">
        <f>ABS(VLOOKUP(A250,TradesEquity!$1:$1048576,14,FALSE))</f>
        <v>10678199.700000001</v>
      </c>
      <c r="AO250" s="436">
        <f>ABS(VLOOKUP(A250,TradesEquity!$1:$1048576,15,FALSE))</f>
        <v>6407</v>
      </c>
      <c r="AP250" s="438">
        <f>ABS(VLOOKUP(A250,TradesEquity!$1:$1048576,16,FALSE))</f>
        <v>0</v>
      </c>
      <c r="AQ250" s="367">
        <v>0</v>
      </c>
      <c r="AR250" s="367">
        <v>0</v>
      </c>
      <c r="AS250" s="367">
        <v>0</v>
      </c>
      <c r="AT250" s="367">
        <v>0</v>
      </c>
      <c r="AU250" s="367">
        <v>0</v>
      </c>
      <c r="AV250" s="438">
        <f>ABS(VLOOKUP(A250,TradesEquity!$1:$1048576,18,FALSE))</f>
        <v>10671792.700000001</v>
      </c>
      <c r="AW250" s="439">
        <v>0</v>
      </c>
      <c r="AX250" s="440">
        <v>4542</v>
      </c>
      <c r="AY250" s="441" t="s">
        <v>2029</v>
      </c>
      <c r="AZ250" s="442" t="e">
        <f ca="1">(VLOOKUP(A250,TradesEquity!$1:$1048576,29,FALSE))</f>
        <v>#NAME?</v>
      </c>
      <c r="BA250" s="442" t="e">
        <f ca="1">(VLOOKUP(A250,TradesEquity!$1:$1048576,30,FALSE))</f>
        <v>#NAME?</v>
      </c>
      <c r="BB250" s="442" t="e">
        <f ca="1">(VLOOKUP(A250,TradesEquity!$1:$1048576,31,FALSE))</f>
        <v>#NAME?</v>
      </c>
      <c r="BC250" s="442" t="e">
        <f ca="1">(VLOOKUP(A250,TradesEquity!$1:$1048576,32,FALSE))</f>
        <v>#NAME?</v>
      </c>
      <c r="BI250" s="442"/>
      <c r="BJ250" s="442"/>
      <c r="BK250" s="442" t="e">
        <f ca="1">(VLOOKUP(A250,TradesEquity!$1:$1048576,40,FALSE))</f>
        <v>#NAME?</v>
      </c>
    </row>
    <row r="251" spans="1:63">
      <c r="A251" s="61">
        <v>2019200523</v>
      </c>
      <c r="D251" s="432" t="s">
        <v>2027</v>
      </c>
      <c r="F251" s="433">
        <f>VLOOKUP(A251,TradesEquity!$1:$1048576,2,FALSE)</f>
        <v>44508</v>
      </c>
      <c r="H251" s="433">
        <f>VLOOKUP(A251,TradesEquity!$1:$1048576,21,FALSE)</f>
        <v>44510</v>
      </c>
      <c r="I251" s="434" t="str">
        <f>IF(VLOOKUP(A251,TradesEquity!$1:$1048576,3,FALSE)="BUY","B","S")</f>
        <v>S</v>
      </c>
      <c r="J251" s="434" t="e">
        <f ca="1">VLOOKUP(A251,TradesEquity!$1:$1048576,5,FALSE)</f>
        <v>#NAME?</v>
      </c>
      <c r="K251" s="432" t="s">
        <v>19</v>
      </c>
      <c r="L251" s="435" t="s">
        <v>2028</v>
      </c>
      <c r="AE251" s="436" t="e">
        <f ca="1">VLOOKUP(A251,TradesEquity!$1:$1048576,10,FALSE)</f>
        <v>#NAME?</v>
      </c>
      <c r="AF251" s="436" t="e">
        <f t="shared" ca="1" si="12"/>
        <v>#NAME?</v>
      </c>
      <c r="AG251" s="436" t="e">
        <f t="shared" ca="1" si="12"/>
        <v>#NAME?</v>
      </c>
      <c r="AH251" s="436" t="e">
        <f t="shared" ca="1" si="12"/>
        <v>#NAME?</v>
      </c>
      <c r="AI251" s="436">
        <f>ABS(VLOOKUP(A251,TradesEquity!$1:$1048576,13,FALSE))</f>
        <v>1826</v>
      </c>
      <c r="AJ251" s="437">
        <v>0</v>
      </c>
      <c r="AK251" s="437">
        <v>1</v>
      </c>
      <c r="AL251" s="436">
        <f>VLOOKUP(A251,TradesEquity!$1:$1048576,11,FALSE)</f>
        <v>135947.42610000001</v>
      </c>
      <c r="AM251" s="437">
        <v>1</v>
      </c>
      <c r="AN251" s="436">
        <f>ABS(VLOOKUP(A251,TradesEquity!$1:$1048576,14,FALSE))</f>
        <v>248240000.05860001</v>
      </c>
      <c r="AO251" s="436">
        <f>ABS(VLOOKUP(A251,TradesEquity!$1:$1048576,15,FALSE))</f>
        <v>372360</v>
      </c>
      <c r="AP251" s="438">
        <f>ABS(VLOOKUP(A251,TradesEquity!$1:$1048576,16,FALSE))</f>
        <v>570933</v>
      </c>
      <c r="AQ251" s="367">
        <v>0</v>
      </c>
      <c r="AR251" s="367">
        <v>0</v>
      </c>
      <c r="AS251" s="367">
        <v>0</v>
      </c>
      <c r="AT251" s="367">
        <v>0</v>
      </c>
      <c r="AU251" s="367">
        <v>0</v>
      </c>
      <c r="AV251" s="438">
        <f>ABS(VLOOKUP(A251,TradesEquity!$1:$1048576,18,FALSE))</f>
        <v>247296707.05860001</v>
      </c>
      <c r="AW251" s="439">
        <v>0</v>
      </c>
      <c r="AX251" s="440">
        <v>4542</v>
      </c>
      <c r="AY251" s="441" t="s">
        <v>2029</v>
      </c>
      <c r="AZ251" s="442" t="e">
        <f ca="1">(VLOOKUP(A251,TradesEquity!$1:$1048576,29,FALSE))</f>
        <v>#NAME?</v>
      </c>
      <c r="BA251" s="442" t="e">
        <f ca="1">(VLOOKUP(A251,TradesEquity!$1:$1048576,30,FALSE))</f>
        <v>#NAME?</v>
      </c>
      <c r="BB251" s="442" t="e">
        <f ca="1">(VLOOKUP(A251,TradesEquity!$1:$1048576,31,FALSE))</f>
        <v>#NAME?</v>
      </c>
      <c r="BC251" s="442" t="e">
        <f ca="1">(VLOOKUP(A251,TradesEquity!$1:$1048576,32,FALSE))</f>
        <v>#NAME?</v>
      </c>
      <c r="BI251" s="442" t="e">
        <f ca="1">(VLOOKUP(A251,TradesEquity!$1:$1048576,38,FALSE))</f>
        <v>#NAME?</v>
      </c>
      <c r="BJ251" s="442" t="e">
        <f ca="1">(VLOOKUP(A251,TradesEquity!$1:$1048576,39,FALSE))</f>
        <v>#NAME?</v>
      </c>
      <c r="BK251" s="442" t="e">
        <f ca="1">(VLOOKUP(A251,TradesEquity!$1:$1048576,40,FALSE))</f>
        <v>#NAME?</v>
      </c>
    </row>
    <row r="252" spans="1:63">
      <c r="A252" s="61">
        <v>2019200524</v>
      </c>
      <c r="D252" s="432" t="s">
        <v>2027</v>
      </c>
      <c r="F252" s="433">
        <f>VLOOKUP(A252,TradesEquity!$1:$1048576,2,FALSE)</f>
        <v>44508</v>
      </c>
      <c r="H252" s="433">
        <f>VLOOKUP(A252,TradesEquity!$1:$1048576,21,FALSE)</f>
        <v>44510</v>
      </c>
      <c r="I252" s="434" t="str">
        <f>IF(VLOOKUP(A252,TradesEquity!$1:$1048576,3,FALSE)="BUY","B","S")</f>
        <v>S</v>
      </c>
      <c r="J252" s="434" t="e">
        <f ca="1">VLOOKUP(A252,TradesEquity!$1:$1048576,5,FALSE)</f>
        <v>#NAME?</v>
      </c>
      <c r="K252" s="432" t="s">
        <v>19</v>
      </c>
      <c r="L252" s="435" t="s">
        <v>2028</v>
      </c>
      <c r="AE252" s="436" t="e">
        <f ca="1">VLOOKUP(A252,TradesEquity!$1:$1048576,10,FALSE)</f>
        <v>#NAME?</v>
      </c>
      <c r="AF252" s="436" t="e">
        <f t="shared" ca="1" si="12"/>
        <v>#NAME?</v>
      </c>
      <c r="AG252" s="436" t="e">
        <f t="shared" ca="1" si="12"/>
        <v>#NAME?</v>
      </c>
      <c r="AH252" s="436" t="e">
        <f t="shared" ca="1" si="12"/>
        <v>#NAME?</v>
      </c>
      <c r="AI252" s="436">
        <f>ABS(VLOOKUP(A252,TradesEquity!$1:$1048576,13,FALSE))</f>
        <v>11000</v>
      </c>
      <c r="AJ252" s="437">
        <v>0</v>
      </c>
      <c r="AK252" s="437">
        <v>1</v>
      </c>
      <c r="AL252" s="436">
        <f>VLOOKUP(A252,TradesEquity!$1:$1048576,11,FALSE)</f>
        <v>5063.9090910000004</v>
      </c>
      <c r="AM252" s="437">
        <v>1</v>
      </c>
      <c r="AN252" s="436">
        <f>ABS(VLOOKUP(A252,TradesEquity!$1:$1048576,14,FALSE))</f>
        <v>55703000.001000002</v>
      </c>
      <c r="AO252" s="436">
        <f>ABS(VLOOKUP(A252,TradesEquity!$1:$1048576,15,FALSE))</f>
        <v>33422</v>
      </c>
      <c r="AP252" s="438">
        <f>ABS(VLOOKUP(A252,TradesEquity!$1:$1048576,16,FALSE))</f>
        <v>0</v>
      </c>
      <c r="AQ252" s="367">
        <v>0</v>
      </c>
      <c r="AR252" s="367">
        <v>0</v>
      </c>
      <c r="AS252" s="367">
        <v>0</v>
      </c>
      <c r="AT252" s="367">
        <v>0</v>
      </c>
      <c r="AU252" s="367">
        <v>0</v>
      </c>
      <c r="AV252" s="438">
        <f>ABS(VLOOKUP(A252,TradesEquity!$1:$1048576,18,FALSE))</f>
        <v>55669578.001000002</v>
      </c>
      <c r="AW252" s="439">
        <v>0</v>
      </c>
      <c r="AX252" s="440">
        <v>4542</v>
      </c>
      <c r="AY252" s="441" t="s">
        <v>2029</v>
      </c>
      <c r="AZ252" s="442" t="e">
        <f ca="1">(VLOOKUP(A252,TradesEquity!$1:$1048576,29,FALSE))</f>
        <v>#NAME?</v>
      </c>
      <c r="BA252" s="442" t="e">
        <f ca="1">(VLOOKUP(A252,TradesEquity!$1:$1048576,30,FALSE))</f>
        <v>#NAME?</v>
      </c>
      <c r="BB252" s="442" t="e">
        <f ca="1">(VLOOKUP(A252,TradesEquity!$1:$1048576,31,FALSE))</f>
        <v>#NAME?</v>
      </c>
      <c r="BC252" s="442" t="e">
        <f ca="1">(VLOOKUP(A252,TradesEquity!$1:$1048576,32,FALSE))</f>
        <v>#NAME?</v>
      </c>
      <c r="BI252" s="442" t="e">
        <f ca="1">(VLOOKUP(A252,TradesEquity!$1:$1048576,38,FALSE))</f>
        <v>#NAME?</v>
      </c>
      <c r="BJ252" s="442" t="e">
        <f ca="1">(VLOOKUP(A252,TradesEquity!$1:$1048576,39,FALSE))</f>
        <v>#NAME?</v>
      </c>
      <c r="BK252" s="442" t="e">
        <f ca="1">(VLOOKUP(A252,TradesEquity!$1:$1048576,40,FALSE))</f>
        <v>#NAME?</v>
      </c>
    </row>
    <row r="253" spans="1:63">
      <c r="A253" s="61">
        <v>2019200525</v>
      </c>
      <c r="D253" s="432" t="s">
        <v>2027</v>
      </c>
      <c r="F253" s="433">
        <f>VLOOKUP(A253,TradesEquity!$1:$1048576,2,FALSE)</f>
        <v>44508</v>
      </c>
      <c r="H253" s="433">
        <f>VLOOKUP(A253,TradesEquity!$1:$1048576,21,FALSE)</f>
        <v>44510</v>
      </c>
      <c r="I253" s="434" t="str">
        <f>IF(VLOOKUP(A253,TradesEquity!$1:$1048576,3,FALSE)="BUY","B","S")</f>
        <v>B</v>
      </c>
      <c r="J253" s="434" t="e">
        <f ca="1">VLOOKUP(A253,TradesEquity!$1:$1048576,5,FALSE)</f>
        <v>#NAME?</v>
      </c>
      <c r="K253" s="432" t="s">
        <v>19</v>
      </c>
      <c r="L253" s="435" t="s">
        <v>2028</v>
      </c>
      <c r="AE253" s="436" t="e">
        <f ca="1">VLOOKUP(A253,TradesEquity!$1:$1048576,10,FALSE)</f>
        <v>#NAME?</v>
      </c>
      <c r="AF253" s="436" t="e">
        <f t="shared" ca="1" si="12"/>
        <v>#NAME?</v>
      </c>
      <c r="AG253" s="436" t="e">
        <f t="shared" ca="1" si="12"/>
        <v>#NAME?</v>
      </c>
      <c r="AH253" s="436" t="e">
        <f t="shared" ca="1" si="12"/>
        <v>#NAME?</v>
      </c>
      <c r="AI253" s="436">
        <f>ABS(VLOOKUP(A253,TradesEquity!$1:$1048576,13,FALSE))</f>
        <v>950</v>
      </c>
      <c r="AJ253" s="437">
        <v>0</v>
      </c>
      <c r="AK253" s="437">
        <v>1</v>
      </c>
      <c r="AL253" s="436">
        <f>VLOOKUP(A253,TradesEquity!$1:$1048576,11,FALSE)</f>
        <v>143175.78950000001</v>
      </c>
      <c r="AM253" s="437">
        <v>1</v>
      </c>
      <c r="AN253" s="436">
        <f>ABS(VLOOKUP(A253,TradesEquity!$1:$1048576,14,FALSE))</f>
        <v>136017000.02500001</v>
      </c>
      <c r="AO253" s="436">
        <f>ABS(VLOOKUP(A253,TradesEquity!$1:$1048576,15,FALSE))</f>
        <v>204026</v>
      </c>
      <c r="AP253" s="438">
        <f>ABS(VLOOKUP(A253,TradesEquity!$1:$1048576,16,FALSE))</f>
        <v>0</v>
      </c>
      <c r="AQ253" s="367">
        <v>0</v>
      </c>
      <c r="AR253" s="367">
        <v>0</v>
      </c>
      <c r="AS253" s="367">
        <v>0</v>
      </c>
      <c r="AT253" s="367">
        <v>0</v>
      </c>
      <c r="AU253" s="367">
        <v>0</v>
      </c>
      <c r="AV253" s="438">
        <f>ABS(VLOOKUP(A253,TradesEquity!$1:$1048576,18,FALSE))</f>
        <v>136221026.02500001</v>
      </c>
      <c r="AW253" s="439">
        <v>0</v>
      </c>
      <c r="AX253" s="440">
        <v>4542</v>
      </c>
      <c r="AY253" s="441" t="s">
        <v>2029</v>
      </c>
      <c r="AZ253" s="442" t="e">
        <f ca="1">(VLOOKUP(A253,TradesEquity!$1:$1048576,29,FALSE))</f>
        <v>#NAME?</v>
      </c>
      <c r="BA253" s="442" t="e">
        <f ca="1">(VLOOKUP(A253,TradesEquity!$1:$1048576,30,FALSE))</f>
        <v>#NAME?</v>
      </c>
      <c r="BB253" s="442" t="e">
        <f ca="1">(VLOOKUP(A253,TradesEquity!$1:$1048576,31,FALSE))</f>
        <v>#NAME?</v>
      </c>
      <c r="BC253" s="442" t="e">
        <f ca="1">(VLOOKUP(A253,TradesEquity!$1:$1048576,32,FALSE))</f>
        <v>#NAME?</v>
      </c>
      <c r="BI253" s="442" t="e">
        <f ca="1">(VLOOKUP(A253,TradesEquity!$1:$1048576,38,FALSE))</f>
        <v>#NAME?</v>
      </c>
      <c r="BJ253" s="442" t="e">
        <f ca="1">(VLOOKUP(A253,TradesEquity!$1:$1048576,39,FALSE))</f>
        <v>#NAME?</v>
      </c>
      <c r="BK253" s="442" t="e">
        <f ca="1">(VLOOKUP(A253,TradesEquity!$1:$1048576,40,FALSE))</f>
        <v>#NAME?</v>
      </c>
    </row>
    <row r="254" spans="1:63">
      <c r="A254" s="61">
        <v>2019200526</v>
      </c>
      <c r="D254" s="432" t="s">
        <v>2027</v>
      </c>
      <c r="F254" s="433">
        <f>VLOOKUP(A254,TradesEquity!$1:$1048576,2,FALSE)</f>
        <v>44508</v>
      </c>
      <c r="H254" s="433">
        <f>VLOOKUP(A254,TradesEquity!$1:$1048576,21,FALSE)</f>
        <v>44510</v>
      </c>
      <c r="I254" s="434" t="str">
        <f>IF(VLOOKUP(A254,TradesEquity!$1:$1048576,3,FALSE)="BUY","B","S")</f>
        <v>B</v>
      </c>
      <c r="J254" s="434" t="e">
        <f ca="1">VLOOKUP(A254,TradesEquity!$1:$1048576,5,FALSE)</f>
        <v>#NAME?</v>
      </c>
      <c r="K254" s="432" t="s">
        <v>19</v>
      </c>
      <c r="L254" s="435" t="s">
        <v>2028</v>
      </c>
      <c r="AE254" s="436" t="e">
        <f ca="1">VLOOKUP(A254,TradesEquity!$1:$1048576,10,FALSE)</f>
        <v>#NAME?</v>
      </c>
      <c r="AF254" s="436" t="e">
        <f t="shared" ca="1" si="12"/>
        <v>#NAME?</v>
      </c>
      <c r="AG254" s="436" t="e">
        <f t="shared" ca="1" si="12"/>
        <v>#NAME?</v>
      </c>
      <c r="AH254" s="436" t="e">
        <f t="shared" ca="1" si="12"/>
        <v>#NAME?</v>
      </c>
      <c r="AI254" s="436">
        <f>ABS(VLOOKUP(A254,TradesEquity!$1:$1048576,13,FALSE))</f>
        <v>600</v>
      </c>
      <c r="AJ254" s="437">
        <v>0</v>
      </c>
      <c r="AK254" s="437">
        <v>1</v>
      </c>
      <c r="AL254" s="436">
        <f>VLOOKUP(A254,TradesEquity!$1:$1048576,11,FALSE)</f>
        <v>358250</v>
      </c>
      <c r="AM254" s="437">
        <v>1</v>
      </c>
      <c r="AN254" s="436">
        <f>ABS(VLOOKUP(A254,TradesEquity!$1:$1048576,14,FALSE))</f>
        <v>214950000</v>
      </c>
      <c r="AO254" s="436">
        <f>ABS(VLOOKUP(A254,TradesEquity!$1:$1048576,15,FALSE))</f>
        <v>322425</v>
      </c>
      <c r="AP254" s="438">
        <f>ABS(VLOOKUP(A254,TradesEquity!$1:$1048576,16,FALSE))</f>
        <v>0</v>
      </c>
      <c r="AQ254" s="367">
        <v>0</v>
      </c>
      <c r="AR254" s="367">
        <v>0</v>
      </c>
      <c r="AS254" s="367">
        <v>0</v>
      </c>
      <c r="AT254" s="367">
        <v>0</v>
      </c>
      <c r="AU254" s="367">
        <v>0</v>
      </c>
      <c r="AV254" s="438">
        <f>ABS(VLOOKUP(A254,TradesEquity!$1:$1048576,18,FALSE))</f>
        <v>215272425</v>
      </c>
      <c r="AW254" s="439">
        <v>0</v>
      </c>
      <c r="AX254" s="440">
        <v>4542</v>
      </c>
      <c r="AY254" s="441" t="s">
        <v>2029</v>
      </c>
      <c r="AZ254" s="442" t="e">
        <f ca="1">(VLOOKUP(A254,TradesEquity!$1:$1048576,29,FALSE))</f>
        <v>#NAME?</v>
      </c>
      <c r="BA254" s="442" t="e">
        <f ca="1">(VLOOKUP(A254,TradesEquity!$1:$1048576,30,FALSE))</f>
        <v>#NAME?</v>
      </c>
      <c r="BB254" s="442" t="e">
        <f ca="1">(VLOOKUP(A254,TradesEquity!$1:$1048576,31,FALSE))</f>
        <v>#NAME?</v>
      </c>
      <c r="BC254" s="442" t="e">
        <f ca="1">(VLOOKUP(A254,TradesEquity!$1:$1048576,32,FALSE))</f>
        <v>#NAME?</v>
      </c>
      <c r="BI254" s="442" t="e">
        <f ca="1">(VLOOKUP(A254,TradesEquity!$1:$1048576,38,FALSE))</f>
        <v>#NAME?</v>
      </c>
      <c r="BJ254" s="442" t="e">
        <f ca="1">(VLOOKUP(A254,TradesEquity!$1:$1048576,39,FALSE))</f>
        <v>#NAME?</v>
      </c>
      <c r="BK254" s="442" t="e">
        <f ca="1">(VLOOKUP(A254,TradesEquity!$1:$1048576,40,FALSE))</f>
        <v>#NAME?</v>
      </c>
    </row>
    <row r="255" spans="1:63">
      <c r="A255" s="1141">
        <v>2019200544</v>
      </c>
      <c r="D255" s="432" t="s">
        <v>2027</v>
      </c>
      <c r="F255" s="433">
        <f>VLOOKUP(A255,TradesEquity!$1:$1048576,2,FALSE)</f>
        <v>44523</v>
      </c>
      <c r="H255" s="433">
        <f>VLOOKUP(A255,TradesEquity!$1:$1048576,21,FALSE)</f>
        <v>44525</v>
      </c>
      <c r="I255" s="434" t="str">
        <f>IF(VLOOKUP(A255,TradesEquity!$1:$1048576,3,FALSE)="BUY","B","S")</f>
        <v>B</v>
      </c>
      <c r="J255" s="434" t="e">
        <f ca="1">VLOOKUP(A255,TradesEquity!$1:$1048576,5,FALSE)</f>
        <v>#NAME?</v>
      </c>
      <c r="K255" s="432" t="s">
        <v>19</v>
      </c>
      <c r="L255" s="435" t="s">
        <v>2028</v>
      </c>
      <c r="AE255" s="436" t="e">
        <f ca="1">VLOOKUP(A255,TradesEquity!$1:$1048576,10,FALSE)</f>
        <v>#NAME?</v>
      </c>
      <c r="AF255" s="436" t="e">
        <f t="shared" ca="1" si="12"/>
        <v>#NAME?</v>
      </c>
      <c r="AG255" s="436" t="e">
        <f t="shared" ca="1" si="12"/>
        <v>#NAME?</v>
      </c>
      <c r="AH255" s="436" t="e">
        <f t="shared" ca="1" si="12"/>
        <v>#NAME?</v>
      </c>
      <c r="AI255" s="436">
        <f>ABS(VLOOKUP(A255,TradesEquity!$1:$1048576,13,FALSE))</f>
        <v>4200</v>
      </c>
      <c r="AJ255" s="437">
        <v>0</v>
      </c>
      <c r="AK255" s="437">
        <v>1</v>
      </c>
      <c r="AL255" s="436">
        <f>VLOOKUP(A255,TradesEquity!$1:$1048576,11,FALSE)</f>
        <v>42.6783</v>
      </c>
      <c r="AM255" s="437">
        <v>1</v>
      </c>
      <c r="AN255" s="436">
        <f>ABS(VLOOKUP(A255,TradesEquity!$1:$1048576,14,FALSE))</f>
        <v>179248.86</v>
      </c>
      <c r="AO255" s="436">
        <f>ABS(VLOOKUP(A255,TradesEquity!$1:$1048576,15,FALSE))</f>
        <v>107.55</v>
      </c>
      <c r="AP255" s="438">
        <f>ABS(VLOOKUP(A255,TradesEquity!$1:$1048576,16,FALSE))</f>
        <v>0</v>
      </c>
      <c r="AQ255" s="367">
        <v>0</v>
      </c>
      <c r="AR255" s="367">
        <v>0</v>
      </c>
      <c r="AS255" s="367">
        <v>0</v>
      </c>
      <c r="AT255" s="367">
        <v>0</v>
      </c>
      <c r="AU255" s="367">
        <v>0</v>
      </c>
      <c r="AV255" s="438">
        <f>ABS(VLOOKUP(A255,TradesEquity!$1:$1048576,18,FALSE))</f>
        <v>179356.40999999997</v>
      </c>
      <c r="AW255" s="439">
        <v>0</v>
      </c>
      <c r="AX255" s="440">
        <v>4542</v>
      </c>
      <c r="AY255" s="441" t="s">
        <v>2029</v>
      </c>
      <c r="AZ255" s="442" t="e">
        <f ca="1">(VLOOKUP(A255,TradesEquity!$1:$1048576,29,FALSE))</f>
        <v>#NAME?</v>
      </c>
      <c r="BA255" s="442" t="e">
        <f ca="1">(VLOOKUP(A255,TradesEquity!$1:$1048576,30,FALSE))</f>
        <v>#NAME?</v>
      </c>
      <c r="BB255" s="442" t="e">
        <f ca="1">(VLOOKUP(A255,TradesEquity!$1:$1048576,31,FALSE))</f>
        <v>#NAME?</v>
      </c>
      <c r="BC255" s="442" t="e">
        <f ca="1">(VLOOKUP(A255,TradesEquity!$1:$1048576,32,FALSE))</f>
        <v>#NAME?</v>
      </c>
      <c r="BI255" s="442" t="e">
        <f ca="1">(VLOOKUP(A255,TradesEquity!$1:$1048576,38,FALSE))</f>
        <v>#NAME?</v>
      </c>
      <c r="BJ255" s="442" t="e">
        <f ca="1">(VLOOKUP(A255,TradesEquity!$1:$1048576,39,FALSE))</f>
        <v>#NAME?</v>
      </c>
      <c r="BK255" s="442" t="e">
        <f ca="1">(VLOOKUP(A255,TradesEquity!$1:$1048576,40,FALSE))</f>
        <v>#NAME?</v>
      </c>
    </row>
    <row r="256" spans="1:63">
      <c r="A256" s="61">
        <v>2019200548</v>
      </c>
      <c r="D256" s="432" t="s">
        <v>2027</v>
      </c>
      <c r="F256" s="433">
        <f>VLOOKUP(A256,TradesEquity!$1:$1048576,2,FALSE)</f>
        <v>44529</v>
      </c>
      <c r="H256" s="433">
        <f>VLOOKUP(A256,TradesEquity!$1:$1048576,21,FALSE)</f>
        <v>44531</v>
      </c>
      <c r="I256" s="434" t="str">
        <f>IF(VLOOKUP(A256,TradesEquity!$1:$1048576,3,FALSE)="BUY","B","S")</f>
        <v>B</v>
      </c>
      <c r="J256" s="434" t="e">
        <f ca="1">VLOOKUP(A256,TradesEquity!$1:$1048576,5,FALSE)</f>
        <v>#NAME?</v>
      </c>
      <c r="K256" s="432" t="s">
        <v>19</v>
      </c>
      <c r="L256" s="435" t="s">
        <v>2028</v>
      </c>
      <c r="AE256" s="436" t="e">
        <f ca="1">VLOOKUP(A256,TradesEquity!$1:$1048576,10,FALSE)</f>
        <v>#NAME?</v>
      </c>
      <c r="AF256" s="436" t="e">
        <f t="shared" ca="1" si="12"/>
        <v>#NAME?</v>
      </c>
      <c r="AG256" s="436" t="e">
        <f t="shared" ca="1" si="12"/>
        <v>#NAME?</v>
      </c>
      <c r="AH256" s="436" t="e">
        <f t="shared" ca="1" si="12"/>
        <v>#NAME?</v>
      </c>
      <c r="AI256" s="436">
        <f>ABS(VLOOKUP(A256,TradesEquity!$1:$1048576,13,FALSE))</f>
        <v>320</v>
      </c>
      <c r="AJ256" s="437">
        <v>0</v>
      </c>
      <c r="AK256" s="437">
        <v>1</v>
      </c>
      <c r="AL256" s="436">
        <f>VLOOKUP(A256,TradesEquity!$1:$1048576,11,FALSE)</f>
        <v>125798.4375</v>
      </c>
      <c r="AM256" s="437">
        <v>1</v>
      </c>
      <c r="AN256" s="436">
        <f>ABS(VLOOKUP(A256,TradesEquity!$1:$1048576,14,FALSE))</f>
        <v>40255500</v>
      </c>
      <c r="AO256" s="436">
        <f>ABS(VLOOKUP(A256,TradesEquity!$1:$1048576,15,FALSE))</f>
        <v>60383</v>
      </c>
      <c r="AP256" s="438">
        <f>ABS(VLOOKUP(A256,TradesEquity!$1:$1048576,16,FALSE))</f>
        <v>0</v>
      </c>
      <c r="AQ256" s="367">
        <v>0</v>
      </c>
      <c r="AR256" s="367">
        <v>0</v>
      </c>
      <c r="AS256" s="367">
        <v>0</v>
      </c>
      <c r="AT256" s="367">
        <v>0</v>
      </c>
      <c r="AU256" s="367">
        <v>0</v>
      </c>
      <c r="AV256" s="438">
        <f>ABS(VLOOKUP(A256,TradesEquity!$1:$1048576,18,FALSE))</f>
        <v>40315883</v>
      </c>
      <c r="AW256" s="439">
        <v>0</v>
      </c>
      <c r="AX256" s="440">
        <v>4542</v>
      </c>
      <c r="AY256" s="441" t="s">
        <v>2029</v>
      </c>
      <c r="AZ256" s="442" t="e">
        <f ca="1">(VLOOKUP(A256,TradesEquity!$1:$1048576,29,FALSE))</f>
        <v>#NAME?</v>
      </c>
      <c r="BA256" s="442" t="e">
        <f ca="1">(VLOOKUP(A256,TradesEquity!$1:$1048576,30,FALSE))</f>
        <v>#NAME?</v>
      </c>
      <c r="BB256" s="442" t="e">
        <f ca="1">(VLOOKUP(A256,TradesEquity!$1:$1048576,31,FALSE))</f>
        <v>#NAME?</v>
      </c>
      <c r="BC256" s="442" t="e">
        <f ca="1">(VLOOKUP(A256,TradesEquity!$1:$1048576,32,FALSE))</f>
        <v>#NAME?</v>
      </c>
      <c r="BI256" s="442" t="e">
        <f ca="1">(VLOOKUP(A256,TradesEquity!$1:$1048576,38,FALSE))</f>
        <v>#NAME?</v>
      </c>
      <c r="BJ256" s="442" t="e">
        <f ca="1">(VLOOKUP(A256,TradesEquity!$1:$1048576,39,FALSE))</f>
        <v>#NAME?</v>
      </c>
      <c r="BK256" s="442" t="e">
        <f ca="1">(VLOOKUP(A256,TradesEquity!$1:$1048576,40,FALSE))</f>
        <v>#NAME?</v>
      </c>
    </row>
    <row r="257" spans="1:63">
      <c r="A257" s="61">
        <v>2019200549</v>
      </c>
      <c r="D257" s="432" t="s">
        <v>2027</v>
      </c>
      <c r="F257" s="433">
        <f>VLOOKUP(A257,TradesEquity!$1:$1048576,2,FALSE)</f>
        <v>44529</v>
      </c>
      <c r="H257" s="433">
        <f>VLOOKUP(A257,TradesEquity!$1:$1048576,21,FALSE)</f>
        <v>44531</v>
      </c>
      <c r="I257" s="434" t="str">
        <f>IF(VLOOKUP(A257,TradesEquity!$1:$1048576,3,FALSE)="BUY","B","S")</f>
        <v>B</v>
      </c>
      <c r="J257" s="434" t="e">
        <f ca="1">VLOOKUP(A257,TradesEquity!$1:$1048576,5,FALSE)</f>
        <v>#NAME?</v>
      </c>
      <c r="K257" s="432" t="s">
        <v>19</v>
      </c>
      <c r="L257" s="435" t="s">
        <v>2028</v>
      </c>
      <c r="AE257" s="436" t="e">
        <f ca="1">VLOOKUP(A257,TradesEquity!$1:$1048576,10,FALSE)</f>
        <v>#NAME?</v>
      </c>
      <c r="AF257" s="436" t="e">
        <f t="shared" ca="1" si="12"/>
        <v>#NAME?</v>
      </c>
      <c r="AG257" s="436" t="e">
        <f t="shared" ca="1" si="12"/>
        <v>#NAME?</v>
      </c>
      <c r="AH257" s="436" t="e">
        <f t="shared" ca="1" si="12"/>
        <v>#NAME?</v>
      </c>
      <c r="AI257" s="436">
        <f>ABS(VLOOKUP(A257,TradesEquity!$1:$1048576,13,FALSE))</f>
        <v>470</v>
      </c>
      <c r="AJ257" s="437">
        <v>0</v>
      </c>
      <c r="AK257" s="437">
        <v>1</v>
      </c>
      <c r="AL257" s="436">
        <f>VLOOKUP(A257,TradesEquity!$1:$1048576,11,FALSE)</f>
        <v>341681.91489999997</v>
      </c>
      <c r="AM257" s="437">
        <v>1</v>
      </c>
      <c r="AN257" s="436">
        <f>ABS(VLOOKUP(A257,TradesEquity!$1:$1048576,14,FALSE))</f>
        <v>160590500.00299999</v>
      </c>
      <c r="AO257" s="436">
        <f>ABS(VLOOKUP(A257,TradesEquity!$1:$1048576,15,FALSE))</f>
        <v>240886</v>
      </c>
      <c r="AP257" s="438">
        <f>ABS(VLOOKUP(A257,TradesEquity!$1:$1048576,16,FALSE))</f>
        <v>0</v>
      </c>
      <c r="AQ257" s="367">
        <v>0</v>
      </c>
      <c r="AR257" s="367">
        <v>0</v>
      </c>
      <c r="AS257" s="367">
        <v>0</v>
      </c>
      <c r="AT257" s="367">
        <v>0</v>
      </c>
      <c r="AU257" s="367">
        <v>0</v>
      </c>
      <c r="AV257" s="438">
        <f>ABS(VLOOKUP(A257,TradesEquity!$1:$1048576,18,FALSE))</f>
        <v>160831386.00299999</v>
      </c>
      <c r="AW257" s="439">
        <v>0</v>
      </c>
      <c r="AX257" s="440">
        <v>4542</v>
      </c>
      <c r="AY257" s="441" t="s">
        <v>2029</v>
      </c>
      <c r="AZ257" s="442" t="e">
        <f ca="1">(VLOOKUP(A257,TradesEquity!$1:$1048576,29,FALSE))</f>
        <v>#NAME?</v>
      </c>
      <c r="BA257" s="442" t="e">
        <f ca="1">(VLOOKUP(A257,TradesEquity!$1:$1048576,30,FALSE))</f>
        <v>#NAME?</v>
      </c>
      <c r="BB257" s="442" t="e">
        <f ca="1">(VLOOKUP(A257,TradesEquity!$1:$1048576,31,FALSE))</f>
        <v>#NAME?</v>
      </c>
      <c r="BC257" s="442" t="e">
        <f ca="1">(VLOOKUP(A257,TradesEquity!$1:$1048576,32,FALSE))</f>
        <v>#NAME?</v>
      </c>
      <c r="BI257" s="442" t="e">
        <f ca="1">(VLOOKUP(A257,TradesEquity!$1:$1048576,38,FALSE))</f>
        <v>#NAME?</v>
      </c>
      <c r="BJ257" s="442" t="e">
        <f ca="1">(VLOOKUP(A257,TradesEquity!$1:$1048576,39,FALSE))</f>
        <v>#NAME?</v>
      </c>
      <c r="BK257" s="442" t="e">
        <f ca="1">(VLOOKUP(A257,TradesEquity!$1:$1048576,40,FALSE))</f>
        <v>#NAME?</v>
      </c>
    </row>
    <row r="258" spans="1:63">
      <c r="A258" s="61">
        <v>2019200550</v>
      </c>
      <c r="D258" s="432" t="s">
        <v>2027</v>
      </c>
      <c r="F258" s="433">
        <f>VLOOKUP(A258,TradesEquity!$1:$1048576,2,FALSE)</f>
        <v>44532</v>
      </c>
      <c r="H258" s="433">
        <f>VLOOKUP(A258,TradesEquity!$1:$1048576,21,FALSE)</f>
        <v>44536</v>
      </c>
      <c r="I258" s="434" t="str">
        <f>IF(VLOOKUP(A258,TradesEquity!$1:$1048576,3,FALSE)="BUY","B","S")</f>
        <v>B</v>
      </c>
      <c r="J258" s="434" t="e">
        <f ca="1">VLOOKUP(A258,TradesEquity!$1:$1048576,5,FALSE)</f>
        <v>#NAME?</v>
      </c>
      <c r="K258" s="432" t="s">
        <v>19</v>
      </c>
      <c r="L258" s="435" t="s">
        <v>2028</v>
      </c>
      <c r="AE258" s="436" t="e">
        <f ca="1">VLOOKUP(A258,TradesEquity!$1:$1048576,10,FALSE)</f>
        <v>#NAME?</v>
      </c>
      <c r="AF258" s="436" t="e">
        <f t="shared" ca="1" si="12"/>
        <v>#NAME?</v>
      </c>
      <c r="AG258" s="436" t="e">
        <f t="shared" ca="1" si="12"/>
        <v>#NAME?</v>
      </c>
      <c r="AH258" s="436" t="e">
        <f t="shared" ca="1" si="12"/>
        <v>#NAME?</v>
      </c>
      <c r="AI258" s="436">
        <f>ABS(VLOOKUP(A258,TradesEquity!$1:$1048576,13,FALSE))</f>
        <v>4200</v>
      </c>
      <c r="AJ258" s="437">
        <v>0</v>
      </c>
      <c r="AK258" s="437">
        <v>1</v>
      </c>
      <c r="AL258" s="436">
        <f>VLOOKUP(A258,TradesEquity!$1:$1048576,11,FALSE)</f>
        <v>2409.890476</v>
      </c>
      <c r="AM258" s="437">
        <v>1</v>
      </c>
      <c r="AN258" s="436">
        <f>ABS(VLOOKUP(A258,TradesEquity!$1:$1048576,14,FALSE))</f>
        <v>10121539.999199999</v>
      </c>
      <c r="AO258" s="436">
        <f>ABS(VLOOKUP(A258,TradesEquity!$1:$1048576,15,FALSE))</f>
        <v>6073</v>
      </c>
      <c r="AP258" s="438">
        <f>ABS(VLOOKUP(A258,TradesEquity!$1:$1048576,16,FALSE))</f>
        <v>0</v>
      </c>
      <c r="AQ258" s="367">
        <v>0</v>
      </c>
      <c r="AR258" s="367">
        <v>0</v>
      </c>
      <c r="AS258" s="367">
        <v>0</v>
      </c>
      <c r="AT258" s="367">
        <v>0</v>
      </c>
      <c r="AU258" s="367">
        <v>0</v>
      </c>
      <c r="AV258" s="438">
        <f>ABS(VLOOKUP(A258,TradesEquity!$1:$1048576,18,FALSE))</f>
        <v>10127612.999199999</v>
      </c>
      <c r="AW258" s="439">
        <v>0</v>
      </c>
      <c r="AX258" s="440">
        <v>4542</v>
      </c>
      <c r="AY258" s="441" t="s">
        <v>2029</v>
      </c>
      <c r="AZ258" s="442" t="e">
        <f ca="1">(VLOOKUP(A258,TradesEquity!$1:$1048576,29,FALSE))</f>
        <v>#NAME?</v>
      </c>
      <c r="BA258" s="442" t="e">
        <f ca="1">(VLOOKUP(A258,TradesEquity!$1:$1048576,30,FALSE))</f>
        <v>#NAME?</v>
      </c>
      <c r="BB258" s="442" t="e">
        <f ca="1">(VLOOKUP(A258,TradesEquity!$1:$1048576,31,FALSE))</f>
        <v>#NAME?</v>
      </c>
      <c r="BC258" s="442" t="e">
        <f ca="1">(VLOOKUP(A258,TradesEquity!$1:$1048576,32,FALSE))</f>
        <v>#NAME?</v>
      </c>
      <c r="BI258" s="442" t="e">
        <f ca="1">(VLOOKUP(A258,TradesEquity!$1:$1048576,38,FALSE))</f>
        <v>#NAME?</v>
      </c>
      <c r="BJ258" s="442" t="e">
        <f ca="1">(VLOOKUP(A258,TradesEquity!$1:$1048576,39,FALSE))</f>
        <v>#NAME?</v>
      </c>
      <c r="BK258" s="442" t="e">
        <f ca="1">(VLOOKUP(A258,TradesEquity!$1:$1048576,40,FALSE))</f>
        <v>#NAME?</v>
      </c>
    </row>
    <row r="259" spans="1:63">
      <c r="A259" s="61">
        <v>2019200551</v>
      </c>
      <c r="D259" s="432" t="s">
        <v>2027</v>
      </c>
      <c r="F259" s="433">
        <f>VLOOKUP(A259,TradesEquity!$1:$1048576,2,FALSE)</f>
        <v>44532</v>
      </c>
      <c r="H259" s="433">
        <f>VLOOKUP(A259,TradesEquity!$1:$1048576,21,FALSE)</f>
        <v>44536</v>
      </c>
      <c r="I259" s="434" t="str">
        <f>IF(VLOOKUP(A259,TradesEquity!$1:$1048576,3,FALSE)="BUY","B","S")</f>
        <v>B</v>
      </c>
      <c r="J259" s="434" t="e">
        <f ca="1">VLOOKUP(A259,TradesEquity!$1:$1048576,5,FALSE)</f>
        <v>#NAME?</v>
      </c>
      <c r="K259" s="432" t="s">
        <v>19</v>
      </c>
      <c r="L259" s="435" t="s">
        <v>2028</v>
      </c>
      <c r="AE259" s="436" t="e">
        <f ca="1">VLOOKUP(A259,TradesEquity!$1:$1048576,10,FALSE)</f>
        <v>#NAME?</v>
      </c>
      <c r="AF259" s="436" t="e">
        <f t="shared" ca="1" si="12"/>
        <v>#NAME?</v>
      </c>
      <c r="AG259" s="436" t="e">
        <f t="shared" ca="1" si="12"/>
        <v>#NAME?</v>
      </c>
      <c r="AH259" s="436" t="e">
        <f t="shared" ca="1" si="12"/>
        <v>#NAME?</v>
      </c>
      <c r="AI259" s="436">
        <f>ABS(VLOOKUP(A259,TradesEquity!$1:$1048576,13,FALSE))</f>
        <v>6700</v>
      </c>
      <c r="AJ259" s="437">
        <v>0</v>
      </c>
      <c r="AK259" s="437">
        <v>1</v>
      </c>
      <c r="AL259" s="436">
        <f>VLOOKUP(A259,TradesEquity!$1:$1048576,11,FALSE)</f>
        <v>2140.5985070000002</v>
      </c>
      <c r="AM259" s="437">
        <v>1</v>
      </c>
      <c r="AN259" s="436">
        <f>ABS(VLOOKUP(A259,TradesEquity!$1:$1048576,14,FALSE))</f>
        <v>14342009.996900002</v>
      </c>
      <c r="AO259" s="436">
        <f>ABS(VLOOKUP(A259,TradesEquity!$1:$1048576,15,FALSE))</f>
        <v>8605</v>
      </c>
      <c r="AP259" s="438">
        <f>ABS(VLOOKUP(A259,TradesEquity!$1:$1048576,16,FALSE))</f>
        <v>0</v>
      </c>
      <c r="AQ259" s="367">
        <v>0</v>
      </c>
      <c r="AR259" s="367">
        <v>0</v>
      </c>
      <c r="AS259" s="367">
        <v>0</v>
      </c>
      <c r="AT259" s="367">
        <v>0</v>
      </c>
      <c r="AU259" s="367">
        <v>0</v>
      </c>
      <c r="AV259" s="438">
        <f>ABS(VLOOKUP(A259,TradesEquity!$1:$1048576,18,FALSE))</f>
        <v>14350614.996900002</v>
      </c>
      <c r="AW259" s="439">
        <v>0</v>
      </c>
      <c r="AX259" s="440">
        <v>4542</v>
      </c>
      <c r="AY259" s="441" t="s">
        <v>2029</v>
      </c>
      <c r="AZ259" s="442" t="e">
        <f ca="1">(VLOOKUP(A259,TradesEquity!$1:$1048576,29,FALSE))</f>
        <v>#NAME?</v>
      </c>
      <c r="BA259" s="442" t="e">
        <f ca="1">(VLOOKUP(A259,TradesEquity!$1:$1048576,30,FALSE))</f>
        <v>#NAME?</v>
      </c>
      <c r="BB259" s="442" t="e">
        <f ca="1">(VLOOKUP(A259,TradesEquity!$1:$1048576,31,FALSE))</f>
        <v>#NAME?</v>
      </c>
      <c r="BC259" s="442" t="e">
        <f ca="1">(VLOOKUP(A259,TradesEquity!$1:$1048576,32,FALSE))</f>
        <v>#NAME?</v>
      </c>
      <c r="BI259" s="442" t="e">
        <f ca="1">(VLOOKUP(A259,TradesEquity!$1:$1048576,38,FALSE))</f>
        <v>#NAME?</v>
      </c>
      <c r="BJ259" s="442" t="e">
        <f ca="1">(VLOOKUP(A259,TradesEquity!$1:$1048576,39,FALSE))</f>
        <v>#NAME?</v>
      </c>
      <c r="BK259" s="442" t="e">
        <f ca="1">(VLOOKUP(A259,TradesEquity!$1:$1048576,40,FALSE))</f>
        <v>#NAME?</v>
      </c>
    </row>
    <row r="260" spans="1:63">
      <c r="A260" s="61">
        <v>2019200552</v>
      </c>
      <c r="D260" s="432" t="s">
        <v>2027</v>
      </c>
      <c r="F260" s="433">
        <f>VLOOKUP(A260,TradesEquity!$1:$1048576,2,FALSE)</f>
        <v>44532</v>
      </c>
      <c r="H260" s="433">
        <f>VLOOKUP(A260,TradesEquity!$1:$1048576,21,FALSE)</f>
        <v>44536</v>
      </c>
      <c r="I260" s="434" t="str">
        <f>IF(VLOOKUP(A260,TradesEquity!$1:$1048576,3,FALSE)="BUY","B","S")</f>
        <v>S</v>
      </c>
      <c r="J260" s="434" t="e">
        <f ca="1">VLOOKUP(A260,TradesEquity!$1:$1048576,5,FALSE)</f>
        <v>#NAME?</v>
      </c>
      <c r="K260" s="432" t="s">
        <v>19</v>
      </c>
      <c r="L260" s="435" t="s">
        <v>2028</v>
      </c>
      <c r="AE260" s="436" t="e">
        <f ca="1">VLOOKUP(A260,TradesEquity!$1:$1048576,10,FALSE)</f>
        <v>#NAME?</v>
      </c>
      <c r="AF260" s="436" t="e">
        <f t="shared" ca="1" si="12"/>
        <v>#NAME?</v>
      </c>
      <c r="AG260" s="436" t="e">
        <f t="shared" ca="1" si="12"/>
        <v>#NAME?</v>
      </c>
      <c r="AH260" s="436" t="e">
        <f t="shared" ca="1" si="12"/>
        <v>#NAME?</v>
      </c>
      <c r="AI260" s="436">
        <f>ABS(VLOOKUP(A260,TradesEquity!$1:$1048576,13,FALSE))</f>
        <v>17000</v>
      </c>
      <c r="AJ260" s="437">
        <v>0</v>
      </c>
      <c r="AK260" s="437">
        <v>1</v>
      </c>
      <c r="AL260" s="436">
        <f>VLOOKUP(A260,TradesEquity!$1:$1048576,11,FALSE)</f>
        <v>3.4929999999999999</v>
      </c>
      <c r="AM260" s="437">
        <v>1</v>
      </c>
      <c r="AN260" s="436">
        <f>ABS(VLOOKUP(A260,TradesEquity!$1:$1048576,14,FALSE))</f>
        <v>59381</v>
      </c>
      <c r="AO260" s="436">
        <f>ABS(VLOOKUP(A260,TradesEquity!$1:$1048576,15,FALSE))</f>
        <v>35.630000000000003</v>
      </c>
      <c r="AP260" s="438">
        <f>ABS(VLOOKUP(A260,TradesEquity!$1:$1048576,16,FALSE))</f>
        <v>0</v>
      </c>
      <c r="AQ260" s="367">
        <v>0</v>
      </c>
      <c r="AR260" s="367">
        <v>0</v>
      </c>
      <c r="AS260" s="367">
        <v>0</v>
      </c>
      <c r="AT260" s="367">
        <v>0</v>
      </c>
      <c r="AU260" s="367">
        <v>0</v>
      </c>
      <c r="AV260" s="438">
        <f>ABS(VLOOKUP(A260,TradesEquity!$1:$1048576,18,FALSE))</f>
        <v>59345.37</v>
      </c>
      <c r="AW260" s="439">
        <v>0</v>
      </c>
      <c r="AX260" s="440">
        <v>4542</v>
      </c>
      <c r="AY260" s="441" t="s">
        <v>2029</v>
      </c>
      <c r="AZ260" s="442" t="str">
        <f>(VLOOKUP(A260,TradesEquity!$1:$1048576,29,FALSE))</f>
        <v>BCITITMMXXX</v>
      </c>
      <c r="BA260" s="442" t="str">
        <f>(VLOOKUP(A260,TradesEquity!$1:$1048576,30,FALSE))</f>
        <v>CRSTGB22XXX</v>
      </c>
      <c r="BB260" s="442">
        <f>(VLOOKUP(A260,TradesEquity!$1:$1048576,31,FALSE))</f>
        <v>862872</v>
      </c>
      <c r="BC260" s="442" t="str">
        <f>(VLOOKUP(A260,TradesEquity!$1:$1048576,32,FALSE))</f>
        <v>N</v>
      </c>
      <c r="BI260" s="442" t="str">
        <f>(VLOOKUP(A260,TradesEquity!$1:$1048576,38,FALSE))</f>
        <v>CRST</v>
      </c>
      <c r="BJ260" s="442" t="str">
        <f>(VLOOKUP(A260,TradesEquity!$1:$1048576,39,FALSE))</f>
        <v>BH01</v>
      </c>
      <c r="BK260" s="442" t="str">
        <f>(VLOOKUP(A260,TradesEquity!$1:$1048576,40,FALSE))</f>
        <v xml:space="preserve">        </v>
      </c>
    </row>
    <row r="261" spans="1:63">
      <c r="A261" s="1026">
        <f t="shared" ref="A261:A262" si="13">(A260+1)</f>
        <v>2019200553</v>
      </c>
      <c r="D261" s="432" t="s">
        <v>2027</v>
      </c>
      <c r="F261" s="433">
        <f>VLOOKUP(A261,TradesEquity!$1:$1048576,2,FALSE)</f>
        <v>44533</v>
      </c>
      <c r="H261" s="433">
        <f>VLOOKUP(A261,TradesEquity!$1:$1048576,21,FALSE)</f>
        <v>44537</v>
      </c>
      <c r="I261" s="434" t="str">
        <f>IF(VLOOKUP(A261,TradesEquity!$1:$1048576,3,FALSE)="BUY","B","S")</f>
        <v>B</v>
      </c>
      <c r="J261" s="434" t="e">
        <f ca="1">VLOOKUP(A261,TradesEquity!$1:$1048576,5,FALSE)</f>
        <v>#NAME?</v>
      </c>
      <c r="K261" s="432" t="s">
        <v>19</v>
      </c>
      <c r="L261" s="435" t="s">
        <v>2028</v>
      </c>
      <c r="AE261" s="436" t="e">
        <f ca="1">VLOOKUP(A261,TradesEquity!$1:$1048576,10,FALSE)</f>
        <v>#NAME?</v>
      </c>
      <c r="AF261" s="436" t="e">
        <f t="shared" ca="1" si="12"/>
        <v>#NAME?</v>
      </c>
      <c r="AG261" s="436" t="e">
        <f t="shared" ca="1" si="12"/>
        <v>#NAME?</v>
      </c>
      <c r="AH261" s="436" t="e">
        <f t="shared" ca="1" si="12"/>
        <v>#NAME?</v>
      </c>
      <c r="AI261" s="436">
        <f>ABS(VLOOKUP(A261,TradesEquity!$1:$1048576,13,FALSE))</f>
        <v>11000</v>
      </c>
      <c r="AJ261" s="437">
        <v>0</v>
      </c>
      <c r="AK261" s="437">
        <v>1</v>
      </c>
      <c r="AL261" s="436">
        <f>VLOOKUP(A261,TradesEquity!$1:$1048576,11,FALSE)</f>
        <v>1103.0095449999999</v>
      </c>
      <c r="AM261" s="437">
        <v>1</v>
      </c>
      <c r="AN261" s="436">
        <f>ABS(VLOOKUP(A261,TradesEquity!$1:$1048576,14,FALSE))</f>
        <v>12133104.994999999</v>
      </c>
      <c r="AO261" s="436">
        <f>ABS(VLOOKUP(A261,TradesEquity!$1:$1048576,15,FALSE))</f>
        <v>7280</v>
      </c>
      <c r="AP261" s="438">
        <f>ABS(VLOOKUP(A261,TradesEquity!$1:$1048576,16,FALSE))</f>
        <v>0</v>
      </c>
      <c r="AQ261" s="367">
        <v>0</v>
      </c>
      <c r="AR261" s="367">
        <v>0</v>
      </c>
      <c r="AS261" s="367">
        <v>0</v>
      </c>
      <c r="AT261" s="367">
        <v>0</v>
      </c>
      <c r="AU261" s="367">
        <v>0</v>
      </c>
      <c r="AV261" s="438">
        <f>ABS(VLOOKUP(A261,TradesEquity!$1:$1048576,18,FALSE))</f>
        <v>12140384.994999999</v>
      </c>
      <c r="AW261" s="439">
        <v>0</v>
      </c>
      <c r="AX261" s="440">
        <v>4542</v>
      </c>
      <c r="AY261" s="441" t="s">
        <v>2029</v>
      </c>
      <c r="AZ261" s="442" t="e">
        <f ca="1">(VLOOKUP(A261,TradesEquity!$1:$1048576,29,FALSE))</f>
        <v>#NAME?</v>
      </c>
      <c r="BA261" s="442" t="e">
        <f ca="1">(VLOOKUP(A261,TradesEquity!$1:$1048576,30,FALSE))</f>
        <v>#NAME?</v>
      </c>
      <c r="BB261" s="442" t="e">
        <f ca="1">(VLOOKUP(A261,TradesEquity!$1:$1048576,31,FALSE))</f>
        <v>#NAME?</v>
      </c>
      <c r="BC261" s="442" t="e">
        <f ca="1">(VLOOKUP(A261,TradesEquity!$1:$1048576,32,FALSE))</f>
        <v>#NAME?</v>
      </c>
      <c r="BI261" s="442" t="e">
        <f ca="1">(VLOOKUP(A261,TradesEquity!$1:$1048576,38,FALSE))</f>
        <v>#NAME?</v>
      </c>
      <c r="BJ261" s="442" t="e">
        <f ca="1">(VLOOKUP(A261,TradesEquity!$1:$1048576,39,FALSE))</f>
        <v>#NAME?</v>
      </c>
      <c r="BK261" s="442" t="e">
        <f ca="1">(VLOOKUP(A261,TradesEquity!$1:$1048576,40,FALSE))</f>
        <v>#NAME?</v>
      </c>
    </row>
    <row r="262" spans="1:63">
      <c r="A262" s="1026">
        <f t="shared" si="13"/>
        <v>2019200554</v>
      </c>
      <c r="D262" s="432" t="s">
        <v>2027</v>
      </c>
      <c r="F262" s="433">
        <f>VLOOKUP(A262,TradesEquity!$1:$1048576,2,FALSE)</f>
        <v>44533</v>
      </c>
      <c r="H262" s="433">
        <f>VLOOKUP(A262,TradesEquity!$1:$1048576,21,FALSE)</f>
        <v>44537</v>
      </c>
      <c r="I262" s="434" t="str">
        <f>IF(VLOOKUP(A262,TradesEquity!$1:$1048576,3,FALSE)="BUY","B","S")</f>
        <v>S</v>
      </c>
      <c r="J262" s="434" t="e">
        <f ca="1">VLOOKUP(A262,TradesEquity!$1:$1048576,5,FALSE)</f>
        <v>#NAME?</v>
      </c>
      <c r="K262" s="432" t="s">
        <v>19</v>
      </c>
      <c r="L262" s="435" t="s">
        <v>2028</v>
      </c>
      <c r="AE262" s="436" t="e">
        <f ca="1">VLOOKUP(A262,TradesEquity!$1:$1048576,10,FALSE)</f>
        <v>#NAME?</v>
      </c>
      <c r="AF262" s="436" t="e">
        <f t="shared" ca="1" si="12"/>
        <v>#NAME?</v>
      </c>
      <c r="AG262" s="436" t="e">
        <f t="shared" ca="1" si="12"/>
        <v>#NAME?</v>
      </c>
      <c r="AH262" s="436" t="e">
        <f t="shared" ca="1" si="12"/>
        <v>#NAME?</v>
      </c>
      <c r="AI262" s="436">
        <f>ABS(VLOOKUP(A262,TradesEquity!$1:$1048576,13,FALSE))</f>
        <v>4100</v>
      </c>
      <c r="AJ262" s="437">
        <v>0</v>
      </c>
      <c r="AK262" s="437">
        <v>1</v>
      </c>
      <c r="AL262" s="436">
        <f>VLOOKUP(A262,TradesEquity!$1:$1048576,11,FALSE)</f>
        <v>4704</v>
      </c>
      <c r="AM262" s="437">
        <v>1</v>
      </c>
      <c r="AN262" s="436">
        <f>ABS(VLOOKUP(A262,TradesEquity!$1:$1048576,14,FALSE))</f>
        <v>19286400</v>
      </c>
      <c r="AO262" s="436">
        <f>ABS(VLOOKUP(A262,TradesEquity!$1:$1048576,15,FALSE))</f>
        <v>11572</v>
      </c>
      <c r="AP262" s="438">
        <f>ABS(VLOOKUP(A262,TradesEquity!$1:$1048576,16,FALSE))</f>
        <v>0</v>
      </c>
      <c r="AQ262" s="367">
        <v>0</v>
      </c>
      <c r="AR262" s="367">
        <v>0</v>
      </c>
      <c r="AS262" s="367">
        <v>0</v>
      </c>
      <c r="AT262" s="367">
        <v>0</v>
      </c>
      <c r="AU262" s="367">
        <v>0</v>
      </c>
      <c r="AV262" s="438">
        <f>ABS(VLOOKUP(A262,TradesEquity!$1:$1048576,18,FALSE))</f>
        <v>19274828</v>
      </c>
      <c r="AW262" s="439">
        <v>0</v>
      </c>
      <c r="AX262" s="440">
        <v>4542</v>
      </c>
      <c r="AY262" s="441" t="s">
        <v>2029</v>
      </c>
      <c r="AZ262" s="442" t="e">
        <f ca="1">(VLOOKUP(A262,TradesEquity!$1:$1048576,29,FALSE))</f>
        <v>#NAME?</v>
      </c>
      <c r="BA262" s="442" t="e">
        <f ca="1">(VLOOKUP(A262,TradesEquity!$1:$1048576,30,FALSE))</f>
        <v>#NAME?</v>
      </c>
      <c r="BB262" s="442" t="e">
        <f ca="1">(VLOOKUP(A262,TradesEquity!$1:$1048576,31,FALSE))</f>
        <v>#NAME?</v>
      </c>
      <c r="BC262" s="442" t="e">
        <f ca="1">(VLOOKUP(A262,TradesEquity!$1:$1048576,32,FALSE))</f>
        <v>#NAME?</v>
      </c>
      <c r="BI262" s="442" t="e">
        <f ca="1">(VLOOKUP(A262,TradesEquity!$1:$1048576,38,FALSE))</f>
        <v>#NAME?</v>
      </c>
      <c r="BJ262" s="442" t="e">
        <f ca="1">(VLOOKUP(A262,TradesEquity!$1:$1048576,39,FALSE))</f>
        <v>#NAME?</v>
      </c>
      <c r="BK262" s="442" t="e">
        <f ca="1">(VLOOKUP(A262,TradesEquity!$1:$1048576,40,FALSE))</f>
        <v>#NAME?</v>
      </c>
    </row>
    <row r="263" spans="1:63">
      <c r="A263" s="1026">
        <v>2019200555</v>
      </c>
      <c r="D263" s="432" t="s">
        <v>2027</v>
      </c>
      <c r="F263" s="433">
        <f>VLOOKUP(A263,TradesEquity!$1:$1048576,2,FALSE)</f>
        <v>44533</v>
      </c>
      <c r="H263" s="433">
        <f>VLOOKUP(A263,TradesEquity!$1:$1048576,21,FALSE)</f>
        <v>44537</v>
      </c>
      <c r="I263" s="434" t="str">
        <f>IF(VLOOKUP(A263,TradesEquity!$1:$1048576,3,FALSE)="BUY","B","S")</f>
        <v>B</v>
      </c>
      <c r="J263" s="434" t="e">
        <f ca="1">VLOOKUP(A263,TradesEquity!$1:$1048576,5,FALSE)</f>
        <v>#NAME?</v>
      </c>
      <c r="K263" s="432" t="s">
        <v>19</v>
      </c>
      <c r="L263" s="435" t="s">
        <v>2028</v>
      </c>
      <c r="AE263" s="436" t="e">
        <f ca="1">VLOOKUP(A263,TradesEquity!$1:$1048576,10,FALSE)</f>
        <v>#NAME?</v>
      </c>
      <c r="AF263" s="436" t="e">
        <f t="shared" ca="1" si="12"/>
        <v>#NAME?</v>
      </c>
      <c r="AG263" s="436" t="e">
        <f t="shared" ca="1" si="12"/>
        <v>#NAME?</v>
      </c>
      <c r="AH263" s="436" t="e">
        <f t="shared" ca="1" si="12"/>
        <v>#NAME?</v>
      </c>
      <c r="AI263" s="436">
        <f>ABS(VLOOKUP(A263,TradesEquity!$1:$1048576,13,FALSE))</f>
        <v>4100</v>
      </c>
      <c r="AJ263" s="437">
        <v>0</v>
      </c>
      <c r="AK263" s="437">
        <v>1</v>
      </c>
      <c r="AL263" s="436">
        <f>VLOOKUP(A263,TradesEquity!$1:$1048576,11,FALSE)</f>
        <v>36305.804878000003</v>
      </c>
      <c r="AM263" s="437">
        <v>1</v>
      </c>
      <c r="AN263" s="436">
        <f>ABS(VLOOKUP(A263,TradesEquity!$1:$1048576,14,FALSE))</f>
        <v>148853799.9998</v>
      </c>
      <c r="AO263" s="436">
        <f>ABS(VLOOKUP(A263,TradesEquity!$1:$1048576,15,FALSE))</f>
        <v>223281</v>
      </c>
      <c r="AP263" s="438">
        <f>ABS(VLOOKUP(A263,TradesEquity!$1:$1048576,16,FALSE))</f>
        <v>0</v>
      </c>
      <c r="AQ263" s="367">
        <v>0</v>
      </c>
      <c r="AR263" s="367">
        <v>0</v>
      </c>
      <c r="AS263" s="367">
        <v>0</v>
      </c>
      <c r="AT263" s="367">
        <v>0</v>
      </c>
      <c r="AU263" s="367">
        <v>0</v>
      </c>
      <c r="AV263" s="438">
        <f>ABS(VLOOKUP(A263,TradesEquity!$1:$1048576,18,FALSE))</f>
        <v>149077080.9998</v>
      </c>
      <c r="AW263" s="439">
        <v>0</v>
      </c>
      <c r="AX263" s="440">
        <v>4542</v>
      </c>
      <c r="AY263" s="441" t="s">
        <v>2029</v>
      </c>
      <c r="AZ263" s="442" t="e">
        <f ca="1">(VLOOKUP(A263,TradesEquity!$1:$1048576,29,FALSE))</f>
        <v>#NAME?</v>
      </c>
      <c r="BA263" s="442" t="e">
        <f ca="1">(VLOOKUP(A263,TradesEquity!$1:$1048576,30,FALSE))</f>
        <v>#NAME?</v>
      </c>
      <c r="BB263" s="442" t="e">
        <f ca="1">(VLOOKUP(A263,TradesEquity!$1:$1048576,31,FALSE))</f>
        <v>#NAME?</v>
      </c>
      <c r="BC263" s="442" t="e">
        <f ca="1">(VLOOKUP(A263,TradesEquity!$1:$1048576,32,FALSE))</f>
        <v>#NAME?</v>
      </c>
      <c r="BI263" s="442" t="e">
        <f ca="1">(VLOOKUP(A263,TradesEquity!$1:$1048576,38,FALSE))</f>
        <v>#NAME?</v>
      </c>
      <c r="BJ263" s="442" t="e">
        <f ca="1">(VLOOKUP(A263,TradesEquity!$1:$1048576,39,FALSE))</f>
        <v>#NAME?</v>
      </c>
      <c r="BK263" s="442" t="e">
        <f ca="1">(VLOOKUP(A263,TradesEquity!$1:$1048576,40,FALSE))</f>
        <v>#NAME?</v>
      </c>
    </row>
    <row r="264" spans="1:63">
      <c r="A264" s="1026">
        <v>2019200556</v>
      </c>
      <c r="D264" s="432" t="s">
        <v>2027</v>
      </c>
      <c r="F264" s="433">
        <f>VLOOKUP(A264,TradesEquity!$1:$1048576,2,FALSE)</f>
        <v>44533</v>
      </c>
      <c r="H264" s="433">
        <f>VLOOKUP(A264,TradesEquity!$1:$1048576,21,FALSE)</f>
        <v>44537</v>
      </c>
      <c r="I264" s="434" t="str">
        <f>IF(VLOOKUP(A264,TradesEquity!$1:$1048576,3,FALSE)="BUY","B","S")</f>
        <v>B</v>
      </c>
      <c r="J264" s="434" t="e">
        <f ca="1">VLOOKUP(A264,TradesEquity!$1:$1048576,5,FALSE)</f>
        <v>#NAME?</v>
      </c>
      <c r="K264" s="432" t="s">
        <v>19</v>
      </c>
      <c r="L264" s="435" t="s">
        <v>2028</v>
      </c>
      <c r="AE264" s="436" t="e">
        <f ca="1">VLOOKUP(A264,TradesEquity!$1:$1048576,10,FALSE)</f>
        <v>#NAME?</v>
      </c>
      <c r="AF264" s="436" t="e">
        <f t="shared" ca="1" si="12"/>
        <v>#NAME?</v>
      </c>
      <c r="AG264" s="436" t="e">
        <f t="shared" ca="1" si="12"/>
        <v>#NAME?</v>
      </c>
      <c r="AH264" s="436" t="e">
        <f t="shared" ca="1" si="12"/>
        <v>#NAME?</v>
      </c>
      <c r="AI264" s="436">
        <f>ABS(VLOOKUP(A264,TradesEquity!$1:$1048576,13,FALSE))</f>
        <v>330</v>
      </c>
      <c r="AJ264" s="437">
        <v>0</v>
      </c>
      <c r="AK264" s="437">
        <v>1</v>
      </c>
      <c r="AL264" s="436">
        <f>VLOOKUP(A264,TradesEquity!$1:$1048576,11,FALSE)</f>
        <v>337892.42424199998</v>
      </c>
      <c r="AM264" s="437">
        <v>1</v>
      </c>
      <c r="AN264" s="436">
        <f>ABS(VLOOKUP(A264,TradesEquity!$1:$1048576,14,FALSE))</f>
        <v>111504499.99985999</v>
      </c>
      <c r="AO264" s="436">
        <f>ABS(VLOOKUP(A264,TradesEquity!$1:$1048576,15,FALSE))</f>
        <v>167257</v>
      </c>
      <c r="AP264" s="438">
        <f>ABS(VLOOKUP(A264,TradesEquity!$1:$1048576,16,FALSE))</f>
        <v>0</v>
      </c>
      <c r="AQ264" s="367">
        <v>0</v>
      </c>
      <c r="AR264" s="367">
        <v>0</v>
      </c>
      <c r="AS264" s="367">
        <v>0</v>
      </c>
      <c r="AT264" s="367">
        <v>0</v>
      </c>
      <c r="AU264" s="367">
        <v>0</v>
      </c>
      <c r="AV264" s="438">
        <f>ABS(VLOOKUP(A264,TradesEquity!$1:$1048576,18,FALSE))</f>
        <v>111671756.99985999</v>
      </c>
      <c r="AW264" s="439">
        <v>0</v>
      </c>
      <c r="AX264" s="440">
        <v>4542</v>
      </c>
      <c r="AY264" s="441" t="s">
        <v>2029</v>
      </c>
      <c r="AZ264" s="442" t="e">
        <f ca="1">(VLOOKUP(A264,TradesEquity!$1:$1048576,29,FALSE))</f>
        <v>#NAME?</v>
      </c>
      <c r="BA264" s="442" t="e">
        <f ca="1">(VLOOKUP(A264,TradesEquity!$1:$1048576,30,FALSE))</f>
        <v>#NAME?</v>
      </c>
      <c r="BB264" s="442" t="e">
        <f ca="1">(VLOOKUP(A264,TradesEquity!$1:$1048576,31,FALSE))</f>
        <v>#NAME?</v>
      </c>
      <c r="BC264" s="442" t="e">
        <f ca="1">(VLOOKUP(A264,TradesEquity!$1:$1048576,32,FALSE))</f>
        <v>#NAME?</v>
      </c>
      <c r="BI264" s="442" t="e">
        <f ca="1">(VLOOKUP(A264,TradesEquity!$1:$1048576,38,FALSE))</f>
        <v>#NAME?</v>
      </c>
      <c r="BJ264" s="442" t="e">
        <f ca="1">(VLOOKUP(A264,TradesEquity!$1:$1048576,39,FALSE))</f>
        <v>#NAME?</v>
      </c>
      <c r="BK264" s="442" t="e">
        <f ca="1">(VLOOKUP(A264,TradesEquity!$1:$1048576,40,FALSE))</f>
        <v>#NAME?</v>
      </c>
    </row>
    <row r="265" spans="1:63">
      <c r="A265" s="1026">
        <v>2019200557</v>
      </c>
      <c r="D265" s="432" t="s">
        <v>2027</v>
      </c>
      <c r="F265" s="433">
        <f>VLOOKUP(A265,TradesEquity!$1:$1048576,2,FALSE)</f>
        <v>44533</v>
      </c>
      <c r="H265" s="433">
        <f>VLOOKUP(A265,TradesEquity!$1:$1048576,21,FALSE)</f>
        <v>44537</v>
      </c>
      <c r="I265" s="434" t="str">
        <f>IF(VLOOKUP(A265,TradesEquity!$1:$1048576,3,FALSE)="BUY","B","S")</f>
        <v>B</v>
      </c>
      <c r="J265" s="434" t="e">
        <f ca="1">VLOOKUP(A265,TradesEquity!$1:$1048576,5,FALSE)</f>
        <v>#NAME?</v>
      </c>
      <c r="K265" s="432" t="s">
        <v>19</v>
      </c>
      <c r="L265" s="435" t="s">
        <v>2028</v>
      </c>
      <c r="AE265" s="436" t="e">
        <f ca="1">VLOOKUP(A265,TradesEquity!$1:$1048576,10,FALSE)</f>
        <v>#NAME?</v>
      </c>
      <c r="AF265" s="436" t="e">
        <f t="shared" ca="1" si="12"/>
        <v>#NAME?</v>
      </c>
      <c r="AG265" s="436" t="e">
        <f t="shared" ca="1" si="12"/>
        <v>#NAME?</v>
      </c>
      <c r="AH265" s="436" t="e">
        <f t="shared" ca="1" si="12"/>
        <v>#NAME?</v>
      </c>
      <c r="AI265" s="436">
        <f>ABS(VLOOKUP(A265,TradesEquity!$1:$1048576,13,FALSE))</f>
        <v>390</v>
      </c>
      <c r="AJ265" s="437">
        <v>0</v>
      </c>
      <c r="AK265" s="437">
        <v>1</v>
      </c>
      <c r="AL265" s="436">
        <f>VLOOKUP(A265,TradesEquity!$1:$1048576,11,FALSE)</f>
        <v>123593.589744</v>
      </c>
      <c r="AM265" s="437">
        <v>1</v>
      </c>
      <c r="AN265" s="436">
        <f>ABS(VLOOKUP(A265,TradesEquity!$1:$1048576,14,FALSE))</f>
        <v>48201500.000160001</v>
      </c>
      <c r="AO265" s="436">
        <f>ABS(VLOOKUP(A265,TradesEquity!$1:$1048576,15,FALSE))</f>
        <v>72302</v>
      </c>
      <c r="AP265" s="438">
        <f>ABS(VLOOKUP(A265,TradesEquity!$1:$1048576,16,FALSE))</f>
        <v>0</v>
      </c>
      <c r="AQ265" s="367">
        <v>0</v>
      </c>
      <c r="AR265" s="367">
        <v>0</v>
      </c>
      <c r="AS265" s="367">
        <v>0</v>
      </c>
      <c r="AT265" s="367">
        <v>0</v>
      </c>
      <c r="AU265" s="367">
        <v>0</v>
      </c>
      <c r="AV265" s="438">
        <f>ABS(VLOOKUP(A265,TradesEquity!$1:$1048576,18,FALSE))</f>
        <v>48273802.000160001</v>
      </c>
      <c r="AW265" s="439">
        <v>0</v>
      </c>
      <c r="AX265" s="440">
        <v>4542</v>
      </c>
      <c r="AY265" s="441" t="s">
        <v>2029</v>
      </c>
      <c r="AZ265" s="442" t="e">
        <f ca="1">(VLOOKUP(A265,TradesEquity!$1:$1048576,29,FALSE))</f>
        <v>#NAME?</v>
      </c>
      <c r="BA265" s="442" t="e">
        <f ca="1">(VLOOKUP(A265,TradesEquity!$1:$1048576,30,FALSE))</f>
        <v>#NAME?</v>
      </c>
      <c r="BB265" s="442" t="e">
        <f ca="1">(VLOOKUP(A265,TradesEquity!$1:$1048576,31,FALSE))</f>
        <v>#NAME?</v>
      </c>
      <c r="BC265" s="442" t="e">
        <f ca="1">(VLOOKUP(A265,TradesEquity!$1:$1048576,32,FALSE))</f>
        <v>#NAME?</v>
      </c>
      <c r="BI265" s="442" t="e">
        <f ca="1">(VLOOKUP(A265,TradesEquity!$1:$1048576,38,FALSE))</f>
        <v>#NAME?</v>
      </c>
      <c r="BJ265" s="442" t="e">
        <f ca="1">(VLOOKUP(A265,TradesEquity!$1:$1048576,39,FALSE))</f>
        <v>#NAME?</v>
      </c>
      <c r="BK265" s="442" t="e">
        <f ca="1">(VLOOKUP(A265,TradesEquity!$1:$1048576,40,FALSE))</f>
        <v>#NAME?</v>
      </c>
    </row>
    <row r="266" spans="1:63">
      <c r="A266" s="1026">
        <f t="shared" ref="A266:A270" si="14">(A265+1)</f>
        <v>2019200558</v>
      </c>
      <c r="D266" s="432" t="s">
        <v>2027</v>
      </c>
      <c r="F266" s="433">
        <f>VLOOKUP(A266,TradesEquity!$1:$1048576,2,FALSE)</f>
        <v>44560</v>
      </c>
      <c r="H266" s="433">
        <f>VLOOKUP(A266,TradesEquity!$1:$1048576,21,FALSE)</f>
        <v>44565</v>
      </c>
      <c r="I266" s="434" t="str">
        <f>IF(VLOOKUP(A266,TradesEquity!$1:$1048576,3,FALSE)="BUY","B","S")</f>
        <v>S</v>
      </c>
      <c r="J266" s="434" t="e">
        <f ca="1">VLOOKUP(A266,TradesEquity!$1:$1048576,5,FALSE)</f>
        <v>#NAME?</v>
      </c>
      <c r="K266" s="432" t="s">
        <v>19</v>
      </c>
      <c r="L266" s="435" t="s">
        <v>2028</v>
      </c>
      <c r="AE266" s="436" t="e">
        <f ca="1">VLOOKUP(A266,TradesEquity!$1:$1048576,10,FALSE)</f>
        <v>#NAME?</v>
      </c>
      <c r="AF266" s="436" t="e">
        <f t="shared" ca="1" si="12"/>
        <v>#NAME?</v>
      </c>
      <c r="AG266" s="436" t="e">
        <f t="shared" ca="1" si="12"/>
        <v>#NAME?</v>
      </c>
      <c r="AH266" s="436" t="e">
        <f t="shared" ca="1" si="12"/>
        <v>#NAME?</v>
      </c>
      <c r="AI266" s="436">
        <f>ABS(VLOOKUP(A266,TradesEquity!$1:$1048576,13,FALSE))</f>
        <v>110000</v>
      </c>
      <c r="AJ266" s="437">
        <v>0</v>
      </c>
      <c r="AK266" s="437">
        <v>1</v>
      </c>
      <c r="AL266" s="436">
        <f>VLOOKUP(A266,TradesEquity!$1:$1048576,11,FALSE)</f>
        <v>3.4125999999999999</v>
      </c>
      <c r="AM266" s="437">
        <v>1</v>
      </c>
      <c r="AN266" s="436">
        <f>ABS(VLOOKUP(A266,TradesEquity!$1:$1048576,14,FALSE))</f>
        <v>375386</v>
      </c>
      <c r="AO266" s="436">
        <f>ABS(VLOOKUP(A266,TradesEquity!$1:$1048576,15,FALSE))</f>
        <v>225.23</v>
      </c>
      <c r="AP266" s="438">
        <f>ABS(VLOOKUP(A266,TradesEquity!$1:$1048576,16,FALSE))</f>
        <v>0</v>
      </c>
      <c r="AQ266" s="367">
        <v>0</v>
      </c>
      <c r="AR266" s="367">
        <v>0</v>
      </c>
      <c r="AS266" s="367">
        <v>0</v>
      </c>
      <c r="AT266" s="367">
        <v>0</v>
      </c>
      <c r="AU266" s="367">
        <v>0</v>
      </c>
      <c r="AV266" s="438">
        <f>ABS(VLOOKUP(A266,TradesEquity!$1:$1048576,18,FALSE))</f>
        <v>375160.77</v>
      </c>
      <c r="AW266" s="439">
        <v>0</v>
      </c>
      <c r="AX266" s="440">
        <v>4542</v>
      </c>
      <c r="AY266" s="441" t="s">
        <v>2029</v>
      </c>
      <c r="AZ266" s="442" t="e">
        <f ca="1">(VLOOKUP(A266,TradesEquity!$1:$1048576,29,FALSE))</f>
        <v>#NAME?</v>
      </c>
      <c r="BA266" s="442" t="e">
        <f ca="1">(VLOOKUP(A266,TradesEquity!$1:$1048576,30,FALSE))</f>
        <v>#NAME?</v>
      </c>
      <c r="BB266" s="442" t="e">
        <f ca="1">(VLOOKUP(A266,TradesEquity!$1:$1048576,31,FALSE))</f>
        <v>#NAME?</v>
      </c>
      <c r="BC266" s="442" t="e">
        <f ca="1">(VLOOKUP(A266,TradesEquity!$1:$1048576,32,FALSE))</f>
        <v>#NAME?</v>
      </c>
      <c r="BI266" s="442" t="e">
        <f ca="1">(VLOOKUP(A266,TradesEquity!$1:$1048576,38,FALSE))</f>
        <v>#NAME?</v>
      </c>
      <c r="BJ266" s="442" t="e">
        <f ca="1">(VLOOKUP(A266,TradesEquity!$1:$1048576,39,FALSE))</f>
        <v>#NAME?</v>
      </c>
      <c r="BK266" s="442" t="e">
        <f ca="1">(VLOOKUP(A266,TradesEquity!$1:$1048576,40,FALSE))</f>
        <v>#NAME?</v>
      </c>
    </row>
    <row r="267" spans="1:63">
      <c r="A267" s="1026">
        <f t="shared" si="14"/>
        <v>2019200559</v>
      </c>
      <c r="D267" s="432" t="s">
        <v>2027</v>
      </c>
      <c r="F267" s="433">
        <f>VLOOKUP(A267,TradesEquity!$1:$1048576,2,FALSE)</f>
        <v>44560</v>
      </c>
      <c r="H267" s="433">
        <f>VLOOKUP(A267,TradesEquity!$1:$1048576,21,FALSE)</f>
        <v>44566</v>
      </c>
      <c r="I267" s="434" t="str">
        <f>IF(VLOOKUP(A267,TradesEquity!$1:$1048576,3,FALSE)="BUY","B","S")</f>
        <v>S</v>
      </c>
      <c r="J267" s="434" t="e">
        <f ca="1">VLOOKUP(A267,TradesEquity!$1:$1048576,5,FALSE)</f>
        <v>#NAME?</v>
      </c>
      <c r="K267" s="432" t="s">
        <v>19</v>
      </c>
      <c r="L267" s="435" t="s">
        <v>2028</v>
      </c>
      <c r="AE267" s="436" t="e">
        <f ca="1">VLOOKUP(A267,TradesEquity!$1:$1048576,10,FALSE)</f>
        <v>#NAME?</v>
      </c>
      <c r="AF267" s="436" t="e">
        <f t="shared" ca="1" si="12"/>
        <v>#NAME?</v>
      </c>
      <c r="AG267" s="436" t="e">
        <f t="shared" ca="1" si="12"/>
        <v>#NAME?</v>
      </c>
      <c r="AH267" s="436" t="e">
        <f t="shared" ca="1" si="12"/>
        <v>#NAME?</v>
      </c>
      <c r="AI267" s="436">
        <f>ABS(VLOOKUP(A267,TradesEquity!$1:$1048576,13,FALSE))</f>
        <v>4300</v>
      </c>
      <c r="AJ267" s="437">
        <v>0</v>
      </c>
      <c r="AK267" s="437">
        <v>1</v>
      </c>
      <c r="AL267" s="436">
        <f>VLOOKUP(A267,TradesEquity!$1:$1048576,11,FALSE)</f>
        <v>3543.1936000000001</v>
      </c>
      <c r="AM267" s="437">
        <v>1</v>
      </c>
      <c r="AN267" s="436">
        <f>ABS(VLOOKUP(A267,TradesEquity!$1:$1048576,14,FALSE))</f>
        <v>15235732.48</v>
      </c>
      <c r="AO267" s="436">
        <f>ABS(VLOOKUP(A267,TradesEquity!$1:$1048576,15,FALSE))</f>
        <v>9141</v>
      </c>
      <c r="AP267" s="438">
        <f>ABS(VLOOKUP(A267,TradesEquity!$1:$1048576,16,FALSE))</f>
        <v>0</v>
      </c>
      <c r="AQ267" s="367">
        <v>0</v>
      </c>
      <c r="AR267" s="367">
        <v>0</v>
      </c>
      <c r="AS267" s="367">
        <v>0</v>
      </c>
      <c r="AT267" s="367">
        <v>0</v>
      </c>
      <c r="AU267" s="367">
        <v>0</v>
      </c>
      <c r="AV267" s="438">
        <f>ABS(VLOOKUP(A267,TradesEquity!$1:$1048576,18,FALSE))</f>
        <v>15226591.48</v>
      </c>
      <c r="AW267" s="439">
        <v>0</v>
      </c>
      <c r="AX267" s="440">
        <v>4542</v>
      </c>
      <c r="AY267" s="441" t="s">
        <v>2029</v>
      </c>
      <c r="AZ267" s="442" t="e">
        <f ca="1">(VLOOKUP(A267,TradesEquity!$1:$1048576,29,FALSE))</f>
        <v>#NAME?</v>
      </c>
      <c r="BA267" s="442" t="e">
        <f ca="1">(VLOOKUP(A267,TradesEquity!$1:$1048576,30,FALSE))</f>
        <v>#NAME?</v>
      </c>
      <c r="BB267" s="442" t="e">
        <f ca="1">(VLOOKUP(A267,TradesEquity!$1:$1048576,31,FALSE))</f>
        <v>#NAME?</v>
      </c>
      <c r="BC267" s="442" t="e">
        <f ca="1">(VLOOKUP(A267,TradesEquity!$1:$1048576,32,FALSE))</f>
        <v>#NAME?</v>
      </c>
      <c r="BI267" s="442" t="e">
        <f ca="1">(VLOOKUP(A267,TradesEquity!$1:$1048576,38,FALSE))</f>
        <v>#NAME?</v>
      </c>
      <c r="BJ267" s="442" t="e">
        <f ca="1">(VLOOKUP(A267,TradesEquity!$1:$1048576,39,FALSE))</f>
        <v>#NAME?</v>
      </c>
      <c r="BK267" s="442" t="e">
        <f ca="1">(VLOOKUP(A267,TradesEquity!$1:$1048576,40,FALSE))</f>
        <v>#NAME?</v>
      </c>
    </row>
    <row r="268" spans="1:63">
      <c r="A268" s="1026">
        <f t="shared" si="14"/>
        <v>2019200560</v>
      </c>
      <c r="D268" s="432" t="s">
        <v>2027</v>
      </c>
      <c r="F268" s="433">
        <f>VLOOKUP(A268,TradesEquity!$1:$1048576,2,FALSE)</f>
        <v>44560</v>
      </c>
      <c r="H268" s="433">
        <f>VLOOKUP(A268,TradesEquity!$1:$1048576,21,FALSE)</f>
        <v>44565</v>
      </c>
      <c r="I268" s="434" t="str">
        <f>IF(VLOOKUP(A268,TradesEquity!$1:$1048576,3,FALSE)="BUY","B","S")</f>
        <v>S</v>
      </c>
      <c r="J268" s="434" t="e">
        <f ca="1">VLOOKUP(A268,TradesEquity!$1:$1048576,5,FALSE)</f>
        <v>#NAME?</v>
      </c>
      <c r="K268" s="432" t="s">
        <v>19</v>
      </c>
      <c r="L268" s="435" t="s">
        <v>2028</v>
      </c>
      <c r="AE268" s="436" t="e">
        <f ca="1">VLOOKUP(A268,TradesEquity!$1:$1048576,10,FALSE)</f>
        <v>#NAME?</v>
      </c>
      <c r="AF268" s="436" t="e">
        <f t="shared" ca="1" si="12"/>
        <v>#NAME?</v>
      </c>
      <c r="AG268" s="436" t="e">
        <f t="shared" ca="1" si="12"/>
        <v>#NAME?</v>
      </c>
      <c r="AH268" s="436" t="e">
        <f t="shared" ca="1" si="12"/>
        <v>#NAME?</v>
      </c>
      <c r="AI268" s="436">
        <f>ABS(VLOOKUP(A268,TradesEquity!$1:$1048576,13,FALSE))</f>
        <v>138800</v>
      </c>
      <c r="AJ268" s="437">
        <v>0</v>
      </c>
      <c r="AK268" s="437">
        <v>1</v>
      </c>
      <c r="AL268" s="436">
        <f>VLOOKUP(A268,TradesEquity!$1:$1048576,11,FALSE)</f>
        <v>1.79</v>
      </c>
      <c r="AM268" s="437">
        <v>1</v>
      </c>
      <c r="AN268" s="436">
        <f>ABS(VLOOKUP(A268,TradesEquity!$1:$1048576,14,FALSE))</f>
        <v>248452</v>
      </c>
      <c r="AO268" s="436">
        <f>ABS(VLOOKUP(A268,TradesEquity!$1:$1048576,15,FALSE))</f>
        <v>149.07</v>
      </c>
      <c r="AP268" s="438">
        <f>ABS(VLOOKUP(A268,TradesEquity!$1:$1048576,16,FALSE))</f>
        <v>0</v>
      </c>
      <c r="AQ268" s="367">
        <v>0</v>
      </c>
      <c r="AR268" s="367">
        <v>0</v>
      </c>
      <c r="AS268" s="367">
        <v>0</v>
      </c>
      <c r="AT268" s="367">
        <v>0</v>
      </c>
      <c r="AU268" s="367">
        <v>0</v>
      </c>
      <c r="AV268" s="438">
        <f>ABS(VLOOKUP(A268,TradesEquity!$1:$1048576,18,FALSE))</f>
        <v>248302.93</v>
      </c>
      <c r="AW268" s="439">
        <v>0</v>
      </c>
      <c r="AX268" s="440">
        <v>4542</v>
      </c>
      <c r="AY268" s="441" t="s">
        <v>2029</v>
      </c>
      <c r="AZ268" s="442" t="e">
        <f ca="1">(VLOOKUP(A268,TradesEquity!$1:$1048576,29,FALSE))</f>
        <v>#NAME?</v>
      </c>
      <c r="BA268" s="442" t="e">
        <f ca="1">(VLOOKUP(A268,TradesEquity!$1:$1048576,30,FALSE))</f>
        <v>#NAME?</v>
      </c>
      <c r="BB268" s="442" t="e">
        <f ca="1">(VLOOKUP(A268,TradesEquity!$1:$1048576,31,FALSE))</f>
        <v>#NAME?</v>
      </c>
      <c r="BC268" s="442" t="e">
        <f ca="1">(VLOOKUP(A268,TradesEquity!$1:$1048576,32,FALSE))</f>
        <v>#NAME?</v>
      </c>
      <c r="BI268" s="442" t="e">
        <f ca="1">(VLOOKUP(A268,TradesEquity!$1:$1048576,38,FALSE))</f>
        <v>#NAME?</v>
      </c>
      <c r="BJ268" s="442" t="e">
        <f ca="1">(VLOOKUP(A268,TradesEquity!$1:$1048576,39,FALSE))</f>
        <v>#NAME?</v>
      </c>
      <c r="BK268" s="442" t="e">
        <f ca="1">(VLOOKUP(A268,TradesEquity!$1:$1048576,40,FALSE))</f>
        <v>#NAME?</v>
      </c>
    </row>
    <row r="269" spans="1:63">
      <c r="A269" s="1026">
        <f t="shared" si="14"/>
        <v>2019200561</v>
      </c>
      <c r="D269" s="432" t="s">
        <v>2027</v>
      </c>
      <c r="F269" s="433">
        <f>VLOOKUP(A269,TradesEquity!$1:$1048576,2,FALSE)</f>
        <v>44560</v>
      </c>
      <c r="H269" s="433">
        <f>VLOOKUP(A269,TradesEquity!$1:$1048576,21,FALSE)</f>
        <v>44565</v>
      </c>
      <c r="I269" s="434" t="str">
        <f>IF(VLOOKUP(A269,TradesEquity!$1:$1048576,3,FALSE)="BUY","B","S")</f>
        <v>B</v>
      </c>
      <c r="J269" s="434" t="e">
        <f ca="1">VLOOKUP(A269,TradesEquity!$1:$1048576,5,FALSE)</f>
        <v>#NAME?</v>
      </c>
      <c r="K269" s="432" t="s">
        <v>19</v>
      </c>
      <c r="L269" s="435" t="s">
        <v>2028</v>
      </c>
      <c r="AE269" s="436" t="e">
        <f ca="1">VLOOKUP(A269,TradesEquity!$1:$1048576,10,FALSE)</f>
        <v>#NAME?</v>
      </c>
      <c r="AF269" s="436" t="e">
        <f t="shared" ca="1" si="12"/>
        <v>#NAME?</v>
      </c>
      <c r="AG269" s="436" t="e">
        <f t="shared" ca="1" si="12"/>
        <v>#NAME?</v>
      </c>
      <c r="AH269" s="436" t="e">
        <f t="shared" ca="1" si="12"/>
        <v>#NAME?</v>
      </c>
      <c r="AI269" s="436">
        <f>ABS(VLOOKUP(A269,TradesEquity!$1:$1048576,13,FALSE))</f>
        <v>1200</v>
      </c>
      <c r="AJ269" s="437">
        <v>0</v>
      </c>
      <c r="AK269" s="437">
        <v>1</v>
      </c>
      <c r="AL269" s="436">
        <f>VLOOKUP(A269,TradesEquity!$1:$1048576,11,FALSE)</f>
        <v>287617.5</v>
      </c>
      <c r="AM269" s="437">
        <v>1</v>
      </c>
      <c r="AN269" s="436">
        <f>ABS(VLOOKUP(A269,TradesEquity!$1:$1048576,14,FALSE))</f>
        <v>345141000</v>
      </c>
      <c r="AO269" s="436">
        <f>ABS(VLOOKUP(A269,TradesEquity!$1:$1048576,15,FALSE))</f>
        <v>517712</v>
      </c>
      <c r="AP269" s="438">
        <f>ABS(VLOOKUP(A269,TradesEquity!$1:$1048576,16,FALSE))</f>
        <v>0</v>
      </c>
      <c r="AQ269" s="367">
        <v>0</v>
      </c>
      <c r="AR269" s="367">
        <v>0</v>
      </c>
      <c r="AS269" s="367">
        <v>0</v>
      </c>
      <c r="AT269" s="367">
        <v>0</v>
      </c>
      <c r="AU269" s="367">
        <v>0</v>
      </c>
      <c r="AV269" s="438">
        <f>ABS(VLOOKUP(A269,TradesEquity!$1:$1048576,18,FALSE))</f>
        <v>345658712</v>
      </c>
      <c r="AW269" s="439">
        <v>0</v>
      </c>
      <c r="AX269" s="440">
        <v>4542</v>
      </c>
      <c r="AY269" s="441" t="s">
        <v>2029</v>
      </c>
      <c r="AZ269" s="442" t="e">
        <f ca="1">(VLOOKUP(A269,TradesEquity!$1:$1048576,29,FALSE))</f>
        <v>#NAME?</v>
      </c>
      <c r="BA269" s="442" t="e">
        <f ca="1">(VLOOKUP(A269,TradesEquity!$1:$1048576,30,FALSE))</f>
        <v>#NAME?</v>
      </c>
      <c r="BB269" s="442" t="e">
        <f ca="1">(VLOOKUP(A269,TradesEquity!$1:$1048576,31,FALSE))</f>
        <v>#NAME?</v>
      </c>
      <c r="BC269" s="442" t="e">
        <f ca="1">(VLOOKUP(A269,TradesEquity!$1:$1048576,32,FALSE))</f>
        <v>#NAME?</v>
      </c>
      <c r="BI269" s="442" t="e">
        <f ca="1">(VLOOKUP(A269,TradesEquity!$1:$1048576,38,FALSE))</f>
        <v>#NAME?</v>
      </c>
      <c r="BJ269" s="442" t="e">
        <f ca="1">(VLOOKUP(A269,TradesEquity!$1:$1048576,39,FALSE))</f>
        <v>#NAME?</v>
      </c>
      <c r="BK269" s="442" t="e">
        <f ca="1">(VLOOKUP(A269,TradesEquity!$1:$1048576,40,FALSE))</f>
        <v>#NAME?</v>
      </c>
    </row>
    <row r="270" spans="1:63">
      <c r="A270" s="1026">
        <f t="shared" si="14"/>
        <v>2019200562</v>
      </c>
      <c r="D270" s="432" t="s">
        <v>2027</v>
      </c>
      <c r="F270" s="433">
        <f>VLOOKUP(A270,TradesEquity!$1:$1048576,2,FALSE)</f>
        <v>44560</v>
      </c>
      <c r="H270" s="433">
        <f>VLOOKUP(A270,TradesEquity!$1:$1048576,21,FALSE)</f>
        <v>44565</v>
      </c>
      <c r="I270" s="434" t="str">
        <f>IF(VLOOKUP(A270,TradesEquity!$1:$1048576,3,FALSE)="BUY","B","S")</f>
        <v>B</v>
      </c>
      <c r="J270" s="434" t="e">
        <f ca="1">VLOOKUP(A270,TradesEquity!$1:$1048576,5,FALSE)</f>
        <v>#NAME?</v>
      </c>
      <c r="K270" s="432" t="s">
        <v>19</v>
      </c>
      <c r="L270" s="435" t="s">
        <v>2028</v>
      </c>
      <c r="AE270" s="436" t="e">
        <f ca="1">VLOOKUP(A270,TradesEquity!$1:$1048576,10,FALSE)</f>
        <v>#NAME?</v>
      </c>
      <c r="AF270" s="436" t="e">
        <f t="shared" ca="1" si="12"/>
        <v>#NAME?</v>
      </c>
      <c r="AG270" s="436" t="e">
        <f t="shared" ca="1" si="12"/>
        <v>#NAME?</v>
      </c>
      <c r="AH270" s="436" t="e">
        <f t="shared" ca="1" si="12"/>
        <v>#NAME?</v>
      </c>
      <c r="AI270" s="436">
        <f>ABS(VLOOKUP(A270,TradesEquity!$1:$1048576,13,FALSE))</f>
        <v>870</v>
      </c>
      <c r="AJ270" s="437">
        <v>0</v>
      </c>
      <c r="AK270" s="437">
        <v>1</v>
      </c>
      <c r="AL270" s="436">
        <f>VLOOKUP(A270,TradesEquity!$1:$1048576,11,FALSE)</f>
        <v>141118.39079999999</v>
      </c>
      <c r="AM270" s="437">
        <v>1</v>
      </c>
      <c r="AN270" s="436">
        <f>ABS(VLOOKUP(A270,TradesEquity!$1:$1048576,14,FALSE))</f>
        <v>122772999.99599999</v>
      </c>
      <c r="AO270" s="436">
        <f>ABS(VLOOKUP(A270,TradesEquity!$1:$1048576,15,FALSE))</f>
        <v>184160</v>
      </c>
      <c r="AP270" s="438">
        <f>ABS(VLOOKUP(A270,TradesEquity!$1:$1048576,16,FALSE))</f>
        <v>0</v>
      </c>
      <c r="AQ270" s="367">
        <v>0</v>
      </c>
      <c r="AR270" s="367">
        <v>0</v>
      </c>
      <c r="AS270" s="367">
        <v>0</v>
      </c>
      <c r="AT270" s="367">
        <v>0</v>
      </c>
      <c r="AU270" s="367">
        <v>0</v>
      </c>
      <c r="AV270" s="438">
        <f>ABS(VLOOKUP(A270,TradesEquity!$1:$1048576,18,FALSE))</f>
        <v>122957159.99599999</v>
      </c>
      <c r="AW270" s="439">
        <v>0</v>
      </c>
      <c r="AX270" s="440">
        <v>4542</v>
      </c>
      <c r="AY270" s="441" t="s">
        <v>2029</v>
      </c>
      <c r="AZ270" s="442" t="e">
        <f ca="1">(VLOOKUP(A270,TradesEquity!$1:$1048576,29,FALSE))</f>
        <v>#NAME?</v>
      </c>
      <c r="BA270" s="442" t="e">
        <f ca="1">(VLOOKUP(A270,TradesEquity!$1:$1048576,30,FALSE))</f>
        <v>#NAME?</v>
      </c>
      <c r="BB270" s="442" t="e">
        <f ca="1">(VLOOKUP(A270,TradesEquity!$1:$1048576,31,FALSE))</f>
        <v>#NAME?</v>
      </c>
      <c r="BC270" s="442" t="e">
        <f ca="1">(VLOOKUP(A270,TradesEquity!$1:$1048576,32,FALSE))</f>
        <v>#NAME?</v>
      </c>
      <c r="BI270" s="442" t="e">
        <f ca="1">(VLOOKUP(A270,TradesEquity!$1:$1048576,38,FALSE))</f>
        <v>#NAME?</v>
      </c>
      <c r="BJ270" s="442" t="e">
        <f ca="1">(VLOOKUP(A270,TradesEquity!$1:$1048576,39,FALSE))</f>
        <v>#NAME?</v>
      </c>
      <c r="BK270" s="442" t="e">
        <f ca="1">(VLOOKUP(A270,TradesEquity!$1:$1048576,40,FALSE))</f>
        <v>#NAME?</v>
      </c>
    </row>
    <row r="271" spans="1:63">
      <c r="D271" s="432" t="s">
        <v>2027</v>
      </c>
      <c r="F271" s="433" t="e">
        <f>VLOOKUP(A271,TradesEquity!$1:$1048576,2,FALSE)</f>
        <v>#N/A</v>
      </c>
      <c r="H271" s="433" t="e">
        <f>VLOOKUP(A271,TradesEquity!$1:$1048576,21,FALSE)</f>
        <v>#N/A</v>
      </c>
      <c r="I271" s="434" t="e">
        <f>IF(VLOOKUP(A271,TradesEquity!$1:$1048576,3,FALSE)="BUY","B","S")</f>
        <v>#N/A</v>
      </c>
      <c r="J271" s="434" t="e">
        <f>VLOOKUP(A271,TradesEquity!$1:$1048576,5,FALSE)</f>
        <v>#N/A</v>
      </c>
      <c r="K271" s="432" t="s">
        <v>19</v>
      </c>
      <c r="L271" s="435" t="s">
        <v>2028</v>
      </c>
      <c r="AE271" s="436" t="e">
        <f>VLOOKUP(A271,TradesEquity!$1:$1048576,10,FALSE)</f>
        <v>#N/A</v>
      </c>
      <c r="AF271" s="436" t="e">
        <f t="shared" si="12"/>
        <v>#N/A</v>
      </c>
      <c r="AG271" s="436" t="e">
        <f t="shared" si="12"/>
        <v>#N/A</v>
      </c>
      <c r="AH271" s="436" t="e">
        <f t="shared" si="12"/>
        <v>#N/A</v>
      </c>
      <c r="AI271" s="436" t="e">
        <f>ABS(VLOOKUP(A271,TradesEquity!$1:$1048576,13,FALSE))</f>
        <v>#N/A</v>
      </c>
      <c r="AJ271" s="437">
        <v>0</v>
      </c>
      <c r="AK271" s="437">
        <v>1</v>
      </c>
      <c r="AL271" s="436" t="e">
        <f>VLOOKUP(A271,TradesEquity!$1:$1048576,11,FALSE)</f>
        <v>#N/A</v>
      </c>
      <c r="AM271" s="437">
        <v>1</v>
      </c>
      <c r="AN271" s="436" t="e">
        <f>ABS(VLOOKUP(A271,TradesEquity!$1:$1048576,14,FALSE))</f>
        <v>#N/A</v>
      </c>
      <c r="AO271" s="436" t="e">
        <f>ABS(VLOOKUP(A271,TradesEquity!$1:$1048576,15,FALSE))</f>
        <v>#N/A</v>
      </c>
      <c r="AP271" s="438" t="e">
        <f>ABS(VLOOKUP(A271,TradesEquity!$1:$1048576,16,FALSE))</f>
        <v>#N/A</v>
      </c>
      <c r="AQ271" s="367">
        <v>0</v>
      </c>
      <c r="AR271" s="367">
        <v>0</v>
      </c>
      <c r="AS271" s="367">
        <v>0</v>
      </c>
      <c r="AT271" s="367">
        <v>0</v>
      </c>
      <c r="AU271" s="367">
        <v>0</v>
      </c>
      <c r="AV271" s="438" t="e">
        <f>ABS(VLOOKUP(A271,TradesEquity!$1:$1048576,18,FALSE))</f>
        <v>#N/A</v>
      </c>
      <c r="AW271" s="439">
        <v>0</v>
      </c>
      <c r="AX271" s="440">
        <v>4542</v>
      </c>
      <c r="AY271" s="441" t="s">
        <v>2029</v>
      </c>
      <c r="AZ271" s="442" t="e">
        <f>(VLOOKUP(A271,TradesEquity!$1:$1048576,29,FALSE))</f>
        <v>#N/A</v>
      </c>
      <c r="BA271" s="442" t="e">
        <f>(VLOOKUP(A271,TradesEquity!$1:$1048576,30,FALSE))</f>
        <v>#N/A</v>
      </c>
      <c r="BB271" s="442" t="e">
        <f>(VLOOKUP(A271,TradesEquity!$1:$1048576,31,FALSE))</f>
        <v>#N/A</v>
      </c>
      <c r="BC271" s="442" t="e">
        <f>(VLOOKUP(A271,TradesEquity!$1:$1048576,32,FALSE))</f>
        <v>#N/A</v>
      </c>
      <c r="BI271" s="442" t="e">
        <f>(VLOOKUP(A271,TradesEquity!$1:$1048576,38,FALSE))</f>
        <v>#N/A</v>
      </c>
      <c r="BJ271" s="442" t="e">
        <f>(VLOOKUP(A271,TradesEquity!$1:$1048576,39,FALSE))</f>
        <v>#N/A</v>
      </c>
      <c r="BK271" s="442" t="e">
        <f>(VLOOKUP(A271,TradesEquity!$1:$1048576,40,FALSE))</f>
        <v>#N/A</v>
      </c>
    </row>
    <row r="272" spans="1:63">
      <c r="D272" s="432" t="s">
        <v>2027</v>
      </c>
      <c r="F272" s="433" t="e">
        <f>VLOOKUP(A272,TradesEquity!$1:$1048576,2,FALSE)</f>
        <v>#N/A</v>
      </c>
      <c r="H272" s="433" t="e">
        <f>VLOOKUP(A272,TradesEquity!$1:$1048576,21,FALSE)</f>
        <v>#N/A</v>
      </c>
      <c r="I272" s="434" t="e">
        <f>IF(VLOOKUP(A272,TradesEquity!$1:$1048576,3,FALSE)="BUY","B","S")</f>
        <v>#N/A</v>
      </c>
      <c r="J272" s="434" t="e">
        <f>VLOOKUP(A272,TradesEquity!$1:$1048576,5,FALSE)</f>
        <v>#N/A</v>
      </c>
      <c r="K272" s="432" t="s">
        <v>19</v>
      </c>
      <c r="L272" s="435" t="s">
        <v>2028</v>
      </c>
      <c r="AE272" s="436" t="e">
        <f>VLOOKUP(A272,TradesEquity!$1:$1048576,10,FALSE)</f>
        <v>#N/A</v>
      </c>
      <c r="AF272" s="436" t="e">
        <f t="shared" si="12"/>
        <v>#N/A</v>
      </c>
      <c r="AG272" s="436" t="e">
        <f t="shared" si="12"/>
        <v>#N/A</v>
      </c>
      <c r="AH272" s="436" t="e">
        <f t="shared" si="12"/>
        <v>#N/A</v>
      </c>
      <c r="AI272" s="436" t="e">
        <f>ABS(VLOOKUP(A272,TradesEquity!$1:$1048576,13,FALSE))</f>
        <v>#N/A</v>
      </c>
      <c r="AJ272" s="437">
        <v>0</v>
      </c>
      <c r="AK272" s="437">
        <v>1</v>
      </c>
      <c r="AL272" s="436" t="e">
        <f>VLOOKUP(A272,TradesEquity!$1:$1048576,11,FALSE)</f>
        <v>#N/A</v>
      </c>
      <c r="AM272" s="437">
        <v>1</v>
      </c>
      <c r="AN272" s="436" t="e">
        <f>ABS(VLOOKUP(A272,TradesEquity!$1:$1048576,14,FALSE))</f>
        <v>#N/A</v>
      </c>
      <c r="AO272" s="436" t="e">
        <f>ABS(VLOOKUP(A272,TradesEquity!$1:$1048576,15,FALSE))</f>
        <v>#N/A</v>
      </c>
      <c r="AP272" s="438" t="e">
        <f>ABS(VLOOKUP(A272,TradesEquity!$1:$1048576,16,FALSE))</f>
        <v>#N/A</v>
      </c>
      <c r="AQ272" s="367">
        <v>0</v>
      </c>
      <c r="AR272" s="367">
        <v>0</v>
      </c>
      <c r="AS272" s="367">
        <v>0</v>
      </c>
      <c r="AT272" s="367">
        <v>0</v>
      </c>
      <c r="AU272" s="367">
        <v>0</v>
      </c>
      <c r="AV272" s="438" t="e">
        <f>ABS(VLOOKUP(A272,TradesEquity!$1:$1048576,18,FALSE))</f>
        <v>#N/A</v>
      </c>
      <c r="AW272" s="439">
        <v>0</v>
      </c>
      <c r="AX272" s="440">
        <v>4542</v>
      </c>
      <c r="AY272" s="441" t="s">
        <v>2029</v>
      </c>
      <c r="AZ272" s="442" t="e">
        <f>(VLOOKUP(A272,TradesEquity!$1:$1048576,29,FALSE))</f>
        <v>#N/A</v>
      </c>
      <c r="BA272" s="442" t="e">
        <f>(VLOOKUP(A272,TradesEquity!$1:$1048576,30,FALSE))</f>
        <v>#N/A</v>
      </c>
      <c r="BB272" s="442" t="e">
        <f>(VLOOKUP(A272,TradesEquity!$1:$1048576,31,FALSE))</f>
        <v>#N/A</v>
      </c>
      <c r="BC272" s="442" t="e">
        <f>(VLOOKUP(A272,TradesEquity!$1:$1048576,32,FALSE))</f>
        <v>#N/A</v>
      </c>
      <c r="BI272" s="442" t="e">
        <f>(VLOOKUP(A272,TradesEquity!$1:$1048576,38,FALSE))</f>
        <v>#N/A</v>
      </c>
      <c r="BJ272" s="442" t="e">
        <f>(VLOOKUP(A272,TradesEquity!$1:$1048576,39,FALSE))</f>
        <v>#N/A</v>
      </c>
      <c r="BK272" s="442" t="e">
        <f>(VLOOKUP(A272,TradesEquity!$1:$1048576,40,FALSE))</f>
        <v>#N/A</v>
      </c>
    </row>
    <row r="273" spans="4:63">
      <c r="D273" s="432" t="s">
        <v>2027</v>
      </c>
      <c r="F273" s="433" t="e">
        <f>VLOOKUP(A273,TradesEquity!$1:$1048576,2,FALSE)</f>
        <v>#N/A</v>
      </c>
      <c r="H273" s="433" t="e">
        <f>VLOOKUP(A273,TradesEquity!$1:$1048576,21,FALSE)</f>
        <v>#N/A</v>
      </c>
      <c r="I273" s="434" t="e">
        <f>IF(VLOOKUP(A273,TradesEquity!$1:$1048576,3,FALSE)="BUY","B","S")</f>
        <v>#N/A</v>
      </c>
      <c r="J273" s="434" t="e">
        <f>VLOOKUP(A273,TradesEquity!$1:$1048576,5,FALSE)</f>
        <v>#N/A</v>
      </c>
      <c r="K273" s="432" t="s">
        <v>19</v>
      </c>
      <c r="L273" s="435" t="s">
        <v>2028</v>
      </c>
      <c r="AE273" s="436" t="e">
        <f>VLOOKUP(A273,TradesEquity!$1:$1048576,10,FALSE)</f>
        <v>#N/A</v>
      </c>
      <c r="AF273" s="436" t="e">
        <f t="shared" si="12"/>
        <v>#N/A</v>
      </c>
      <c r="AG273" s="436" t="e">
        <f t="shared" si="12"/>
        <v>#N/A</v>
      </c>
      <c r="AH273" s="436" t="e">
        <f t="shared" si="12"/>
        <v>#N/A</v>
      </c>
      <c r="AI273" s="436" t="e">
        <f>ABS(VLOOKUP(A273,TradesEquity!$1:$1048576,13,FALSE))</f>
        <v>#N/A</v>
      </c>
      <c r="AJ273" s="437">
        <v>0</v>
      </c>
      <c r="AK273" s="437">
        <v>1</v>
      </c>
      <c r="AL273" s="436" t="e">
        <f>VLOOKUP(A273,TradesEquity!$1:$1048576,11,FALSE)</f>
        <v>#N/A</v>
      </c>
      <c r="AM273" s="437">
        <v>1</v>
      </c>
      <c r="AN273" s="436" t="e">
        <f>ABS(VLOOKUP(A273,TradesEquity!$1:$1048576,14,FALSE))</f>
        <v>#N/A</v>
      </c>
      <c r="AO273" s="436" t="e">
        <f>ABS(VLOOKUP(A273,TradesEquity!$1:$1048576,15,FALSE))</f>
        <v>#N/A</v>
      </c>
      <c r="AP273" s="438" t="e">
        <f>ABS(VLOOKUP(A273,TradesEquity!$1:$1048576,16,FALSE))</f>
        <v>#N/A</v>
      </c>
      <c r="AQ273" s="367">
        <v>0</v>
      </c>
      <c r="AR273" s="367">
        <v>0</v>
      </c>
      <c r="AS273" s="367">
        <v>0</v>
      </c>
      <c r="AT273" s="367">
        <v>0</v>
      </c>
      <c r="AU273" s="367">
        <v>0</v>
      </c>
      <c r="AV273" s="438" t="e">
        <f>ABS(VLOOKUP(A273,TradesEquity!$1:$1048576,18,FALSE))</f>
        <v>#N/A</v>
      </c>
      <c r="AW273" s="439">
        <v>0</v>
      </c>
      <c r="AX273" s="440">
        <v>4542</v>
      </c>
      <c r="AY273" s="441" t="s">
        <v>2029</v>
      </c>
      <c r="AZ273" s="442" t="e">
        <f>(VLOOKUP(A273,TradesEquity!$1:$1048576,29,FALSE))</f>
        <v>#N/A</v>
      </c>
      <c r="BA273" s="442" t="e">
        <f>(VLOOKUP(A273,TradesEquity!$1:$1048576,30,FALSE))</f>
        <v>#N/A</v>
      </c>
      <c r="BB273" s="442" t="e">
        <f>(VLOOKUP(A273,TradesEquity!$1:$1048576,31,FALSE))</f>
        <v>#N/A</v>
      </c>
      <c r="BC273" s="442" t="e">
        <f>(VLOOKUP(A273,TradesEquity!$1:$1048576,32,FALSE))</f>
        <v>#N/A</v>
      </c>
      <c r="BI273" s="442" t="e">
        <f>(VLOOKUP(A273,TradesEquity!$1:$1048576,38,FALSE))</f>
        <v>#N/A</v>
      </c>
      <c r="BJ273" s="442" t="e">
        <f>(VLOOKUP(A273,TradesEquity!$1:$1048576,39,FALSE))</f>
        <v>#N/A</v>
      </c>
      <c r="BK273" s="442" t="e">
        <f>(VLOOKUP(A273,TradesEquity!$1:$1048576,40,FALSE))</f>
        <v>#N/A</v>
      </c>
    </row>
    <row r="274" spans="4:63">
      <c r="D274" s="432" t="s">
        <v>2027</v>
      </c>
      <c r="F274" s="433" t="e">
        <f>VLOOKUP(A274,TradesEquity!$1:$1048576,2,FALSE)</f>
        <v>#N/A</v>
      </c>
      <c r="H274" s="433" t="e">
        <f>VLOOKUP(A274,TradesEquity!$1:$1048576,21,FALSE)</f>
        <v>#N/A</v>
      </c>
      <c r="I274" s="434" t="e">
        <f>IF(VLOOKUP(A274,TradesEquity!$1:$1048576,3,FALSE)="BUY","B","S")</f>
        <v>#N/A</v>
      </c>
      <c r="J274" s="434" t="e">
        <f>VLOOKUP(A274,TradesEquity!$1:$1048576,5,FALSE)</f>
        <v>#N/A</v>
      </c>
      <c r="K274" s="432" t="s">
        <v>19</v>
      </c>
      <c r="L274" s="435" t="s">
        <v>2028</v>
      </c>
      <c r="AE274" s="436" t="e">
        <f>VLOOKUP(A274,TradesEquity!$1:$1048576,10,FALSE)</f>
        <v>#N/A</v>
      </c>
      <c r="AF274" s="436" t="e">
        <f t="shared" si="12"/>
        <v>#N/A</v>
      </c>
      <c r="AG274" s="436" t="e">
        <f t="shared" si="12"/>
        <v>#N/A</v>
      </c>
      <c r="AH274" s="436" t="e">
        <f t="shared" si="12"/>
        <v>#N/A</v>
      </c>
      <c r="AI274" s="436" t="e">
        <f>ABS(VLOOKUP(A274,TradesEquity!$1:$1048576,13,FALSE))</f>
        <v>#N/A</v>
      </c>
      <c r="AJ274" s="437">
        <v>0</v>
      </c>
      <c r="AK274" s="437">
        <v>1</v>
      </c>
      <c r="AL274" s="436" t="e">
        <f>VLOOKUP(A274,TradesEquity!$1:$1048576,11,FALSE)</f>
        <v>#N/A</v>
      </c>
      <c r="AM274" s="437">
        <v>1</v>
      </c>
      <c r="AN274" s="436" t="e">
        <f>ABS(VLOOKUP(A274,TradesEquity!$1:$1048576,14,FALSE))</f>
        <v>#N/A</v>
      </c>
      <c r="AO274" s="436" t="e">
        <f>ABS(VLOOKUP(A274,TradesEquity!$1:$1048576,15,FALSE))</f>
        <v>#N/A</v>
      </c>
      <c r="AP274" s="438" t="e">
        <f>ABS(VLOOKUP(A274,TradesEquity!$1:$1048576,16,FALSE))</f>
        <v>#N/A</v>
      </c>
      <c r="AQ274" s="367">
        <v>0</v>
      </c>
      <c r="AR274" s="367">
        <v>0</v>
      </c>
      <c r="AS274" s="367">
        <v>0</v>
      </c>
      <c r="AT274" s="367">
        <v>0</v>
      </c>
      <c r="AU274" s="367">
        <v>0</v>
      </c>
      <c r="AV274" s="438" t="e">
        <f>ABS(VLOOKUP(A274,TradesEquity!$1:$1048576,18,FALSE))</f>
        <v>#N/A</v>
      </c>
      <c r="AW274" s="439">
        <v>0</v>
      </c>
      <c r="AX274" s="440">
        <v>4542</v>
      </c>
      <c r="AY274" s="441" t="s">
        <v>2029</v>
      </c>
      <c r="AZ274" s="442" t="e">
        <f>(VLOOKUP(A274,TradesEquity!$1:$1048576,29,FALSE))</f>
        <v>#N/A</v>
      </c>
      <c r="BA274" s="442" t="e">
        <f>(VLOOKUP(A274,TradesEquity!$1:$1048576,30,FALSE))</f>
        <v>#N/A</v>
      </c>
      <c r="BB274" s="442" t="e">
        <f>(VLOOKUP(A274,TradesEquity!$1:$1048576,31,FALSE))</f>
        <v>#N/A</v>
      </c>
      <c r="BC274" s="442" t="e">
        <f>(VLOOKUP(A274,TradesEquity!$1:$1048576,32,FALSE))</f>
        <v>#N/A</v>
      </c>
      <c r="BI274" s="442" t="e">
        <f>(VLOOKUP(A274,TradesEquity!$1:$1048576,38,FALSE))</f>
        <v>#N/A</v>
      </c>
      <c r="BJ274" s="442" t="e">
        <f>(VLOOKUP(A274,TradesEquity!$1:$1048576,39,FALSE))</f>
        <v>#N/A</v>
      </c>
      <c r="BK274" s="442" t="e">
        <f>(VLOOKUP(A274,TradesEquity!$1:$1048576,40,FALSE))</f>
        <v>#N/A</v>
      </c>
    </row>
    <row r="275" spans="4:63">
      <c r="D275" s="432" t="s">
        <v>2027</v>
      </c>
      <c r="F275" s="433" t="e">
        <f>VLOOKUP(A275,TradesEquity!$1:$1048576,2,FALSE)</f>
        <v>#N/A</v>
      </c>
      <c r="H275" s="433" t="e">
        <f>VLOOKUP(A275,TradesEquity!$1:$1048576,21,FALSE)</f>
        <v>#N/A</v>
      </c>
      <c r="I275" s="434" t="e">
        <f>IF(VLOOKUP(A275,TradesEquity!$1:$1048576,3,FALSE)="BUY","B","S")</f>
        <v>#N/A</v>
      </c>
      <c r="J275" s="434" t="e">
        <f>VLOOKUP(A275,TradesEquity!$1:$1048576,5,FALSE)</f>
        <v>#N/A</v>
      </c>
      <c r="K275" s="432" t="s">
        <v>19</v>
      </c>
      <c r="L275" s="435" t="s">
        <v>2028</v>
      </c>
      <c r="AE275" s="436" t="e">
        <f>VLOOKUP(A275,TradesEquity!$1:$1048576,10,FALSE)</f>
        <v>#N/A</v>
      </c>
      <c r="AF275" s="436" t="e">
        <f t="shared" si="12"/>
        <v>#N/A</v>
      </c>
      <c r="AG275" s="436" t="e">
        <f t="shared" si="12"/>
        <v>#N/A</v>
      </c>
      <c r="AH275" s="436" t="e">
        <f t="shared" si="12"/>
        <v>#N/A</v>
      </c>
      <c r="AI275" s="436" t="e">
        <f>ABS(VLOOKUP(A275,TradesEquity!$1:$1048576,13,FALSE))</f>
        <v>#N/A</v>
      </c>
      <c r="AJ275" s="437">
        <v>0</v>
      </c>
      <c r="AK275" s="437">
        <v>1</v>
      </c>
      <c r="AL275" s="436" t="e">
        <f>VLOOKUP(A275,TradesEquity!$1:$1048576,11,FALSE)</f>
        <v>#N/A</v>
      </c>
      <c r="AM275" s="437">
        <v>1</v>
      </c>
      <c r="AN275" s="436" t="e">
        <f>ABS(VLOOKUP(A275,TradesEquity!$1:$1048576,14,FALSE))</f>
        <v>#N/A</v>
      </c>
      <c r="AO275" s="436" t="e">
        <f>ABS(VLOOKUP(A275,TradesEquity!$1:$1048576,15,FALSE))</f>
        <v>#N/A</v>
      </c>
      <c r="AP275" s="438" t="e">
        <f>ABS(VLOOKUP(A275,TradesEquity!$1:$1048576,16,FALSE))</f>
        <v>#N/A</v>
      </c>
      <c r="AQ275" s="367">
        <v>0</v>
      </c>
      <c r="AR275" s="367">
        <v>0</v>
      </c>
      <c r="AS275" s="367">
        <v>0</v>
      </c>
      <c r="AT275" s="367">
        <v>0</v>
      </c>
      <c r="AU275" s="367">
        <v>0</v>
      </c>
      <c r="AV275" s="438" t="e">
        <f>ABS(VLOOKUP(A275,TradesEquity!$1:$1048576,18,FALSE))</f>
        <v>#N/A</v>
      </c>
      <c r="AW275" s="439">
        <v>0</v>
      </c>
      <c r="AX275" s="440">
        <v>4542</v>
      </c>
      <c r="AY275" s="441" t="s">
        <v>2029</v>
      </c>
      <c r="AZ275" s="442" t="e">
        <f>(VLOOKUP(A275,TradesEquity!$1:$1048576,29,FALSE))</f>
        <v>#N/A</v>
      </c>
      <c r="BA275" s="442" t="e">
        <f>(VLOOKUP(A275,TradesEquity!$1:$1048576,30,FALSE))</f>
        <v>#N/A</v>
      </c>
      <c r="BB275" s="442" t="e">
        <f>(VLOOKUP(A275,TradesEquity!$1:$1048576,31,FALSE))</f>
        <v>#N/A</v>
      </c>
      <c r="BC275" s="442" t="e">
        <f>(VLOOKUP(A275,TradesEquity!$1:$1048576,32,FALSE))</f>
        <v>#N/A</v>
      </c>
      <c r="BI275" s="442" t="e">
        <f>(VLOOKUP(A275,TradesEquity!$1:$1048576,38,FALSE))</f>
        <v>#N/A</v>
      </c>
      <c r="BJ275" s="442" t="e">
        <f>(VLOOKUP(A275,TradesEquity!$1:$1048576,39,FALSE))</f>
        <v>#N/A</v>
      </c>
      <c r="BK275" s="442" t="e">
        <f>(VLOOKUP(A275,TradesEquity!$1:$1048576,40,FALSE))</f>
        <v>#N/A</v>
      </c>
    </row>
    <row r="276" spans="4:63">
      <c r="D276" s="432" t="s">
        <v>2027</v>
      </c>
      <c r="F276" s="433" t="e">
        <f>VLOOKUP(A276,TradesEquity!$1:$1048576,2,FALSE)</f>
        <v>#N/A</v>
      </c>
      <c r="H276" s="433" t="e">
        <f>VLOOKUP(A276,TradesEquity!$1:$1048576,21,FALSE)</f>
        <v>#N/A</v>
      </c>
      <c r="I276" s="434" t="e">
        <f>IF(VLOOKUP(A276,TradesEquity!$1:$1048576,3,FALSE)="BUY","B","S")</f>
        <v>#N/A</v>
      </c>
      <c r="J276" s="434" t="e">
        <f>VLOOKUP(A276,TradesEquity!$1:$1048576,5,FALSE)</f>
        <v>#N/A</v>
      </c>
      <c r="K276" s="432" t="s">
        <v>19</v>
      </c>
      <c r="L276" s="435" t="s">
        <v>2028</v>
      </c>
      <c r="AE276" s="436" t="e">
        <f>VLOOKUP(A276,TradesEquity!$1:$1048576,10,FALSE)</f>
        <v>#N/A</v>
      </c>
      <c r="AF276" s="436" t="e">
        <f t="shared" si="12"/>
        <v>#N/A</v>
      </c>
      <c r="AG276" s="436" t="e">
        <f t="shared" si="12"/>
        <v>#N/A</v>
      </c>
      <c r="AH276" s="436" t="e">
        <f t="shared" si="12"/>
        <v>#N/A</v>
      </c>
      <c r="AI276" s="436" t="e">
        <f>ABS(VLOOKUP(A276,TradesEquity!$1:$1048576,13,FALSE))</f>
        <v>#N/A</v>
      </c>
      <c r="AJ276" s="437">
        <v>0</v>
      </c>
      <c r="AK276" s="437">
        <v>1</v>
      </c>
      <c r="AL276" s="436" t="e">
        <f>VLOOKUP(A276,TradesEquity!$1:$1048576,11,FALSE)</f>
        <v>#N/A</v>
      </c>
      <c r="AM276" s="437">
        <v>1</v>
      </c>
      <c r="AN276" s="436" t="e">
        <f>ABS(VLOOKUP(A276,TradesEquity!$1:$1048576,14,FALSE))</f>
        <v>#N/A</v>
      </c>
      <c r="AO276" s="436" t="e">
        <f>ABS(VLOOKUP(A276,TradesEquity!$1:$1048576,15,FALSE))</f>
        <v>#N/A</v>
      </c>
      <c r="AP276" s="438" t="e">
        <f>ABS(VLOOKUP(A276,TradesEquity!$1:$1048576,16,FALSE))</f>
        <v>#N/A</v>
      </c>
      <c r="AQ276" s="367">
        <v>0</v>
      </c>
      <c r="AR276" s="367">
        <v>0</v>
      </c>
      <c r="AS276" s="367">
        <v>0</v>
      </c>
      <c r="AT276" s="367">
        <v>0</v>
      </c>
      <c r="AU276" s="367">
        <v>0</v>
      </c>
      <c r="AV276" s="438" t="e">
        <f>ABS(VLOOKUP(A276,TradesEquity!$1:$1048576,18,FALSE))</f>
        <v>#N/A</v>
      </c>
      <c r="AW276" s="439">
        <v>0</v>
      </c>
      <c r="AX276" s="440">
        <v>4542</v>
      </c>
      <c r="AY276" s="441" t="s">
        <v>2029</v>
      </c>
      <c r="AZ276" s="442" t="e">
        <f>(VLOOKUP(A276,TradesEquity!$1:$1048576,29,FALSE))</f>
        <v>#N/A</v>
      </c>
      <c r="BA276" s="442" t="e">
        <f>(VLOOKUP(A276,TradesEquity!$1:$1048576,30,FALSE))</f>
        <v>#N/A</v>
      </c>
      <c r="BB276" s="442" t="e">
        <f>(VLOOKUP(A276,TradesEquity!$1:$1048576,31,FALSE))</f>
        <v>#N/A</v>
      </c>
      <c r="BC276" s="442" t="e">
        <f>(VLOOKUP(A276,TradesEquity!$1:$1048576,32,FALSE))</f>
        <v>#N/A</v>
      </c>
      <c r="BI276" s="442" t="e">
        <f>(VLOOKUP(A276,TradesEquity!$1:$1048576,38,FALSE))</f>
        <v>#N/A</v>
      </c>
      <c r="BJ276" s="442" t="e">
        <f>(VLOOKUP(A276,TradesEquity!$1:$1048576,39,FALSE))</f>
        <v>#N/A</v>
      </c>
      <c r="BK276" s="442" t="e">
        <f>(VLOOKUP(A276,TradesEquity!$1:$1048576,40,FALSE))</f>
        <v>#N/A</v>
      </c>
    </row>
    <row r="277" spans="4:63">
      <c r="D277" s="432" t="s">
        <v>2027</v>
      </c>
      <c r="F277" s="433" t="e">
        <f>VLOOKUP(A277,TradesEquity!$1:$1048576,2,FALSE)</f>
        <v>#N/A</v>
      </c>
      <c r="H277" s="433" t="e">
        <f>VLOOKUP(A277,TradesEquity!$1:$1048576,21,FALSE)</f>
        <v>#N/A</v>
      </c>
      <c r="I277" s="434" t="e">
        <f>IF(VLOOKUP(A277,TradesEquity!$1:$1048576,3,FALSE)="BUY","B","S")</f>
        <v>#N/A</v>
      </c>
      <c r="J277" s="434" t="e">
        <f>VLOOKUP(A277,TradesEquity!$1:$1048576,5,FALSE)</f>
        <v>#N/A</v>
      </c>
      <c r="K277" s="432" t="s">
        <v>19</v>
      </c>
      <c r="L277" s="435" t="s">
        <v>2028</v>
      </c>
      <c r="AE277" s="436" t="e">
        <f>VLOOKUP(A277,TradesEquity!$1:$1048576,10,FALSE)</f>
        <v>#N/A</v>
      </c>
      <c r="AF277" s="436" t="e">
        <f t="shared" si="12"/>
        <v>#N/A</v>
      </c>
      <c r="AG277" s="436" t="e">
        <f t="shared" si="12"/>
        <v>#N/A</v>
      </c>
      <c r="AH277" s="436" t="e">
        <f t="shared" si="12"/>
        <v>#N/A</v>
      </c>
      <c r="AI277" s="436" t="e">
        <f>ABS(VLOOKUP(A277,TradesEquity!$1:$1048576,13,FALSE))</f>
        <v>#N/A</v>
      </c>
      <c r="AJ277" s="437">
        <v>0</v>
      </c>
      <c r="AK277" s="437">
        <v>1</v>
      </c>
      <c r="AL277" s="436" t="e">
        <f>VLOOKUP(A277,TradesEquity!$1:$1048576,11,FALSE)</f>
        <v>#N/A</v>
      </c>
      <c r="AM277" s="437">
        <v>1</v>
      </c>
      <c r="AN277" s="436" t="e">
        <f>ABS(VLOOKUP(A277,TradesEquity!$1:$1048576,14,FALSE))</f>
        <v>#N/A</v>
      </c>
      <c r="AO277" s="436" t="e">
        <f>ABS(VLOOKUP(A277,TradesEquity!$1:$1048576,15,FALSE))</f>
        <v>#N/A</v>
      </c>
      <c r="AP277" s="438" t="e">
        <f>ABS(VLOOKUP(A277,TradesEquity!$1:$1048576,16,FALSE))</f>
        <v>#N/A</v>
      </c>
      <c r="AQ277" s="367">
        <v>0</v>
      </c>
      <c r="AR277" s="367">
        <v>0</v>
      </c>
      <c r="AS277" s="367">
        <v>0</v>
      </c>
      <c r="AT277" s="367">
        <v>0</v>
      </c>
      <c r="AU277" s="367">
        <v>0</v>
      </c>
      <c r="AV277" s="438" t="e">
        <f>ABS(VLOOKUP(A277,TradesEquity!$1:$1048576,18,FALSE))</f>
        <v>#N/A</v>
      </c>
      <c r="AW277" s="439">
        <v>0</v>
      </c>
      <c r="AX277" s="440">
        <v>4542</v>
      </c>
      <c r="AY277" s="441" t="s">
        <v>2029</v>
      </c>
      <c r="AZ277" s="442" t="e">
        <f>(VLOOKUP(A277,TradesEquity!$1:$1048576,29,FALSE))</f>
        <v>#N/A</v>
      </c>
      <c r="BA277" s="442" t="e">
        <f>(VLOOKUP(A277,TradesEquity!$1:$1048576,30,FALSE))</f>
        <v>#N/A</v>
      </c>
      <c r="BB277" s="442" t="e">
        <f>(VLOOKUP(A277,TradesEquity!$1:$1048576,31,FALSE))</f>
        <v>#N/A</v>
      </c>
      <c r="BC277" s="442" t="e">
        <f>(VLOOKUP(A277,TradesEquity!$1:$1048576,32,FALSE))</f>
        <v>#N/A</v>
      </c>
      <c r="BI277" s="442" t="e">
        <f>(VLOOKUP(A277,TradesEquity!$1:$1048576,38,FALSE))</f>
        <v>#N/A</v>
      </c>
      <c r="BJ277" s="442" t="e">
        <f>(VLOOKUP(A277,TradesEquity!$1:$1048576,39,FALSE))</f>
        <v>#N/A</v>
      </c>
      <c r="BK277" s="442" t="e">
        <f>(VLOOKUP(A277,TradesEquity!$1:$1048576,40,FALSE))</f>
        <v>#N/A</v>
      </c>
    </row>
    <row r="278" spans="4:63">
      <c r="D278" s="432" t="s">
        <v>2027</v>
      </c>
      <c r="F278" s="433" t="e">
        <f>VLOOKUP(A278,TradesEquity!$1:$1048576,2,FALSE)</f>
        <v>#N/A</v>
      </c>
      <c r="H278" s="433" t="e">
        <f>VLOOKUP(A278,TradesEquity!$1:$1048576,21,FALSE)</f>
        <v>#N/A</v>
      </c>
      <c r="I278" s="434" t="e">
        <f>IF(VLOOKUP(A278,TradesEquity!$1:$1048576,3,FALSE)="BUY","B","S")</f>
        <v>#N/A</v>
      </c>
      <c r="J278" s="434" t="e">
        <f>VLOOKUP(A278,TradesEquity!$1:$1048576,5,FALSE)</f>
        <v>#N/A</v>
      </c>
      <c r="K278" s="432" t="s">
        <v>19</v>
      </c>
      <c r="L278" s="435" t="s">
        <v>2028</v>
      </c>
      <c r="AE278" s="436" t="e">
        <f>VLOOKUP(A278,TradesEquity!$1:$1048576,10,FALSE)</f>
        <v>#N/A</v>
      </c>
      <c r="AF278" s="436" t="e">
        <f t="shared" si="12"/>
        <v>#N/A</v>
      </c>
      <c r="AG278" s="436" t="e">
        <f t="shared" si="12"/>
        <v>#N/A</v>
      </c>
      <c r="AH278" s="436" t="e">
        <f t="shared" si="12"/>
        <v>#N/A</v>
      </c>
      <c r="AI278" s="436" t="e">
        <f>ABS(VLOOKUP(A278,TradesEquity!$1:$1048576,13,FALSE))</f>
        <v>#N/A</v>
      </c>
      <c r="AJ278" s="437">
        <v>0</v>
      </c>
      <c r="AK278" s="437">
        <v>1</v>
      </c>
      <c r="AL278" s="436" t="e">
        <f>VLOOKUP(A278,TradesEquity!$1:$1048576,11,FALSE)</f>
        <v>#N/A</v>
      </c>
      <c r="AM278" s="437">
        <v>1</v>
      </c>
      <c r="AN278" s="436" t="e">
        <f>ABS(VLOOKUP(A278,TradesEquity!$1:$1048576,14,FALSE))</f>
        <v>#N/A</v>
      </c>
      <c r="AO278" s="436" t="e">
        <f>ABS(VLOOKUP(A278,TradesEquity!$1:$1048576,15,FALSE))</f>
        <v>#N/A</v>
      </c>
      <c r="AP278" s="438" t="e">
        <f>ABS(VLOOKUP(A278,TradesEquity!$1:$1048576,16,FALSE))</f>
        <v>#N/A</v>
      </c>
      <c r="AQ278" s="367">
        <v>0</v>
      </c>
      <c r="AR278" s="367">
        <v>0</v>
      </c>
      <c r="AS278" s="367">
        <v>0</v>
      </c>
      <c r="AT278" s="367">
        <v>0</v>
      </c>
      <c r="AU278" s="367">
        <v>0</v>
      </c>
      <c r="AV278" s="438" t="e">
        <f>ABS(VLOOKUP(A278,TradesEquity!$1:$1048576,18,FALSE))</f>
        <v>#N/A</v>
      </c>
      <c r="AW278" s="439">
        <v>0</v>
      </c>
      <c r="AX278" s="440">
        <v>4542</v>
      </c>
      <c r="AY278" s="441" t="s">
        <v>2029</v>
      </c>
      <c r="AZ278" s="442" t="e">
        <f>(VLOOKUP(A278,TradesEquity!$1:$1048576,29,FALSE))</f>
        <v>#N/A</v>
      </c>
      <c r="BA278" s="442" t="e">
        <f>(VLOOKUP(A278,TradesEquity!$1:$1048576,30,FALSE))</f>
        <v>#N/A</v>
      </c>
      <c r="BB278" s="442" t="e">
        <f>(VLOOKUP(A278,TradesEquity!$1:$1048576,31,FALSE))</f>
        <v>#N/A</v>
      </c>
      <c r="BC278" s="442" t="e">
        <f>(VLOOKUP(A278,TradesEquity!$1:$1048576,32,FALSE))</f>
        <v>#N/A</v>
      </c>
      <c r="BI278" s="442" t="e">
        <f>(VLOOKUP(A278,TradesEquity!$1:$1048576,38,FALSE))</f>
        <v>#N/A</v>
      </c>
      <c r="BJ278" s="442" t="e">
        <f>(VLOOKUP(A278,TradesEquity!$1:$1048576,39,FALSE))</f>
        <v>#N/A</v>
      </c>
      <c r="BK278" s="442" t="e">
        <f>(VLOOKUP(A278,TradesEquity!$1:$1048576,40,FALSE))</f>
        <v>#N/A</v>
      </c>
    </row>
    <row r="279" spans="4:63">
      <c r="D279" s="432" t="s">
        <v>2027</v>
      </c>
      <c r="F279" s="433" t="e">
        <f>VLOOKUP(A279,TradesEquity!$1:$1048576,2,FALSE)</f>
        <v>#N/A</v>
      </c>
      <c r="H279" s="433" t="e">
        <f>VLOOKUP(A279,TradesEquity!$1:$1048576,21,FALSE)</f>
        <v>#N/A</v>
      </c>
      <c r="I279" s="434" t="e">
        <f>IF(VLOOKUP(A279,TradesEquity!$1:$1048576,3,FALSE)="BUY","B","S")</f>
        <v>#N/A</v>
      </c>
      <c r="J279" s="434" t="e">
        <f>VLOOKUP(A279,TradesEquity!$1:$1048576,5,FALSE)</f>
        <v>#N/A</v>
      </c>
      <c r="K279" s="432" t="s">
        <v>19</v>
      </c>
      <c r="L279" s="435" t="s">
        <v>2028</v>
      </c>
      <c r="AE279" s="436" t="e">
        <f>VLOOKUP(A279,TradesEquity!$1:$1048576,10,FALSE)</f>
        <v>#N/A</v>
      </c>
      <c r="AF279" s="436" t="e">
        <f t="shared" si="12"/>
        <v>#N/A</v>
      </c>
      <c r="AG279" s="436" t="e">
        <f t="shared" si="12"/>
        <v>#N/A</v>
      </c>
      <c r="AH279" s="436" t="e">
        <f t="shared" si="12"/>
        <v>#N/A</v>
      </c>
      <c r="AI279" s="436" t="e">
        <f>ABS(VLOOKUP(A279,TradesEquity!$1:$1048576,13,FALSE))</f>
        <v>#N/A</v>
      </c>
      <c r="AJ279" s="437">
        <v>0</v>
      </c>
      <c r="AK279" s="437">
        <v>1</v>
      </c>
      <c r="AL279" s="436" t="e">
        <f>VLOOKUP(A279,TradesEquity!$1:$1048576,11,FALSE)</f>
        <v>#N/A</v>
      </c>
      <c r="AM279" s="437">
        <v>1</v>
      </c>
      <c r="AN279" s="436" t="e">
        <f>ABS(VLOOKUP(A279,TradesEquity!$1:$1048576,14,FALSE))</f>
        <v>#N/A</v>
      </c>
      <c r="AO279" s="436" t="e">
        <f>ABS(VLOOKUP(A279,TradesEquity!$1:$1048576,15,FALSE))</f>
        <v>#N/A</v>
      </c>
      <c r="AP279" s="438" t="e">
        <f>ABS(VLOOKUP(A279,TradesEquity!$1:$1048576,16,FALSE))</f>
        <v>#N/A</v>
      </c>
      <c r="AQ279" s="367">
        <v>0</v>
      </c>
      <c r="AR279" s="367">
        <v>0</v>
      </c>
      <c r="AS279" s="367">
        <v>0</v>
      </c>
      <c r="AT279" s="367">
        <v>0</v>
      </c>
      <c r="AU279" s="367">
        <v>0</v>
      </c>
      <c r="AV279" s="438" t="e">
        <f>ABS(VLOOKUP(A279,TradesEquity!$1:$1048576,18,FALSE))</f>
        <v>#N/A</v>
      </c>
      <c r="AW279" s="439">
        <v>0</v>
      </c>
      <c r="AX279" s="440">
        <v>4542</v>
      </c>
      <c r="AY279" s="441" t="s">
        <v>2029</v>
      </c>
      <c r="AZ279" s="442" t="e">
        <f>(VLOOKUP(A279,TradesEquity!$1:$1048576,29,FALSE))</f>
        <v>#N/A</v>
      </c>
      <c r="BA279" s="442" t="e">
        <f>(VLOOKUP(A279,TradesEquity!$1:$1048576,30,FALSE))</f>
        <v>#N/A</v>
      </c>
      <c r="BB279" s="442" t="e">
        <f>(VLOOKUP(A279,TradesEquity!$1:$1048576,31,FALSE))</f>
        <v>#N/A</v>
      </c>
      <c r="BC279" s="442" t="e">
        <f>(VLOOKUP(A279,TradesEquity!$1:$1048576,32,FALSE))</f>
        <v>#N/A</v>
      </c>
      <c r="BI279" s="442" t="e">
        <f>(VLOOKUP(A279,TradesEquity!$1:$1048576,38,FALSE))</f>
        <v>#N/A</v>
      </c>
      <c r="BJ279" s="442" t="e">
        <f>(VLOOKUP(A279,TradesEquity!$1:$1048576,39,FALSE))</f>
        <v>#N/A</v>
      </c>
      <c r="BK279" s="442" t="e">
        <f>(VLOOKUP(A279,TradesEquity!$1:$1048576,40,FALSE))</f>
        <v>#N/A</v>
      </c>
    </row>
    <row r="280" spans="4:63">
      <c r="D280" s="432" t="s">
        <v>2027</v>
      </c>
      <c r="F280" s="433" t="e">
        <f>VLOOKUP(A280,TradesEquity!$1:$1048576,2,FALSE)</f>
        <v>#N/A</v>
      </c>
      <c r="H280" s="433" t="e">
        <f>VLOOKUP(A280,TradesEquity!$1:$1048576,21,FALSE)</f>
        <v>#N/A</v>
      </c>
      <c r="I280" s="434" t="e">
        <f>IF(VLOOKUP(A280,TradesEquity!$1:$1048576,3,FALSE)="BUY","B","S")</f>
        <v>#N/A</v>
      </c>
      <c r="J280" s="434" t="e">
        <f>VLOOKUP(A280,TradesEquity!$1:$1048576,5,FALSE)</f>
        <v>#N/A</v>
      </c>
      <c r="K280" s="432" t="s">
        <v>19</v>
      </c>
      <c r="L280" s="435" t="s">
        <v>2028</v>
      </c>
      <c r="AE280" s="436" t="e">
        <f>VLOOKUP(A280,TradesEquity!$1:$1048576,10,FALSE)</f>
        <v>#N/A</v>
      </c>
      <c r="AF280" s="436" t="e">
        <f t="shared" si="12"/>
        <v>#N/A</v>
      </c>
      <c r="AG280" s="436" t="e">
        <f t="shared" si="12"/>
        <v>#N/A</v>
      </c>
      <c r="AH280" s="436" t="e">
        <f t="shared" si="12"/>
        <v>#N/A</v>
      </c>
      <c r="AI280" s="436" t="e">
        <f>ABS(VLOOKUP(A280,TradesEquity!$1:$1048576,13,FALSE))</f>
        <v>#N/A</v>
      </c>
      <c r="AJ280" s="437">
        <v>0</v>
      </c>
      <c r="AK280" s="437">
        <v>1</v>
      </c>
      <c r="AL280" s="436" t="e">
        <f>VLOOKUP(A280,TradesEquity!$1:$1048576,11,FALSE)</f>
        <v>#N/A</v>
      </c>
      <c r="AM280" s="437">
        <v>1</v>
      </c>
      <c r="AN280" s="436" t="e">
        <f>ABS(VLOOKUP(A280,TradesEquity!$1:$1048576,14,FALSE))</f>
        <v>#N/A</v>
      </c>
      <c r="AO280" s="436" t="e">
        <f>ABS(VLOOKUP(A280,TradesEquity!$1:$1048576,15,FALSE))</f>
        <v>#N/A</v>
      </c>
      <c r="AP280" s="438" t="e">
        <f>ABS(VLOOKUP(A280,TradesEquity!$1:$1048576,16,FALSE))</f>
        <v>#N/A</v>
      </c>
      <c r="AQ280" s="367">
        <v>0</v>
      </c>
      <c r="AR280" s="367">
        <v>0</v>
      </c>
      <c r="AS280" s="367">
        <v>0</v>
      </c>
      <c r="AT280" s="367">
        <v>0</v>
      </c>
      <c r="AU280" s="367">
        <v>0</v>
      </c>
      <c r="AV280" s="438" t="e">
        <f>ABS(VLOOKUP(A280,TradesEquity!$1:$1048576,18,FALSE))</f>
        <v>#N/A</v>
      </c>
      <c r="AW280" s="439">
        <v>0</v>
      </c>
      <c r="AX280" s="440">
        <v>4542</v>
      </c>
      <c r="AY280" s="441" t="s">
        <v>2029</v>
      </c>
      <c r="AZ280" s="442" t="e">
        <f>(VLOOKUP(A280,TradesEquity!$1:$1048576,29,FALSE))</f>
        <v>#N/A</v>
      </c>
      <c r="BA280" s="442" t="e">
        <f>(VLOOKUP(A280,TradesEquity!$1:$1048576,30,FALSE))</f>
        <v>#N/A</v>
      </c>
      <c r="BB280" s="442" t="e">
        <f>(VLOOKUP(A280,TradesEquity!$1:$1048576,31,FALSE))</f>
        <v>#N/A</v>
      </c>
      <c r="BC280" s="442" t="e">
        <f>(VLOOKUP(A280,TradesEquity!$1:$1048576,32,FALSE))</f>
        <v>#N/A</v>
      </c>
      <c r="BI280" s="442" t="e">
        <f>(VLOOKUP(A280,TradesEquity!$1:$1048576,38,FALSE))</f>
        <v>#N/A</v>
      </c>
      <c r="BJ280" s="442" t="e">
        <f>(VLOOKUP(A280,TradesEquity!$1:$1048576,39,FALSE))</f>
        <v>#N/A</v>
      </c>
      <c r="BK280" s="442" t="e">
        <f>(VLOOKUP(A280,TradesEquity!$1:$1048576,40,FALSE))</f>
        <v>#N/A</v>
      </c>
    </row>
    <row r="281" spans="4:63">
      <c r="D281" s="432" t="s">
        <v>2027</v>
      </c>
      <c r="F281" s="433" t="e">
        <f>VLOOKUP(A281,TradesEquity!$1:$1048576,2,FALSE)</f>
        <v>#N/A</v>
      </c>
      <c r="H281" s="433" t="e">
        <f>VLOOKUP(A281,TradesEquity!$1:$1048576,21,FALSE)</f>
        <v>#N/A</v>
      </c>
      <c r="I281" s="434" t="e">
        <f>IF(VLOOKUP(A281,TradesEquity!$1:$1048576,3,FALSE)="BUY","B","S")</f>
        <v>#N/A</v>
      </c>
      <c r="J281" s="434" t="e">
        <f>VLOOKUP(A281,TradesEquity!$1:$1048576,5,FALSE)</f>
        <v>#N/A</v>
      </c>
      <c r="K281" s="432" t="s">
        <v>19</v>
      </c>
      <c r="L281" s="435" t="s">
        <v>2028</v>
      </c>
      <c r="AE281" s="436" t="e">
        <f>VLOOKUP(A281,TradesEquity!$1:$1048576,10,FALSE)</f>
        <v>#N/A</v>
      </c>
      <c r="AF281" s="436" t="e">
        <f t="shared" si="12"/>
        <v>#N/A</v>
      </c>
      <c r="AG281" s="436" t="e">
        <f t="shared" si="12"/>
        <v>#N/A</v>
      </c>
      <c r="AH281" s="436" t="e">
        <f t="shared" si="12"/>
        <v>#N/A</v>
      </c>
      <c r="AI281" s="436" t="e">
        <f>ABS(VLOOKUP(A281,TradesEquity!$1:$1048576,13,FALSE))</f>
        <v>#N/A</v>
      </c>
      <c r="AJ281" s="437">
        <v>0</v>
      </c>
      <c r="AK281" s="437">
        <v>1</v>
      </c>
      <c r="AL281" s="436" t="e">
        <f>VLOOKUP(A281,TradesEquity!$1:$1048576,11,FALSE)</f>
        <v>#N/A</v>
      </c>
      <c r="AM281" s="437">
        <v>1</v>
      </c>
      <c r="AN281" s="436" t="e">
        <f>ABS(VLOOKUP(A281,TradesEquity!$1:$1048576,14,FALSE))</f>
        <v>#N/A</v>
      </c>
      <c r="AO281" s="436" t="e">
        <f>ABS(VLOOKUP(A281,TradesEquity!$1:$1048576,15,FALSE))</f>
        <v>#N/A</v>
      </c>
      <c r="AP281" s="438" t="e">
        <f>ABS(VLOOKUP(A281,TradesEquity!$1:$1048576,16,FALSE))</f>
        <v>#N/A</v>
      </c>
      <c r="AQ281" s="367">
        <v>0</v>
      </c>
      <c r="AR281" s="367">
        <v>0</v>
      </c>
      <c r="AS281" s="367">
        <v>0</v>
      </c>
      <c r="AT281" s="367">
        <v>0</v>
      </c>
      <c r="AU281" s="367">
        <v>0</v>
      </c>
      <c r="AV281" s="438" t="e">
        <f>ABS(VLOOKUP(A281,TradesEquity!$1:$1048576,18,FALSE))</f>
        <v>#N/A</v>
      </c>
      <c r="AW281" s="439">
        <v>0</v>
      </c>
      <c r="AX281" s="440">
        <v>4542</v>
      </c>
      <c r="AY281" s="441" t="s">
        <v>2029</v>
      </c>
      <c r="AZ281" s="442" t="e">
        <f>(VLOOKUP(A281,TradesEquity!$1:$1048576,29,FALSE))</f>
        <v>#N/A</v>
      </c>
      <c r="BA281" s="442" t="e">
        <f>(VLOOKUP(A281,TradesEquity!$1:$1048576,30,FALSE))</f>
        <v>#N/A</v>
      </c>
      <c r="BB281" s="442" t="e">
        <f>(VLOOKUP(A281,TradesEquity!$1:$1048576,31,FALSE))</f>
        <v>#N/A</v>
      </c>
      <c r="BC281" s="442" t="e">
        <f>(VLOOKUP(A281,TradesEquity!$1:$1048576,32,FALSE))</f>
        <v>#N/A</v>
      </c>
      <c r="BI281" s="442" t="e">
        <f>(VLOOKUP(A281,TradesEquity!$1:$1048576,38,FALSE))</f>
        <v>#N/A</v>
      </c>
      <c r="BJ281" s="442" t="e">
        <f>(VLOOKUP(A281,TradesEquity!$1:$1048576,39,FALSE))</f>
        <v>#N/A</v>
      </c>
      <c r="BK281" s="442" t="e">
        <f>(VLOOKUP(A281,TradesEquity!$1:$1048576,40,FALSE))</f>
        <v>#N/A</v>
      </c>
    </row>
    <row r="282" spans="4:63">
      <c r="D282" s="432" t="s">
        <v>2027</v>
      </c>
      <c r="F282" s="433" t="e">
        <f>VLOOKUP(A282,TradesEquity!$1:$1048576,2,FALSE)</f>
        <v>#N/A</v>
      </c>
      <c r="H282" s="433" t="e">
        <f>VLOOKUP(A282,TradesEquity!$1:$1048576,21,FALSE)</f>
        <v>#N/A</v>
      </c>
      <c r="I282" s="434" t="e">
        <f>IF(VLOOKUP(A282,TradesEquity!$1:$1048576,3,FALSE)="BUY","B","S")</f>
        <v>#N/A</v>
      </c>
      <c r="J282" s="434" t="e">
        <f>VLOOKUP(A282,TradesEquity!$1:$1048576,5,FALSE)</f>
        <v>#N/A</v>
      </c>
      <c r="K282" s="432" t="s">
        <v>19</v>
      </c>
      <c r="L282" s="435" t="s">
        <v>2028</v>
      </c>
      <c r="AE282" s="436" t="e">
        <f>VLOOKUP(A282,TradesEquity!$1:$1048576,10,FALSE)</f>
        <v>#N/A</v>
      </c>
      <c r="AF282" s="436" t="e">
        <f t="shared" si="12"/>
        <v>#N/A</v>
      </c>
      <c r="AG282" s="436" t="e">
        <f t="shared" si="12"/>
        <v>#N/A</v>
      </c>
      <c r="AH282" s="436" t="e">
        <f t="shared" si="12"/>
        <v>#N/A</v>
      </c>
      <c r="AI282" s="436" t="e">
        <f>ABS(VLOOKUP(A282,TradesEquity!$1:$1048576,13,FALSE))</f>
        <v>#N/A</v>
      </c>
      <c r="AJ282" s="437">
        <v>0</v>
      </c>
      <c r="AK282" s="437">
        <v>1</v>
      </c>
      <c r="AL282" s="436" t="e">
        <f>VLOOKUP(A282,TradesEquity!$1:$1048576,11,FALSE)</f>
        <v>#N/A</v>
      </c>
      <c r="AM282" s="437">
        <v>1</v>
      </c>
      <c r="AN282" s="436" t="e">
        <f>ABS(VLOOKUP(A282,TradesEquity!$1:$1048576,14,FALSE))</f>
        <v>#N/A</v>
      </c>
      <c r="AO282" s="436" t="e">
        <f>ABS(VLOOKUP(A282,TradesEquity!$1:$1048576,15,FALSE))</f>
        <v>#N/A</v>
      </c>
      <c r="AP282" s="438" t="e">
        <f>ABS(VLOOKUP(A282,TradesEquity!$1:$1048576,16,FALSE))</f>
        <v>#N/A</v>
      </c>
      <c r="AQ282" s="367">
        <v>0</v>
      </c>
      <c r="AR282" s="367">
        <v>0</v>
      </c>
      <c r="AS282" s="367">
        <v>0</v>
      </c>
      <c r="AT282" s="367">
        <v>0</v>
      </c>
      <c r="AU282" s="367">
        <v>0</v>
      </c>
      <c r="AV282" s="438" t="e">
        <f>ABS(VLOOKUP(A282,TradesEquity!$1:$1048576,18,FALSE))</f>
        <v>#N/A</v>
      </c>
      <c r="AW282" s="439">
        <v>0</v>
      </c>
      <c r="AX282" s="440">
        <v>4542</v>
      </c>
      <c r="AY282" s="441" t="s">
        <v>2029</v>
      </c>
      <c r="AZ282" s="442" t="e">
        <f>(VLOOKUP(A282,TradesEquity!$1:$1048576,29,FALSE))</f>
        <v>#N/A</v>
      </c>
      <c r="BA282" s="442" t="e">
        <f>(VLOOKUP(A282,TradesEquity!$1:$1048576,30,FALSE))</f>
        <v>#N/A</v>
      </c>
      <c r="BB282" s="442" t="e">
        <f>(VLOOKUP(A282,TradesEquity!$1:$1048576,31,FALSE))</f>
        <v>#N/A</v>
      </c>
      <c r="BC282" s="442" t="e">
        <f>(VLOOKUP(A282,TradesEquity!$1:$1048576,32,FALSE))</f>
        <v>#N/A</v>
      </c>
      <c r="BI282" s="442" t="e">
        <f>(VLOOKUP(A282,TradesEquity!$1:$1048576,38,FALSE))</f>
        <v>#N/A</v>
      </c>
      <c r="BJ282" s="442" t="e">
        <f>(VLOOKUP(A282,TradesEquity!$1:$1048576,39,FALSE))</f>
        <v>#N/A</v>
      </c>
      <c r="BK282" s="442" t="e">
        <f>(VLOOKUP(A282,TradesEquity!$1:$1048576,40,FALSE))</f>
        <v>#N/A</v>
      </c>
    </row>
    <row r="283" spans="4:63">
      <c r="D283" s="432" t="s">
        <v>2027</v>
      </c>
      <c r="F283" s="433" t="e">
        <f>VLOOKUP(A283,TradesEquity!$1:$1048576,2,FALSE)</f>
        <v>#N/A</v>
      </c>
      <c r="H283" s="433" t="e">
        <f>VLOOKUP(A283,TradesEquity!$1:$1048576,21,FALSE)</f>
        <v>#N/A</v>
      </c>
      <c r="I283" s="434" t="e">
        <f>IF(VLOOKUP(A283,TradesEquity!$1:$1048576,3,FALSE)="BUY","B","S")</f>
        <v>#N/A</v>
      </c>
      <c r="J283" s="434" t="e">
        <f>VLOOKUP(A283,TradesEquity!$1:$1048576,5,FALSE)</f>
        <v>#N/A</v>
      </c>
      <c r="K283" s="432" t="s">
        <v>19</v>
      </c>
      <c r="L283" s="435" t="s">
        <v>2028</v>
      </c>
      <c r="AE283" s="436" t="e">
        <f>VLOOKUP(A283,TradesEquity!$1:$1048576,10,FALSE)</f>
        <v>#N/A</v>
      </c>
      <c r="AF283" s="436" t="e">
        <f t="shared" si="12"/>
        <v>#N/A</v>
      </c>
      <c r="AG283" s="436" t="e">
        <f t="shared" si="12"/>
        <v>#N/A</v>
      </c>
      <c r="AH283" s="436" t="e">
        <f t="shared" si="12"/>
        <v>#N/A</v>
      </c>
      <c r="AI283" s="436" t="e">
        <f>ABS(VLOOKUP(A283,TradesEquity!$1:$1048576,13,FALSE))</f>
        <v>#N/A</v>
      </c>
      <c r="AJ283" s="437">
        <v>0</v>
      </c>
      <c r="AK283" s="437">
        <v>1</v>
      </c>
      <c r="AL283" s="436" t="e">
        <f>VLOOKUP(A283,TradesEquity!$1:$1048576,11,FALSE)</f>
        <v>#N/A</v>
      </c>
      <c r="AM283" s="437">
        <v>1</v>
      </c>
      <c r="AN283" s="436" t="e">
        <f>ABS(VLOOKUP(A283,TradesEquity!$1:$1048576,14,FALSE))</f>
        <v>#N/A</v>
      </c>
      <c r="AO283" s="436" t="e">
        <f>ABS(VLOOKUP(A283,TradesEquity!$1:$1048576,15,FALSE))</f>
        <v>#N/A</v>
      </c>
      <c r="AP283" s="438" t="e">
        <f>ABS(VLOOKUP(A283,TradesEquity!$1:$1048576,16,FALSE))</f>
        <v>#N/A</v>
      </c>
      <c r="AQ283" s="367">
        <v>0</v>
      </c>
      <c r="AR283" s="367">
        <v>0</v>
      </c>
      <c r="AS283" s="367">
        <v>0</v>
      </c>
      <c r="AT283" s="367">
        <v>0</v>
      </c>
      <c r="AU283" s="367">
        <v>0</v>
      </c>
      <c r="AV283" s="438" t="e">
        <f>ABS(VLOOKUP(A283,TradesEquity!$1:$1048576,18,FALSE))</f>
        <v>#N/A</v>
      </c>
      <c r="AW283" s="439">
        <v>0</v>
      </c>
      <c r="AX283" s="440">
        <v>4542</v>
      </c>
      <c r="AY283" s="441" t="s">
        <v>2029</v>
      </c>
      <c r="AZ283" s="442" t="e">
        <f>(VLOOKUP(A283,TradesEquity!$1:$1048576,29,FALSE))</f>
        <v>#N/A</v>
      </c>
      <c r="BA283" s="442" t="e">
        <f>(VLOOKUP(A283,TradesEquity!$1:$1048576,30,FALSE))</f>
        <v>#N/A</v>
      </c>
      <c r="BB283" s="442" t="e">
        <f>(VLOOKUP(A283,TradesEquity!$1:$1048576,31,FALSE))</f>
        <v>#N/A</v>
      </c>
      <c r="BC283" s="442" t="e">
        <f>(VLOOKUP(A283,TradesEquity!$1:$1048576,32,FALSE))</f>
        <v>#N/A</v>
      </c>
      <c r="BI283" s="442" t="e">
        <f>(VLOOKUP(A283,TradesEquity!$1:$1048576,38,FALSE))</f>
        <v>#N/A</v>
      </c>
      <c r="BJ283" s="442" t="e">
        <f>(VLOOKUP(A283,TradesEquity!$1:$1048576,39,FALSE))</f>
        <v>#N/A</v>
      </c>
      <c r="BK283" s="442" t="e">
        <f>(VLOOKUP(A283,TradesEquity!$1:$1048576,40,FALSE))</f>
        <v>#N/A</v>
      </c>
    </row>
    <row r="284" spans="4:63">
      <c r="D284" s="432" t="s">
        <v>2027</v>
      </c>
      <c r="F284" s="433" t="e">
        <f>VLOOKUP(A284,TradesEquity!$1:$1048576,2,FALSE)</f>
        <v>#N/A</v>
      </c>
      <c r="H284" s="433" t="e">
        <f>VLOOKUP(A284,TradesEquity!$1:$1048576,21,FALSE)</f>
        <v>#N/A</v>
      </c>
      <c r="I284" s="434" t="e">
        <f>IF(VLOOKUP(A284,TradesEquity!$1:$1048576,3,FALSE)="BUY","B","S")</f>
        <v>#N/A</v>
      </c>
      <c r="J284" s="434" t="e">
        <f>VLOOKUP(A284,TradesEquity!$1:$1048576,5,FALSE)</f>
        <v>#N/A</v>
      </c>
      <c r="K284" s="432" t="s">
        <v>19</v>
      </c>
      <c r="L284" s="435" t="s">
        <v>2028</v>
      </c>
      <c r="AE284" s="436" t="e">
        <f>VLOOKUP(A284,TradesEquity!$1:$1048576,10,FALSE)</f>
        <v>#N/A</v>
      </c>
      <c r="AF284" s="436" t="e">
        <f t="shared" si="12"/>
        <v>#N/A</v>
      </c>
      <c r="AG284" s="436" t="e">
        <f t="shared" si="12"/>
        <v>#N/A</v>
      </c>
      <c r="AH284" s="436" t="e">
        <f t="shared" si="12"/>
        <v>#N/A</v>
      </c>
      <c r="AI284" s="436" t="e">
        <f>ABS(VLOOKUP(A284,TradesEquity!$1:$1048576,13,FALSE))</f>
        <v>#N/A</v>
      </c>
      <c r="AJ284" s="437">
        <v>0</v>
      </c>
      <c r="AK284" s="437">
        <v>1</v>
      </c>
      <c r="AL284" s="436" t="e">
        <f>VLOOKUP(A284,TradesEquity!$1:$1048576,11,FALSE)</f>
        <v>#N/A</v>
      </c>
      <c r="AM284" s="437">
        <v>1</v>
      </c>
      <c r="AN284" s="436" t="e">
        <f>ABS(VLOOKUP(A284,TradesEquity!$1:$1048576,14,FALSE))</f>
        <v>#N/A</v>
      </c>
      <c r="AO284" s="436" t="e">
        <f>ABS(VLOOKUP(A284,TradesEquity!$1:$1048576,15,FALSE))</f>
        <v>#N/A</v>
      </c>
      <c r="AP284" s="438" t="e">
        <f>ABS(VLOOKUP(A284,TradesEquity!$1:$1048576,16,FALSE))</f>
        <v>#N/A</v>
      </c>
      <c r="AQ284" s="367">
        <v>0</v>
      </c>
      <c r="AR284" s="367">
        <v>0</v>
      </c>
      <c r="AS284" s="367">
        <v>0</v>
      </c>
      <c r="AT284" s="367">
        <v>0</v>
      </c>
      <c r="AU284" s="367">
        <v>0</v>
      </c>
      <c r="AV284" s="438" t="e">
        <f>ABS(VLOOKUP(A284,TradesEquity!$1:$1048576,18,FALSE))</f>
        <v>#N/A</v>
      </c>
      <c r="AW284" s="439">
        <v>0</v>
      </c>
      <c r="AX284" s="440">
        <v>4542</v>
      </c>
      <c r="AY284" s="441" t="s">
        <v>2029</v>
      </c>
      <c r="AZ284" s="442" t="e">
        <f>(VLOOKUP(A284,TradesEquity!$1:$1048576,29,FALSE))</f>
        <v>#N/A</v>
      </c>
      <c r="BA284" s="442" t="e">
        <f>(VLOOKUP(A284,TradesEquity!$1:$1048576,30,FALSE))</f>
        <v>#N/A</v>
      </c>
      <c r="BB284" s="442" t="e">
        <f>(VLOOKUP(A284,TradesEquity!$1:$1048576,31,FALSE))</f>
        <v>#N/A</v>
      </c>
      <c r="BC284" s="442" t="e">
        <f>(VLOOKUP(A284,TradesEquity!$1:$1048576,32,FALSE))</f>
        <v>#N/A</v>
      </c>
      <c r="BI284" s="442" t="e">
        <f>(VLOOKUP(A284,TradesEquity!$1:$1048576,38,FALSE))</f>
        <v>#N/A</v>
      </c>
      <c r="BJ284" s="442" t="e">
        <f>(VLOOKUP(A284,TradesEquity!$1:$1048576,39,FALSE))</f>
        <v>#N/A</v>
      </c>
      <c r="BK284" s="442" t="e">
        <f>(VLOOKUP(A284,TradesEquity!$1:$1048576,40,FALSE))</f>
        <v>#N/A</v>
      </c>
    </row>
    <row r="285" spans="4:63">
      <c r="D285" s="432" t="s">
        <v>2027</v>
      </c>
      <c r="F285" s="433" t="e">
        <f>VLOOKUP(A285,TradesEquity!$1:$1048576,2,FALSE)</f>
        <v>#N/A</v>
      </c>
      <c r="H285" s="433" t="e">
        <f>VLOOKUP(A285,TradesEquity!$1:$1048576,21,FALSE)</f>
        <v>#N/A</v>
      </c>
      <c r="I285" s="434" t="e">
        <f>IF(VLOOKUP(A285,TradesEquity!$1:$1048576,3,FALSE)="BUY","B","S")</f>
        <v>#N/A</v>
      </c>
      <c r="J285" s="434" t="e">
        <f>VLOOKUP(A285,TradesEquity!$1:$1048576,5,FALSE)</f>
        <v>#N/A</v>
      </c>
      <c r="K285" s="432" t="s">
        <v>19</v>
      </c>
      <c r="L285" s="435" t="s">
        <v>2028</v>
      </c>
      <c r="AE285" s="436" t="e">
        <f>VLOOKUP(A285,TradesEquity!$1:$1048576,10,FALSE)</f>
        <v>#N/A</v>
      </c>
      <c r="AF285" s="436" t="e">
        <f t="shared" si="12"/>
        <v>#N/A</v>
      </c>
      <c r="AG285" s="436" t="e">
        <f t="shared" si="12"/>
        <v>#N/A</v>
      </c>
      <c r="AH285" s="436" t="e">
        <f t="shared" si="12"/>
        <v>#N/A</v>
      </c>
      <c r="AI285" s="436" t="e">
        <f>ABS(VLOOKUP(A285,TradesEquity!$1:$1048576,13,FALSE))</f>
        <v>#N/A</v>
      </c>
      <c r="AJ285" s="437">
        <v>0</v>
      </c>
      <c r="AK285" s="437">
        <v>1</v>
      </c>
      <c r="AL285" s="436" t="e">
        <f>VLOOKUP(A285,TradesEquity!$1:$1048576,11,FALSE)</f>
        <v>#N/A</v>
      </c>
      <c r="AM285" s="437">
        <v>1</v>
      </c>
      <c r="AN285" s="436" t="e">
        <f>ABS(VLOOKUP(A285,TradesEquity!$1:$1048576,14,FALSE))</f>
        <v>#N/A</v>
      </c>
      <c r="AO285" s="436" t="e">
        <f>ABS(VLOOKUP(A285,TradesEquity!$1:$1048576,15,FALSE))</f>
        <v>#N/A</v>
      </c>
      <c r="AP285" s="438" t="e">
        <f>ABS(VLOOKUP(A285,TradesEquity!$1:$1048576,16,FALSE))</f>
        <v>#N/A</v>
      </c>
      <c r="AQ285" s="367">
        <v>0</v>
      </c>
      <c r="AR285" s="367">
        <v>0</v>
      </c>
      <c r="AS285" s="367">
        <v>0</v>
      </c>
      <c r="AT285" s="367">
        <v>0</v>
      </c>
      <c r="AU285" s="367">
        <v>0</v>
      </c>
      <c r="AV285" s="438" t="e">
        <f>ABS(VLOOKUP(A285,TradesEquity!$1:$1048576,18,FALSE))</f>
        <v>#N/A</v>
      </c>
      <c r="AW285" s="439">
        <v>0</v>
      </c>
      <c r="AX285" s="440">
        <v>4542</v>
      </c>
      <c r="AY285" s="441" t="s">
        <v>2029</v>
      </c>
      <c r="AZ285" s="442" t="e">
        <f>(VLOOKUP(A285,TradesEquity!$1:$1048576,29,FALSE))</f>
        <v>#N/A</v>
      </c>
      <c r="BA285" s="442" t="e">
        <f>(VLOOKUP(A285,TradesEquity!$1:$1048576,30,FALSE))</f>
        <v>#N/A</v>
      </c>
      <c r="BB285" s="442" t="e">
        <f>(VLOOKUP(A285,TradesEquity!$1:$1048576,31,FALSE))</f>
        <v>#N/A</v>
      </c>
      <c r="BC285" s="442" t="e">
        <f>(VLOOKUP(A285,TradesEquity!$1:$1048576,32,FALSE))</f>
        <v>#N/A</v>
      </c>
      <c r="BI285" s="442" t="e">
        <f>(VLOOKUP(A285,TradesEquity!$1:$1048576,38,FALSE))</f>
        <v>#N/A</v>
      </c>
      <c r="BJ285" s="442" t="e">
        <f>(VLOOKUP(A285,TradesEquity!$1:$1048576,39,FALSE))</f>
        <v>#N/A</v>
      </c>
      <c r="BK285" s="442" t="e">
        <f>(VLOOKUP(A285,TradesEquity!$1:$1048576,40,FALSE))</f>
        <v>#N/A</v>
      </c>
    </row>
    <row r="286" spans="4:63">
      <c r="D286" s="432" t="s">
        <v>2027</v>
      </c>
      <c r="F286" s="433" t="e">
        <f>VLOOKUP(A286,TradesEquity!$1:$1048576,2,FALSE)</f>
        <v>#N/A</v>
      </c>
      <c r="H286" s="433" t="e">
        <f>VLOOKUP(A286,TradesEquity!$1:$1048576,21,FALSE)</f>
        <v>#N/A</v>
      </c>
      <c r="I286" s="434" t="e">
        <f>IF(VLOOKUP(A286,TradesEquity!$1:$1048576,3,FALSE)="BUY","B","S")</f>
        <v>#N/A</v>
      </c>
      <c r="J286" s="434" t="e">
        <f>VLOOKUP(A286,TradesEquity!$1:$1048576,5,FALSE)</f>
        <v>#N/A</v>
      </c>
      <c r="K286" s="432" t="s">
        <v>19</v>
      </c>
      <c r="L286" s="435" t="s">
        <v>2028</v>
      </c>
      <c r="AE286" s="436" t="e">
        <f>VLOOKUP(A286,TradesEquity!$1:$1048576,10,FALSE)</f>
        <v>#N/A</v>
      </c>
      <c r="AF286" s="436" t="e">
        <f t="shared" si="12"/>
        <v>#N/A</v>
      </c>
      <c r="AG286" s="436" t="e">
        <f t="shared" si="12"/>
        <v>#N/A</v>
      </c>
      <c r="AH286" s="436" t="e">
        <f t="shared" si="12"/>
        <v>#N/A</v>
      </c>
      <c r="AI286" s="436" t="e">
        <f>ABS(VLOOKUP(A286,TradesEquity!$1:$1048576,13,FALSE))</f>
        <v>#N/A</v>
      </c>
      <c r="AJ286" s="437">
        <v>0</v>
      </c>
      <c r="AK286" s="437">
        <v>1</v>
      </c>
      <c r="AL286" s="436" t="e">
        <f>VLOOKUP(A286,TradesEquity!$1:$1048576,11,FALSE)</f>
        <v>#N/A</v>
      </c>
      <c r="AM286" s="437">
        <v>1</v>
      </c>
      <c r="AN286" s="436" t="e">
        <f>ABS(VLOOKUP(A286,TradesEquity!$1:$1048576,14,FALSE))</f>
        <v>#N/A</v>
      </c>
      <c r="AO286" s="436" t="e">
        <f>ABS(VLOOKUP(A286,TradesEquity!$1:$1048576,15,FALSE))</f>
        <v>#N/A</v>
      </c>
      <c r="AP286" s="438" t="e">
        <f>ABS(VLOOKUP(A286,TradesEquity!$1:$1048576,16,FALSE))</f>
        <v>#N/A</v>
      </c>
      <c r="AQ286" s="367">
        <v>0</v>
      </c>
      <c r="AR286" s="367">
        <v>0</v>
      </c>
      <c r="AS286" s="367">
        <v>0</v>
      </c>
      <c r="AT286" s="367">
        <v>0</v>
      </c>
      <c r="AU286" s="367">
        <v>0</v>
      </c>
      <c r="AV286" s="438" t="e">
        <f>ABS(VLOOKUP(A286,TradesEquity!$1:$1048576,18,FALSE))</f>
        <v>#N/A</v>
      </c>
      <c r="AW286" s="439">
        <v>0</v>
      </c>
      <c r="AX286" s="440">
        <v>4542</v>
      </c>
      <c r="AY286" s="441" t="s">
        <v>2029</v>
      </c>
      <c r="AZ286" s="442" t="e">
        <f>(VLOOKUP(A286,TradesEquity!$1:$1048576,29,FALSE))</f>
        <v>#N/A</v>
      </c>
      <c r="BA286" s="442" t="e">
        <f>(VLOOKUP(A286,TradesEquity!$1:$1048576,30,FALSE))</f>
        <v>#N/A</v>
      </c>
      <c r="BB286" s="442" t="e">
        <f>(VLOOKUP(A286,TradesEquity!$1:$1048576,31,FALSE))</f>
        <v>#N/A</v>
      </c>
      <c r="BC286" s="442" t="e">
        <f>(VLOOKUP(A286,TradesEquity!$1:$1048576,32,FALSE))</f>
        <v>#N/A</v>
      </c>
      <c r="BI286" s="442" t="e">
        <f>(VLOOKUP(A286,TradesEquity!$1:$1048576,38,FALSE))</f>
        <v>#N/A</v>
      </c>
      <c r="BJ286" s="442" t="e">
        <f>(VLOOKUP(A286,TradesEquity!$1:$1048576,39,FALSE))</f>
        <v>#N/A</v>
      </c>
      <c r="BK286" s="442" t="e">
        <f>(VLOOKUP(A286,TradesEquity!$1:$1048576,40,FALSE))</f>
        <v>#N/A</v>
      </c>
    </row>
    <row r="287" spans="4:63">
      <c r="D287" s="432" t="s">
        <v>2027</v>
      </c>
      <c r="F287" s="433" t="e">
        <f>VLOOKUP(A287,TradesEquity!$1:$1048576,2,FALSE)</f>
        <v>#N/A</v>
      </c>
      <c r="H287" s="433" t="e">
        <f>VLOOKUP(A287,TradesEquity!$1:$1048576,21,FALSE)</f>
        <v>#N/A</v>
      </c>
      <c r="I287" s="434" t="e">
        <f>IF(VLOOKUP(A287,TradesEquity!$1:$1048576,3,FALSE)="BUY","B","S")</f>
        <v>#N/A</v>
      </c>
      <c r="J287" s="434" t="e">
        <f>VLOOKUP(A287,TradesEquity!$1:$1048576,5,FALSE)</f>
        <v>#N/A</v>
      </c>
      <c r="K287" s="432" t="s">
        <v>19</v>
      </c>
      <c r="L287" s="435" t="s">
        <v>2028</v>
      </c>
      <c r="AE287" s="436" t="e">
        <f>VLOOKUP(A287,TradesEquity!$1:$1048576,10,FALSE)</f>
        <v>#N/A</v>
      </c>
      <c r="AF287" s="436" t="e">
        <f t="shared" si="12"/>
        <v>#N/A</v>
      </c>
      <c r="AG287" s="436" t="e">
        <f t="shared" si="12"/>
        <v>#N/A</v>
      </c>
      <c r="AH287" s="436" t="e">
        <f t="shared" si="12"/>
        <v>#N/A</v>
      </c>
      <c r="AI287" s="436" t="e">
        <f>ABS(VLOOKUP(A287,TradesEquity!$1:$1048576,13,FALSE))</f>
        <v>#N/A</v>
      </c>
      <c r="AJ287" s="437">
        <v>0</v>
      </c>
      <c r="AK287" s="437">
        <v>1</v>
      </c>
      <c r="AL287" s="436" t="e">
        <f>VLOOKUP(A287,TradesEquity!$1:$1048576,11,FALSE)</f>
        <v>#N/A</v>
      </c>
      <c r="AM287" s="437">
        <v>1</v>
      </c>
      <c r="AN287" s="436" t="e">
        <f>ABS(VLOOKUP(A287,TradesEquity!$1:$1048576,14,FALSE))</f>
        <v>#N/A</v>
      </c>
      <c r="AO287" s="436" t="e">
        <f>ABS(VLOOKUP(A287,TradesEquity!$1:$1048576,15,FALSE))</f>
        <v>#N/A</v>
      </c>
      <c r="AP287" s="438" t="e">
        <f>ABS(VLOOKUP(A287,TradesEquity!$1:$1048576,16,FALSE))</f>
        <v>#N/A</v>
      </c>
      <c r="AQ287" s="367">
        <v>0</v>
      </c>
      <c r="AR287" s="367">
        <v>0</v>
      </c>
      <c r="AS287" s="367">
        <v>0</v>
      </c>
      <c r="AT287" s="367">
        <v>0</v>
      </c>
      <c r="AU287" s="367">
        <v>0</v>
      </c>
      <c r="AV287" s="438" t="e">
        <f>ABS(VLOOKUP(A287,TradesEquity!$1:$1048576,18,FALSE))</f>
        <v>#N/A</v>
      </c>
      <c r="AW287" s="439">
        <v>0</v>
      </c>
      <c r="AX287" s="440">
        <v>4542</v>
      </c>
      <c r="AY287" s="441" t="s">
        <v>2029</v>
      </c>
      <c r="AZ287" s="442" t="e">
        <f>(VLOOKUP(A287,TradesEquity!$1:$1048576,29,FALSE))</f>
        <v>#N/A</v>
      </c>
      <c r="BA287" s="442" t="e">
        <f>(VLOOKUP(A287,TradesEquity!$1:$1048576,30,FALSE))</f>
        <v>#N/A</v>
      </c>
      <c r="BB287" s="442" t="e">
        <f>(VLOOKUP(A287,TradesEquity!$1:$1048576,31,FALSE))</f>
        <v>#N/A</v>
      </c>
      <c r="BC287" s="442" t="e">
        <f>(VLOOKUP(A287,TradesEquity!$1:$1048576,32,FALSE))</f>
        <v>#N/A</v>
      </c>
      <c r="BI287" s="442" t="e">
        <f>(VLOOKUP(A287,TradesEquity!$1:$1048576,38,FALSE))</f>
        <v>#N/A</v>
      </c>
      <c r="BJ287" s="442" t="e">
        <f>(VLOOKUP(A287,TradesEquity!$1:$1048576,39,FALSE))</f>
        <v>#N/A</v>
      </c>
      <c r="BK287" s="442" t="e">
        <f>(VLOOKUP(A287,TradesEquity!$1:$1048576,40,FALSE))</f>
        <v>#N/A</v>
      </c>
    </row>
    <row r="288" spans="4:63">
      <c r="D288" s="432" t="s">
        <v>2027</v>
      </c>
      <c r="F288" s="433" t="e">
        <f>VLOOKUP(A288,TradesEquity!$1:$1048576,2,FALSE)</f>
        <v>#N/A</v>
      </c>
      <c r="H288" s="433" t="e">
        <f>VLOOKUP(A288,TradesEquity!$1:$1048576,21,FALSE)</f>
        <v>#N/A</v>
      </c>
      <c r="I288" s="434" t="e">
        <f>IF(VLOOKUP(A288,TradesEquity!$1:$1048576,3,FALSE)="BUY","B","S")</f>
        <v>#N/A</v>
      </c>
      <c r="J288" s="434" t="e">
        <f>VLOOKUP(A288,TradesEquity!$1:$1048576,5,FALSE)</f>
        <v>#N/A</v>
      </c>
      <c r="K288" s="432" t="s">
        <v>19</v>
      </c>
      <c r="L288" s="435" t="s">
        <v>2028</v>
      </c>
      <c r="AE288" s="436" t="e">
        <f>VLOOKUP(A288,TradesEquity!$1:$1048576,10,FALSE)</f>
        <v>#N/A</v>
      </c>
      <c r="AF288" s="436" t="e">
        <f t="shared" si="12"/>
        <v>#N/A</v>
      </c>
      <c r="AG288" s="436" t="e">
        <f t="shared" si="12"/>
        <v>#N/A</v>
      </c>
      <c r="AH288" s="436" t="e">
        <f t="shared" si="12"/>
        <v>#N/A</v>
      </c>
      <c r="AI288" s="436" t="e">
        <f>ABS(VLOOKUP(A288,TradesEquity!$1:$1048576,13,FALSE))</f>
        <v>#N/A</v>
      </c>
      <c r="AJ288" s="437">
        <v>0</v>
      </c>
      <c r="AK288" s="437">
        <v>1</v>
      </c>
      <c r="AL288" s="436" t="e">
        <f>VLOOKUP(A288,TradesEquity!$1:$1048576,11,FALSE)</f>
        <v>#N/A</v>
      </c>
      <c r="AM288" s="437">
        <v>1</v>
      </c>
      <c r="AN288" s="436" t="e">
        <f>ABS(VLOOKUP(A288,TradesEquity!$1:$1048576,14,FALSE))</f>
        <v>#N/A</v>
      </c>
      <c r="AO288" s="436" t="e">
        <f>ABS(VLOOKUP(A288,TradesEquity!$1:$1048576,15,FALSE))</f>
        <v>#N/A</v>
      </c>
      <c r="AP288" s="438" t="e">
        <f>ABS(VLOOKUP(A288,TradesEquity!$1:$1048576,16,FALSE))</f>
        <v>#N/A</v>
      </c>
      <c r="AQ288" s="367">
        <v>0</v>
      </c>
      <c r="AR288" s="367">
        <v>0</v>
      </c>
      <c r="AS288" s="367">
        <v>0</v>
      </c>
      <c r="AT288" s="367">
        <v>0</v>
      </c>
      <c r="AU288" s="367">
        <v>0</v>
      </c>
      <c r="AV288" s="438" t="e">
        <f>ABS(VLOOKUP(A288,TradesEquity!$1:$1048576,18,FALSE))</f>
        <v>#N/A</v>
      </c>
      <c r="AW288" s="439">
        <v>0</v>
      </c>
      <c r="AX288" s="440">
        <v>4542</v>
      </c>
      <c r="AY288" s="441" t="s">
        <v>2029</v>
      </c>
      <c r="AZ288" s="442" t="e">
        <f>(VLOOKUP(A288,TradesEquity!$1:$1048576,29,FALSE))</f>
        <v>#N/A</v>
      </c>
      <c r="BA288" s="442" t="e">
        <f>(VLOOKUP(A288,TradesEquity!$1:$1048576,30,FALSE))</f>
        <v>#N/A</v>
      </c>
      <c r="BB288" s="442" t="e">
        <f>(VLOOKUP(A288,TradesEquity!$1:$1048576,31,FALSE))</f>
        <v>#N/A</v>
      </c>
      <c r="BC288" s="442" t="e">
        <f>(VLOOKUP(A288,TradesEquity!$1:$1048576,32,FALSE))</f>
        <v>#N/A</v>
      </c>
      <c r="BI288" s="442" t="e">
        <f>(VLOOKUP(A288,TradesEquity!$1:$1048576,38,FALSE))</f>
        <v>#N/A</v>
      </c>
      <c r="BJ288" s="442" t="e">
        <f>(VLOOKUP(A288,TradesEquity!$1:$1048576,39,FALSE))</f>
        <v>#N/A</v>
      </c>
      <c r="BK288" s="442" t="e">
        <f>(VLOOKUP(A288,TradesEquity!$1:$1048576,40,FALSE))</f>
        <v>#N/A</v>
      </c>
    </row>
    <row r="289" spans="4:63">
      <c r="D289" s="432" t="s">
        <v>2027</v>
      </c>
      <c r="F289" s="433" t="e">
        <f>VLOOKUP(A289,TradesEquity!$1:$1048576,2,FALSE)</f>
        <v>#N/A</v>
      </c>
      <c r="H289" s="433" t="e">
        <f>VLOOKUP(A289,TradesEquity!$1:$1048576,21,FALSE)</f>
        <v>#N/A</v>
      </c>
      <c r="I289" s="434" t="e">
        <f>IF(VLOOKUP(A289,TradesEquity!$1:$1048576,3,FALSE)="BUY","B","S")</f>
        <v>#N/A</v>
      </c>
      <c r="J289" s="434" t="e">
        <f>VLOOKUP(A289,TradesEquity!$1:$1048576,5,FALSE)</f>
        <v>#N/A</v>
      </c>
      <c r="K289" s="432" t="s">
        <v>19</v>
      </c>
      <c r="L289" s="435" t="s">
        <v>2028</v>
      </c>
      <c r="AE289" s="436" t="e">
        <f>VLOOKUP(A289,TradesEquity!$1:$1048576,10,FALSE)</f>
        <v>#N/A</v>
      </c>
      <c r="AF289" s="436" t="e">
        <f t="shared" si="12"/>
        <v>#N/A</v>
      </c>
      <c r="AG289" s="436" t="e">
        <f t="shared" si="12"/>
        <v>#N/A</v>
      </c>
      <c r="AH289" s="436" t="e">
        <f t="shared" si="12"/>
        <v>#N/A</v>
      </c>
      <c r="AI289" s="436" t="e">
        <f>ABS(VLOOKUP(A289,TradesEquity!$1:$1048576,13,FALSE))</f>
        <v>#N/A</v>
      </c>
      <c r="AJ289" s="437">
        <v>0</v>
      </c>
      <c r="AK289" s="437">
        <v>1</v>
      </c>
      <c r="AL289" s="436" t="e">
        <f>VLOOKUP(A289,TradesEquity!$1:$1048576,11,FALSE)</f>
        <v>#N/A</v>
      </c>
      <c r="AM289" s="437">
        <v>1</v>
      </c>
      <c r="AN289" s="436" t="e">
        <f>ABS(VLOOKUP(A289,TradesEquity!$1:$1048576,14,FALSE))</f>
        <v>#N/A</v>
      </c>
      <c r="AO289" s="436" t="e">
        <f>ABS(VLOOKUP(A289,TradesEquity!$1:$1048576,15,FALSE))</f>
        <v>#N/A</v>
      </c>
      <c r="AP289" s="438" t="e">
        <f>ABS(VLOOKUP(A289,TradesEquity!$1:$1048576,16,FALSE))</f>
        <v>#N/A</v>
      </c>
      <c r="AQ289" s="367">
        <v>0</v>
      </c>
      <c r="AR289" s="367">
        <v>0</v>
      </c>
      <c r="AS289" s="367">
        <v>0</v>
      </c>
      <c r="AT289" s="367">
        <v>0</v>
      </c>
      <c r="AU289" s="367">
        <v>0</v>
      </c>
      <c r="AV289" s="438" t="e">
        <f>ABS(VLOOKUP(A289,TradesEquity!$1:$1048576,18,FALSE))</f>
        <v>#N/A</v>
      </c>
      <c r="AW289" s="439">
        <v>0</v>
      </c>
      <c r="AX289" s="440">
        <v>4542</v>
      </c>
      <c r="AY289" s="441" t="s">
        <v>2029</v>
      </c>
      <c r="AZ289" s="442" t="e">
        <f>(VLOOKUP(A289,TradesEquity!$1:$1048576,29,FALSE))</f>
        <v>#N/A</v>
      </c>
      <c r="BA289" s="442" t="e">
        <f>(VLOOKUP(A289,TradesEquity!$1:$1048576,30,FALSE))</f>
        <v>#N/A</v>
      </c>
      <c r="BB289" s="442" t="e">
        <f>(VLOOKUP(A289,TradesEquity!$1:$1048576,31,FALSE))</f>
        <v>#N/A</v>
      </c>
      <c r="BC289" s="442" t="e">
        <f>(VLOOKUP(A289,TradesEquity!$1:$1048576,32,FALSE))</f>
        <v>#N/A</v>
      </c>
      <c r="BI289" s="442" t="e">
        <f>(VLOOKUP(A289,TradesEquity!$1:$1048576,38,FALSE))</f>
        <v>#N/A</v>
      </c>
      <c r="BJ289" s="442" t="e">
        <f>(VLOOKUP(A289,TradesEquity!$1:$1048576,39,FALSE))</f>
        <v>#N/A</v>
      </c>
      <c r="BK289" s="442" t="e">
        <f>(VLOOKUP(A289,TradesEquity!$1:$1048576,40,FALSE))</f>
        <v>#N/A</v>
      </c>
    </row>
    <row r="290" spans="4:63">
      <c r="D290" s="432" t="s">
        <v>2027</v>
      </c>
      <c r="F290" s="433" t="e">
        <f>VLOOKUP(A290,TradesEquity!$1:$1048576,2,FALSE)</f>
        <v>#N/A</v>
      </c>
      <c r="H290" s="433" t="e">
        <f>VLOOKUP(A290,TradesEquity!$1:$1048576,21,FALSE)</f>
        <v>#N/A</v>
      </c>
      <c r="I290" s="434" t="e">
        <f>IF(VLOOKUP(A290,TradesEquity!$1:$1048576,3,FALSE)="BUY","B","S")</f>
        <v>#N/A</v>
      </c>
      <c r="J290" s="434" t="e">
        <f>VLOOKUP(A290,TradesEquity!$1:$1048576,5,FALSE)</f>
        <v>#N/A</v>
      </c>
      <c r="K290" s="432" t="s">
        <v>19</v>
      </c>
      <c r="L290" s="435" t="s">
        <v>2028</v>
      </c>
      <c r="AE290" s="436" t="e">
        <f>VLOOKUP(A290,TradesEquity!$1:$1048576,10,FALSE)</f>
        <v>#N/A</v>
      </c>
      <c r="AF290" s="436" t="e">
        <f t="shared" si="12"/>
        <v>#N/A</v>
      </c>
      <c r="AG290" s="436" t="e">
        <f t="shared" si="12"/>
        <v>#N/A</v>
      </c>
      <c r="AH290" s="436" t="e">
        <f t="shared" si="12"/>
        <v>#N/A</v>
      </c>
      <c r="AI290" s="436" t="e">
        <f>ABS(VLOOKUP(A290,TradesEquity!$1:$1048576,13,FALSE))</f>
        <v>#N/A</v>
      </c>
      <c r="AJ290" s="437">
        <v>0</v>
      </c>
      <c r="AK290" s="437">
        <v>1</v>
      </c>
      <c r="AL290" s="436" t="e">
        <f>VLOOKUP(A290,TradesEquity!$1:$1048576,11,FALSE)</f>
        <v>#N/A</v>
      </c>
      <c r="AM290" s="437">
        <v>1</v>
      </c>
      <c r="AN290" s="436" t="e">
        <f>ABS(VLOOKUP(A290,TradesEquity!$1:$1048576,14,FALSE))</f>
        <v>#N/A</v>
      </c>
      <c r="AO290" s="436" t="e">
        <f>ABS(VLOOKUP(A290,TradesEquity!$1:$1048576,15,FALSE))</f>
        <v>#N/A</v>
      </c>
      <c r="AP290" s="438" t="e">
        <f>ABS(VLOOKUP(A290,TradesEquity!$1:$1048576,16,FALSE))</f>
        <v>#N/A</v>
      </c>
      <c r="AQ290" s="367">
        <v>0</v>
      </c>
      <c r="AR290" s="367">
        <v>0</v>
      </c>
      <c r="AS290" s="367">
        <v>0</v>
      </c>
      <c r="AT290" s="367">
        <v>0</v>
      </c>
      <c r="AU290" s="367">
        <v>0</v>
      </c>
      <c r="AV290" s="438" t="e">
        <f>ABS(VLOOKUP(A290,TradesEquity!$1:$1048576,18,FALSE))</f>
        <v>#N/A</v>
      </c>
      <c r="AW290" s="439">
        <v>0</v>
      </c>
      <c r="AX290" s="440">
        <v>4542</v>
      </c>
      <c r="AY290" s="441" t="s">
        <v>2029</v>
      </c>
      <c r="AZ290" s="442" t="e">
        <f>(VLOOKUP(A290,TradesEquity!$1:$1048576,29,FALSE))</f>
        <v>#N/A</v>
      </c>
      <c r="BA290" s="442" t="e">
        <f>(VLOOKUP(A290,TradesEquity!$1:$1048576,30,FALSE))</f>
        <v>#N/A</v>
      </c>
      <c r="BB290" s="442" t="e">
        <f>(VLOOKUP(A290,TradesEquity!$1:$1048576,31,FALSE))</f>
        <v>#N/A</v>
      </c>
      <c r="BC290" s="442" t="e">
        <f>(VLOOKUP(A290,TradesEquity!$1:$1048576,32,FALSE))</f>
        <v>#N/A</v>
      </c>
      <c r="BI290" s="442" t="e">
        <f>(VLOOKUP(A290,TradesEquity!$1:$1048576,38,FALSE))</f>
        <v>#N/A</v>
      </c>
      <c r="BJ290" s="442" t="e">
        <f>(VLOOKUP(A290,TradesEquity!$1:$1048576,39,FALSE))</f>
        <v>#N/A</v>
      </c>
      <c r="BK290" s="442" t="e">
        <f>(VLOOKUP(A290,TradesEquity!$1:$1048576,40,FALSE))</f>
        <v>#N/A</v>
      </c>
    </row>
    <row r="291" spans="4:63">
      <c r="D291" s="432" t="s">
        <v>2027</v>
      </c>
      <c r="F291" s="433" t="e">
        <f>VLOOKUP(A291,TradesEquity!$1:$1048576,2,FALSE)</f>
        <v>#N/A</v>
      </c>
      <c r="H291" s="433" t="e">
        <f>VLOOKUP(A291,TradesEquity!$1:$1048576,21,FALSE)</f>
        <v>#N/A</v>
      </c>
      <c r="I291" s="434" t="e">
        <f>IF(VLOOKUP(A291,TradesEquity!$1:$1048576,3,FALSE)="BUY","B","S")</f>
        <v>#N/A</v>
      </c>
      <c r="J291" s="434" t="e">
        <f>VLOOKUP(A291,TradesEquity!$1:$1048576,5,FALSE)</f>
        <v>#N/A</v>
      </c>
      <c r="K291" s="432" t="s">
        <v>19</v>
      </c>
      <c r="L291" s="435" t="s">
        <v>2028</v>
      </c>
      <c r="AE291" s="436" t="e">
        <f>VLOOKUP(A291,TradesEquity!$1:$1048576,10,FALSE)</f>
        <v>#N/A</v>
      </c>
      <c r="AF291" s="436" t="e">
        <f t="shared" si="12"/>
        <v>#N/A</v>
      </c>
      <c r="AG291" s="436" t="e">
        <f t="shared" si="12"/>
        <v>#N/A</v>
      </c>
      <c r="AH291" s="436" t="e">
        <f t="shared" si="12"/>
        <v>#N/A</v>
      </c>
      <c r="AI291" s="436" t="e">
        <f>ABS(VLOOKUP(A291,TradesEquity!$1:$1048576,13,FALSE))</f>
        <v>#N/A</v>
      </c>
      <c r="AJ291" s="437">
        <v>0</v>
      </c>
      <c r="AK291" s="437">
        <v>1</v>
      </c>
      <c r="AL291" s="436" t="e">
        <f>VLOOKUP(A291,TradesEquity!$1:$1048576,11,FALSE)</f>
        <v>#N/A</v>
      </c>
      <c r="AM291" s="437">
        <v>1</v>
      </c>
      <c r="AN291" s="436" t="e">
        <f>ABS(VLOOKUP(A291,TradesEquity!$1:$1048576,14,FALSE))</f>
        <v>#N/A</v>
      </c>
      <c r="AO291" s="436" t="e">
        <f>ABS(VLOOKUP(A291,TradesEquity!$1:$1048576,15,FALSE))</f>
        <v>#N/A</v>
      </c>
      <c r="AP291" s="438" t="e">
        <f>ABS(VLOOKUP(A291,TradesEquity!$1:$1048576,16,FALSE))</f>
        <v>#N/A</v>
      </c>
      <c r="AQ291" s="367">
        <v>0</v>
      </c>
      <c r="AR291" s="367">
        <v>0</v>
      </c>
      <c r="AS291" s="367">
        <v>0</v>
      </c>
      <c r="AT291" s="367">
        <v>0</v>
      </c>
      <c r="AU291" s="367">
        <v>0</v>
      </c>
      <c r="AV291" s="438" t="e">
        <f>ABS(VLOOKUP(A291,TradesEquity!$1:$1048576,18,FALSE))</f>
        <v>#N/A</v>
      </c>
      <c r="AW291" s="439">
        <v>0</v>
      </c>
      <c r="AX291" s="440">
        <v>4542</v>
      </c>
      <c r="AY291" s="441" t="s">
        <v>2029</v>
      </c>
      <c r="AZ291" s="442" t="e">
        <f>(VLOOKUP(A291,TradesEquity!$1:$1048576,29,FALSE))</f>
        <v>#N/A</v>
      </c>
      <c r="BA291" s="442" t="e">
        <f>(VLOOKUP(A291,TradesEquity!$1:$1048576,30,FALSE))</f>
        <v>#N/A</v>
      </c>
      <c r="BB291" s="442" t="e">
        <f>(VLOOKUP(A291,TradesEquity!$1:$1048576,31,FALSE))</f>
        <v>#N/A</v>
      </c>
      <c r="BC291" s="442" t="e">
        <f>(VLOOKUP(A291,TradesEquity!$1:$1048576,32,FALSE))</f>
        <v>#N/A</v>
      </c>
      <c r="BI291" s="442" t="e">
        <f>(VLOOKUP(A291,TradesEquity!$1:$1048576,38,FALSE))</f>
        <v>#N/A</v>
      </c>
      <c r="BJ291" s="442" t="e">
        <f>(VLOOKUP(A291,TradesEquity!$1:$1048576,39,FALSE))</f>
        <v>#N/A</v>
      </c>
      <c r="BK291" s="442" t="e">
        <f>(VLOOKUP(A291,TradesEquity!$1:$1048576,40,FALSE))</f>
        <v>#N/A</v>
      </c>
    </row>
    <row r="292" spans="4:63">
      <c r="D292" s="432" t="s">
        <v>2027</v>
      </c>
      <c r="F292" s="433" t="e">
        <f>VLOOKUP(A292,TradesEquity!$1:$1048576,2,FALSE)</f>
        <v>#N/A</v>
      </c>
      <c r="H292" s="433" t="e">
        <f>VLOOKUP(A292,TradesEquity!$1:$1048576,21,FALSE)</f>
        <v>#N/A</v>
      </c>
      <c r="I292" s="434" t="e">
        <f>IF(VLOOKUP(A292,TradesEquity!$1:$1048576,3,FALSE)="BUY","B","S")</f>
        <v>#N/A</v>
      </c>
      <c r="J292" s="434" t="e">
        <f>VLOOKUP(A292,TradesEquity!$1:$1048576,5,FALSE)</f>
        <v>#N/A</v>
      </c>
      <c r="K292" s="432" t="s">
        <v>19</v>
      </c>
      <c r="L292" s="435" t="s">
        <v>2028</v>
      </c>
      <c r="AE292" s="436" t="e">
        <f>VLOOKUP(A292,TradesEquity!$1:$1048576,10,FALSE)</f>
        <v>#N/A</v>
      </c>
      <c r="AF292" s="436" t="e">
        <f t="shared" si="12"/>
        <v>#N/A</v>
      </c>
      <c r="AG292" s="436" t="e">
        <f t="shared" si="12"/>
        <v>#N/A</v>
      </c>
      <c r="AH292" s="436" t="e">
        <f t="shared" si="12"/>
        <v>#N/A</v>
      </c>
      <c r="AI292" s="436" t="e">
        <f>ABS(VLOOKUP(A292,TradesEquity!$1:$1048576,13,FALSE))</f>
        <v>#N/A</v>
      </c>
      <c r="AJ292" s="437">
        <v>0</v>
      </c>
      <c r="AK292" s="437">
        <v>1</v>
      </c>
      <c r="AL292" s="436" t="e">
        <f>VLOOKUP(A292,TradesEquity!$1:$1048576,11,FALSE)</f>
        <v>#N/A</v>
      </c>
      <c r="AM292" s="437">
        <v>1</v>
      </c>
      <c r="AN292" s="436" t="e">
        <f>ABS(VLOOKUP(A292,TradesEquity!$1:$1048576,14,FALSE))</f>
        <v>#N/A</v>
      </c>
      <c r="AO292" s="436" t="e">
        <f>ABS(VLOOKUP(A292,TradesEquity!$1:$1048576,15,FALSE))</f>
        <v>#N/A</v>
      </c>
      <c r="AP292" s="438" t="e">
        <f>ABS(VLOOKUP(A292,TradesEquity!$1:$1048576,16,FALSE))</f>
        <v>#N/A</v>
      </c>
      <c r="AQ292" s="367">
        <v>0</v>
      </c>
      <c r="AR292" s="367">
        <v>0</v>
      </c>
      <c r="AS292" s="367">
        <v>0</v>
      </c>
      <c r="AT292" s="367">
        <v>0</v>
      </c>
      <c r="AU292" s="367">
        <v>0</v>
      </c>
      <c r="AV292" s="438" t="e">
        <f>ABS(VLOOKUP(A292,TradesEquity!$1:$1048576,18,FALSE))</f>
        <v>#N/A</v>
      </c>
      <c r="AW292" s="439">
        <v>0</v>
      </c>
      <c r="AX292" s="440">
        <v>4542</v>
      </c>
      <c r="AY292" s="441" t="s">
        <v>2029</v>
      </c>
      <c r="AZ292" s="442" t="e">
        <f>(VLOOKUP(A292,TradesEquity!$1:$1048576,29,FALSE))</f>
        <v>#N/A</v>
      </c>
      <c r="BA292" s="442" t="e">
        <f>(VLOOKUP(A292,TradesEquity!$1:$1048576,30,FALSE))</f>
        <v>#N/A</v>
      </c>
      <c r="BB292" s="442" t="e">
        <f>(VLOOKUP(A292,TradesEquity!$1:$1048576,31,FALSE))</f>
        <v>#N/A</v>
      </c>
      <c r="BC292" s="442" t="e">
        <f>(VLOOKUP(A292,TradesEquity!$1:$1048576,32,FALSE))</f>
        <v>#N/A</v>
      </c>
      <c r="BI292" s="442" t="e">
        <f>(VLOOKUP(A292,TradesEquity!$1:$1048576,38,FALSE))</f>
        <v>#N/A</v>
      </c>
      <c r="BJ292" s="442" t="e">
        <f>(VLOOKUP(A292,TradesEquity!$1:$1048576,39,FALSE))</f>
        <v>#N/A</v>
      </c>
      <c r="BK292" s="442" t="e">
        <f>(VLOOKUP(A292,TradesEquity!$1:$1048576,40,FALSE))</f>
        <v>#N/A</v>
      </c>
    </row>
    <row r="293" spans="4:63">
      <c r="D293" s="432" t="s">
        <v>2027</v>
      </c>
      <c r="F293" s="433" t="e">
        <f>VLOOKUP(A293,TradesEquity!$1:$1048576,2,FALSE)</f>
        <v>#N/A</v>
      </c>
      <c r="H293" s="433" t="e">
        <f>VLOOKUP(A293,TradesEquity!$1:$1048576,21,FALSE)</f>
        <v>#N/A</v>
      </c>
      <c r="I293" s="434" t="e">
        <f>IF(VLOOKUP(A293,TradesEquity!$1:$1048576,3,FALSE)="BUY","B","S")</f>
        <v>#N/A</v>
      </c>
      <c r="J293" s="434" t="e">
        <f>VLOOKUP(A293,TradesEquity!$1:$1048576,5,FALSE)</f>
        <v>#N/A</v>
      </c>
      <c r="K293" s="432" t="s">
        <v>19</v>
      </c>
      <c r="L293" s="435" t="s">
        <v>2028</v>
      </c>
      <c r="AE293" s="436" t="e">
        <f>VLOOKUP(A293,TradesEquity!$1:$1048576,10,FALSE)</f>
        <v>#N/A</v>
      </c>
      <c r="AF293" s="436" t="e">
        <f t="shared" si="12"/>
        <v>#N/A</v>
      </c>
      <c r="AG293" s="436" t="e">
        <f t="shared" si="12"/>
        <v>#N/A</v>
      </c>
      <c r="AH293" s="436" t="e">
        <f t="shared" si="12"/>
        <v>#N/A</v>
      </c>
      <c r="AI293" s="436" t="e">
        <f>ABS(VLOOKUP(A293,TradesEquity!$1:$1048576,13,FALSE))</f>
        <v>#N/A</v>
      </c>
      <c r="AJ293" s="437">
        <v>0</v>
      </c>
      <c r="AK293" s="437">
        <v>1</v>
      </c>
      <c r="AL293" s="436" t="e">
        <f>VLOOKUP(A293,TradesEquity!$1:$1048576,11,FALSE)</f>
        <v>#N/A</v>
      </c>
      <c r="AM293" s="437">
        <v>1</v>
      </c>
      <c r="AN293" s="436" t="e">
        <f>ABS(VLOOKUP(A293,TradesEquity!$1:$1048576,14,FALSE))</f>
        <v>#N/A</v>
      </c>
      <c r="AO293" s="436" t="e">
        <f>ABS(VLOOKUP(A293,TradesEquity!$1:$1048576,15,FALSE))</f>
        <v>#N/A</v>
      </c>
      <c r="AP293" s="438" t="e">
        <f>ABS(VLOOKUP(A293,TradesEquity!$1:$1048576,16,FALSE))</f>
        <v>#N/A</v>
      </c>
      <c r="AQ293" s="367">
        <v>0</v>
      </c>
      <c r="AR293" s="367">
        <v>0</v>
      </c>
      <c r="AS293" s="367">
        <v>0</v>
      </c>
      <c r="AT293" s="367">
        <v>0</v>
      </c>
      <c r="AU293" s="367">
        <v>0</v>
      </c>
      <c r="AV293" s="438" t="e">
        <f>ABS(VLOOKUP(A293,TradesEquity!$1:$1048576,18,FALSE))</f>
        <v>#N/A</v>
      </c>
      <c r="AW293" s="439">
        <v>0</v>
      </c>
      <c r="AX293" s="440">
        <v>4542</v>
      </c>
      <c r="AY293" s="441" t="s">
        <v>2029</v>
      </c>
      <c r="AZ293" s="442" t="e">
        <f>(VLOOKUP(A293,TradesEquity!$1:$1048576,29,FALSE))</f>
        <v>#N/A</v>
      </c>
      <c r="BA293" s="442" t="e">
        <f>(VLOOKUP(A293,TradesEquity!$1:$1048576,30,FALSE))</f>
        <v>#N/A</v>
      </c>
      <c r="BB293" s="442" t="e">
        <f>(VLOOKUP(A293,TradesEquity!$1:$1048576,31,FALSE))</f>
        <v>#N/A</v>
      </c>
      <c r="BC293" s="442" t="e">
        <f>(VLOOKUP(A293,TradesEquity!$1:$1048576,32,FALSE))</f>
        <v>#N/A</v>
      </c>
      <c r="BI293" s="442" t="e">
        <f>(VLOOKUP(A293,TradesEquity!$1:$1048576,38,FALSE))</f>
        <v>#N/A</v>
      </c>
      <c r="BJ293" s="442" t="e">
        <f>(VLOOKUP(A293,TradesEquity!$1:$1048576,39,FALSE))</f>
        <v>#N/A</v>
      </c>
      <c r="BK293" s="442" t="e">
        <f>(VLOOKUP(A293,TradesEquity!$1:$1048576,40,FALSE))</f>
        <v>#N/A</v>
      </c>
    </row>
    <row r="294" spans="4:63">
      <c r="D294" s="432" t="s">
        <v>2027</v>
      </c>
      <c r="F294" s="433" t="e">
        <f>VLOOKUP(A294,TradesEquity!$1:$1048576,2,FALSE)</f>
        <v>#N/A</v>
      </c>
      <c r="H294" s="433" t="e">
        <f>VLOOKUP(A294,TradesEquity!$1:$1048576,21,FALSE)</f>
        <v>#N/A</v>
      </c>
      <c r="I294" s="434" t="e">
        <f>IF(VLOOKUP(A294,TradesEquity!$1:$1048576,3,FALSE)="BUY","B","S")</f>
        <v>#N/A</v>
      </c>
      <c r="J294" s="434" t="e">
        <f>VLOOKUP(A294,TradesEquity!$1:$1048576,5,FALSE)</f>
        <v>#N/A</v>
      </c>
      <c r="K294" s="432" t="s">
        <v>19</v>
      </c>
      <c r="L294" s="435" t="s">
        <v>2028</v>
      </c>
      <c r="AE294" s="436" t="e">
        <f>VLOOKUP(A294,TradesEquity!$1:$1048576,10,FALSE)</f>
        <v>#N/A</v>
      </c>
      <c r="AF294" s="436" t="e">
        <f t="shared" si="12"/>
        <v>#N/A</v>
      </c>
      <c r="AG294" s="436" t="e">
        <f t="shared" si="12"/>
        <v>#N/A</v>
      </c>
      <c r="AH294" s="436" t="e">
        <f t="shared" si="12"/>
        <v>#N/A</v>
      </c>
      <c r="AI294" s="436" t="e">
        <f>ABS(VLOOKUP(A294,TradesEquity!$1:$1048576,13,FALSE))</f>
        <v>#N/A</v>
      </c>
      <c r="AJ294" s="437">
        <v>0</v>
      </c>
      <c r="AK294" s="437">
        <v>1</v>
      </c>
      <c r="AL294" s="436" t="e">
        <f>VLOOKUP(A294,TradesEquity!$1:$1048576,11,FALSE)</f>
        <v>#N/A</v>
      </c>
      <c r="AM294" s="437">
        <v>1</v>
      </c>
      <c r="AN294" s="436" t="e">
        <f>ABS(VLOOKUP(A294,TradesEquity!$1:$1048576,14,FALSE))</f>
        <v>#N/A</v>
      </c>
      <c r="AO294" s="436" t="e">
        <f>ABS(VLOOKUP(A294,TradesEquity!$1:$1048576,15,FALSE))</f>
        <v>#N/A</v>
      </c>
      <c r="AP294" s="438" t="e">
        <f>ABS(VLOOKUP(A294,TradesEquity!$1:$1048576,16,FALSE))</f>
        <v>#N/A</v>
      </c>
      <c r="AQ294" s="367">
        <v>0</v>
      </c>
      <c r="AR294" s="367">
        <v>0</v>
      </c>
      <c r="AS294" s="367">
        <v>0</v>
      </c>
      <c r="AT294" s="367">
        <v>0</v>
      </c>
      <c r="AU294" s="367">
        <v>0</v>
      </c>
      <c r="AV294" s="438" t="e">
        <f>ABS(VLOOKUP(A294,TradesEquity!$1:$1048576,18,FALSE))</f>
        <v>#N/A</v>
      </c>
      <c r="AW294" s="439">
        <v>0</v>
      </c>
      <c r="AX294" s="440">
        <v>4542</v>
      </c>
      <c r="AY294" s="441" t="s">
        <v>2029</v>
      </c>
      <c r="AZ294" s="442" t="e">
        <f>(VLOOKUP(A294,TradesEquity!$1:$1048576,29,FALSE))</f>
        <v>#N/A</v>
      </c>
      <c r="BA294" s="442" t="e">
        <f>(VLOOKUP(A294,TradesEquity!$1:$1048576,30,FALSE))</f>
        <v>#N/A</v>
      </c>
      <c r="BB294" s="442" t="e">
        <f>(VLOOKUP(A294,TradesEquity!$1:$1048576,31,FALSE))</f>
        <v>#N/A</v>
      </c>
      <c r="BC294" s="442" t="e">
        <f>(VLOOKUP(A294,TradesEquity!$1:$1048576,32,FALSE))</f>
        <v>#N/A</v>
      </c>
      <c r="BI294" s="442" t="e">
        <f>(VLOOKUP(A294,TradesEquity!$1:$1048576,38,FALSE))</f>
        <v>#N/A</v>
      </c>
      <c r="BJ294" s="442" t="e">
        <f>(VLOOKUP(A294,TradesEquity!$1:$1048576,39,FALSE))</f>
        <v>#N/A</v>
      </c>
      <c r="BK294" s="442" t="e">
        <f>(VLOOKUP(A294,TradesEquity!$1:$1048576,40,FALSE))</f>
        <v>#N/A</v>
      </c>
    </row>
    <row r="295" spans="4:63">
      <c r="D295" s="432" t="s">
        <v>2027</v>
      </c>
      <c r="F295" s="433" t="e">
        <f>VLOOKUP(A295,TradesEquity!$1:$1048576,2,FALSE)</f>
        <v>#N/A</v>
      </c>
      <c r="H295" s="433" t="e">
        <f>VLOOKUP(A295,TradesEquity!$1:$1048576,21,FALSE)</f>
        <v>#N/A</v>
      </c>
      <c r="I295" s="434" t="e">
        <f>IF(VLOOKUP(A295,TradesEquity!$1:$1048576,3,FALSE)="BUY","B","S")</f>
        <v>#N/A</v>
      </c>
      <c r="J295" s="434" t="e">
        <f>VLOOKUP(A295,TradesEquity!$1:$1048576,5,FALSE)</f>
        <v>#N/A</v>
      </c>
      <c r="K295" s="432" t="s">
        <v>19</v>
      </c>
      <c r="L295" s="435" t="s">
        <v>2028</v>
      </c>
      <c r="AE295" s="436" t="e">
        <f>VLOOKUP(A295,TradesEquity!$1:$1048576,10,FALSE)</f>
        <v>#N/A</v>
      </c>
      <c r="AF295" s="436" t="e">
        <f t="shared" si="12"/>
        <v>#N/A</v>
      </c>
      <c r="AG295" s="436" t="e">
        <f t="shared" si="12"/>
        <v>#N/A</v>
      </c>
      <c r="AH295" s="436" t="e">
        <f t="shared" si="12"/>
        <v>#N/A</v>
      </c>
      <c r="AI295" s="436" t="e">
        <f>ABS(VLOOKUP(A295,TradesEquity!$1:$1048576,13,FALSE))</f>
        <v>#N/A</v>
      </c>
      <c r="AJ295" s="437">
        <v>0</v>
      </c>
      <c r="AK295" s="437">
        <v>1</v>
      </c>
      <c r="AL295" s="436" t="e">
        <f>VLOOKUP(A295,TradesEquity!$1:$1048576,11,FALSE)</f>
        <v>#N/A</v>
      </c>
      <c r="AM295" s="437">
        <v>1</v>
      </c>
      <c r="AN295" s="436" t="e">
        <f>ABS(VLOOKUP(A295,TradesEquity!$1:$1048576,14,FALSE))</f>
        <v>#N/A</v>
      </c>
      <c r="AO295" s="436" t="e">
        <f>ABS(VLOOKUP(A295,TradesEquity!$1:$1048576,15,FALSE))</f>
        <v>#N/A</v>
      </c>
      <c r="AP295" s="438" t="e">
        <f>ABS(VLOOKUP(A295,TradesEquity!$1:$1048576,16,FALSE))</f>
        <v>#N/A</v>
      </c>
      <c r="AQ295" s="367">
        <v>0</v>
      </c>
      <c r="AR295" s="367">
        <v>0</v>
      </c>
      <c r="AS295" s="367">
        <v>0</v>
      </c>
      <c r="AT295" s="367">
        <v>0</v>
      </c>
      <c r="AU295" s="367">
        <v>0</v>
      </c>
      <c r="AV295" s="438" t="e">
        <f>ABS(VLOOKUP(A295,TradesEquity!$1:$1048576,18,FALSE))</f>
        <v>#N/A</v>
      </c>
      <c r="AW295" s="439">
        <v>0</v>
      </c>
      <c r="AX295" s="440">
        <v>4542</v>
      </c>
      <c r="AY295" s="441" t="s">
        <v>2029</v>
      </c>
      <c r="AZ295" s="442" t="e">
        <f>(VLOOKUP(A295,TradesEquity!$1:$1048576,29,FALSE))</f>
        <v>#N/A</v>
      </c>
      <c r="BA295" s="442" t="e">
        <f>(VLOOKUP(A295,TradesEquity!$1:$1048576,30,FALSE))</f>
        <v>#N/A</v>
      </c>
      <c r="BB295" s="442" t="e">
        <f>(VLOOKUP(A295,TradesEquity!$1:$1048576,31,FALSE))</f>
        <v>#N/A</v>
      </c>
      <c r="BC295" s="442" t="e">
        <f>(VLOOKUP(A295,TradesEquity!$1:$1048576,32,FALSE))</f>
        <v>#N/A</v>
      </c>
      <c r="BI295" s="442" t="e">
        <f>(VLOOKUP(A295,TradesEquity!$1:$1048576,38,FALSE))</f>
        <v>#N/A</v>
      </c>
      <c r="BJ295" s="442" t="e">
        <f>(VLOOKUP(A295,TradesEquity!$1:$1048576,39,FALSE))</f>
        <v>#N/A</v>
      </c>
      <c r="BK295" s="442" t="e">
        <f>(VLOOKUP(A295,TradesEquity!$1:$1048576,40,FALSE))</f>
        <v>#N/A</v>
      </c>
    </row>
    <row r="296" spans="4:63">
      <c r="D296" s="432" t="s">
        <v>2027</v>
      </c>
      <c r="F296" s="433" t="e">
        <f>VLOOKUP(A296,TradesEquity!$1:$1048576,2,FALSE)</f>
        <v>#N/A</v>
      </c>
      <c r="H296" s="433" t="e">
        <f>VLOOKUP(A296,TradesEquity!$1:$1048576,21,FALSE)</f>
        <v>#N/A</v>
      </c>
      <c r="I296" s="434" t="e">
        <f>IF(VLOOKUP(A296,TradesEquity!$1:$1048576,3,FALSE)="BUY","B","S")</f>
        <v>#N/A</v>
      </c>
      <c r="J296" s="434" t="e">
        <f>VLOOKUP(A296,TradesEquity!$1:$1048576,5,FALSE)</f>
        <v>#N/A</v>
      </c>
      <c r="K296" s="432" t="s">
        <v>19</v>
      </c>
      <c r="L296" s="435" t="s">
        <v>2028</v>
      </c>
      <c r="AE296" s="436" t="e">
        <f>VLOOKUP(A296,TradesEquity!$1:$1048576,10,FALSE)</f>
        <v>#N/A</v>
      </c>
      <c r="AF296" s="436" t="e">
        <f t="shared" si="12"/>
        <v>#N/A</v>
      </c>
      <c r="AG296" s="436" t="e">
        <f t="shared" si="12"/>
        <v>#N/A</v>
      </c>
      <c r="AH296" s="436" t="e">
        <f t="shared" si="12"/>
        <v>#N/A</v>
      </c>
      <c r="AI296" s="436" t="e">
        <f>ABS(VLOOKUP(A296,TradesEquity!$1:$1048576,13,FALSE))</f>
        <v>#N/A</v>
      </c>
      <c r="AJ296" s="437">
        <v>0</v>
      </c>
      <c r="AK296" s="437">
        <v>1</v>
      </c>
      <c r="AL296" s="436" t="e">
        <f>VLOOKUP(A296,TradesEquity!$1:$1048576,11,FALSE)</f>
        <v>#N/A</v>
      </c>
      <c r="AM296" s="437">
        <v>1</v>
      </c>
      <c r="AN296" s="436" t="e">
        <f>ABS(VLOOKUP(A296,TradesEquity!$1:$1048576,14,FALSE))</f>
        <v>#N/A</v>
      </c>
      <c r="AO296" s="436" t="e">
        <f>ABS(VLOOKUP(A296,TradesEquity!$1:$1048576,15,FALSE))</f>
        <v>#N/A</v>
      </c>
      <c r="AP296" s="438" t="e">
        <f>ABS(VLOOKUP(A296,TradesEquity!$1:$1048576,16,FALSE))</f>
        <v>#N/A</v>
      </c>
      <c r="AQ296" s="367">
        <v>0</v>
      </c>
      <c r="AR296" s="367">
        <v>0</v>
      </c>
      <c r="AS296" s="367">
        <v>0</v>
      </c>
      <c r="AT296" s="367">
        <v>0</v>
      </c>
      <c r="AU296" s="367">
        <v>0</v>
      </c>
      <c r="AV296" s="438" t="e">
        <f>ABS(VLOOKUP(A296,TradesEquity!$1:$1048576,18,FALSE))</f>
        <v>#N/A</v>
      </c>
      <c r="AW296" s="439">
        <v>0</v>
      </c>
      <c r="AX296" s="440">
        <v>4542</v>
      </c>
      <c r="AY296" s="441" t="s">
        <v>2029</v>
      </c>
      <c r="AZ296" s="442" t="e">
        <f>(VLOOKUP(A296,TradesEquity!$1:$1048576,29,FALSE))</f>
        <v>#N/A</v>
      </c>
      <c r="BA296" s="442" t="e">
        <f>(VLOOKUP(A296,TradesEquity!$1:$1048576,30,FALSE))</f>
        <v>#N/A</v>
      </c>
      <c r="BB296" s="442" t="e">
        <f>(VLOOKUP(A296,TradesEquity!$1:$1048576,31,FALSE))</f>
        <v>#N/A</v>
      </c>
      <c r="BC296" s="442" t="e">
        <f>(VLOOKUP(A296,TradesEquity!$1:$1048576,32,FALSE))</f>
        <v>#N/A</v>
      </c>
      <c r="BI296" s="442" t="e">
        <f>(VLOOKUP(A296,TradesEquity!$1:$1048576,38,FALSE))</f>
        <v>#N/A</v>
      </c>
      <c r="BJ296" s="442" t="e">
        <f>(VLOOKUP(A296,TradesEquity!$1:$1048576,39,FALSE))</f>
        <v>#N/A</v>
      </c>
      <c r="BK296" s="442" t="e">
        <f>(VLOOKUP(A296,TradesEquity!$1:$1048576,40,FALSE))</f>
        <v>#N/A</v>
      </c>
    </row>
    <row r="297" spans="4:63">
      <c r="D297" s="432" t="s">
        <v>2027</v>
      </c>
      <c r="F297" s="433" t="e">
        <f>VLOOKUP(A297,TradesEquity!$1:$1048576,2,FALSE)</f>
        <v>#N/A</v>
      </c>
      <c r="H297" s="433" t="e">
        <f>VLOOKUP(A297,TradesEquity!$1:$1048576,21,FALSE)</f>
        <v>#N/A</v>
      </c>
      <c r="I297" s="434" t="e">
        <f>IF(VLOOKUP(A297,TradesEquity!$1:$1048576,3,FALSE)="BUY","B","S")</f>
        <v>#N/A</v>
      </c>
      <c r="J297" s="434" t="e">
        <f>VLOOKUP(A297,TradesEquity!$1:$1048576,5,FALSE)</f>
        <v>#N/A</v>
      </c>
      <c r="K297" s="432" t="s">
        <v>19</v>
      </c>
      <c r="L297" s="435" t="s">
        <v>2028</v>
      </c>
      <c r="AE297" s="436" t="e">
        <f>VLOOKUP(A297,TradesEquity!$1:$1048576,10,FALSE)</f>
        <v>#N/A</v>
      </c>
      <c r="AF297" s="436" t="e">
        <f t="shared" si="12"/>
        <v>#N/A</v>
      </c>
      <c r="AG297" s="436" t="e">
        <f t="shared" si="12"/>
        <v>#N/A</v>
      </c>
      <c r="AH297" s="436" t="e">
        <f t="shared" si="12"/>
        <v>#N/A</v>
      </c>
      <c r="AI297" s="436" t="e">
        <f>ABS(VLOOKUP(A297,TradesEquity!$1:$1048576,13,FALSE))</f>
        <v>#N/A</v>
      </c>
      <c r="AJ297" s="437">
        <v>0</v>
      </c>
      <c r="AK297" s="437">
        <v>1</v>
      </c>
      <c r="AL297" s="436" t="e">
        <f>VLOOKUP(A297,TradesEquity!$1:$1048576,11,FALSE)</f>
        <v>#N/A</v>
      </c>
      <c r="AM297" s="437">
        <v>1</v>
      </c>
      <c r="AN297" s="436" t="e">
        <f>ABS(VLOOKUP(A297,TradesEquity!$1:$1048576,14,FALSE))</f>
        <v>#N/A</v>
      </c>
      <c r="AO297" s="436" t="e">
        <f>ABS(VLOOKUP(A297,TradesEquity!$1:$1048576,15,FALSE))</f>
        <v>#N/A</v>
      </c>
      <c r="AP297" s="438" t="e">
        <f>ABS(VLOOKUP(A297,TradesEquity!$1:$1048576,16,FALSE))</f>
        <v>#N/A</v>
      </c>
      <c r="AQ297" s="367">
        <v>0</v>
      </c>
      <c r="AR297" s="367">
        <v>0</v>
      </c>
      <c r="AS297" s="367">
        <v>0</v>
      </c>
      <c r="AT297" s="367">
        <v>0</v>
      </c>
      <c r="AU297" s="367">
        <v>0</v>
      </c>
      <c r="AV297" s="438" t="e">
        <f>ABS(VLOOKUP(A297,TradesEquity!$1:$1048576,18,FALSE))</f>
        <v>#N/A</v>
      </c>
      <c r="AW297" s="439">
        <v>0</v>
      </c>
      <c r="AX297" s="440">
        <v>4542</v>
      </c>
      <c r="AY297" s="441" t="s">
        <v>2029</v>
      </c>
      <c r="AZ297" s="442" t="e">
        <f>(VLOOKUP(A297,TradesEquity!$1:$1048576,29,FALSE))</f>
        <v>#N/A</v>
      </c>
      <c r="BA297" s="442" t="e">
        <f>(VLOOKUP(A297,TradesEquity!$1:$1048576,30,FALSE))</f>
        <v>#N/A</v>
      </c>
      <c r="BB297" s="442" t="e">
        <f>(VLOOKUP(A297,TradesEquity!$1:$1048576,31,FALSE))</f>
        <v>#N/A</v>
      </c>
      <c r="BC297" s="442" t="e">
        <f>(VLOOKUP(A297,TradesEquity!$1:$1048576,32,FALSE))</f>
        <v>#N/A</v>
      </c>
      <c r="BI297" s="442" t="e">
        <f>(VLOOKUP(A297,TradesEquity!$1:$1048576,38,FALSE))</f>
        <v>#N/A</v>
      </c>
      <c r="BJ297" s="442" t="e">
        <f>(VLOOKUP(A297,TradesEquity!$1:$1048576,39,FALSE))</f>
        <v>#N/A</v>
      </c>
      <c r="BK297" s="442" t="e">
        <f>(VLOOKUP(A297,TradesEquity!$1:$1048576,40,FALSE))</f>
        <v>#N/A</v>
      </c>
    </row>
    <row r="298" spans="4:63">
      <c r="D298" s="432" t="s">
        <v>2027</v>
      </c>
      <c r="F298" s="433" t="e">
        <f>VLOOKUP(A298,TradesEquity!$1:$1048576,2,FALSE)</f>
        <v>#N/A</v>
      </c>
      <c r="H298" s="433" t="e">
        <f>VLOOKUP(A298,TradesEquity!$1:$1048576,21,FALSE)</f>
        <v>#N/A</v>
      </c>
      <c r="I298" s="434" t="e">
        <f>IF(VLOOKUP(A298,TradesEquity!$1:$1048576,3,FALSE)="BUY","B","S")</f>
        <v>#N/A</v>
      </c>
      <c r="J298" s="434" t="e">
        <f>VLOOKUP(A298,TradesEquity!$1:$1048576,5,FALSE)</f>
        <v>#N/A</v>
      </c>
      <c r="K298" s="432" t="s">
        <v>19</v>
      </c>
      <c r="L298" s="435" t="s">
        <v>2028</v>
      </c>
      <c r="AE298" s="436" t="e">
        <f>VLOOKUP(A298,TradesEquity!$1:$1048576,10,FALSE)</f>
        <v>#N/A</v>
      </c>
      <c r="AF298" s="436" t="e">
        <f t="shared" si="12"/>
        <v>#N/A</v>
      </c>
      <c r="AG298" s="436" t="e">
        <f t="shared" si="12"/>
        <v>#N/A</v>
      </c>
      <c r="AH298" s="436" t="e">
        <f t="shared" si="12"/>
        <v>#N/A</v>
      </c>
      <c r="AI298" s="436" t="e">
        <f>ABS(VLOOKUP(A298,TradesEquity!$1:$1048576,13,FALSE))</f>
        <v>#N/A</v>
      </c>
      <c r="AJ298" s="437">
        <v>0</v>
      </c>
      <c r="AK298" s="437">
        <v>1</v>
      </c>
      <c r="AL298" s="436" t="e">
        <f>VLOOKUP(A298,TradesEquity!$1:$1048576,11,FALSE)</f>
        <v>#N/A</v>
      </c>
      <c r="AM298" s="437">
        <v>1</v>
      </c>
      <c r="AN298" s="436" t="e">
        <f>ABS(VLOOKUP(A298,TradesEquity!$1:$1048576,14,FALSE))</f>
        <v>#N/A</v>
      </c>
      <c r="AO298" s="436" t="e">
        <f>ABS(VLOOKUP(A298,TradesEquity!$1:$1048576,15,FALSE))</f>
        <v>#N/A</v>
      </c>
      <c r="AP298" s="438" t="e">
        <f>ABS(VLOOKUP(A298,TradesEquity!$1:$1048576,16,FALSE))</f>
        <v>#N/A</v>
      </c>
      <c r="AQ298" s="367">
        <v>0</v>
      </c>
      <c r="AR298" s="367">
        <v>0</v>
      </c>
      <c r="AS298" s="367">
        <v>0</v>
      </c>
      <c r="AT298" s="367">
        <v>0</v>
      </c>
      <c r="AU298" s="367">
        <v>0</v>
      </c>
      <c r="AV298" s="438" t="e">
        <f>ABS(VLOOKUP(A298,TradesEquity!$1:$1048576,18,FALSE))</f>
        <v>#N/A</v>
      </c>
      <c r="AW298" s="439">
        <v>0</v>
      </c>
      <c r="AX298" s="440">
        <v>4542</v>
      </c>
      <c r="AY298" s="441" t="s">
        <v>2029</v>
      </c>
      <c r="AZ298" s="442" t="e">
        <f>(VLOOKUP(A298,TradesEquity!$1:$1048576,29,FALSE))</f>
        <v>#N/A</v>
      </c>
      <c r="BA298" s="442" t="e">
        <f>(VLOOKUP(A298,TradesEquity!$1:$1048576,30,FALSE))</f>
        <v>#N/A</v>
      </c>
      <c r="BB298" s="442" t="e">
        <f>(VLOOKUP(A298,TradesEquity!$1:$1048576,31,FALSE))</f>
        <v>#N/A</v>
      </c>
      <c r="BC298" s="442" t="e">
        <f>(VLOOKUP(A298,TradesEquity!$1:$1048576,32,FALSE))</f>
        <v>#N/A</v>
      </c>
      <c r="BI298" s="442" t="e">
        <f>(VLOOKUP(A298,TradesEquity!$1:$1048576,38,FALSE))</f>
        <v>#N/A</v>
      </c>
      <c r="BJ298" s="442" t="e">
        <f>(VLOOKUP(A298,TradesEquity!$1:$1048576,39,FALSE))</f>
        <v>#N/A</v>
      </c>
      <c r="BK298" s="442" t="e">
        <f>(VLOOKUP(A298,TradesEquity!$1:$1048576,40,FALSE))</f>
        <v>#N/A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topLeftCell="A28" workbookViewId="0">
      <selection activeCell="J50" sqref="J50"/>
    </sheetView>
  </sheetViews>
  <sheetFormatPr defaultRowHeight="14.5"/>
  <cols>
    <col min="2" max="2" width="21" bestFit="1" customWidth="1"/>
    <col min="3" max="3" width="13.1796875" customWidth="1"/>
    <col min="9" max="9" width="17" bestFit="1" customWidth="1"/>
    <col min="12" max="12" width="50.36328125" bestFit="1" customWidth="1"/>
  </cols>
  <sheetData>
    <row r="3" spans="2:12" ht="18.5">
      <c r="B3" s="1231" t="s">
        <v>12980</v>
      </c>
      <c r="C3" s="1231"/>
      <c r="D3" s="1231"/>
    </row>
    <row r="4" spans="2:12">
      <c r="C4" s="344"/>
    </row>
    <row r="5" spans="2:12" ht="15" thickBot="1">
      <c r="B5" s="581" t="s">
        <v>1768</v>
      </c>
      <c r="C5" s="581" t="s">
        <v>12981</v>
      </c>
    </row>
    <row r="6" spans="2:12">
      <c r="B6" s="582" t="s">
        <v>12997</v>
      </c>
      <c r="C6" s="583">
        <v>1</v>
      </c>
      <c r="I6" s="588" t="s">
        <v>12982</v>
      </c>
      <c r="J6" s="589">
        <v>4</v>
      </c>
      <c r="K6" s="590">
        <v>4</v>
      </c>
      <c r="L6" s="591" t="s">
        <v>12983</v>
      </c>
    </row>
    <row r="7" spans="2:12">
      <c r="B7" s="582" t="s">
        <v>12998</v>
      </c>
      <c r="C7" s="584">
        <v>2</v>
      </c>
      <c r="I7" s="592" t="s">
        <v>12984</v>
      </c>
      <c r="J7" s="586">
        <v>3</v>
      </c>
      <c r="K7" s="585">
        <v>3</v>
      </c>
      <c r="L7" s="593" t="s">
        <v>12985</v>
      </c>
    </row>
    <row r="8" spans="2:12">
      <c r="B8" s="582" t="s">
        <v>12999</v>
      </c>
      <c r="C8" s="584">
        <v>2</v>
      </c>
      <c r="I8" s="594" t="s">
        <v>12986</v>
      </c>
      <c r="J8" s="587">
        <v>2</v>
      </c>
      <c r="K8" s="584">
        <v>2</v>
      </c>
      <c r="L8" s="593" t="s">
        <v>12987</v>
      </c>
    </row>
    <row r="9" spans="2:12" ht="15" thickBot="1">
      <c r="B9" s="582" t="s">
        <v>13000</v>
      </c>
      <c r="C9" s="584">
        <v>2</v>
      </c>
      <c r="I9" s="595" t="s">
        <v>12988</v>
      </c>
      <c r="J9" s="596">
        <v>1</v>
      </c>
      <c r="K9" s="597">
        <v>1</v>
      </c>
      <c r="L9" s="598" t="s">
        <v>12989</v>
      </c>
    </row>
    <row r="10" spans="2:12">
      <c r="B10" s="582" t="s">
        <v>13001</v>
      </c>
      <c r="C10" s="585">
        <v>3</v>
      </c>
    </row>
    <row r="11" spans="2:12">
      <c r="B11" s="582" t="s">
        <v>13002</v>
      </c>
      <c r="C11" s="584">
        <v>2</v>
      </c>
    </row>
    <row r="12" spans="2:12">
      <c r="B12" s="582" t="s">
        <v>13003</v>
      </c>
      <c r="C12" s="584">
        <v>2</v>
      </c>
    </row>
    <row r="13" spans="2:12">
      <c r="B13" s="582" t="s">
        <v>13004</v>
      </c>
      <c r="C13" s="584">
        <v>2</v>
      </c>
    </row>
    <row r="14" spans="2:12">
      <c r="B14" s="582" t="s">
        <v>13005</v>
      </c>
      <c r="C14" s="584">
        <v>2</v>
      </c>
    </row>
    <row r="15" spans="2:12">
      <c r="B15" s="582" t="s">
        <v>13006</v>
      </c>
      <c r="C15" s="584">
        <v>2</v>
      </c>
    </row>
    <row r="16" spans="2:12">
      <c r="B16" s="582" t="s">
        <v>13007</v>
      </c>
      <c r="C16" s="584">
        <v>2</v>
      </c>
    </row>
    <row r="17" spans="2:3">
      <c r="B17" s="582" t="s">
        <v>13008</v>
      </c>
      <c r="C17" s="583">
        <v>1</v>
      </c>
    </row>
    <row r="18" spans="2:3">
      <c r="B18" s="582" t="s">
        <v>13009</v>
      </c>
      <c r="C18" s="583">
        <v>1</v>
      </c>
    </row>
    <row r="19" spans="2:3">
      <c r="B19" s="582" t="s">
        <v>13010</v>
      </c>
      <c r="C19" s="584">
        <v>2</v>
      </c>
    </row>
    <row r="20" spans="2:3">
      <c r="B20" s="582" t="s">
        <v>13011</v>
      </c>
      <c r="C20" s="584">
        <v>2</v>
      </c>
    </row>
    <row r="21" spans="2:3">
      <c r="B21" s="582" t="s">
        <v>13012</v>
      </c>
      <c r="C21" s="584">
        <v>2</v>
      </c>
    </row>
    <row r="22" spans="2:3">
      <c r="B22" s="582" t="s">
        <v>13013</v>
      </c>
      <c r="C22" s="584">
        <v>2</v>
      </c>
    </row>
    <row r="23" spans="2:3">
      <c r="B23" s="582" t="s">
        <v>13014</v>
      </c>
      <c r="C23" s="584">
        <v>2</v>
      </c>
    </row>
    <row r="24" spans="2:3">
      <c r="B24" s="582" t="s">
        <v>13015</v>
      </c>
      <c r="C24" s="584">
        <v>2</v>
      </c>
    </row>
    <row r="25" spans="2:3">
      <c r="B25" s="582" t="s">
        <v>13016</v>
      </c>
      <c r="C25" s="584">
        <v>2</v>
      </c>
    </row>
    <row r="26" spans="2:3">
      <c r="B26" s="582" t="s">
        <v>13017</v>
      </c>
      <c r="C26" s="584">
        <v>2</v>
      </c>
    </row>
    <row r="27" spans="2:3">
      <c r="B27" s="582" t="s">
        <v>13018</v>
      </c>
      <c r="C27" s="583">
        <v>1</v>
      </c>
    </row>
    <row r="28" spans="2:3">
      <c r="B28" s="582" t="s">
        <v>13019</v>
      </c>
      <c r="C28" s="583">
        <v>1</v>
      </c>
    </row>
    <row r="29" spans="2:3">
      <c r="B29" s="582" t="s">
        <v>13020</v>
      </c>
      <c r="C29" s="583">
        <v>1</v>
      </c>
    </row>
    <row r="30" spans="2:3">
      <c r="B30" s="582" t="s">
        <v>13021</v>
      </c>
      <c r="C30" s="584">
        <v>2</v>
      </c>
    </row>
    <row r="31" spans="2:3">
      <c r="B31" s="582" t="s">
        <v>12995</v>
      </c>
      <c r="C31" s="584">
        <v>2</v>
      </c>
    </row>
    <row r="32" spans="2:3">
      <c r="B32" s="582" t="s">
        <v>13022</v>
      </c>
      <c r="C32" s="583">
        <v>1</v>
      </c>
    </row>
    <row r="33" spans="2:3">
      <c r="B33" s="582" t="s">
        <v>13023</v>
      </c>
      <c r="C33" s="584">
        <v>2</v>
      </c>
    </row>
    <row r="34" spans="2:3">
      <c r="B34" s="582" t="s">
        <v>13024</v>
      </c>
      <c r="C34" s="584">
        <v>2</v>
      </c>
    </row>
    <row r="35" spans="2:3">
      <c r="B35" s="582" t="s">
        <v>13025</v>
      </c>
      <c r="C35" s="584">
        <v>2</v>
      </c>
    </row>
    <row r="36" spans="2:3">
      <c r="B36" s="582" t="s">
        <v>13026</v>
      </c>
      <c r="C36" s="583">
        <v>1</v>
      </c>
    </row>
    <row r="37" spans="2:3">
      <c r="B37" s="582" t="s">
        <v>13027</v>
      </c>
      <c r="C37" s="584">
        <v>2</v>
      </c>
    </row>
    <row r="38" spans="2:3">
      <c r="B38" s="582" t="s">
        <v>13028</v>
      </c>
      <c r="C38" s="585">
        <v>3</v>
      </c>
    </row>
    <row r="39" spans="2:3">
      <c r="B39" s="582" t="s">
        <v>13029</v>
      </c>
      <c r="C39" s="584">
        <v>2</v>
      </c>
    </row>
    <row r="40" spans="2:3">
      <c r="B40" s="582" t="s">
        <v>13030</v>
      </c>
      <c r="C40" s="585">
        <v>3</v>
      </c>
    </row>
    <row r="41" spans="2:3">
      <c r="B41" s="582" t="s">
        <v>13031</v>
      </c>
      <c r="C41" s="584">
        <v>2</v>
      </c>
    </row>
    <row r="42" spans="2:3">
      <c r="B42" s="582" t="s">
        <v>13032</v>
      </c>
      <c r="C42" s="583">
        <v>1</v>
      </c>
    </row>
    <row r="43" spans="2:3">
      <c r="B43" s="582" t="s">
        <v>13033</v>
      </c>
      <c r="C43" s="584">
        <v>2</v>
      </c>
    </row>
    <row r="44" spans="2:3">
      <c r="B44" s="582" t="s">
        <v>13034</v>
      </c>
      <c r="C44" s="584">
        <v>2</v>
      </c>
    </row>
    <row r="45" spans="2:3">
      <c r="B45" s="582" t="s">
        <v>13035</v>
      </c>
      <c r="C45" s="584">
        <v>2</v>
      </c>
    </row>
    <row r="46" spans="2:3">
      <c r="B46" s="582" t="s">
        <v>13036</v>
      </c>
      <c r="C46" s="583">
        <v>1</v>
      </c>
    </row>
    <row r="47" spans="2:3">
      <c r="B47" s="582" t="s">
        <v>13037</v>
      </c>
      <c r="C47" s="584">
        <v>2</v>
      </c>
    </row>
    <row r="48" spans="2:3">
      <c r="B48" s="582" t="s">
        <v>13038</v>
      </c>
      <c r="C48" s="584">
        <v>2</v>
      </c>
    </row>
    <row r="49" spans="2:3">
      <c r="B49" s="582" t="s">
        <v>13039</v>
      </c>
      <c r="C49" s="585">
        <v>3</v>
      </c>
    </row>
    <row r="50" spans="2:3">
      <c r="B50" s="582" t="s">
        <v>13040</v>
      </c>
      <c r="C50" s="585">
        <v>3</v>
      </c>
    </row>
    <row r="51" spans="2:3">
      <c r="B51" s="582" t="s">
        <v>13041</v>
      </c>
      <c r="C51" s="584">
        <v>2</v>
      </c>
    </row>
    <row r="52" spans="2:3">
      <c r="B52" s="582" t="s">
        <v>12996</v>
      </c>
      <c r="C52" s="584">
        <v>2</v>
      </c>
    </row>
    <row r="53" spans="2:3">
      <c r="B53" s="580"/>
      <c r="C53" s="580"/>
    </row>
  </sheetData>
  <mergeCells count="1">
    <mergeCell ref="B3:D3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C63D-9ABE-491A-BB27-3177CB5A2DBC}">
  <sheetPr codeName="Foglio2">
    <tabColor theme="8" tint="0.79998168889431442"/>
  </sheetPr>
  <dimension ref="A1:K226"/>
  <sheetViews>
    <sheetView zoomScaleNormal="100" workbookViewId="0">
      <pane xSplit="1" ySplit="11" topLeftCell="B216" activePane="bottomRight" state="frozen"/>
      <selection pane="topRight" activeCell="B1" sqref="B1"/>
      <selection pane="bottomLeft" activeCell="A12" sqref="A12"/>
      <selection pane="bottomRight" activeCell="C7" sqref="C7"/>
    </sheetView>
  </sheetViews>
  <sheetFormatPr defaultColWidth="9" defaultRowHeight="14.5"/>
  <cols>
    <col min="1" max="1" width="16.81640625" style="243" bestFit="1" customWidth="1"/>
    <col min="2" max="2" width="18.26953125" style="99" customWidth="1"/>
    <col min="3" max="3" width="18.7265625" style="22" customWidth="1"/>
    <col min="4" max="4" width="8.7265625" style="22" customWidth="1"/>
    <col min="5" max="6" width="9" style="22"/>
    <col min="7" max="7" width="28.26953125" style="22" customWidth="1"/>
    <col min="8" max="16384" width="9" style="22"/>
  </cols>
  <sheetData>
    <row r="1" spans="1:11" ht="57.5" customHeight="1">
      <c r="A1" s="243" t="s">
        <v>147</v>
      </c>
    </row>
    <row r="2" spans="1:11" ht="26" customHeight="1">
      <c r="A2" s="243" t="s">
        <v>148</v>
      </c>
    </row>
    <row r="3" spans="1:11" ht="12" customHeight="1">
      <c r="A3" s="244" t="s">
        <v>151</v>
      </c>
      <c r="B3" s="100"/>
    </row>
    <row r="4" spans="1:11" ht="14" customHeight="1">
      <c r="A4" s="244" t="s">
        <v>151</v>
      </c>
      <c r="B4" s="100"/>
    </row>
    <row r="5" spans="1:11" ht="14" customHeight="1">
      <c r="A5" s="244" t="s">
        <v>151</v>
      </c>
      <c r="B5" s="100"/>
    </row>
    <row r="6" spans="1:11" ht="14" customHeight="1">
      <c r="A6" s="244" t="s">
        <v>151</v>
      </c>
      <c r="B6" s="100"/>
      <c r="C6" s="80"/>
    </row>
    <row r="7" spans="1:11" ht="14" customHeight="1">
      <c r="A7" s="243">
        <f>TODAY()</f>
        <v>44526</v>
      </c>
      <c r="B7" s="242">
        <v>44491</v>
      </c>
      <c r="C7" s="217" t="str">
        <f>IF(A7=B7,"OK","STOP")</f>
        <v>STOP</v>
      </c>
    </row>
    <row r="8" spans="1:11" ht="14" customHeight="1">
      <c r="A8" s="244" t="s">
        <v>151</v>
      </c>
      <c r="B8" s="100"/>
    </row>
    <row r="9" spans="1:11" ht="14" customHeight="1">
      <c r="A9" s="244" t="s">
        <v>151</v>
      </c>
      <c r="B9" s="100"/>
    </row>
    <row r="10" spans="1:11" ht="14" customHeight="1">
      <c r="A10" s="244" t="s">
        <v>151</v>
      </c>
      <c r="B10" s="100"/>
      <c r="D10" s="1232" t="s">
        <v>153</v>
      </c>
      <c r="E10" s="1232"/>
      <c r="F10" s="1232"/>
    </row>
    <row r="11" spans="1:11">
      <c r="A11" s="245" t="s">
        <v>160</v>
      </c>
      <c r="B11" s="101" t="s">
        <v>159</v>
      </c>
      <c r="C11" s="98" t="s">
        <v>150</v>
      </c>
      <c r="D11" s="98" t="s">
        <v>161</v>
      </c>
      <c r="E11" s="98" t="s">
        <v>26</v>
      </c>
      <c r="F11" s="98" t="s">
        <v>154</v>
      </c>
      <c r="G11" s="98" t="s">
        <v>152</v>
      </c>
      <c r="H11" s="98"/>
      <c r="I11" s="98"/>
    </row>
    <row r="12" spans="1:11">
      <c r="A12" s="243">
        <v>43623</v>
      </c>
      <c r="B12" s="99">
        <v>0.66259259259259262</v>
      </c>
      <c r="C12" s="22" t="s">
        <v>148</v>
      </c>
      <c r="D12" s="22" t="s">
        <v>149</v>
      </c>
      <c r="E12" s="22" t="s">
        <v>149</v>
      </c>
      <c r="F12" s="22" t="s">
        <v>149</v>
      </c>
      <c r="H12" s="218" t="str">
        <f t="shared" ref="H12:H18" si="0">IF(AND(D12="Yes",E12="Yes",F12="Yes"),"OK","NO")</f>
        <v>OK</v>
      </c>
      <c r="I12" s="219" t="str">
        <f>IF(AND(H12="OK",A12-$A$7=0),"Proceed","Stop")</f>
        <v>Stop</v>
      </c>
    </row>
    <row r="13" spans="1:11">
      <c r="A13" s="243">
        <v>43626</v>
      </c>
      <c r="B13" s="99">
        <v>0.73324074074074075</v>
      </c>
      <c r="C13" s="22" t="s">
        <v>148</v>
      </c>
      <c r="D13" s="22" t="s">
        <v>149</v>
      </c>
      <c r="E13" s="22" t="s">
        <v>149</v>
      </c>
      <c r="F13" s="22" t="s">
        <v>149</v>
      </c>
      <c r="H13" s="218" t="str">
        <f t="shared" si="0"/>
        <v>OK</v>
      </c>
      <c r="I13" s="219" t="str">
        <f>IF(AND(H13="OK",A13-$A$7=0),"Proceed","Stop")</f>
        <v>Stop</v>
      </c>
    </row>
    <row r="14" spans="1:11">
      <c r="A14" s="243">
        <v>43627</v>
      </c>
      <c r="B14" s="99">
        <v>0.40013888888888888</v>
      </c>
      <c r="C14" s="22" t="s">
        <v>148</v>
      </c>
      <c r="D14" s="22" t="s">
        <v>149</v>
      </c>
      <c r="E14" s="22" t="s">
        <v>149</v>
      </c>
      <c r="F14" s="22" t="s">
        <v>149</v>
      </c>
      <c r="H14" s="218" t="str">
        <f t="shared" si="0"/>
        <v>OK</v>
      </c>
      <c r="I14" s="219" t="str">
        <f>IF(AND(H14="OK",A14-$A$7=0),"Proceed","Stop")</f>
        <v>Stop</v>
      </c>
      <c r="J14" s="80"/>
    </row>
    <row r="15" spans="1:11">
      <c r="A15" s="243">
        <v>43628</v>
      </c>
      <c r="B15" s="99">
        <v>0.38717592592592592</v>
      </c>
      <c r="C15" s="22" t="s">
        <v>148</v>
      </c>
      <c r="D15" s="22" t="s">
        <v>149</v>
      </c>
      <c r="E15" s="22" t="s">
        <v>149</v>
      </c>
      <c r="F15" s="22" t="s">
        <v>149</v>
      </c>
      <c r="H15" s="218" t="str">
        <f t="shared" si="0"/>
        <v>OK</v>
      </c>
      <c r="I15" s="219" t="str">
        <f>IF(AND(H15="OK",A15-$A$7=0),"Proceed","Stop")</f>
        <v>Stop</v>
      </c>
      <c r="J15" s="80"/>
      <c r="K15" s="240"/>
    </row>
    <row r="16" spans="1:11">
      <c r="A16" s="243">
        <v>43629</v>
      </c>
      <c r="B16" s="99">
        <v>0.4458449074074074</v>
      </c>
      <c r="C16" s="22" t="s">
        <v>148</v>
      </c>
      <c r="D16" s="22" t="s">
        <v>149</v>
      </c>
      <c r="E16" s="22" t="s">
        <v>149</v>
      </c>
      <c r="F16" s="22" t="s">
        <v>149</v>
      </c>
      <c r="H16" s="218" t="str">
        <f t="shared" si="0"/>
        <v>OK</v>
      </c>
      <c r="I16" s="219" t="str">
        <f>IF(AND(H16="OK",A16-$A$7=0),"Proceed","Stop")</f>
        <v>Stop</v>
      </c>
    </row>
    <row r="17" spans="1:9">
      <c r="A17" s="243">
        <v>43630</v>
      </c>
      <c r="B17" s="99">
        <v>0.48751157407407397</v>
      </c>
      <c r="C17" s="22" t="s">
        <v>147</v>
      </c>
      <c r="D17" s="22" t="s">
        <v>149</v>
      </c>
      <c r="E17" s="22" t="s">
        <v>149</v>
      </c>
      <c r="F17" s="22" t="s">
        <v>149</v>
      </c>
      <c r="H17" s="218" t="str">
        <f t="shared" si="0"/>
        <v>OK</v>
      </c>
      <c r="I17" s="219" t="str">
        <f t="shared" ref="I17:I29" si="1">IF(AND(H17="OK",A17-$A$7=0),"Proceed","Stop")</f>
        <v>Stop</v>
      </c>
    </row>
    <row r="18" spans="1:9">
      <c r="A18" s="243">
        <v>43633</v>
      </c>
      <c r="B18" s="99">
        <v>0.40418981481481481</v>
      </c>
      <c r="C18" s="22" t="s">
        <v>148</v>
      </c>
      <c r="D18" s="22" t="s">
        <v>149</v>
      </c>
      <c r="E18" s="22" t="s">
        <v>149</v>
      </c>
      <c r="F18" s="22" t="s">
        <v>149</v>
      </c>
      <c r="H18" s="218" t="str">
        <f t="shared" si="0"/>
        <v>OK</v>
      </c>
      <c r="I18" s="219" t="str">
        <f t="shared" si="1"/>
        <v>Stop</v>
      </c>
    </row>
    <row r="19" spans="1:9">
      <c r="A19" s="243">
        <v>43634</v>
      </c>
      <c r="B19" s="99">
        <v>0.45226851851851851</v>
      </c>
      <c r="C19" s="22" t="s">
        <v>148</v>
      </c>
      <c r="D19" s="22" t="s">
        <v>149</v>
      </c>
      <c r="E19" s="22" t="s">
        <v>149</v>
      </c>
      <c r="F19" s="22" t="s">
        <v>149</v>
      </c>
      <c r="H19" s="218" t="str">
        <f t="shared" ref="H19:H27" si="2">IF(AND(D19="Yes",E19="Yes",F19="Yes"),"OK","NO")</f>
        <v>OK</v>
      </c>
      <c r="I19" s="219" t="str">
        <f t="shared" si="1"/>
        <v>Stop</v>
      </c>
    </row>
    <row r="20" spans="1:9">
      <c r="A20" s="243">
        <v>43635</v>
      </c>
      <c r="B20" s="99">
        <v>0.38444444444444442</v>
      </c>
      <c r="C20" s="22" t="s">
        <v>148</v>
      </c>
      <c r="D20" s="22" t="s">
        <v>149</v>
      </c>
      <c r="E20" s="22" t="s">
        <v>149</v>
      </c>
      <c r="F20" s="22" t="s">
        <v>149</v>
      </c>
      <c r="H20" s="218" t="str">
        <f t="shared" si="2"/>
        <v>OK</v>
      </c>
      <c r="I20" s="219" t="str">
        <f t="shared" si="1"/>
        <v>Stop</v>
      </c>
    </row>
    <row r="21" spans="1:9">
      <c r="A21" s="243">
        <v>43636</v>
      </c>
      <c r="B21" s="99">
        <v>0.37729166666666664</v>
      </c>
      <c r="C21" s="22" t="s">
        <v>148</v>
      </c>
      <c r="D21" s="22" t="s">
        <v>149</v>
      </c>
      <c r="E21" s="22" t="s">
        <v>149</v>
      </c>
      <c r="F21" s="22" t="s">
        <v>149</v>
      </c>
      <c r="H21" s="218" t="str">
        <f t="shared" si="2"/>
        <v>OK</v>
      </c>
      <c r="I21" s="219" t="str">
        <f t="shared" si="1"/>
        <v>Stop</v>
      </c>
    </row>
    <row r="22" spans="1:9">
      <c r="A22" s="243">
        <v>43637</v>
      </c>
      <c r="B22" s="99">
        <v>0.37771990740740741</v>
      </c>
      <c r="C22" s="22" t="s">
        <v>148</v>
      </c>
      <c r="D22" s="22" t="s">
        <v>149</v>
      </c>
      <c r="E22" s="22" t="s">
        <v>149</v>
      </c>
      <c r="F22" s="22" t="s">
        <v>149</v>
      </c>
      <c r="H22" s="218" t="str">
        <f t="shared" si="2"/>
        <v>OK</v>
      </c>
      <c r="I22" s="219" t="str">
        <f t="shared" si="1"/>
        <v>Stop</v>
      </c>
    </row>
    <row r="23" spans="1:9">
      <c r="A23" s="243">
        <v>43640</v>
      </c>
      <c r="B23" s="99">
        <v>0.4319560185185185</v>
      </c>
      <c r="C23" s="22" t="s">
        <v>148</v>
      </c>
      <c r="D23" s="22" t="s">
        <v>149</v>
      </c>
      <c r="E23" s="22" t="s">
        <v>149</v>
      </c>
      <c r="F23" s="22" t="s">
        <v>149</v>
      </c>
      <c r="H23" s="218" t="str">
        <f t="shared" si="2"/>
        <v>OK</v>
      </c>
      <c r="I23" s="219" t="str">
        <f t="shared" si="1"/>
        <v>Stop</v>
      </c>
    </row>
    <row r="24" spans="1:9">
      <c r="A24" s="243">
        <v>43641</v>
      </c>
      <c r="B24" s="357">
        <v>0.41090277777777778</v>
      </c>
      <c r="C24" s="22" t="s">
        <v>148</v>
      </c>
      <c r="D24" s="22" t="s">
        <v>149</v>
      </c>
      <c r="E24" s="22" t="s">
        <v>149</v>
      </c>
      <c r="F24" s="22" t="s">
        <v>149</v>
      </c>
      <c r="H24" s="218" t="str">
        <f t="shared" si="2"/>
        <v>OK</v>
      </c>
      <c r="I24" s="219" t="str">
        <f t="shared" si="1"/>
        <v>Stop</v>
      </c>
    </row>
    <row r="25" spans="1:9">
      <c r="A25" s="243">
        <v>43642</v>
      </c>
      <c r="B25" s="357">
        <v>0.35501157407407408</v>
      </c>
      <c r="C25" s="22" t="s">
        <v>148</v>
      </c>
      <c r="D25" s="22" t="s">
        <v>149</v>
      </c>
      <c r="E25" s="22" t="s">
        <v>149</v>
      </c>
      <c r="F25" s="22" t="s">
        <v>149</v>
      </c>
      <c r="H25" s="218" t="str">
        <f t="shared" si="2"/>
        <v>OK</v>
      </c>
      <c r="I25" s="219" t="str">
        <f t="shared" si="1"/>
        <v>Stop</v>
      </c>
    </row>
    <row r="26" spans="1:9">
      <c r="A26" s="243">
        <v>43643</v>
      </c>
      <c r="B26" s="99">
        <v>0.29248842592592594</v>
      </c>
      <c r="C26" s="22" t="s">
        <v>148</v>
      </c>
      <c r="D26" s="22" t="s">
        <v>149</v>
      </c>
      <c r="E26" s="22" t="s">
        <v>149</v>
      </c>
      <c r="F26" s="22" t="s">
        <v>149</v>
      </c>
      <c r="H26" s="218" t="str">
        <f t="shared" si="2"/>
        <v>OK</v>
      </c>
      <c r="I26" s="219" t="str">
        <f t="shared" si="1"/>
        <v>Stop</v>
      </c>
    </row>
    <row r="27" spans="1:9">
      <c r="A27" s="243">
        <v>43644</v>
      </c>
      <c r="B27" s="99">
        <v>0.35935185185185187</v>
      </c>
      <c r="C27" s="22" t="s">
        <v>148</v>
      </c>
      <c r="D27" s="22" t="s">
        <v>149</v>
      </c>
      <c r="E27" s="22" t="s">
        <v>149</v>
      </c>
      <c r="F27" s="22" t="s">
        <v>149</v>
      </c>
      <c r="H27" s="218" t="str">
        <f t="shared" si="2"/>
        <v>OK</v>
      </c>
      <c r="I27" s="219" t="str">
        <f t="shared" si="1"/>
        <v>Stop</v>
      </c>
    </row>
    <row r="28" spans="1:9">
      <c r="A28" s="243">
        <v>43645</v>
      </c>
      <c r="B28" s="99">
        <v>0.401018518518519</v>
      </c>
      <c r="C28" s="22" t="s">
        <v>148</v>
      </c>
      <c r="D28" s="22" t="s">
        <v>149</v>
      </c>
      <c r="E28" s="22" t="s">
        <v>149</v>
      </c>
      <c r="F28" s="22" t="s">
        <v>149</v>
      </c>
      <c r="H28" s="218" t="str">
        <f t="shared" ref="H28:H44" si="3">IF(AND(D28="Yes",E28="Yes",F28="Yes"),"OK","NO")</f>
        <v>OK</v>
      </c>
      <c r="I28" s="219" t="str">
        <f t="shared" si="1"/>
        <v>Stop</v>
      </c>
    </row>
    <row r="29" spans="1:9">
      <c r="A29" s="243">
        <v>43646</v>
      </c>
      <c r="B29" s="99">
        <v>0.44268518518518502</v>
      </c>
      <c r="C29" s="22" t="s">
        <v>148</v>
      </c>
      <c r="D29" s="22" t="s">
        <v>149</v>
      </c>
      <c r="E29" s="22" t="s">
        <v>149</v>
      </c>
      <c r="F29" s="22" t="s">
        <v>149</v>
      </c>
      <c r="H29" s="218" t="str">
        <f t="shared" si="3"/>
        <v>OK</v>
      </c>
      <c r="I29" s="219" t="str">
        <f t="shared" si="1"/>
        <v>Stop</v>
      </c>
    </row>
    <row r="30" spans="1:9">
      <c r="A30" s="243">
        <v>43647</v>
      </c>
      <c r="B30" s="99">
        <v>0.48435185185185198</v>
      </c>
      <c r="C30" s="22" t="s">
        <v>148</v>
      </c>
      <c r="D30" s="22" t="s">
        <v>149</v>
      </c>
      <c r="E30" s="22" t="s">
        <v>149</v>
      </c>
      <c r="F30" s="22" t="s">
        <v>149</v>
      </c>
      <c r="H30" s="218" t="str">
        <f t="shared" si="3"/>
        <v>OK</v>
      </c>
      <c r="I30" s="219" t="str">
        <f t="shared" ref="I30:I53" si="4">IF(AND(H30="OK",A30-$A$7=0),"Proceed","Stop")</f>
        <v>Stop</v>
      </c>
    </row>
    <row r="31" spans="1:9">
      <c r="A31" s="243">
        <v>43648</v>
      </c>
      <c r="B31" s="99">
        <v>0.526018518518519</v>
      </c>
      <c r="C31" s="22" t="s">
        <v>148</v>
      </c>
      <c r="D31" s="22" t="s">
        <v>149</v>
      </c>
      <c r="E31" s="22" t="s">
        <v>149</v>
      </c>
      <c r="F31" s="22" t="s">
        <v>149</v>
      </c>
      <c r="H31" s="218" t="str">
        <f t="shared" si="3"/>
        <v>OK</v>
      </c>
      <c r="I31" s="219" t="str">
        <f t="shared" si="4"/>
        <v>Stop</v>
      </c>
    </row>
    <row r="32" spans="1:9">
      <c r="A32" s="243">
        <v>43649</v>
      </c>
      <c r="B32" s="99">
        <v>0.56768518518518496</v>
      </c>
      <c r="C32" s="22" t="s">
        <v>148</v>
      </c>
      <c r="D32" s="22" t="s">
        <v>149</v>
      </c>
      <c r="E32" s="22" t="s">
        <v>149</v>
      </c>
      <c r="F32" s="22" t="s">
        <v>149</v>
      </c>
      <c r="H32" s="218" t="str">
        <f t="shared" si="3"/>
        <v>OK</v>
      </c>
      <c r="I32" s="219" t="str">
        <f t="shared" si="4"/>
        <v>Stop</v>
      </c>
    </row>
    <row r="33" spans="1:9">
      <c r="A33" s="243">
        <v>43650</v>
      </c>
      <c r="B33" s="99">
        <v>0.60935185185185203</v>
      </c>
      <c r="C33" s="22" t="s">
        <v>148</v>
      </c>
      <c r="D33" s="22" t="s">
        <v>149</v>
      </c>
      <c r="E33" s="22" t="s">
        <v>149</v>
      </c>
      <c r="F33" s="22" t="s">
        <v>149</v>
      </c>
      <c r="H33" s="218" t="str">
        <f t="shared" si="3"/>
        <v>OK</v>
      </c>
      <c r="I33" s="219" t="str">
        <f t="shared" si="4"/>
        <v>Stop</v>
      </c>
    </row>
    <row r="34" spans="1:9">
      <c r="A34" s="243">
        <v>43651</v>
      </c>
      <c r="B34" s="99">
        <v>0.651018518518519</v>
      </c>
      <c r="C34" s="22" t="s">
        <v>148</v>
      </c>
      <c r="D34" s="22" t="s">
        <v>149</v>
      </c>
      <c r="E34" s="22" t="s">
        <v>149</v>
      </c>
      <c r="F34" s="22" t="s">
        <v>149</v>
      </c>
      <c r="H34" s="218" t="str">
        <f t="shared" si="3"/>
        <v>OK</v>
      </c>
      <c r="I34" s="219" t="str">
        <f>IF(AND(H34="OK",A34-$A$7=0),"Proceed","Stop")</f>
        <v>Stop</v>
      </c>
    </row>
    <row r="35" spans="1:9">
      <c r="A35" s="243">
        <v>43652</v>
      </c>
      <c r="B35" s="99">
        <v>0.69268518518518496</v>
      </c>
      <c r="C35" s="22" t="s">
        <v>148</v>
      </c>
      <c r="D35" s="22" t="s">
        <v>149</v>
      </c>
      <c r="E35" s="22" t="s">
        <v>149</v>
      </c>
      <c r="F35" s="22" t="s">
        <v>149</v>
      </c>
      <c r="H35" s="218" t="str">
        <f t="shared" si="3"/>
        <v>OK</v>
      </c>
      <c r="I35" s="219" t="str">
        <f>IF(AND(H35="OK",A35-$A$7=0),"Proceed","Stop")</f>
        <v>Stop</v>
      </c>
    </row>
    <row r="36" spans="1:9">
      <c r="A36" s="243">
        <v>43653</v>
      </c>
      <c r="B36" s="99">
        <v>0.73435185185185203</v>
      </c>
      <c r="C36" s="22" t="s">
        <v>148</v>
      </c>
      <c r="D36" s="22" t="s">
        <v>149</v>
      </c>
      <c r="E36" s="22" t="s">
        <v>149</v>
      </c>
      <c r="F36" s="22" t="s">
        <v>149</v>
      </c>
      <c r="H36" s="218" t="str">
        <f t="shared" si="3"/>
        <v>OK</v>
      </c>
      <c r="I36" s="219" t="str">
        <f>IF(AND(H36="OK",A36-$A$7=0),"Proceed","Stop")</f>
        <v>Stop</v>
      </c>
    </row>
    <row r="37" spans="1:9">
      <c r="A37" s="243">
        <v>43654</v>
      </c>
      <c r="B37" s="369">
        <v>0.776018518518519</v>
      </c>
      <c r="C37" s="22" t="s">
        <v>148</v>
      </c>
      <c r="D37" s="22" t="s">
        <v>149</v>
      </c>
      <c r="E37" s="22" t="s">
        <v>149</v>
      </c>
      <c r="F37" s="22" t="s">
        <v>149</v>
      </c>
      <c r="H37" s="218" t="str">
        <f t="shared" si="3"/>
        <v>OK</v>
      </c>
      <c r="I37" s="219" t="str">
        <f t="shared" si="4"/>
        <v>Stop</v>
      </c>
    </row>
    <row r="38" spans="1:9">
      <c r="A38" s="243">
        <v>43655</v>
      </c>
      <c r="B38" s="369">
        <v>0.81768518518518496</v>
      </c>
      <c r="C38" s="22" t="s">
        <v>148</v>
      </c>
      <c r="D38" s="22" t="s">
        <v>149</v>
      </c>
      <c r="E38" s="22" t="s">
        <v>149</v>
      </c>
      <c r="F38" s="22" t="s">
        <v>149</v>
      </c>
      <c r="H38" s="218" t="str">
        <f t="shared" si="3"/>
        <v>OK</v>
      </c>
      <c r="I38" s="219" t="str">
        <f t="shared" si="4"/>
        <v>Stop</v>
      </c>
    </row>
    <row r="39" spans="1:9">
      <c r="A39" s="243">
        <v>43656</v>
      </c>
      <c r="B39" s="369">
        <v>0.85935185185185203</v>
      </c>
      <c r="C39" s="22" t="s">
        <v>148</v>
      </c>
      <c r="D39" s="22" t="s">
        <v>149</v>
      </c>
      <c r="E39" s="22" t="s">
        <v>149</v>
      </c>
      <c r="F39" s="22" t="s">
        <v>149</v>
      </c>
      <c r="H39" s="218" t="str">
        <f t="shared" si="3"/>
        <v>OK</v>
      </c>
      <c r="I39" s="219" t="str">
        <f t="shared" si="4"/>
        <v>Stop</v>
      </c>
    </row>
    <row r="40" spans="1:9">
      <c r="A40" s="243">
        <v>43657</v>
      </c>
      <c r="B40" s="369">
        <v>0.901018518518518</v>
      </c>
      <c r="C40" s="22" t="s">
        <v>148</v>
      </c>
      <c r="D40" s="22" t="s">
        <v>149</v>
      </c>
      <c r="E40" s="22" t="s">
        <v>149</v>
      </c>
      <c r="F40" s="22" t="s">
        <v>149</v>
      </c>
      <c r="H40" s="218" t="str">
        <f t="shared" si="3"/>
        <v>OK</v>
      </c>
      <c r="I40" s="219" t="str">
        <f t="shared" si="4"/>
        <v>Stop</v>
      </c>
    </row>
    <row r="41" spans="1:9">
      <c r="A41" s="243">
        <v>43658</v>
      </c>
      <c r="B41" s="369">
        <v>0.94268518518518496</v>
      </c>
      <c r="C41" s="22" t="s">
        <v>148</v>
      </c>
      <c r="D41" s="22" t="s">
        <v>149</v>
      </c>
      <c r="E41" s="22" t="s">
        <v>149</v>
      </c>
      <c r="F41" s="22" t="s">
        <v>149</v>
      </c>
      <c r="H41" s="218" t="str">
        <f t="shared" si="3"/>
        <v>OK</v>
      </c>
      <c r="I41" s="219" t="str">
        <f t="shared" si="4"/>
        <v>Stop</v>
      </c>
    </row>
    <row r="42" spans="1:9">
      <c r="A42" s="243">
        <v>43659</v>
      </c>
      <c r="B42" s="369">
        <v>0.98435185185185203</v>
      </c>
      <c r="C42" s="22" t="s">
        <v>148</v>
      </c>
      <c r="D42" s="22" t="s">
        <v>149</v>
      </c>
      <c r="E42" s="22" t="s">
        <v>149</v>
      </c>
      <c r="F42" s="22" t="s">
        <v>149</v>
      </c>
      <c r="H42" s="218" t="str">
        <f t="shared" si="3"/>
        <v>OK</v>
      </c>
      <c r="I42" s="219" t="str">
        <f t="shared" si="4"/>
        <v>Stop</v>
      </c>
    </row>
    <row r="43" spans="1:9">
      <c r="A43" s="243">
        <v>43660</v>
      </c>
      <c r="B43" s="369">
        <v>1.02601851851852</v>
      </c>
      <c r="C43" s="22" t="s">
        <v>148</v>
      </c>
      <c r="D43" s="22" t="s">
        <v>149</v>
      </c>
      <c r="E43" s="22" t="s">
        <v>149</v>
      </c>
      <c r="F43" s="22" t="s">
        <v>149</v>
      </c>
      <c r="H43" s="218" t="str">
        <f t="shared" si="3"/>
        <v>OK</v>
      </c>
      <c r="I43" s="219" t="str">
        <f t="shared" si="4"/>
        <v>Stop</v>
      </c>
    </row>
    <row r="44" spans="1:9">
      <c r="A44" s="243">
        <v>43661</v>
      </c>
      <c r="B44" s="369">
        <v>1.0676851851851801</v>
      </c>
      <c r="C44" s="22" t="s">
        <v>148</v>
      </c>
      <c r="D44" s="22" t="s">
        <v>149</v>
      </c>
      <c r="E44" s="22" t="s">
        <v>149</v>
      </c>
      <c r="F44" s="22" t="s">
        <v>149</v>
      </c>
      <c r="H44" s="218" t="str">
        <f t="shared" si="3"/>
        <v>OK</v>
      </c>
      <c r="I44" s="219" t="str">
        <f t="shared" si="4"/>
        <v>Stop</v>
      </c>
    </row>
    <row r="45" spans="1:9">
      <c r="A45" s="243">
        <v>43662</v>
      </c>
      <c r="B45" s="369">
        <v>1.1093518518518499</v>
      </c>
      <c r="C45" s="22" t="s">
        <v>148</v>
      </c>
      <c r="D45" s="22" t="s">
        <v>149</v>
      </c>
      <c r="E45" s="22" t="s">
        <v>149</v>
      </c>
      <c r="F45" s="22" t="s">
        <v>149</v>
      </c>
      <c r="H45" s="218" t="str">
        <f t="shared" ref="H45:H53" si="5">IF(AND(D45="Yes",E45="Yes",F45="Yes"),"OK","NO")</f>
        <v>OK</v>
      </c>
      <c r="I45" s="219" t="str">
        <f t="shared" si="4"/>
        <v>Stop</v>
      </c>
    </row>
    <row r="46" spans="1:9">
      <c r="A46" s="243">
        <v>43663</v>
      </c>
      <c r="B46" s="369">
        <v>0.42076388888888888</v>
      </c>
      <c r="C46" s="22" t="s">
        <v>148</v>
      </c>
      <c r="D46" s="22" t="s">
        <v>149</v>
      </c>
      <c r="E46" s="22" t="s">
        <v>149</v>
      </c>
      <c r="F46" s="22" t="s">
        <v>149</v>
      </c>
      <c r="H46" s="218" t="str">
        <f t="shared" si="5"/>
        <v>OK</v>
      </c>
      <c r="I46" s="219" t="str">
        <f t="shared" si="4"/>
        <v>Stop</v>
      </c>
    </row>
    <row r="47" spans="1:9">
      <c r="A47" s="243">
        <v>43664</v>
      </c>
      <c r="B47" s="369">
        <v>0.42076388888888888</v>
      </c>
      <c r="C47" s="22" t="s">
        <v>148</v>
      </c>
      <c r="D47" s="22" t="s">
        <v>149</v>
      </c>
      <c r="E47" s="22" t="s">
        <v>149</v>
      </c>
      <c r="F47" s="22" t="s">
        <v>149</v>
      </c>
      <c r="H47" s="218" t="str">
        <f t="shared" si="5"/>
        <v>OK</v>
      </c>
      <c r="I47" s="219" t="str">
        <f t="shared" si="4"/>
        <v>Stop</v>
      </c>
    </row>
    <row r="48" spans="1:9">
      <c r="A48" s="243">
        <v>43665</v>
      </c>
      <c r="B48" s="369">
        <v>43665.596524189816</v>
      </c>
      <c r="C48" s="22" t="s">
        <v>148</v>
      </c>
      <c r="D48" s="22" t="s">
        <v>149</v>
      </c>
      <c r="E48" s="22" t="s">
        <v>149</v>
      </c>
      <c r="F48" s="22" t="s">
        <v>149</v>
      </c>
      <c r="H48" s="218" t="str">
        <f t="shared" si="5"/>
        <v>OK</v>
      </c>
      <c r="I48" s="219" t="str">
        <f t="shared" si="4"/>
        <v>Stop</v>
      </c>
    </row>
    <row r="49" spans="1:9">
      <c r="A49" s="243">
        <v>43666</v>
      </c>
      <c r="B49" s="369">
        <v>43665.638190856502</v>
      </c>
      <c r="C49" s="22" t="s">
        <v>148</v>
      </c>
      <c r="D49" s="22" t="s">
        <v>149</v>
      </c>
      <c r="E49" s="22" t="s">
        <v>149</v>
      </c>
      <c r="F49" s="22" t="s">
        <v>149</v>
      </c>
      <c r="H49" s="218" t="str">
        <f t="shared" si="5"/>
        <v>OK</v>
      </c>
      <c r="I49" s="219" t="str">
        <f t="shared" si="4"/>
        <v>Stop</v>
      </c>
    </row>
    <row r="50" spans="1:9">
      <c r="A50" s="243">
        <v>43667</v>
      </c>
      <c r="B50" s="369">
        <v>43665.679857523202</v>
      </c>
      <c r="C50" s="22" t="s">
        <v>148</v>
      </c>
      <c r="D50" s="22" t="s">
        <v>149</v>
      </c>
      <c r="E50" s="22" t="s">
        <v>149</v>
      </c>
      <c r="F50" s="22" t="s">
        <v>149</v>
      </c>
      <c r="H50" s="218" t="str">
        <f t="shared" si="5"/>
        <v>OK</v>
      </c>
      <c r="I50" s="219" t="str">
        <f t="shared" si="4"/>
        <v>Stop</v>
      </c>
    </row>
    <row r="51" spans="1:9">
      <c r="A51" s="243">
        <v>43668</v>
      </c>
      <c r="B51" s="369">
        <v>43665.721524189801</v>
      </c>
      <c r="C51" s="22" t="s">
        <v>148</v>
      </c>
      <c r="D51" s="22" t="s">
        <v>149</v>
      </c>
      <c r="E51" s="22" t="s">
        <v>149</v>
      </c>
      <c r="F51" s="22" t="s">
        <v>149</v>
      </c>
      <c r="H51" s="218" t="str">
        <f t="shared" si="5"/>
        <v>OK</v>
      </c>
      <c r="I51" s="219" t="str">
        <f t="shared" si="4"/>
        <v>Stop</v>
      </c>
    </row>
    <row r="52" spans="1:9">
      <c r="A52" s="243">
        <v>43669</v>
      </c>
      <c r="B52" s="369">
        <v>43665.763190856502</v>
      </c>
      <c r="C52" s="22" t="s">
        <v>148</v>
      </c>
      <c r="D52" s="22" t="s">
        <v>149</v>
      </c>
      <c r="E52" s="22" t="s">
        <v>149</v>
      </c>
      <c r="F52" s="22" t="s">
        <v>149</v>
      </c>
      <c r="H52" s="218" t="str">
        <f t="shared" si="5"/>
        <v>OK</v>
      </c>
      <c r="I52" s="219" t="str">
        <f t="shared" si="4"/>
        <v>Stop</v>
      </c>
    </row>
    <row r="53" spans="1:9">
      <c r="A53" s="243">
        <v>43670</v>
      </c>
      <c r="B53" s="369">
        <v>43665.804857523202</v>
      </c>
      <c r="C53" s="22" t="s">
        <v>148</v>
      </c>
      <c r="D53" s="22" t="s">
        <v>149</v>
      </c>
      <c r="E53" s="22" t="s">
        <v>149</v>
      </c>
      <c r="F53" s="22" t="s">
        <v>149</v>
      </c>
      <c r="H53" s="218" t="str">
        <f t="shared" si="5"/>
        <v>OK</v>
      </c>
      <c r="I53" s="219" t="str">
        <f t="shared" si="4"/>
        <v>Stop</v>
      </c>
    </row>
    <row r="54" spans="1:9">
      <c r="A54" s="243">
        <v>43671</v>
      </c>
      <c r="B54" s="369">
        <v>43665.46130787037</v>
      </c>
      <c r="C54" s="22" t="s">
        <v>148</v>
      </c>
      <c r="D54" s="22" t="s">
        <v>149</v>
      </c>
      <c r="E54" s="22" t="s">
        <v>149</v>
      </c>
      <c r="F54" s="22" t="s">
        <v>149</v>
      </c>
      <c r="H54" s="218" t="str">
        <f t="shared" ref="H54:H61" si="6">IF(AND(D54="Yes",E54="Yes",F54="Yes"),"OK","NO")</f>
        <v>OK</v>
      </c>
      <c r="I54" s="219" t="str">
        <f t="shared" ref="I54:I61" si="7">IF(AND(H54="OK",A54-$A$7=0),"Proceed","Stop")</f>
        <v>Stop</v>
      </c>
    </row>
    <row r="55" spans="1:9">
      <c r="A55" s="243">
        <v>43672</v>
      </c>
      <c r="B55" s="369">
        <v>43665.502974536997</v>
      </c>
      <c r="C55" s="22" t="s">
        <v>148</v>
      </c>
      <c r="D55" s="22" t="s">
        <v>149</v>
      </c>
      <c r="E55" s="22" t="s">
        <v>149</v>
      </c>
      <c r="F55" s="22" t="s">
        <v>149</v>
      </c>
      <c r="H55" s="218" t="str">
        <f t="shared" si="6"/>
        <v>OK</v>
      </c>
      <c r="I55" s="219" t="str">
        <f t="shared" si="7"/>
        <v>Stop</v>
      </c>
    </row>
    <row r="56" spans="1:9">
      <c r="A56" s="243">
        <v>43673</v>
      </c>
      <c r="B56" s="369">
        <v>43665.544641203698</v>
      </c>
      <c r="C56" s="22" t="s">
        <v>148</v>
      </c>
      <c r="D56" s="22" t="s">
        <v>149</v>
      </c>
      <c r="E56" s="22" t="s">
        <v>149</v>
      </c>
      <c r="F56" s="22" t="s">
        <v>149</v>
      </c>
      <c r="H56" s="218" t="str">
        <f t="shared" si="6"/>
        <v>OK</v>
      </c>
      <c r="I56" s="219" t="str">
        <f t="shared" si="7"/>
        <v>Stop</v>
      </c>
    </row>
    <row r="57" spans="1:9">
      <c r="A57" s="243">
        <v>43674</v>
      </c>
      <c r="B57" s="369">
        <v>43665.586307870297</v>
      </c>
      <c r="C57" s="22" t="s">
        <v>148</v>
      </c>
      <c r="D57" s="22" t="s">
        <v>149</v>
      </c>
      <c r="E57" s="22" t="s">
        <v>149</v>
      </c>
      <c r="F57" s="22" t="s">
        <v>149</v>
      </c>
      <c r="H57" s="218" t="str">
        <f t="shared" si="6"/>
        <v>OK</v>
      </c>
      <c r="I57" s="219" t="str">
        <f t="shared" si="7"/>
        <v>Stop</v>
      </c>
    </row>
    <row r="58" spans="1:9">
      <c r="A58" s="243">
        <v>43675</v>
      </c>
      <c r="B58" s="369">
        <v>43665.627974536903</v>
      </c>
      <c r="C58" s="22" t="s">
        <v>148</v>
      </c>
      <c r="D58" s="22" t="s">
        <v>149</v>
      </c>
      <c r="E58" s="22" t="s">
        <v>149</v>
      </c>
      <c r="F58" s="22" t="s">
        <v>149</v>
      </c>
      <c r="H58" s="218" t="str">
        <f t="shared" si="6"/>
        <v>OK</v>
      </c>
      <c r="I58" s="219" t="str">
        <f t="shared" si="7"/>
        <v>Stop</v>
      </c>
    </row>
    <row r="59" spans="1:9">
      <c r="A59" s="243">
        <v>43676</v>
      </c>
      <c r="B59" s="369">
        <v>43665.669641203604</v>
      </c>
      <c r="C59" s="22" t="s">
        <v>148</v>
      </c>
      <c r="D59" s="22" t="s">
        <v>149</v>
      </c>
      <c r="E59" s="22" t="s">
        <v>149</v>
      </c>
      <c r="F59" s="22" t="s">
        <v>149</v>
      </c>
      <c r="H59" s="218" t="str">
        <f t="shared" si="6"/>
        <v>OK</v>
      </c>
      <c r="I59" s="219" t="str">
        <f t="shared" si="7"/>
        <v>Stop</v>
      </c>
    </row>
    <row r="60" spans="1:9">
      <c r="A60" s="243">
        <v>43677</v>
      </c>
      <c r="B60" s="369">
        <v>43665.711307870202</v>
      </c>
      <c r="C60" s="22" t="s">
        <v>148</v>
      </c>
      <c r="D60" s="22" t="s">
        <v>149</v>
      </c>
      <c r="E60" s="22" t="s">
        <v>149</v>
      </c>
      <c r="F60" s="22" t="s">
        <v>149</v>
      </c>
      <c r="H60" s="218" t="str">
        <f t="shared" si="6"/>
        <v>OK</v>
      </c>
      <c r="I60" s="219" t="str">
        <f t="shared" si="7"/>
        <v>Stop</v>
      </c>
    </row>
    <row r="61" spans="1:9">
      <c r="A61" s="243">
        <v>43678</v>
      </c>
      <c r="B61" s="369">
        <v>43665.752974536903</v>
      </c>
      <c r="C61" s="22" t="s">
        <v>148</v>
      </c>
      <c r="D61" s="22" t="s">
        <v>149</v>
      </c>
      <c r="E61" s="22" t="s">
        <v>149</v>
      </c>
      <c r="F61" s="22" t="s">
        <v>149</v>
      </c>
      <c r="H61" s="218" t="str">
        <f t="shared" si="6"/>
        <v>OK</v>
      </c>
      <c r="I61" s="219" t="str">
        <f t="shared" si="7"/>
        <v>Stop</v>
      </c>
    </row>
    <row r="62" spans="1:9">
      <c r="A62" s="243">
        <v>43679</v>
      </c>
      <c r="B62" s="369">
        <v>43665.794641203502</v>
      </c>
      <c r="C62" s="22" t="s">
        <v>148</v>
      </c>
      <c r="D62" s="22" t="s">
        <v>149</v>
      </c>
      <c r="E62" s="22" t="s">
        <v>149</v>
      </c>
      <c r="F62" s="22" t="s">
        <v>149</v>
      </c>
      <c r="H62" s="218" t="str">
        <f t="shared" ref="H62:H72" si="8">IF(AND(D62="Yes",E62="Yes",F62="Yes"),"OK","NO")</f>
        <v>OK</v>
      </c>
      <c r="I62" s="219" t="str">
        <f t="shared" ref="I62:I72" si="9">IF(AND(H62="OK",A62-$A$7=0),"Proceed","Stop")</f>
        <v>Stop</v>
      </c>
    </row>
    <row r="63" spans="1:9">
      <c r="A63" s="243">
        <v>43682</v>
      </c>
      <c r="B63" s="369">
        <v>43665.836307870202</v>
      </c>
      <c r="C63" s="22" t="s">
        <v>148</v>
      </c>
      <c r="D63" s="22" t="s">
        <v>149</v>
      </c>
      <c r="E63" s="22" t="s">
        <v>149</v>
      </c>
      <c r="F63" s="22" t="s">
        <v>149</v>
      </c>
      <c r="H63" s="218" t="str">
        <f t="shared" si="8"/>
        <v>OK</v>
      </c>
      <c r="I63" s="219" t="str">
        <f t="shared" si="9"/>
        <v>Stop</v>
      </c>
    </row>
    <row r="64" spans="1:9">
      <c r="A64" s="243">
        <v>43683</v>
      </c>
      <c r="B64" s="369">
        <v>43665.877974536903</v>
      </c>
      <c r="C64" s="22" t="s">
        <v>148</v>
      </c>
      <c r="D64" s="22" t="s">
        <v>149</v>
      </c>
      <c r="E64" s="22" t="s">
        <v>149</v>
      </c>
      <c r="F64" s="22" t="s">
        <v>149</v>
      </c>
      <c r="H64" s="218" t="str">
        <f t="shared" si="8"/>
        <v>OK</v>
      </c>
      <c r="I64" s="219" t="str">
        <f t="shared" si="9"/>
        <v>Stop</v>
      </c>
    </row>
    <row r="65" spans="1:9">
      <c r="A65" s="243">
        <v>43684</v>
      </c>
      <c r="B65" s="99">
        <v>43665.344594907408</v>
      </c>
      <c r="C65" s="22" t="s">
        <v>148</v>
      </c>
      <c r="D65" s="22" t="s">
        <v>149</v>
      </c>
      <c r="E65" s="22" t="s">
        <v>149</v>
      </c>
      <c r="F65" s="22" t="s">
        <v>149</v>
      </c>
      <c r="H65" s="218" t="str">
        <f t="shared" si="8"/>
        <v>OK</v>
      </c>
      <c r="I65" s="219" t="str">
        <f t="shared" si="9"/>
        <v>Stop</v>
      </c>
    </row>
    <row r="66" spans="1:9">
      <c r="A66" s="243">
        <v>43686</v>
      </c>
      <c r="B66" s="99">
        <v>0.75085648148148154</v>
      </c>
      <c r="C66" s="22" t="s">
        <v>1655</v>
      </c>
      <c r="D66" s="22" t="s">
        <v>149</v>
      </c>
      <c r="E66" s="22" t="s">
        <v>149</v>
      </c>
      <c r="F66" s="22" t="s">
        <v>149</v>
      </c>
      <c r="H66" s="218" t="str">
        <f t="shared" si="8"/>
        <v>OK</v>
      </c>
      <c r="I66" s="219" t="str">
        <f t="shared" si="9"/>
        <v>Stop</v>
      </c>
    </row>
    <row r="67" spans="1:9">
      <c r="A67" s="243">
        <v>43689</v>
      </c>
      <c r="B67" s="99">
        <v>0.38004629629629627</v>
      </c>
      <c r="C67" s="22" t="s">
        <v>147</v>
      </c>
      <c r="D67" s="22" t="s">
        <v>149</v>
      </c>
      <c r="E67" s="22" t="s">
        <v>149</v>
      </c>
      <c r="F67" s="22" t="s">
        <v>149</v>
      </c>
      <c r="H67" s="218" t="str">
        <f t="shared" si="8"/>
        <v>OK</v>
      </c>
      <c r="I67" s="219" t="str">
        <f t="shared" si="9"/>
        <v>Stop</v>
      </c>
    </row>
    <row r="68" spans="1:9">
      <c r="A68" s="243">
        <v>43692</v>
      </c>
      <c r="B68" s="99">
        <v>0.34652777777777777</v>
      </c>
      <c r="C68" s="22" t="s">
        <v>147</v>
      </c>
      <c r="D68" s="22" t="s">
        <v>149</v>
      </c>
      <c r="E68" s="22" t="s">
        <v>149</v>
      </c>
      <c r="F68" s="22" t="s">
        <v>149</v>
      </c>
      <c r="H68" s="218" t="str">
        <f t="shared" si="8"/>
        <v>OK</v>
      </c>
      <c r="I68" s="219" t="str">
        <f t="shared" si="9"/>
        <v>Stop</v>
      </c>
    </row>
    <row r="69" spans="1:9">
      <c r="A69" s="243">
        <v>43692</v>
      </c>
      <c r="B69" s="99">
        <v>0.34136574074074072</v>
      </c>
      <c r="C69" s="22" t="s">
        <v>147</v>
      </c>
      <c r="D69" s="22" t="s">
        <v>149</v>
      </c>
      <c r="E69" s="22" t="s">
        <v>149</v>
      </c>
      <c r="F69" s="22" t="s">
        <v>149</v>
      </c>
      <c r="H69" s="218" t="str">
        <f t="shared" si="8"/>
        <v>OK</v>
      </c>
      <c r="I69" s="219" t="str">
        <f t="shared" si="9"/>
        <v>Stop</v>
      </c>
    </row>
    <row r="70" spans="1:9">
      <c r="A70" s="243">
        <v>43692</v>
      </c>
      <c r="B70" s="99">
        <v>0.34674768518518517</v>
      </c>
      <c r="C70" s="22" t="s">
        <v>147</v>
      </c>
      <c r="D70" s="22" t="s">
        <v>149</v>
      </c>
      <c r="E70" s="22" t="s">
        <v>149</v>
      </c>
      <c r="F70" s="22" t="s">
        <v>149</v>
      </c>
      <c r="H70" s="218" t="str">
        <f t="shared" si="8"/>
        <v>OK</v>
      </c>
      <c r="I70" s="219" t="str">
        <f t="shared" si="9"/>
        <v>Stop</v>
      </c>
    </row>
    <row r="71" spans="1:9">
      <c r="A71" s="243">
        <v>43693</v>
      </c>
      <c r="B71" s="99">
        <v>0.61060185185185178</v>
      </c>
      <c r="C71" s="22" t="s">
        <v>1655</v>
      </c>
      <c r="D71" s="22" t="s">
        <v>149</v>
      </c>
      <c r="E71" s="22" t="s">
        <v>149</v>
      </c>
      <c r="F71" s="22" t="s">
        <v>149</v>
      </c>
      <c r="H71" s="218" t="str">
        <f t="shared" si="8"/>
        <v>OK</v>
      </c>
      <c r="I71" s="219" t="str">
        <f t="shared" si="9"/>
        <v>Stop</v>
      </c>
    </row>
    <row r="72" spans="1:9">
      <c r="A72" s="243">
        <v>43696</v>
      </c>
      <c r="B72" s="99">
        <v>0.39815972222222223</v>
      </c>
      <c r="C72" s="22" t="s">
        <v>148</v>
      </c>
      <c r="D72" s="22" t="s">
        <v>149</v>
      </c>
      <c r="E72" s="22" t="s">
        <v>149</v>
      </c>
      <c r="F72" s="22" t="s">
        <v>149</v>
      </c>
      <c r="H72" s="218" t="str">
        <f t="shared" si="8"/>
        <v>OK</v>
      </c>
      <c r="I72" s="219" t="str">
        <f t="shared" si="9"/>
        <v>Stop</v>
      </c>
    </row>
    <row r="73" spans="1:9">
      <c r="A73" s="243">
        <v>43697</v>
      </c>
      <c r="B73" s="99">
        <v>0.40777777777777779</v>
      </c>
      <c r="C73" s="22" t="s">
        <v>148</v>
      </c>
      <c r="D73" s="22" t="s">
        <v>149</v>
      </c>
      <c r="E73" s="22" t="s">
        <v>149</v>
      </c>
      <c r="F73" s="22" t="s">
        <v>149</v>
      </c>
      <c r="H73" s="218" t="str">
        <f t="shared" ref="H73:H81" si="10">IF(AND(D73="Yes",E73="Yes",F73="Yes"),"OK","NO")</f>
        <v>OK</v>
      </c>
      <c r="I73" s="219" t="str">
        <f t="shared" ref="I73:I81" si="11">IF(AND(H73="OK",A73-$A$7=0),"Proceed","Stop")</f>
        <v>Stop</v>
      </c>
    </row>
    <row r="74" spans="1:9">
      <c r="A74" s="243">
        <v>43698</v>
      </c>
      <c r="B74" s="374">
        <v>0.32587962962962963</v>
      </c>
      <c r="C74" s="22" t="s">
        <v>148</v>
      </c>
      <c r="D74" s="22" t="s">
        <v>149</v>
      </c>
      <c r="E74" s="22" t="s">
        <v>149</v>
      </c>
      <c r="F74" s="22" t="s">
        <v>149</v>
      </c>
      <c r="H74" s="218" t="str">
        <f t="shared" si="10"/>
        <v>OK</v>
      </c>
      <c r="I74" s="219" t="str">
        <f t="shared" si="11"/>
        <v>Stop</v>
      </c>
    </row>
    <row r="75" spans="1:9">
      <c r="A75" s="243">
        <v>43699</v>
      </c>
      <c r="B75" s="374">
        <v>0.36754629629629598</v>
      </c>
      <c r="C75" s="22" t="s">
        <v>148</v>
      </c>
      <c r="D75" s="22" t="s">
        <v>149</v>
      </c>
      <c r="E75" s="22" t="s">
        <v>149</v>
      </c>
      <c r="F75" s="22" t="s">
        <v>149</v>
      </c>
      <c r="H75" s="218" t="str">
        <f t="shared" si="10"/>
        <v>OK</v>
      </c>
      <c r="I75" s="219" t="str">
        <f t="shared" si="11"/>
        <v>Stop</v>
      </c>
    </row>
    <row r="76" spans="1:9">
      <c r="A76" s="243">
        <v>43700</v>
      </c>
      <c r="B76" s="99">
        <v>0.40819444444444447</v>
      </c>
      <c r="C76" s="22" t="s">
        <v>148</v>
      </c>
      <c r="D76" s="22" t="s">
        <v>149</v>
      </c>
      <c r="E76" s="22" t="s">
        <v>149</v>
      </c>
      <c r="F76" s="22" t="s">
        <v>149</v>
      </c>
      <c r="H76" s="218" t="str">
        <f t="shared" si="10"/>
        <v>OK</v>
      </c>
      <c r="I76" s="219" t="str">
        <f t="shared" si="11"/>
        <v>Stop</v>
      </c>
    </row>
    <row r="77" spans="1:9">
      <c r="A77" s="243">
        <v>43703</v>
      </c>
      <c r="B77" s="99">
        <v>0.33490740740740743</v>
      </c>
      <c r="C77" s="22" t="s">
        <v>148</v>
      </c>
      <c r="D77" s="22" t="s">
        <v>149</v>
      </c>
      <c r="E77" s="22" t="s">
        <v>149</v>
      </c>
      <c r="F77" s="22" t="s">
        <v>149</v>
      </c>
      <c r="H77" s="218" t="str">
        <f>IF(AND(D77="Yes",E77="Yes",F77="Yes"),"OK","NO")</f>
        <v>OK</v>
      </c>
      <c r="I77" s="219" t="str">
        <f t="shared" si="11"/>
        <v>Stop</v>
      </c>
    </row>
    <row r="78" spans="1:9">
      <c r="A78" s="243">
        <v>43704</v>
      </c>
      <c r="B78" s="99">
        <v>0.36090277777777779</v>
      </c>
      <c r="C78" s="22" t="s">
        <v>148</v>
      </c>
      <c r="D78" s="22" t="s">
        <v>149</v>
      </c>
      <c r="E78" s="22" t="s">
        <v>149</v>
      </c>
      <c r="F78" s="22" t="s">
        <v>149</v>
      </c>
      <c r="H78" s="218" t="str">
        <f t="shared" si="10"/>
        <v>OK</v>
      </c>
      <c r="I78" s="219" t="str">
        <f t="shared" si="11"/>
        <v>Stop</v>
      </c>
    </row>
    <row r="79" spans="1:9">
      <c r="A79" s="243">
        <v>43705</v>
      </c>
      <c r="B79" s="99">
        <v>0.40256944444444398</v>
      </c>
      <c r="C79" s="22" t="s">
        <v>148</v>
      </c>
      <c r="D79" s="22" t="s">
        <v>149</v>
      </c>
      <c r="E79" s="22" t="s">
        <v>149</v>
      </c>
      <c r="F79" s="22" t="s">
        <v>149</v>
      </c>
      <c r="H79" s="218" t="str">
        <f t="shared" si="10"/>
        <v>OK</v>
      </c>
      <c r="I79" s="219" t="str">
        <f t="shared" si="11"/>
        <v>Stop</v>
      </c>
    </row>
    <row r="80" spans="1:9">
      <c r="A80" s="243">
        <v>43706</v>
      </c>
      <c r="B80" s="99">
        <v>0.34085648148148145</v>
      </c>
      <c r="C80" s="22" t="s">
        <v>148</v>
      </c>
      <c r="D80" s="22" t="s">
        <v>149</v>
      </c>
      <c r="E80" s="22" t="s">
        <v>149</v>
      </c>
      <c r="F80" s="22" t="s">
        <v>149</v>
      </c>
      <c r="H80" s="218" t="str">
        <f t="shared" si="10"/>
        <v>OK</v>
      </c>
      <c r="I80" s="219" t="str">
        <f t="shared" si="11"/>
        <v>Stop</v>
      </c>
    </row>
    <row r="81" spans="1:9">
      <c r="A81" s="243">
        <v>43707</v>
      </c>
      <c r="B81" s="376">
        <v>0.96964120370370377</v>
      </c>
      <c r="C81" s="22" t="s">
        <v>1692</v>
      </c>
      <c r="D81" s="22" t="s">
        <v>149</v>
      </c>
      <c r="E81" s="22" t="s">
        <v>149</v>
      </c>
      <c r="F81" s="22" t="s">
        <v>149</v>
      </c>
      <c r="H81" s="218" t="str">
        <f t="shared" si="10"/>
        <v>OK</v>
      </c>
      <c r="I81" s="219" t="str">
        <f t="shared" si="11"/>
        <v>Stop</v>
      </c>
    </row>
    <row r="82" spans="1:9">
      <c r="A82" s="243">
        <v>43708</v>
      </c>
      <c r="B82" s="376">
        <v>1.01130787037037</v>
      </c>
      <c r="C82" s="22" t="s">
        <v>1692</v>
      </c>
      <c r="D82" s="22" t="s">
        <v>149</v>
      </c>
      <c r="E82" s="22" t="s">
        <v>149</v>
      </c>
      <c r="F82" s="22" t="s">
        <v>149</v>
      </c>
      <c r="H82" s="218" t="str">
        <f t="shared" ref="H82:H92" si="12">IF(AND(D82="Yes",E82="Yes",F82="Yes"),"OK","NO")</f>
        <v>OK</v>
      </c>
      <c r="I82" s="219" t="str">
        <f t="shared" ref="I82:I92" si="13">IF(AND(H82="OK",A82-$A$7=0),"Proceed","Stop")</f>
        <v>Stop</v>
      </c>
    </row>
    <row r="83" spans="1:9">
      <c r="A83" s="243">
        <v>43709</v>
      </c>
      <c r="B83" s="376">
        <v>1.05297453703704</v>
      </c>
      <c r="C83" s="22" t="s">
        <v>1692</v>
      </c>
      <c r="D83" s="22" t="s">
        <v>149</v>
      </c>
      <c r="E83" s="22" t="s">
        <v>149</v>
      </c>
      <c r="F83" s="22" t="s">
        <v>149</v>
      </c>
      <c r="H83" s="218" t="str">
        <f t="shared" si="12"/>
        <v>OK</v>
      </c>
      <c r="I83" s="219" t="str">
        <f t="shared" si="13"/>
        <v>Stop</v>
      </c>
    </row>
    <row r="84" spans="1:9">
      <c r="A84" s="243">
        <v>43710</v>
      </c>
      <c r="B84" s="376">
        <v>1.0946412037037101</v>
      </c>
      <c r="C84" s="22" t="s">
        <v>1692</v>
      </c>
      <c r="D84" s="22" t="s">
        <v>149</v>
      </c>
      <c r="E84" s="22" t="s">
        <v>149</v>
      </c>
      <c r="F84" s="22" t="s">
        <v>149</v>
      </c>
      <c r="H84" s="218" t="str">
        <f t="shared" si="12"/>
        <v>OK</v>
      </c>
      <c r="I84" s="219" t="str">
        <f t="shared" si="13"/>
        <v>Stop</v>
      </c>
    </row>
    <row r="85" spans="1:9">
      <c r="A85" s="243">
        <v>43711</v>
      </c>
      <c r="B85" s="376">
        <v>1.1363078703703799</v>
      </c>
      <c r="C85" s="22" t="s">
        <v>1692</v>
      </c>
      <c r="D85" s="22" t="s">
        <v>149</v>
      </c>
      <c r="E85" s="22" t="s">
        <v>149</v>
      </c>
      <c r="F85" s="22" t="s">
        <v>149</v>
      </c>
      <c r="H85" s="218" t="str">
        <f t="shared" si="12"/>
        <v>OK</v>
      </c>
      <c r="I85" s="219" t="str">
        <f t="shared" si="13"/>
        <v>Stop</v>
      </c>
    </row>
    <row r="86" spans="1:9">
      <c r="A86" s="243">
        <v>43712</v>
      </c>
      <c r="B86" s="376">
        <v>1.17797453703705</v>
      </c>
      <c r="C86" s="22" t="s">
        <v>1692</v>
      </c>
      <c r="D86" s="22" t="s">
        <v>149</v>
      </c>
      <c r="E86" s="22" t="s">
        <v>149</v>
      </c>
      <c r="F86" s="22" t="s">
        <v>149</v>
      </c>
      <c r="H86" s="218" t="str">
        <f t="shared" si="12"/>
        <v>OK</v>
      </c>
      <c r="I86" s="219" t="str">
        <f t="shared" si="13"/>
        <v>Stop</v>
      </c>
    </row>
    <row r="87" spans="1:9">
      <c r="A87" s="243">
        <v>43713</v>
      </c>
      <c r="B87" s="376">
        <v>1.2196412037037201</v>
      </c>
      <c r="C87" s="22" t="s">
        <v>1692</v>
      </c>
      <c r="D87" s="22" t="s">
        <v>149</v>
      </c>
      <c r="E87" s="22" t="s">
        <v>149</v>
      </c>
      <c r="F87" s="22" t="s">
        <v>149</v>
      </c>
      <c r="H87" s="218" t="str">
        <f t="shared" si="12"/>
        <v>OK</v>
      </c>
      <c r="I87" s="219" t="str">
        <f t="shared" si="13"/>
        <v>Stop</v>
      </c>
    </row>
    <row r="88" spans="1:9">
      <c r="A88" s="243">
        <v>43714</v>
      </c>
      <c r="B88" s="376">
        <v>1.2613078703703899</v>
      </c>
      <c r="C88" s="22" t="s">
        <v>1692</v>
      </c>
      <c r="D88" s="22" t="s">
        <v>149</v>
      </c>
      <c r="E88" s="22" t="s">
        <v>149</v>
      </c>
      <c r="F88" s="22" t="s">
        <v>149</v>
      </c>
      <c r="H88" s="218" t="str">
        <f t="shared" si="12"/>
        <v>OK</v>
      </c>
      <c r="I88" s="219" t="str">
        <f t="shared" si="13"/>
        <v>Stop</v>
      </c>
    </row>
    <row r="89" spans="1:9">
      <c r="A89" s="243">
        <v>43715</v>
      </c>
      <c r="B89" s="376">
        <v>1.30297453703706</v>
      </c>
      <c r="C89" s="22" t="s">
        <v>1692</v>
      </c>
      <c r="D89" s="22" t="s">
        <v>149</v>
      </c>
      <c r="E89" s="22" t="s">
        <v>149</v>
      </c>
      <c r="F89" s="22" t="s">
        <v>149</v>
      </c>
      <c r="H89" s="218" t="str">
        <f t="shared" si="12"/>
        <v>OK</v>
      </c>
      <c r="I89" s="219" t="str">
        <f t="shared" si="13"/>
        <v>Stop</v>
      </c>
    </row>
    <row r="90" spans="1:9">
      <c r="A90" s="243">
        <v>43716</v>
      </c>
      <c r="B90" s="376">
        <v>1.3446412037037301</v>
      </c>
      <c r="C90" s="22" t="s">
        <v>1692</v>
      </c>
      <c r="D90" s="22" t="s">
        <v>149</v>
      </c>
      <c r="E90" s="22" t="s">
        <v>149</v>
      </c>
      <c r="F90" s="22" t="s">
        <v>149</v>
      </c>
      <c r="H90" s="218" t="str">
        <f t="shared" si="12"/>
        <v>OK</v>
      </c>
      <c r="I90" s="219" t="str">
        <f t="shared" si="13"/>
        <v>Stop</v>
      </c>
    </row>
    <row r="91" spans="1:9">
      <c r="A91" s="243">
        <v>43717</v>
      </c>
      <c r="B91" s="376">
        <v>1.3863078703703999</v>
      </c>
      <c r="C91" s="22" t="s">
        <v>1692</v>
      </c>
      <c r="D91" s="22" t="s">
        <v>149</v>
      </c>
      <c r="E91" s="22" t="s">
        <v>149</v>
      </c>
      <c r="F91" s="22" t="s">
        <v>149</v>
      </c>
      <c r="H91" s="218" t="str">
        <f t="shared" si="12"/>
        <v>OK</v>
      </c>
      <c r="I91" s="219" t="str">
        <f t="shared" si="13"/>
        <v>Stop</v>
      </c>
    </row>
    <row r="92" spans="1:9">
      <c r="A92" s="243">
        <v>43718</v>
      </c>
      <c r="B92" s="376">
        <v>1.42797453703707</v>
      </c>
      <c r="C92" s="22" t="s">
        <v>1692</v>
      </c>
      <c r="D92" s="22" t="s">
        <v>149</v>
      </c>
      <c r="E92" s="22" t="s">
        <v>149</v>
      </c>
      <c r="F92" s="22" t="s">
        <v>149</v>
      </c>
      <c r="H92" s="218" t="str">
        <f t="shared" si="12"/>
        <v>OK</v>
      </c>
      <c r="I92" s="219" t="str">
        <f t="shared" si="13"/>
        <v>Stop</v>
      </c>
    </row>
    <row r="93" spans="1:9">
      <c r="A93" s="243">
        <v>43719</v>
      </c>
      <c r="B93" s="376">
        <v>1.4696412037037401</v>
      </c>
      <c r="C93" s="22" t="s">
        <v>1692</v>
      </c>
      <c r="D93" s="22" t="s">
        <v>149</v>
      </c>
      <c r="E93" s="22" t="s">
        <v>149</v>
      </c>
      <c r="F93" s="22" t="s">
        <v>149</v>
      </c>
      <c r="H93" s="218" t="str">
        <f t="shared" ref="H93:H102" si="14">IF(AND(D93="Yes",E93="Yes",F93="Yes"),"OK","NO")</f>
        <v>OK</v>
      </c>
      <c r="I93" s="219" t="str">
        <f t="shared" ref="I93:I102" si="15">IF(AND(H93="OK",A93-$A$7=0),"Proceed","Stop")</f>
        <v>Stop</v>
      </c>
    </row>
    <row r="94" spans="1:9">
      <c r="A94" s="243">
        <v>43720</v>
      </c>
      <c r="B94" s="376">
        <v>1.5113078703703999</v>
      </c>
      <c r="C94" s="22" t="s">
        <v>1692</v>
      </c>
      <c r="D94" s="22" t="s">
        <v>149</v>
      </c>
      <c r="E94" s="22" t="s">
        <v>149</v>
      </c>
      <c r="F94" s="22" t="s">
        <v>149</v>
      </c>
      <c r="H94" s="218" t="str">
        <f t="shared" si="14"/>
        <v>OK</v>
      </c>
      <c r="I94" s="219" t="str">
        <f t="shared" si="15"/>
        <v>Stop</v>
      </c>
    </row>
    <row r="95" spans="1:9">
      <c r="A95" s="243">
        <v>43721</v>
      </c>
      <c r="B95" s="376">
        <v>1.55297453703708</v>
      </c>
      <c r="C95" s="22" t="s">
        <v>1692</v>
      </c>
      <c r="D95" s="22" t="s">
        <v>149</v>
      </c>
      <c r="E95" s="22" t="s">
        <v>149</v>
      </c>
      <c r="F95" s="22" t="s">
        <v>149</v>
      </c>
      <c r="H95" s="218" t="str">
        <f t="shared" si="14"/>
        <v>OK</v>
      </c>
      <c r="I95" s="219" t="str">
        <f t="shared" si="15"/>
        <v>Stop</v>
      </c>
    </row>
    <row r="96" spans="1:9">
      <c r="A96" s="243">
        <v>43722</v>
      </c>
      <c r="B96" s="376">
        <v>1.5946412037037501</v>
      </c>
      <c r="C96" s="22" t="s">
        <v>1692</v>
      </c>
      <c r="D96" s="22" t="s">
        <v>149</v>
      </c>
      <c r="E96" s="22" t="s">
        <v>149</v>
      </c>
      <c r="F96" s="22" t="s">
        <v>149</v>
      </c>
      <c r="H96" s="218" t="str">
        <f t="shared" si="14"/>
        <v>OK</v>
      </c>
      <c r="I96" s="219" t="str">
        <f t="shared" si="15"/>
        <v>Stop</v>
      </c>
    </row>
    <row r="97" spans="1:9">
      <c r="A97" s="243">
        <v>43723</v>
      </c>
      <c r="B97" s="376">
        <v>1.6363078703704099</v>
      </c>
      <c r="C97" s="22" t="s">
        <v>1692</v>
      </c>
      <c r="D97" s="22" t="s">
        <v>149</v>
      </c>
      <c r="E97" s="22" t="s">
        <v>149</v>
      </c>
      <c r="F97" s="22" t="s">
        <v>149</v>
      </c>
      <c r="H97" s="218" t="str">
        <f t="shared" si="14"/>
        <v>OK</v>
      </c>
      <c r="I97" s="219" t="str">
        <f t="shared" si="15"/>
        <v>Stop</v>
      </c>
    </row>
    <row r="98" spans="1:9">
      <c r="A98" s="243">
        <v>43724</v>
      </c>
      <c r="B98" s="376">
        <v>1.67797453703708</v>
      </c>
      <c r="C98" s="22" t="s">
        <v>1692</v>
      </c>
      <c r="D98" s="22" t="s">
        <v>149</v>
      </c>
      <c r="E98" s="22" t="s">
        <v>149</v>
      </c>
      <c r="F98" s="22" t="s">
        <v>149</v>
      </c>
      <c r="H98" s="218" t="str">
        <f t="shared" si="14"/>
        <v>OK</v>
      </c>
      <c r="I98" s="219" t="str">
        <f t="shared" si="15"/>
        <v>Stop</v>
      </c>
    </row>
    <row r="99" spans="1:9">
      <c r="A99" s="243">
        <v>43725</v>
      </c>
      <c r="B99" s="376">
        <v>1.7196412037037501</v>
      </c>
      <c r="C99" s="22" t="s">
        <v>1692</v>
      </c>
      <c r="D99" s="22" t="s">
        <v>149</v>
      </c>
      <c r="E99" s="22" t="s">
        <v>149</v>
      </c>
      <c r="F99" s="22" t="s">
        <v>149</v>
      </c>
      <c r="H99" s="218" t="str">
        <f t="shared" si="14"/>
        <v>OK</v>
      </c>
      <c r="I99" s="219" t="str">
        <f t="shared" si="15"/>
        <v>Stop</v>
      </c>
    </row>
    <row r="100" spans="1:9">
      <c r="A100" s="243">
        <v>43726</v>
      </c>
      <c r="B100" s="376">
        <v>1.7613078703704199</v>
      </c>
      <c r="C100" s="22" t="s">
        <v>1692</v>
      </c>
      <c r="D100" s="22" t="s">
        <v>149</v>
      </c>
      <c r="E100" s="22" t="s">
        <v>149</v>
      </c>
      <c r="F100" s="22" t="s">
        <v>149</v>
      </c>
      <c r="H100" s="218" t="str">
        <f t="shared" si="14"/>
        <v>OK</v>
      </c>
      <c r="I100" s="219" t="str">
        <f t="shared" si="15"/>
        <v>Stop</v>
      </c>
    </row>
    <row r="101" spans="1:9">
      <c r="A101" s="243">
        <v>43727</v>
      </c>
      <c r="B101" s="376">
        <v>1.80297453703708</v>
      </c>
      <c r="C101" s="22" t="s">
        <v>1692</v>
      </c>
      <c r="D101" s="22" t="s">
        <v>149</v>
      </c>
      <c r="E101" s="22" t="s">
        <v>149</v>
      </c>
      <c r="F101" s="22" t="s">
        <v>149</v>
      </c>
      <c r="H101" s="218" t="str">
        <f t="shared" si="14"/>
        <v>OK</v>
      </c>
      <c r="I101" s="219" t="str">
        <f t="shared" si="15"/>
        <v>Stop</v>
      </c>
    </row>
    <row r="102" spans="1:9">
      <c r="A102" s="243">
        <v>43728</v>
      </c>
      <c r="B102" s="376">
        <v>1.8446412037037501</v>
      </c>
      <c r="C102" s="22" t="s">
        <v>1692</v>
      </c>
      <c r="D102" s="22" t="s">
        <v>149</v>
      </c>
      <c r="E102" s="22" t="s">
        <v>149</v>
      </c>
      <c r="F102" s="22" t="s">
        <v>149</v>
      </c>
      <c r="H102" s="218" t="str">
        <f t="shared" si="14"/>
        <v>OK</v>
      </c>
      <c r="I102" s="219" t="str">
        <f t="shared" si="15"/>
        <v>Stop</v>
      </c>
    </row>
    <row r="103" spans="1:9">
      <c r="A103" s="243">
        <v>43731</v>
      </c>
      <c r="B103" s="376">
        <v>1.9696412037037501</v>
      </c>
      <c r="C103" s="22" t="s">
        <v>1692</v>
      </c>
      <c r="D103" s="22" t="s">
        <v>149</v>
      </c>
      <c r="E103" s="22" t="s">
        <v>149</v>
      </c>
      <c r="F103" s="22" t="s">
        <v>149</v>
      </c>
      <c r="H103" s="218" t="str">
        <f t="shared" ref="H103:H110" si="16">IF(AND(D103="Yes",E103="Yes",F103="Yes"),"OK","NO")</f>
        <v>OK</v>
      </c>
      <c r="I103" s="219" t="str">
        <f t="shared" ref="I103:I110" si="17">IF(AND(H103="OK",A103-$A$7=0),"Proceed","Stop")</f>
        <v>Stop</v>
      </c>
    </row>
    <row r="104" spans="1:9">
      <c r="A104" s="243">
        <v>43732</v>
      </c>
      <c r="B104" s="376">
        <v>2.0113078703704201</v>
      </c>
      <c r="C104" s="22" t="s">
        <v>1692</v>
      </c>
      <c r="D104" s="22" t="s">
        <v>149</v>
      </c>
      <c r="E104" s="22" t="s">
        <v>149</v>
      </c>
      <c r="F104" s="22" t="s">
        <v>149</v>
      </c>
      <c r="H104" s="218" t="str">
        <f t="shared" si="16"/>
        <v>OK</v>
      </c>
      <c r="I104" s="219" t="str">
        <f t="shared" si="17"/>
        <v>Stop</v>
      </c>
    </row>
    <row r="105" spans="1:9">
      <c r="A105" s="243">
        <v>43733</v>
      </c>
      <c r="B105" s="376">
        <v>2.05297453703708</v>
      </c>
      <c r="C105" s="22" t="s">
        <v>1692</v>
      </c>
      <c r="D105" s="22" t="s">
        <v>149</v>
      </c>
      <c r="E105" s="22" t="s">
        <v>149</v>
      </c>
      <c r="F105" s="22" t="s">
        <v>149</v>
      </c>
      <c r="H105" s="218" t="str">
        <f t="shared" si="16"/>
        <v>OK</v>
      </c>
      <c r="I105" s="219" t="str">
        <f t="shared" si="17"/>
        <v>Stop</v>
      </c>
    </row>
    <row r="106" spans="1:9">
      <c r="A106" s="243">
        <v>43734</v>
      </c>
      <c r="B106" s="376">
        <v>2.0946412037037501</v>
      </c>
      <c r="C106" s="22" t="s">
        <v>1692</v>
      </c>
      <c r="D106" s="22" t="s">
        <v>149</v>
      </c>
      <c r="E106" s="22" t="s">
        <v>149</v>
      </c>
      <c r="F106" s="22" t="s">
        <v>149</v>
      </c>
      <c r="H106" s="218" t="str">
        <f t="shared" si="16"/>
        <v>OK</v>
      </c>
      <c r="I106" s="219" t="str">
        <f t="shared" si="17"/>
        <v>Stop</v>
      </c>
    </row>
    <row r="107" spans="1:9">
      <c r="A107" s="243">
        <v>43735</v>
      </c>
      <c r="B107" s="376">
        <v>2.1363078703704201</v>
      </c>
      <c r="C107" s="22" t="s">
        <v>1692</v>
      </c>
      <c r="D107" s="22" t="s">
        <v>149</v>
      </c>
      <c r="E107" s="22" t="s">
        <v>149</v>
      </c>
      <c r="F107" s="22" t="s">
        <v>149</v>
      </c>
      <c r="H107" s="218" t="str">
        <f t="shared" si="16"/>
        <v>OK</v>
      </c>
      <c r="I107" s="219" t="str">
        <f t="shared" si="17"/>
        <v>Stop</v>
      </c>
    </row>
    <row r="108" spans="1:9">
      <c r="A108" s="243">
        <v>43738</v>
      </c>
      <c r="B108" s="376">
        <v>2.1363078703704201</v>
      </c>
      <c r="C108" s="22" t="s">
        <v>1692</v>
      </c>
      <c r="D108" s="22" t="s">
        <v>149</v>
      </c>
      <c r="E108" s="22" t="s">
        <v>149</v>
      </c>
      <c r="F108" s="22" t="s">
        <v>149</v>
      </c>
      <c r="H108" s="218" t="str">
        <f>IF(AND(D108="Yes",E108="Yes",F108="Yes"),"OK","NO")</f>
        <v>OK</v>
      </c>
      <c r="I108" s="219" t="str">
        <f>IF(AND(H108="OK",A108-$A$7=0),"Proceed","Stop")</f>
        <v>Stop</v>
      </c>
    </row>
    <row r="109" spans="1:9">
      <c r="A109" s="243">
        <v>43739</v>
      </c>
      <c r="B109" s="376">
        <v>2.1363078703704201</v>
      </c>
      <c r="C109" s="22" t="s">
        <v>1692</v>
      </c>
      <c r="D109" s="22" t="s">
        <v>149</v>
      </c>
      <c r="E109" s="22" t="s">
        <v>149</v>
      </c>
      <c r="F109" s="22" t="s">
        <v>149</v>
      </c>
      <c r="H109" s="218" t="str">
        <f t="shared" si="16"/>
        <v>OK</v>
      </c>
      <c r="I109" s="219" t="str">
        <f t="shared" si="17"/>
        <v>Stop</v>
      </c>
    </row>
    <row r="110" spans="1:9">
      <c r="A110" s="243">
        <v>43740</v>
      </c>
      <c r="B110" s="376">
        <v>2.4234027777777776</v>
      </c>
      <c r="C110" s="22" t="s">
        <v>1692</v>
      </c>
      <c r="D110" s="22" t="s">
        <v>149</v>
      </c>
      <c r="E110" s="22" t="s">
        <v>149</v>
      </c>
      <c r="F110" s="22" t="s">
        <v>149</v>
      </c>
      <c r="H110" s="218" t="str">
        <f t="shared" si="16"/>
        <v>OK</v>
      </c>
      <c r="I110" s="219" t="str">
        <f t="shared" si="17"/>
        <v>Stop</v>
      </c>
    </row>
    <row r="111" spans="1:9">
      <c r="A111" s="243">
        <v>43741</v>
      </c>
      <c r="B111" s="376">
        <v>2.4650694444444401</v>
      </c>
      <c r="C111" s="22" t="s">
        <v>1692</v>
      </c>
      <c r="D111" s="22" t="s">
        <v>149</v>
      </c>
      <c r="E111" s="22" t="s">
        <v>149</v>
      </c>
      <c r="F111" s="22" t="s">
        <v>149</v>
      </c>
      <c r="H111" s="218" t="str">
        <f>IF(AND(D111="Yes",E111="Yes",F111="Yes"),"OK","NO")</f>
        <v>OK</v>
      </c>
      <c r="I111" s="219" t="str">
        <f>IF(AND(H111="OK",A111-$A$7=0),"Proceed","Stop")</f>
        <v>Stop</v>
      </c>
    </row>
    <row r="112" spans="1:9">
      <c r="A112" s="243">
        <v>43742</v>
      </c>
      <c r="B112" s="376">
        <v>2.5067361111111102</v>
      </c>
      <c r="C112" s="22" t="s">
        <v>1692</v>
      </c>
      <c r="D112" s="22" t="s">
        <v>149</v>
      </c>
      <c r="E112" s="22" t="s">
        <v>149</v>
      </c>
      <c r="F112" s="22" t="s">
        <v>149</v>
      </c>
      <c r="H112" s="218" t="str">
        <f>IF(AND(D112="Yes",E112="Yes",F112="Yes"),"OK","NO")</f>
        <v>OK</v>
      </c>
      <c r="I112" s="219" t="str">
        <f>IF(AND(H112="OK",A112-$A$7=0),"Proceed","Stop")</f>
        <v>Stop</v>
      </c>
    </row>
    <row r="113" spans="1:9">
      <c r="A113" s="243">
        <v>43745</v>
      </c>
      <c r="B113" s="376">
        <v>2.5484027777777798</v>
      </c>
      <c r="C113" s="22" t="s">
        <v>1692</v>
      </c>
      <c r="D113" s="22" t="s">
        <v>149</v>
      </c>
      <c r="E113" s="22" t="s">
        <v>149</v>
      </c>
      <c r="F113" s="22" t="s">
        <v>149</v>
      </c>
      <c r="H113" s="218" t="str">
        <f>IF(AND(D113="Yes",E113="Yes",F113="Yes"),"OK","NO")</f>
        <v>OK</v>
      </c>
      <c r="I113" s="219" t="str">
        <f>IF(AND(H113="OK",A113-$A$7=0),"Proceed","Stop")</f>
        <v>Stop</v>
      </c>
    </row>
    <row r="114" spans="1:9">
      <c r="A114" s="243">
        <v>43746</v>
      </c>
      <c r="B114" s="376">
        <v>2.5900694444444401</v>
      </c>
      <c r="C114" s="22" t="s">
        <v>1692</v>
      </c>
      <c r="D114" s="22" t="s">
        <v>149</v>
      </c>
      <c r="E114" s="22" t="s">
        <v>149</v>
      </c>
      <c r="F114" s="22" t="s">
        <v>149</v>
      </c>
      <c r="H114" s="218" t="str">
        <f>IF(AND(D114="Yes",E114="Yes",F114="Yes"),"OK","NO")</f>
        <v>OK</v>
      </c>
      <c r="I114" s="219" t="str">
        <f>IF(AND(H114="OK",A114-$A$7=0),"Proceed","Stop")</f>
        <v>Stop</v>
      </c>
    </row>
    <row r="115" spans="1:9">
      <c r="A115" s="243">
        <v>43747</v>
      </c>
      <c r="B115" s="376">
        <v>2.6317361111110902</v>
      </c>
      <c r="C115" s="22" t="s">
        <v>1692</v>
      </c>
      <c r="D115" s="22" t="s">
        <v>149</v>
      </c>
      <c r="E115" s="22" t="s">
        <v>149</v>
      </c>
      <c r="F115" s="22" t="s">
        <v>149</v>
      </c>
      <c r="H115" s="218" t="str">
        <f>IF(AND(D115="Yes",E115="Yes",F115="Yes"),"OK","NO")</f>
        <v>OK</v>
      </c>
      <c r="I115" s="219" t="str">
        <f>IF(AND(H115="OK",A115-$A$7=0),"Proceed","Stop")</f>
        <v>Stop</v>
      </c>
    </row>
    <row r="116" spans="1:9">
      <c r="A116" s="243">
        <v>43748</v>
      </c>
      <c r="B116" s="376">
        <v>2.6734027777777598</v>
      </c>
      <c r="C116" s="22" t="s">
        <v>1692</v>
      </c>
      <c r="D116" s="22" t="s">
        <v>149</v>
      </c>
      <c r="E116" s="22" t="s">
        <v>149</v>
      </c>
      <c r="F116" s="22" t="s">
        <v>149</v>
      </c>
      <c r="H116" s="218" t="str">
        <f t="shared" ref="H116:H122" si="18">IF(AND(D116="Yes",E116="Yes",F116="Yes"),"OK","NO")</f>
        <v>OK</v>
      </c>
      <c r="I116" s="219" t="str">
        <f t="shared" ref="I116:I122" si="19">IF(AND(H116="OK",A116-$A$7=0),"Proceed","Stop")</f>
        <v>Stop</v>
      </c>
    </row>
    <row r="117" spans="1:9">
      <c r="A117" s="243">
        <v>43749</v>
      </c>
      <c r="B117" s="376">
        <v>2.7150694444444201</v>
      </c>
      <c r="C117" s="22" t="s">
        <v>1692</v>
      </c>
      <c r="D117" s="22" t="s">
        <v>149</v>
      </c>
      <c r="E117" s="22" t="s">
        <v>149</v>
      </c>
      <c r="F117" s="22" t="s">
        <v>149</v>
      </c>
      <c r="H117" s="218" t="str">
        <f t="shared" si="18"/>
        <v>OK</v>
      </c>
      <c r="I117" s="219" t="str">
        <f t="shared" si="19"/>
        <v>Stop</v>
      </c>
    </row>
    <row r="118" spans="1:9">
      <c r="A118" s="243">
        <v>43752</v>
      </c>
      <c r="B118" s="376">
        <v>43665.344594907408</v>
      </c>
      <c r="C118" s="22" t="s">
        <v>148</v>
      </c>
      <c r="D118" s="22" t="s">
        <v>149</v>
      </c>
      <c r="E118" s="22" t="s">
        <v>149</v>
      </c>
      <c r="F118" s="22" t="s">
        <v>149</v>
      </c>
      <c r="H118" s="218" t="str">
        <f t="shared" si="18"/>
        <v>OK</v>
      </c>
      <c r="I118" s="219" t="str">
        <f t="shared" si="19"/>
        <v>Stop</v>
      </c>
    </row>
    <row r="119" spans="1:9">
      <c r="A119" s="243">
        <v>43753</v>
      </c>
      <c r="B119" s="376">
        <v>43665.386261574102</v>
      </c>
      <c r="C119" s="22" t="s">
        <v>148</v>
      </c>
      <c r="D119" s="22" t="s">
        <v>149</v>
      </c>
      <c r="E119" s="22" t="s">
        <v>149</v>
      </c>
      <c r="F119" s="22" t="s">
        <v>149</v>
      </c>
      <c r="H119" s="218" t="str">
        <f t="shared" si="18"/>
        <v>OK</v>
      </c>
      <c r="I119" s="219" t="str">
        <f t="shared" si="19"/>
        <v>Stop</v>
      </c>
    </row>
    <row r="120" spans="1:9">
      <c r="A120" s="243">
        <v>43754</v>
      </c>
      <c r="B120" s="376">
        <v>43665.427928240701</v>
      </c>
      <c r="C120" s="22" t="s">
        <v>148</v>
      </c>
      <c r="D120" s="22" t="s">
        <v>149</v>
      </c>
      <c r="E120" s="22" t="s">
        <v>149</v>
      </c>
      <c r="F120" s="22" t="s">
        <v>149</v>
      </c>
      <c r="H120" s="218" t="str">
        <f t="shared" si="18"/>
        <v>OK</v>
      </c>
      <c r="I120" s="219" t="str">
        <f t="shared" si="19"/>
        <v>Stop</v>
      </c>
    </row>
    <row r="121" spans="1:9">
      <c r="A121" s="243">
        <v>43755</v>
      </c>
      <c r="B121" s="376">
        <v>43665.469594907401</v>
      </c>
      <c r="C121" s="22" t="s">
        <v>148</v>
      </c>
      <c r="D121" s="22" t="s">
        <v>149</v>
      </c>
      <c r="E121" s="22" t="s">
        <v>149</v>
      </c>
      <c r="F121" s="22" t="s">
        <v>149</v>
      </c>
      <c r="H121" s="218" t="str">
        <f t="shared" si="18"/>
        <v>OK</v>
      </c>
      <c r="I121" s="219" t="str">
        <f t="shared" si="19"/>
        <v>Stop</v>
      </c>
    </row>
    <row r="122" spans="1:9">
      <c r="A122" s="243">
        <v>43756</v>
      </c>
      <c r="B122" s="376">
        <v>43665.511261574102</v>
      </c>
      <c r="C122" s="22" t="s">
        <v>148</v>
      </c>
      <c r="D122" s="22" t="s">
        <v>149</v>
      </c>
      <c r="E122" s="22" t="s">
        <v>149</v>
      </c>
      <c r="F122" s="22" t="s">
        <v>149</v>
      </c>
      <c r="H122" s="218" t="str">
        <f t="shared" si="18"/>
        <v>OK</v>
      </c>
      <c r="I122" s="219" t="str">
        <f t="shared" si="19"/>
        <v>Stop</v>
      </c>
    </row>
    <row r="123" spans="1:9">
      <c r="A123" s="243">
        <v>43757</v>
      </c>
      <c r="B123" s="376">
        <v>43665.552928240802</v>
      </c>
      <c r="C123" s="22" t="s">
        <v>148</v>
      </c>
      <c r="D123" s="22" t="s">
        <v>149</v>
      </c>
      <c r="E123" s="22" t="s">
        <v>149</v>
      </c>
      <c r="F123" s="22" t="s">
        <v>149</v>
      </c>
      <c r="H123" s="218" t="str">
        <f t="shared" ref="H123:H128" si="20">IF(AND(D123="Yes",E123="Yes",F123="Yes"),"OK","NO")</f>
        <v>OK</v>
      </c>
      <c r="I123" s="219" t="str">
        <f t="shared" ref="I123:I128" si="21">IF(AND(H123="OK",A123-$A$7=0),"Proceed","Stop")</f>
        <v>Stop</v>
      </c>
    </row>
    <row r="124" spans="1:9">
      <c r="A124" s="243">
        <v>43758</v>
      </c>
      <c r="B124" s="376">
        <v>43665.594594907401</v>
      </c>
      <c r="C124" s="22" t="s">
        <v>148</v>
      </c>
      <c r="D124" s="22" t="s">
        <v>149</v>
      </c>
      <c r="E124" s="22" t="s">
        <v>149</v>
      </c>
      <c r="F124" s="22" t="s">
        <v>149</v>
      </c>
      <c r="H124" s="218" t="str">
        <f t="shared" si="20"/>
        <v>OK</v>
      </c>
      <c r="I124" s="219" t="str">
        <f t="shared" si="21"/>
        <v>Stop</v>
      </c>
    </row>
    <row r="125" spans="1:9">
      <c r="A125" s="243">
        <v>43759</v>
      </c>
      <c r="B125" s="376">
        <v>43665.636261574102</v>
      </c>
      <c r="C125" s="22" t="s">
        <v>148</v>
      </c>
      <c r="D125" s="22" t="s">
        <v>149</v>
      </c>
      <c r="E125" s="22" t="s">
        <v>149</v>
      </c>
      <c r="F125" s="22" t="s">
        <v>149</v>
      </c>
      <c r="H125" s="218" t="str">
        <f t="shared" si="20"/>
        <v>OK</v>
      </c>
      <c r="I125" s="219" t="str">
        <f t="shared" si="21"/>
        <v>Stop</v>
      </c>
    </row>
    <row r="126" spans="1:9">
      <c r="A126" s="243">
        <v>43760</v>
      </c>
      <c r="B126" s="376">
        <v>43665.677928240802</v>
      </c>
      <c r="C126" s="22" t="s">
        <v>148</v>
      </c>
      <c r="D126" s="22" t="s">
        <v>149</v>
      </c>
      <c r="E126" s="22" t="s">
        <v>149</v>
      </c>
      <c r="F126" s="22" t="s">
        <v>149</v>
      </c>
      <c r="H126" s="218" t="str">
        <f t="shared" si="20"/>
        <v>OK</v>
      </c>
      <c r="I126" s="219" t="str">
        <f t="shared" si="21"/>
        <v>Stop</v>
      </c>
    </row>
    <row r="127" spans="1:9">
      <c r="A127" s="243">
        <v>43761</v>
      </c>
      <c r="B127" s="376">
        <v>43665.719594907503</v>
      </c>
      <c r="C127" s="22" t="s">
        <v>148</v>
      </c>
      <c r="D127" s="22" t="s">
        <v>149</v>
      </c>
      <c r="E127" s="22" t="s">
        <v>149</v>
      </c>
      <c r="F127" s="22" t="s">
        <v>149</v>
      </c>
      <c r="H127" s="218" t="str">
        <f t="shared" si="20"/>
        <v>OK</v>
      </c>
      <c r="I127" s="219" t="str">
        <f t="shared" si="21"/>
        <v>Stop</v>
      </c>
    </row>
    <row r="128" spans="1:9">
      <c r="A128" s="243">
        <v>43762</v>
      </c>
      <c r="B128" s="376">
        <v>43665.761261574196</v>
      </c>
      <c r="C128" s="22" t="s">
        <v>148</v>
      </c>
      <c r="D128" s="22" t="s">
        <v>149</v>
      </c>
      <c r="E128" s="22" t="s">
        <v>149</v>
      </c>
      <c r="F128" s="22" t="s">
        <v>149</v>
      </c>
      <c r="H128" s="218" t="str">
        <f t="shared" si="20"/>
        <v>OK</v>
      </c>
      <c r="I128" s="219" t="str">
        <f t="shared" si="21"/>
        <v>Stop</v>
      </c>
    </row>
    <row r="129" spans="1:9">
      <c r="A129" s="243">
        <v>43763</v>
      </c>
      <c r="B129" s="376">
        <v>43665.802928240897</v>
      </c>
      <c r="C129" s="22" t="s">
        <v>148</v>
      </c>
      <c r="D129" s="22" t="s">
        <v>149</v>
      </c>
      <c r="E129" s="22" t="s">
        <v>149</v>
      </c>
      <c r="F129" s="22" t="s">
        <v>149</v>
      </c>
      <c r="H129" s="218" t="str">
        <f t="shared" ref="H129:H136" si="22">IF(AND(D129="Yes",E129="Yes",F129="Yes"),"OK","NO")</f>
        <v>OK</v>
      </c>
      <c r="I129" s="219" t="str">
        <f t="shared" ref="I129:I140" si="23">IF(AND(H129="OK",A129-$A$7=0),"Proceed","Stop")</f>
        <v>Stop</v>
      </c>
    </row>
    <row r="130" spans="1:9">
      <c r="A130" s="243">
        <v>43764</v>
      </c>
      <c r="B130" s="376">
        <v>43665.844594907598</v>
      </c>
      <c r="C130" s="22" t="s">
        <v>148</v>
      </c>
      <c r="D130" s="22" t="s">
        <v>149</v>
      </c>
      <c r="E130" s="22" t="s">
        <v>149</v>
      </c>
      <c r="F130" s="22" t="s">
        <v>149</v>
      </c>
      <c r="H130" s="218" t="str">
        <f t="shared" si="22"/>
        <v>OK</v>
      </c>
      <c r="I130" s="219" t="str">
        <f t="shared" si="23"/>
        <v>Stop</v>
      </c>
    </row>
    <row r="131" spans="1:9">
      <c r="A131" s="243">
        <v>43765</v>
      </c>
      <c r="B131" s="376">
        <v>43665.886261574298</v>
      </c>
      <c r="C131" s="22" t="s">
        <v>148</v>
      </c>
      <c r="D131" s="22" t="s">
        <v>149</v>
      </c>
      <c r="E131" s="22" t="s">
        <v>149</v>
      </c>
      <c r="F131" s="22" t="s">
        <v>149</v>
      </c>
      <c r="H131" s="218" t="str">
        <f t="shared" si="22"/>
        <v>OK</v>
      </c>
      <c r="I131" s="219" t="str">
        <f t="shared" si="23"/>
        <v>Stop</v>
      </c>
    </row>
    <row r="132" spans="1:9">
      <c r="A132" s="243">
        <v>43766</v>
      </c>
      <c r="B132" s="376">
        <v>43665.927928240897</v>
      </c>
      <c r="C132" s="22" t="s">
        <v>148</v>
      </c>
      <c r="D132" s="22" t="s">
        <v>149</v>
      </c>
      <c r="E132" s="22" t="s">
        <v>149</v>
      </c>
      <c r="F132" s="22" t="s">
        <v>149</v>
      </c>
      <c r="H132" s="218" t="str">
        <f t="shared" si="22"/>
        <v>OK</v>
      </c>
      <c r="I132" s="219" t="str">
        <f t="shared" si="23"/>
        <v>Stop</v>
      </c>
    </row>
    <row r="133" spans="1:9">
      <c r="A133" s="243">
        <v>43767</v>
      </c>
      <c r="B133" s="376">
        <v>43665.969594907598</v>
      </c>
      <c r="C133" s="22" t="s">
        <v>148</v>
      </c>
      <c r="D133" s="22" t="s">
        <v>149</v>
      </c>
      <c r="E133" s="22" t="s">
        <v>149</v>
      </c>
      <c r="F133" s="22" t="s">
        <v>149</v>
      </c>
      <c r="H133" s="218" t="str">
        <f t="shared" si="22"/>
        <v>OK</v>
      </c>
      <c r="I133" s="219" t="str">
        <f t="shared" si="23"/>
        <v>Stop</v>
      </c>
    </row>
    <row r="134" spans="1:9">
      <c r="A134" s="243">
        <v>43768</v>
      </c>
      <c r="B134" s="376">
        <v>43666.011261574298</v>
      </c>
      <c r="C134" s="22" t="s">
        <v>148</v>
      </c>
      <c r="D134" s="22" t="s">
        <v>149</v>
      </c>
      <c r="E134" s="22" t="s">
        <v>149</v>
      </c>
      <c r="F134" s="22" t="s">
        <v>149</v>
      </c>
      <c r="H134" s="218" t="str">
        <f t="shared" si="22"/>
        <v>OK</v>
      </c>
      <c r="I134" s="219" t="str">
        <f t="shared" si="23"/>
        <v>Stop</v>
      </c>
    </row>
    <row r="135" spans="1:9">
      <c r="A135" s="243">
        <v>43769</v>
      </c>
      <c r="B135" s="376">
        <v>43666.052928240897</v>
      </c>
      <c r="C135" s="22" t="s">
        <v>148</v>
      </c>
      <c r="D135" s="22" t="s">
        <v>149</v>
      </c>
      <c r="E135" s="22" t="s">
        <v>149</v>
      </c>
      <c r="F135" s="22" t="s">
        <v>149</v>
      </c>
      <c r="H135" s="218" t="str">
        <f t="shared" si="22"/>
        <v>OK</v>
      </c>
      <c r="I135" s="219" t="str">
        <f t="shared" si="23"/>
        <v>Stop</v>
      </c>
    </row>
    <row r="136" spans="1:9">
      <c r="A136" s="243">
        <v>43770</v>
      </c>
      <c r="B136" s="376">
        <v>43666.094594907598</v>
      </c>
      <c r="C136" s="22" t="s">
        <v>148</v>
      </c>
      <c r="D136" s="22" t="s">
        <v>149</v>
      </c>
      <c r="E136" s="22" t="s">
        <v>149</v>
      </c>
      <c r="F136" s="22" t="s">
        <v>149</v>
      </c>
      <c r="H136" s="218" t="str">
        <f t="shared" si="22"/>
        <v>OK</v>
      </c>
      <c r="I136" s="219" t="str">
        <f t="shared" si="23"/>
        <v>Stop</v>
      </c>
    </row>
    <row r="137" spans="1:9">
      <c r="A137" s="243">
        <v>43771</v>
      </c>
      <c r="B137" s="376">
        <v>43666.136261574298</v>
      </c>
      <c r="C137" s="22" t="s">
        <v>148</v>
      </c>
      <c r="D137" s="22" t="s">
        <v>149</v>
      </c>
      <c r="E137" s="22" t="s">
        <v>149</v>
      </c>
      <c r="F137" s="22" t="s">
        <v>149</v>
      </c>
      <c r="H137" s="218" t="str">
        <f>IF(AND(D137="Yes",E137="Yes",F137="Yes"),"OK","NO")</f>
        <v>OK</v>
      </c>
      <c r="I137" s="219" t="str">
        <f t="shared" si="23"/>
        <v>Stop</v>
      </c>
    </row>
    <row r="138" spans="1:9">
      <c r="A138" s="243">
        <v>43772</v>
      </c>
      <c r="B138" s="376">
        <v>43666.177928240897</v>
      </c>
      <c r="C138" s="22" t="s">
        <v>148</v>
      </c>
      <c r="D138" s="22" t="s">
        <v>149</v>
      </c>
      <c r="E138" s="22" t="s">
        <v>149</v>
      </c>
      <c r="F138" s="22" t="s">
        <v>149</v>
      </c>
      <c r="H138" s="218" t="str">
        <f>IF(AND(D138="Yes",E138="Yes",F138="Yes"),"OK","NO")</f>
        <v>OK</v>
      </c>
      <c r="I138" s="219" t="str">
        <f t="shared" si="23"/>
        <v>Stop</v>
      </c>
    </row>
    <row r="139" spans="1:9">
      <c r="A139" s="243">
        <v>43773</v>
      </c>
      <c r="B139" s="376">
        <v>43666.2195949077</v>
      </c>
      <c r="C139" s="22" t="s">
        <v>148</v>
      </c>
      <c r="D139" s="22" t="s">
        <v>149</v>
      </c>
      <c r="E139" s="22" t="s">
        <v>149</v>
      </c>
      <c r="F139" s="22" t="s">
        <v>149</v>
      </c>
      <c r="H139" s="218" t="str">
        <f>IF(AND(D139="Yes",E139="Yes",F139="Yes"),"OK","NO")</f>
        <v>OK</v>
      </c>
      <c r="I139" s="219" t="str">
        <f t="shared" si="23"/>
        <v>Stop</v>
      </c>
    </row>
    <row r="140" spans="1:9">
      <c r="A140" s="243">
        <v>43774</v>
      </c>
      <c r="B140" s="376">
        <v>43666.2612615744</v>
      </c>
      <c r="C140" s="22" t="s">
        <v>148</v>
      </c>
      <c r="D140" s="22" t="s">
        <v>149</v>
      </c>
      <c r="E140" s="22" t="s">
        <v>149</v>
      </c>
      <c r="F140" s="22" t="s">
        <v>149</v>
      </c>
      <c r="H140" s="218" t="str">
        <f>IF(AND(D140="Yes",E140="Yes",F140="Yes"),"OK","NO")</f>
        <v>OK</v>
      </c>
      <c r="I140" s="219" t="str">
        <f t="shared" si="23"/>
        <v>Stop</v>
      </c>
    </row>
    <row r="141" spans="1:9">
      <c r="A141" s="243">
        <v>43775</v>
      </c>
      <c r="B141" s="376">
        <v>43666.302928241101</v>
      </c>
      <c r="C141" s="22" t="s">
        <v>148</v>
      </c>
      <c r="D141" s="22" t="s">
        <v>149</v>
      </c>
      <c r="E141" s="22" t="s">
        <v>149</v>
      </c>
      <c r="F141" s="22" t="s">
        <v>149</v>
      </c>
      <c r="H141" s="218" t="str">
        <f t="shared" ref="H141:H153" si="24">IF(AND(D141="Yes",E141="Yes",F141="Yes"),"OK","NO")</f>
        <v>OK</v>
      </c>
      <c r="I141" s="219" t="str">
        <f t="shared" ref="I141:I153" si="25">IF(AND(H141="OK",A141-$A$7=0),"Proceed","Stop")</f>
        <v>Stop</v>
      </c>
    </row>
    <row r="142" spans="1:9">
      <c r="A142" s="243">
        <v>43776</v>
      </c>
      <c r="B142" s="376">
        <v>43666.3445949077</v>
      </c>
      <c r="C142" s="22" t="s">
        <v>148</v>
      </c>
      <c r="D142" s="22" t="s">
        <v>149</v>
      </c>
      <c r="E142" s="22" t="s">
        <v>149</v>
      </c>
      <c r="F142" s="22" t="s">
        <v>149</v>
      </c>
      <c r="H142" s="218" t="str">
        <f t="shared" si="24"/>
        <v>OK</v>
      </c>
      <c r="I142" s="219" t="str">
        <f t="shared" si="25"/>
        <v>Stop</v>
      </c>
    </row>
    <row r="143" spans="1:9">
      <c r="A143" s="243">
        <v>43777</v>
      </c>
      <c r="B143" s="376">
        <v>43666.3862615744</v>
      </c>
      <c r="C143" s="22" t="s">
        <v>148</v>
      </c>
      <c r="D143" s="22" t="s">
        <v>149</v>
      </c>
      <c r="E143" s="22" t="s">
        <v>149</v>
      </c>
      <c r="F143" s="22" t="s">
        <v>149</v>
      </c>
      <c r="H143" s="218" t="str">
        <f t="shared" si="24"/>
        <v>OK</v>
      </c>
      <c r="I143" s="219" t="str">
        <f t="shared" si="25"/>
        <v>Stop</v>
      </c>
    </row>
    <row r="144" spans="1:9">
      <c r="A144" s="243">
        <v>43778</v>
      </c>
      <c r="B144" s="376">
        <v>43666.427928241101</v>
      </c>
      <c r="C144" s="22" t="s">
        <v>148</v>
      </c>
      <c r="D144" s="22" t="s">
        <v>149</v>
      </c>
      <c r="E144" s="22" t="s">
        <v>149</v>
      </c>
      <c r="F144" s="22" t="s">
        <v>149</v>
      </c>
      <c r="H144" s="218" t="str">
        <f t="shared" si="24"/>
        <v>OK</v>
      </c>
      <c r="I144" s="219" t="str">
        <f t="shared" si="25"/>
        <v>Stop</v>
      </c>
    </row>
    <row r="145" spans="1:9">
      <c r="A145" s="243">
        <v>43779</v>
      </c>
      <c r="B145" s="376">
        <v>43666.4695949077</v>
      </c>
      <c r="C145" s="22" t="s">
        <v>148</v>
      </c>
      <c r="D145" s="22" t="s">
        <v>149</v>
      </c>
      <c r="E145" s="22" t="s">
        <v>149</v>
      </c>
      <c r="F145" s="22" t="s">
        <v>149</v>
      </c>
      <c r="H145" s="218" t="str">
        <f t="shared" si="24"/>
        <v>OK</v>
      </c>
      <c r="I145" s="219" t="str">
        <f t="shared" si="25"/>
        <v>Stop</v>
      </c>
    </row>
    <row r="146" spans="1:9">
      <c r="A146" s="243">
        <v>43780</v>
      </c>
      <c r="B146" s="376">
        <v>43666.5112615744</v>
      </c>
      <c r="C146" s="22" t="s">
        <v>148</v>
      </c>
      <c r="D146" s="22" t="s">
        <v>149</v>
      </c>
      <c r="E146" s="22" t="s">
        <v>149</v>
      </c>
      <c r="F146" s="22" t="s">
        <v>149</v>
      </c>
      <c r="H146" s="218" t="str">
        <f t="shared" si="24"/>
        <v>OK</v>
      </c>
      <c r="I146" s="219" t="str">
        <f t="shared" si="25"/>
        <v>Stop</v>
      </c>
    </row>
    <row r="147" spans="1:9">
      <c r="A147" s="243">
        <v>43781</v>
      </c>
      <c r="B147" s="376">
        <v>43666.552928241101</v>
      </c>
      <c r="C147" s="22" t="s">
        <v>148</v>
      </c>
      <c r="D147" s="22" t="s">
        <v>149</v>
      </c>
      <c r="E147" s="22" t="s">
        <v>149</v>
      </c>
      <c r="F147" s="22" t="s">
        <v>149</v>
      </c>
      <c r="H147" s="218" t="str">
        <f t="shared" si="24"/>
        <v>OK</v>
      </c>
      <c r="I147" s="219" t="str">
        <f t="shared" si="25"/>
        <v>Stop</v>
      </c>
    </row>
    <row r="148" spans="1:9">
      <c r="A148" s="243">
        <v>43782</v>
      </c>
      <c r="B148" s="376">
        <v>43666.5945949077</v>
      </c>
      <c r="C148" s="22" t="s">
        <v>148</v>
      </c>
      <c r="D148" s="22" t="s">
        <v>149</v>
      </c>
      <c r="E148" s="22" t="s">
        <v>149</v>
      </c>
      <c r="F148" s="22" t="s">
        <v>149</v>
      </c>
      <c r="H148" s="218" t="str">
        <f t="shared" si="24"/>
        <v>OK</v>
      </c>
      <c r="I148" s="219" t="str">
        <f t="shared" si="25"/>
        <v>Stop</v>
      </c>
    </row>
    <row r="149" spans="1:9">
      <c r="A149" s="243">
        <v>43783</v>
      </c>
      <c r="B149" s="376">
        <v>43666.6362615744</v>
      </c>
      <c r="C149" s="22" t="s">
        <v>148</v>
      </c>
      <c r="D149" s="22" t="s">
        <v>149</v>
      </c>
      <c r="E149" s="22" t="s">
        <v>149</v>
      </c>
      <c r="F149" s="22" t="s">
        <v>149</v>
      </c>
      <c r="H149" s="218" t="str">
        <f t="shared" si="24"/>
        <v>OK</v>
      </c>
      <c r="I149" s="219" t="str">
        <f t="shared" si="25"/>
        <v>Stop</v>
      </c>
    </row>
    <row r="150" spans="1:9">
      <c r="A150" s="243">
        <v>43784</v>
      </c>
      <c r="B150" s="376">
        <v>43666.677928241101</v>
      </c>
      <c r="C150" s="22" t="s">
        <v>148</v>
      </c>
      <c r="D150" s="22" t="s">
        <v>149</v>
      </c>
      <c r="E150" s="22" t="s">
        <v>149</v>
      </c>
      <c r="F150" s="22" t="s">
        <v>149</v>
      </c>
      <c r="H150" s="218" t="str">
        <f t="shared" si="24"/>
        <v>OK</v>
      </c>
      <c r="I150" s="219" t="str">
        <f t="shared" si="25"/>
        <v>Stop</v>
      </c>
    </row>
    <row r="151" spans="1:9">
      <c r="A151" s="243">
        <v>43785</v>
      </c>
      <c r="B151" s="376">
        <v>43666.7195949077</v>
      </c>
      <c r="C151" s="22" t="s">
        <v>148</v>
      </c>
      <c r="D151" s="22" t="s">
        <v>149</v>
      </c>
      <c r="E151" s="22" t="s">
        <v>149</v>
      </c>
      <c r="F151" s="22" t="s">
        <v>149</v>
      </c>
      <c r="H151" s="218" t="str">
        <f t="shared" si="24"/>
        <v>OK</v>
      </c>
      <c r="I151" s="219" t="str">
        <f t="shared" si="25"/>
        <v>Stop</v>
      </c>
    </row>
    <row r="152" spans="1:9">
      <c r="A152" s="243">
        <v>43786</v>
      </c>
      <c r="B152" s="376">
        <v>43666.7612615744</v>
      </c>
      <c r="C152" s="22" t="s">
        <v>148</v>
      </c>
      <c r="D152" s="22" t="s">
        <v>149</v>
      </c>
      <c r="E152" s="22" t="s">
        <v>149</v>
      </c>
      <c r="F152" s="22" t="s">
        <v>149</v>
      </c>
      <c r="H152" s="218" t="str">
        <f t="shared" si="24"/>
        <v>OK</v>
      </c>
      <c r="I152" s="219" t="str">
        <f t="shared" si="25"/>
        <v>Stop</v>
      </c>
    </row>
    <row r="153" spans="1:9">
      <c r="A153" s="243">
        <v>43787</v>
      </c>
      <c r="B153" s="376">
        <v>43666.802928241101</v>
      </c>
      <c r="C153" s="22" t="s">
        <v>148</v>
      </c>
      <c r="D153" s="22" t="s">
        <v>149</v>
      </c>
      <c r="E153" s="22" t="s">
        <v>149</v>
      </c>
      <c r="F153" s="22" t="s">
        <v>149</v>
      </c>
      <c r="H153" s="218" t="str">
        <f t="shared" si="24"/>
        <v>OK</v>
      </c>
      <c r="I153" s="219" t="str">
        <f t="shared" si="25"/>
        <v>Stop</v>
      </c>
    </row>
    <row r="154" spans="1:9">
      <c r="A154" s="243">
        <v>43788</v>
      </c>
      <c r="B154" s="376">
        <v>43666.844594907801</v>
      </c>
      <c r="C154" s="22" t="s">
        <v>148</v>
      </c>
      <c r="D154" s="22" t="s">
        <v>149</v>
      </c>
      <c r="E154" s="22" t="s">
        <v>149</v>
      </c>
      <c r="F154" s="22" t="s">
        <v>149</v>
      </c>
      <c r="H154" s="218" t="str">
        <f t="shared" ref="H154:H161" si="26">IF(AND(D154="Yes",E154="Yes",F154="Yes"),"OK","NO")</f>
        <v>OK</v>
      </c>
      <c r="I154" s="219" t="str">
        <f t="shared" ref="I154:I161" si="27">IF(AND(H154="OK",A154-$A$7=0),"Proceed","Stop")</f>
        <v>Stop</v>
      </c>
    </row>
    <row r="155" spans="1:9">
      <c r="A155" s="243">
        <v>43789</v>
      </c>
      <c r="B155" s="376">
        <v>43666.8862615744</v>
      </c>
      <c r="C155" s="22" t="s">
        <v>148</v>
      </c>
      <c r="D155" s="22" t="s">
        <v>149</v>
      </c>
      <c r="E155" s="22" t="s">
        <v>149</v>
      </c>
      <c r="F155" s="22" t="s">
        <v>149</v>
      </c>
      <c r="H155" s="218" t="str">
        <f t="shared" si="26"/>
        <v>OK</v>
      </c>
      <c r="I155" s="219" t="str">
        <f t="shared" si="27"/>
        <v>Stop</v>
      </c>
    </row>
    <row r="156" spans="1:9">
      <c r="A156" s="243">
        <v>43790</v>
      </c>
      <c r="B156" s="376">
        <v>43666.927928241101</v>
      </c>
      <c r="C156" s="22" t="s">
        <v>148</v>
      </c>
      <c r="D156" s="22" t="s">
        <v>149</v>
      </c>
      <c r="E156" s="22" t="s">
        <v>149</v>
      </c>
      <c r="F156" s="22" t="s">
        <v>149</v>
      </c>
      <c r="H156" s="218" t="str">
        <f t="shared" si="26"/>
        <v>OK</v>
      </c>
      <c r="I156" s="219" t="str">
        <f t="shared" si="27"/>
        <v>Stop</v>
      </c>
    </row>
    <row r="157" spans="1:9">
      <c r="A157" s="243">
        <v>43791</v>
      </c>
      <c r="B157" s="376">
        <v>43666.969594907801</v>
      </c>
      <c r="C157" s="22" t="s">
        <v>148</v>
      </c>
      <c r="D157" s="22" t="s">
        <v>149</v>
      </c>
      <c r="E157" s="22" t="s">
        <v>149</v>
      </c>
      <c r="F157" s="22" t="s">
        <v>149</v>
      </c>
      <c r="H157" s="218" t="str">
        <f t="shared" si="26"/>
        <v>OK</v>
      </c>
      <c r="I157" s="219" t="str">
        <f t="shared" si="27"/>
        <v>Stop</v>
      </c>
    </row>
    <row r="158" spans="1:9">
      <c r="A158" s="243">
        <v>43792</v>
      </c>
      <c r="B158" s="376">
        <v>43667.011261574597</v>
      </c>
      <c r="C158" s="22" t="s">
        <v>148</v>
      </c>
      <c r="D158" s="22" t="s">
        <v>149</v>
      </c>
      <c r="E158" s="22" t="s">
        <v>149</v>
      </c>
      <c r="F158" s="22" t="s">
        <v>149</v>
      </c>
      <c r="H158" s="218" t="str">
        <f t="shared" si="26"/>
        <v>OK</v>
      </c>
      <c r="I158" s="219" t="str">
        <f t="shared" si="27"/>
        <v>Stop</v>
      </c>
    </row>
    <row r="159" spans="1:9">
      <c r="A159" s="243">
        <v>43793</v>
      </c>
      <c r="B159" s="376">
        <v>43667.052928241297</v>
      </c>
      <c r="C159" s="22" t="s">
        <v>148</v>
      </c>
      <c r="D159" s="22" t="s">
        <v>149</v>
      </c>
      <c r="E159" s="22" t="s">
        <v>149</v>
      </c>
      <c r="F159" s="22" t="s">
        <v>149</v>
      </c>
      <c r="H159" s="218" t="str">
        <f t="shared" si="26"/>
        <v>OK</v>
      </c>
      <c r="I159" s="219" t="str">
        <f t="shared" si="27"/>
        <v>Stop</v>
      </c>
    </row>
    <row r="160" spans="1:9">
      <c r="A160" s="243">
        <v>43794</v>
      </c>
      <c r="B160" s="376">
        <v>43667.094594907998</v>
      </c>
      <c r="C160" s="22" t="s">
        <v>148</v>
      </c>
      <c r="D160" s="22" t="s">
        <v>149</v>
      </c>
      <c r="E160" s="22" t="s">
        <v>149</v>
      </c>
      <c r="F160" s="22" t="s">
        <v>149</v>
      </c>
      <c r="H160" s="218" t="str">
        <f t="shared" si="26"/>
        <v>OK</v>
      </c>
      <c r="I160" s="219" t="str">
        <f t="shared" si="27"/>
        <v>Stop</v>
      </c>
    </row>
    <row r="161" spans="1:9">
      <c r="A161" s="243">
        <v>43795</v>
      </c>
      <c r="B161" s="376">
        <v>43667.136261574698</v>
      </c>
      <c r="C161" s="22" t="s">
        <v>148</v>
      </c>
      <c r="D161" s="22" t="s">
        <v>149</v>
      </c>
      <c r="E161" s="22" t="s">
        <v>149</v>
      </c>
      <c r="F161" s="22" t="s">
        <v>149</v>
      </c>
      <c r="H161" s="218" t="str">
        <f t="shared" si="26"/>
        <v>OK</v>
      </c>
      <c r="I161" s="219" t="str">
        <f t="shared" si="27"/>
        <v>Stop</v>
      </c>
    </row>
    <row r="162" spans="1:9">
      <c r="A162" s="243">
        <v>43796</v>
      </c>
      <c r="B162" s="376">
        <v>43667.346273148149</v>
      </c>
      <c r="C162" s="22" t="s">
        <v>148</v>
      </c>
      <c r="D162" s="22" t="s">
        <v>149</v>
      </c>
      <c r="E162" s="22" t="s">
        <v>149</v>
      </c>
      <c r="F162" s="22" t="s">
        <v>149</v>
      </c>
      <c r="H162" s="218" t="str">
        <f>IF(AND(D162="Yes",E162="Yes",F162="Yes"),"OK","NO")</f>
        <v>OK</v>
      </c>
      <c r="I162" s="219" t="str">
        <f>IF(AND(H162="OK",A162-$A$7=0),"Proceed","Stop")</f>
        <v>Stop</v>
      </c>
    </row>
    <row r="163" spans="1:9">
      <c r="A163" s="243">
        <v>43797</v>
      </c>
      <c r="B163" s="376">
        <v>43667.387939814798</v>
      </c>
      <c r="C163" s="22" t="s">
        <v>148</v>
      </c>
      <c r="D163" s="22" t="s">
        <v>149</v>
      </c>
      <c r="E163" s="22" t="s">
        <v>149</v>
      </c>
      <c r="F163" s="22" t="s">
        <v>149</v>
      </c>
      <c r="H163" s="218" t="str">
        <f>IF(AND(D163="Yes",E163="Yes",F163="Yes"),"OK","NO")</f>
        <v>OK</v>
      </c>
      <c r="I163" s="219" t="str">
        <f>IF(AND(H163="OK",A163-$A$7=0),"Proceed","Stop")</f>
        <v>Stop</v>
      </c>
    </row>
    <row r="164" spans="1:9">
      <c r="A164" s="243">
        <v>43798</v>
      </c>
      <c r="B164" s="376">
        <v>43667.429606481499</v>
      </c>
      <c r="C164" s="22" t="s">
        <v>148</v>
      </c>
      <c r="D164" s="22" t="s">
        <v>149</v>
      </c>
      <c r="E164" s="22" t="s">
        <v>149</v>
      </c>
      <c r="F164" s="22" t="s">
        <v>149</v>
      </c>
      <c r="H164" s="218" t="str">
        <f>IF(AND(D164="Yes",E164="Yes",F164="Yes"),"OK","NO")</f>
        <v>OK</v>
      </c>
      <c r="I164" s="219" t="str">
        <f>IF(AND(H164="OK",A164-$A$7=0),"Proceed","Stop")</f>
        <v>Stop</v>
      </c>
    </row>
    <row r="165" spans="1:9">
      <c r="A165" s="243">
        <v>43799</v>
      </c>
      <c r="B165" s="376">
        <v>43667.4712731482</v>
      </c>
      <c r="C165" s="22" t="s">
        <v>148</v>
      </c>
      <c r="D165" s="22" t="s">
        <v>149</v>
      </c>
      <c r="E165" s="22" t="s">
        <v>149</v>
      </c>
      <c r="F165" s="22" t="s">
        <v>149</v>
      </c>
      <c r="H165" s="218" t="str">
        <f t="shared" ref="H165:H175" si="28">IF(AND(D165="Yes",E165="Yes",F165="Yes"),"OK","NO")</f>
        <v>OK</v>
      </c>
      <c r="I165" s="219" t="str">
        <f t="shared" ref="I165:I175" si="29">IF(AND(H165="OK",A165-$A$7=0),"Proceed","Stop")</f>
        <v>Stop</v>
      </c>
    </row>
    <row r="166" spans="1:9">
      <c r="A166" s="243">
        <v>43800</v>
      </c>
      <c r="B166" s="376">
        <v>43667.512939814798</v>
      </c>
      <c r="C166" s="22" t="s">
        <v>148</v>
      </c>
      <c r="D166" s="22" t="s">
        <v>149</v>
      </c>
      <c r="E166" s="22" t="s">
        <v>149</v>
      </c>
      <c r="F166" s="22" t="s">
        <v>149</v>
      </c>
      <c r="H166" s="218" t="str">
        <f t="shared" si="28"/>
        <v>OK</v>
      </c>
      <c r="I166" s="219" t="str">
        <f t="shared" si="29"/>
        <v>Stop</v>
      </c>
    </row>
    <row r="167" spans="1:9">
      <c r="A167" s="243">
        <v>43801</v>
      </c>
      <c r="B167" s="376">
        <v>43667.554606481499</v>
      </c>
      <c r="C167" s="22" t="s">
        <v>148</v>
      </c>
      <c r="D167" s="22" t="s">
        <v>149</v>
      </c>
      <c r="E167" s="22" t="s">
        <v>149</v>
      </c>
      <c r="F167" s="22" t="s">
        <v>149</v>
      </c>
      <c r="H167" s="218" t="str">
        <f t="shared" si="28"/>
        <v>OK</v>
      </c>
      <c r="I167" s="219" t="str">
        <f t="shared" si="29"/>
        <v>Stop</v>
      </c>
    </row>
    <row r="168" spans="1:9">
      <c r="A168" s="243">
        <v>43802</v>
      </c>
      <c r="B168" s="376">
        <v>43667.5962731482</v>
      </c>
      <c r="C168" s="22" t="s">
        <v>148</v>
      </c>
      <c r="D168" s="22" t="s">
        <v>149</v>
      </c>
      <c r="E168" s="22" t="s">
        <v>149</v>
      </c>
      <c r="F168" s="22" t="s">
        <v>149</v>
      </c>
      <c r="H168" s="218" t="str">
        <f t="shared" si="28"/>
        <v>OK</v>
      </c>
      <c r="I168" s="219" t="str">
        <f t="shared" si="29"/>
        <v>Stop</v>
      </c>
    </row>
    <row r="169" spans="1:9">
      <c r="A169" s="243">
        <v>43803</v>
      </c>
      <c r="B169" s="376">
        <v>43667.637939814798</v>
      </c>
      <c r="C169" s="22" t="s">
        <v>148</v>
      </c>
      <c r="D169" s="22" t="s">
        <v>149</v>
      </c>
      <c r="E169" s="22" t="s">
        <v>149</v>
      </c>
      <c r="F169" s="22" t="s">
        <v>149</v>
      </c>
      <c r="H169" s="218" t="str">
        <f t="shared" si="28"/>
        <v>OK</v>
      </c>
      <c r="I169" s="219" t="str">
        <f t="shared" si="29"/>
        <v>Stop</v>
      </c>
    </row>
    <row r="170" spans="1:9">
      <c r="A170" s="243">
        <v>43804</v>
      </c>
      <c r="B170" s="376">
        <v>43667.679606481499</v>
      </c>
      <c r="C170" s="22" t="s">
        <v>148</v>
      </c>
      <c r="D170" s="22" t="s">
        <v>149</v>
      </c>
      <c r="E170" s="22" t="s">
        <v>149</v>
      </c>
      <c r="F170" s="22" t="s">
        <v>149</v>
      </c>
      <c r="H170" s="218" t="str">
        <f t="shared" si="28"/>
        <v>OK</v>
      </c>
      <c r="I170" s="219" t="str">
        <f t="shared" si="29"/>
        <v>Stop</v>
      </c>
    </row>
    <row r="171" spans="1:9">
      <c r="A171" s="243">
        <v>43805</v>
      </c>
      <c r="B171" s="376">
        <v>43667.7212731482</v>
      </c>
      <c r="C171" s="22" t="s">
        <v>148</v>
      </c>
      <c r="D171" s="22" t="s">
        <v>149</v>
      </c>
      <c r="E171" s="22" t="s">
        <v>149</v>
      </c>
      <c r="F171" s="22" t="s">
        <v>149</v>
      </c>
      <c r="H171" s="218" t="str">
        <f t="shared" si="28"/>
        <v>OK</v>
      </c>
      <c r="I171" s="219" t="str">
        <f t="shared" si="29"/>
        <v>Stop</v>
      </c>
    </row>
    <row r="172" spans="1:9">
      <c r="A172" s="243">
        <v>43806</v>
      </c>
      <c r="B172" s="376">
        <v>43667.762939814798</v>
      </c>
      <c r="C172" s="22" t="s">
        <v>148</v>
      </c>
      <c r="D172" s="22" t="s">
        <v>149</v>
      </c>
      <c r="E172" s="22" t="s">
        <v>149</v>
      </c>
      <c r="F172" s="22" t="s">
        <v>149</v>
      </c>
      <c r="H172" s="218" t="str">
        <f t="shared" si="28"/>
        <v>OK</v>
      </c>
      <c r="I172" s="219" t="str">
        <f t="shared" si="29"/>
        <v>Stop</v>
      </c>
    </row>
    <row r="173" spans="1:9">
      <c r="A173" s="243">
        <v>43807</v>
      </c>
      <c r="B173" s="376">
        <v>43667.804606481499</v>
      </c>
      <c r="C173" s="22" t="s">
        <v>148</v>
      </c>
      <c r="D173" s="22" t="s">
        <v>149</v>
      </c>
      <c r="E173" s="22" t="s">
        <v>149</v>
      </c>
      <c r="F173" s="22" t="s">
        <v>149</v>
      </c>
      <c r="H173" s="218" t="str">
        <f t="shared" si="28"/>
        <v>OK</v>
      </c>
      <c r="I173" s="219" t="str">
        <f t="shared" si="29"/>
        <v>Stop</v>
      </c>
    </row>
    <row r="174" spans="1:9">
      <c r="A174" s="243">
        <v>43808</v>
      </c>
      <c r="B174" s="376">
        <v>43667.8462731482</v>
      </c>
      <c r="C174" s="22" t="s">
        <v>148</v>
      </c>
      <c r="D174" s="22" t="s">
        <v>149</v>
      </c>
      <c r="E174" s="22" t="s">
        <v>149</v>
      </c>
      <c r="F174" s="22" t="s">
        <v>149</v>
      </c>
      <c r="H174" s="218" t="str">
        <f t="shared" si="28"/>
        <v>OK</v>
      </c>
      <c r="I174" s="219" t="str">
        <f t="shared" si="29"/>
        <v>Stop</v>
      </c>
    </row>
    <row r="175" spans="1:9">
      <c r="A175" s="243">
        <v>43809</v>
      </c>
      <c r="B175" s="376">
        <v>43667.887939814798</v>
      </c>
      <c r="C175" s="22" t="s">
        <v>148</v>
      </c>
      <c r="D175" s="22" t="s">
        <v>149</v>
      </c>
      <c r="E175" s="22" t="s">
        <v>149</v>
      </c>
      <c r="F175" s="22" t="s">
        <v>149</v>
      </c>
      <c r="H175" s="218" t="str">
        <f t="shared" si="28"/>
        <v>OK</v>
      </c>
      <c r="I175" s="219" t="str">
        <f t="shared" si="29"/>
        <v>Stop</v>
      </c>
    </row>
    <row r="176" spans="1:9">
      <c r="A176" s="243">
        <v>43810</v>
      </c>
      <c r="B176" s="376">
        <v>43667.929606481499</v>
      </c>
      <c r="C176" s="22" t="s">
        <v>148</v>
      </c>
      <c r="D176" s="22" t="s">
        <v>149</v>
      </c>
      <c r="E176" s="22" t="s">
        <v>149</v>
      </c>
      <c r="F176" s="22" t="s">
        <v>149</v>
      </c>
      <c r="H176" s="218" t="str">
        <f t="shared" ref="H176:H185" si="30">IF(AND(D176="Yes",E176="Yes",F176="Yes"),"OK","NO")</f>
        <v>OK</v>
      </c>
      <c r="I176" s="219" t="str">
        <f t="shared" ref="I176:I185" si="31">IF(AND(H176="OK",A176-$A$7=0),"Proceed","Stop")</f>
        <v>Stop</v>
      </c>
    </row>
    <row r="177" spans="1:9">
      <c r="A177" s="243">
        <v>43811</v>
      </c>
      <c r="B177" s="376">
        <v>43667.9712731482</v>
      </c>
      <c r="C177" s="22" t="s">
        <v>148</v>
      </c>
      <c r="D177" s="22" t="s">
        <v>149</v>
      </c>
      <c r="E177" s="22" t="s">
        <v>149</v>
      </c>
      <c r="F177" s="22" t="s">
        <v>149</v>
      </c>
      <c r="H177" s="218" t="str">
        <f t="shared" si="30"/>
        <v>OK</v>
      </c>
      <c r="I177" s="219" t="str">
        <f t="shared" si="31"/>
        <v>Stop</v>
      </c>
    </row>
    <row r="178" spans="1:9">
      <c r="A178" s="243">
        <v>43812</v>
      </c>
      <c r="B178" s="376">
        <v>43668.0129398149</v>
      </c>
      <c r="C178" s="22" t="s">
        <v>148</v>
      </c>
      <c r="D178" s="22" t="s">
        <v>149</v>
      </c>
      <c r="E178" s="22" t="s">
        <v>149</v>
      </c>
      <c r="F178" s="22" t="s">
        <v>149</v>
      </c>
      <c r="H178" s="218" t="str">
        <f t="shared" si="30"/>
        <v>OK</v>
      </c>
      <c r="I178" s="219" t="str">
        <f t="shared" si="31"/>
        <v>Stop</v>
      </c>
    </row>
    <row r="179" spans="1:9">
      <c r="A179" s="243">
        <v>43813</v>
      </c>
      <c r="B179" s="376">
        <v>43668.054606481601</v>
      </c>
      <c r="C179" s="22" t="s">
        <v>148</v>
      </c>
      <c r="D179" s="22" t="s">
        <v>149</v>
      </c>
      <c r="E179" s="22" t="s">
        <v>149</v>
      </c>
      <c r="F179" s="22" t="s">
        <v>149</v>
      </c>
      <c r="H179" s="218" t="str">
        <f t="shared" si="30"/>
        <v>OK</v>
      </c>
      <c r="I179" s="219" t="str">
        <f t="shared" si="31"/>
        <v>Stop</v>
      </c>
    </row>
    <row r="180" spans="1:9">
      <c r="A180" s="243">
        <v>43814</v>
      </c>
      <c r="B180" s="376">
        <v>43668.096273148301</v>
      </c>
      <c r="C180" s="22" t="s">
        <v>148</v>
      </c>
      <c r="D180" s="22" t="s">
        <v>149</v>
      </c>
      <c r="E180" s="22" t="s">
        <v>149</v>
      </c>
      <c r="F180" s="22" t="s">
        <v>149</v>
      </c>
      <c r="H180" s="218" t="str">
        <f t="shared" si="30"/>
        <v>OK</v>
      </c>
      <c r="I180" s="219" t="str">
        <f t="shared" si="31"/>
        <v>Stop</v>
      </c>
    </row>
    <row r="181" spans="1:9">
      <c r="A181" s="243">
        <v>43815</v>
      </c>
      <c r="B181" s="376">
        <v>43668.137939815002</v>
      </c>
      <c r="C181" s="22" t="s">
        <v>148</v>
      </c>
      <c r="D181" s="22" t="s">
        <v>149</v>
      </c>
      <c r="E181" s="22" t="s">
        <v>149</v>
      </c>
      <c r="F181" s="22" t="s">
        <v>149</v>
      </c>
      <c r="H181" s="218" t="str">
        <f t="shared" si="30"/>
        <v>OK</v>
      </c>
      <c r="I181" s="219" t="str">
        <f t="shared" si="31"/>
        <v>Stop</v>
      </c>
    </row>
    <row r="182" spans="1:9">
      <c r="A182" s="243">
        <v>43816</v>
      </c>
      <c r="B182" s="376">
        <v>43668.179606481703</v>
      </c>
      <c r="C182" s="22" t="s">
        <v>148</v>
      </c>
      <c r="D182" s="22" t="s">
        <v>149</v>
      </c>
      <c r="E182" s="22" t="s">
        <v>149</v>
      </c>
      <c r="F182" s="22" t="s">
        <v>149</v>
      </c>
      <c r="H182" s="218" t="str">
        <f t="shared" si="30"/>
        <v>OK</v>
      </c>
      <c r="I182" s="219" t="str">
        <f t="shared" si="31"/>
        <v>Stop</v>
      </c>
    </row>
    <row r="183" spans="1:9">
      <c r="A183" s="243">
        <v>43817</v>
      </c>
      <c r="B183" s="376">
        <v>43668.221273148403</v>
      </c>
      <c r="C183" s="22" t="s">
        <v>148</v>
      </c>
      <c r="D183" s="22" t="s">
        <v>149</v>
      </c>
      <c r="E183" s="22" t="s">
        <v>149</v>
      </c>
      <c r="F183" s="22" t="s">
        <v>149</v>
      </c>
      <c r="H183" s="218" t="str">
        <f t="shared" si="30"/>
        <v>OK</v>
      </c>
      <c r="I183" s="219" t="str">
        <f t="shared" si="31"/>
        <v>Stop</v>
      </c>
    </row>
    <row r="184" spans="1:9">
      <c r="A184" s="243">
        <v>43818</v>
      </c>
      <c r="B184" s="376">
        <v>43668.262939815097</v>
      </c>
      <c r="C184" s="22" t="s">
        <v>148</v>
      </c>
      <c r="D184" s="22" t="s">
        <v>149</v>
      </c>
      <c r="E184" s="22" t="s">
        <v>149</v>
      </c>
      <c r="F184" s="22" t="s">
        <v>149</v>
      </c>
      <c r="H184" s="218" t="str">
        <f t="shared" si="30"/>
        <v>OK</v>
      </c>
      <c r="I184" s="219" t="str">
        <f t="shared" si="31"/>
        <v>Stop</v>
      </c>
    </row>
    <row r="185" spans="1:9">
      <c r="A185" s="243">
        <v>43819</v>
      </c>
      <c r="B185" s="376">
        <v>43668.304606481797</v>
      </c>
      <c r="C185" s="22" t="s">
        <v>148</v>
      </c>
      <c r="D185" s="22" t="s">
        <v>149</v>
      </c>
      <c r="E185" s="22" t="s">
        <v>149</v>
      </c>
      <c r="F185" s="22" t="s">
        <v>149</v>
      </c>
      <c r="H185" s="218" t="str">
        <f t="shared" si="30"/>
        <v>OK</v>
      </c>
      <c r="I185" s="219" t="str">
        <f t="shared" si="31"/>
        <v>Stop</v>
      </c>
    </row>
    <row r="186" spans="1:9">
      <c r="A186" s="243">
        <v>43820</v>
      </c>
      <c r="B186" s="376">
        <v>43668.346273148498</v>
      </c>
      <c r="C186" s="22" t="s">
        <v>148</v>
      </c>
      <c r="D186" s="22" t="s">
        <v>149</v>
      </c>
      <c r="E186" s="22" t="s">
        <v>149</v>
      </c>
      <c r="F186" s="22" t="s">
        <v>149</v>
      </c>
      <c r="H186" s="218" t="str">
        <f t="shared" ref="H186:H192" si="32">IF(AND(D186="Yes",E186="Yes",F186="Yes"),"OK","NO")</f>
        <v>OK</v>
      </c>
      <c r="I186" s="219" t="str">
        <f t="shared" ref="I186:I192" si="33">IF(AND(H186="OK",A186-$A$7=0),"Proceed","Stop")</f>
        <v>Stop</v>
      </c>
    </row>
    <row r="187" spans="1:9">
      <c r="A187" s="243">
        <v>43821</v>
      </c>
      <c r="B187" s="376">
        <v>43668.387939815097</v>
      </c>
      <c r="C187" s="22" t="s">
        <v>148</v>
      </c>
      <c r="D187" s="22" t="s">
        <v>149</v>
      </c>
      <c r="E187" s="22" t="s">
        <v>149</v>
      </c>
      <c r="F187" s="22" t="s">
        <v>149</v>
      </c>
      <c r="H187" s="218" t="str">
        <f t="shared" si="32"/>
        <v>OK</v>
      </c>
      <c r="I187" s="219" t="str">
        <f t="shared" si="33"/>
        <v>Stop</v>
      </c>
    </row>
    <row r="188" spans="1:9">
      <c r="A188" s="243">
        <v>43822</v>
      </c>
      <c r="B188" s="376">
        <v>43668.429606481797</v>
      </c>
      <c r="C188" s="22" t="s">
        <v>148</v>
      </c>
      <c r="D188" s="22" t="s">
        <v>149</v>
      </c>
      <c r="E188" s="22" t="s">
        <v>149</v>
      </c>
      <c r="F188" s="22" t="s">
        <v>149</v>
      </c>
      <c r="H188" s="218" t="str">
        <f t="shared" si="32"/>
        <v>OK</v>
      </c>
      <c r="I188" s="219" t="str">
        <f t="shared" si="33"/>
        <v>Stop</v>
      </c>
    </row>
    <row r="189" spans="1:9">
      <c r="A189" s="243">
        <v>43823</v>
      </c>
      <c r="B189" s="376">
        <v>43668.471273148498</v>
      </c>
      <c r="C189" s="22" t="s">
        <v>148</v>
      </c>
      <c r="D189" s="22" t="s">
        <v>149</v>
      </c>
      <c r="E189" s="22" t="s">
        <v>149</v>
      </c>
      <c r="F189" s="22" t="s">
        <v>149</v>
      </c>
      <c r="H189" s="218" t="str">
        <f t="shared" si="32"/>
        <v>OK</v>
      </c>
      <c r="I189" s="219" t="str">
        <f t="shared" si="33"/>
        <v>Stop</v>
      </c>
    </row>
    <row r="190" spans="1:9">
      <c r="A190" s="243">
        <v>43824</v>
      </c>
      <c r="B190" s="376">
        <v>43668.512939815097</v>
      </c>
      <c r="C190" s="22" t="s">
        <v>148</v>
      </c>
      <c r="D190" s="22" t="s">
        <v>149</v>
      </c>
      <c r="E190" s="22" t="s">
        <v>149</v>
      </c>
      <c r="F190" s="22" t="s">
        <v>149</v>
      </c>
      <c r="H190" s="218" t="str">
        <f t="shared" si="32"/>
        <v>OK</v>
      </c>
      <c r="I190" s="219" t="str">
        <f t="shared" si="33"/>
        <v>Stop</v>
      </c>
    </row>
    <row r="191" spans="1:9">
      <c r="A191" s="243">
        <v>43825</v>
      </c>
      <c r="B191" s="376">
        <v>43668.554606481797</v>
      </c>
      <c r="C191" s="22" t="s">
        <v>148</v>
      </c>
      <c r="D191" s="22" t="s">
        <v>149</v>
      </c>
      <c r="E191" s="22" t="s">
        <v>149</v>
      </c>
      <c r="F191" s="22" t="s">
        <v>149</v>
      </c>
      <c r="H191" s="218" t="str">
        <f t="shared" si="32"/>
        <v>OK</v>
      </c>
      <c r="I191" s="219" t="str">
        <f t="shared" si="33"/>
        <v>Stop</v>
      </c>
    </row>
    <row r="192" spans="1:9">
      <c r="A192" s="243">
        <v>43826</v>
      </c>
      <c r="B192" s="376">
        <v>43668.596273148702</v>
      </c>
      <c r="C192" s="22" t="s">
        <v>148</v>
      </c>
      <c r="D192" s="22" t="s">
        <v>149</v>
      </c>
      <c r="E192" s="22" t="s">
        <v>149</v>
      </c>
      <c r="F192" s="22" t="s">
        <v>149</v>
      </c>
      <c r="H192" s="218" t="str">
        <f t="shared" si="32"/>
        <v>OK</v>
      </c>
      <c r="I192" s="219" t="str">
        <f t="shared" si="33"/>
        <v>Stop</v>
      </c>
    </row>
    <row r="193" spans="1:9">
      <c r="A193" s="243">
        <v>43827</v>
      </c>
      <c r="B193" s="376">
        <v>43668.637939815402</v>
      </c>
      <c r="C193" s="22" t="s">
        <v>148</v>
      </c>
      <c r="D193" s="22" t="s">
        <v>149</v>
      </c>
      <c r="E193" s="22" t="s">
        <v>149</v>
      </c>
      <c r="F193" s="22" t="s">
        <v>149</v>
      </c>
      <c r="H193" s="218" t="str">
        <f t="shared" ref="H193:H198" si="34">IF(AND(D193="Yes",E193="Yes",F193="Yes"),"OK","NO")</f>
        <v>OK</v>
      </c>
      <c r="I193" s="219" t="str">
        <f t="shared" ref="I193:I198" si="35">IF(AND(H193="OK",A193-$A$7=0),"Proceed","Stop")</f>
        <v>Stop</v>
      </c>
    </row>
    <row r="194" spans="1:9">
      <c r="A194" s="243">
        <v>43828</v>
      </c>
      <c r="B194" s="376">
        <v>43668.679606482103</v>
      </c>
      <c r="C194" s="22" t="s">
        <v>148</v>
      </c>
      <c r="D194" s="22" t="s">
        <v>149</v>
      </c>
      <c r="E194" s="22" t="s">
        <v>149</v>
      </c>
      <c r="F194" s="22" t="s">
        <v>149</v>
      </c>
      <c r="H194" s="218" t="str">
        <f t="shared" si="34"/>
        <v>OK</v>
      </c>
      <c r="I194" s="219" t="str">
        <f t="shared" si="35"/>
        <v>Stop</v>
      </c>
    </row>
    <row r="195" spans="1:9">
      <c r="A195" s="243">
        <v>43829</v>
      </c>
      <c r="B195" s="376">
        <v>43668.721273148803</v>
      </c>
      <c r="C195" s="22" t="s">
        <v>148</v>
      </c>
      <c r="D195" s="22" t="s">
        <v>149</v>
      </c>
      <c r="E195" s="22" t="s">
        <v>149</v>
      </c>
      <c r="F195" s="22" t="s">
        <v>149</v>
      </c>
      <c r="H195" s="218" t="str">
        <f t="shared" si="34"/>
        <v>OK</v>
      </c>
      <c r="I195" s="219" t="str">
        <f t="shared" si="35"/>
        <v>Stop</v>
      </c>
    </row>
    <row r="196" spans="1:9">
      <c r="A196" s="243">
        <v>43830</v>
      </c>
      <c r="B196" s="376">
        <v>43668.762939815497</v>
      </c>
      <c r="C196" s="22" t="s">
        <v>148</v>
      </c>
      <c r="D196" s="22" t="s">
        <v>149</v>
      </c>
      <c r="E196" s="22" t="s">
        <v>149</v>
      </c>
      <c r="F196" s="22" t="s">
        <v>149</v>
      </c>
      <c r="H196" s="218" t="str">
        <f t="shared" si="34"/>
        <v>OK</v>
      </c>
      <c r="I196" s="219" t="str">
        <f t="shared" si="35"/>
        <v>Stop</v>
      </c>
    </row>
    <row r="197" spans="1:9">
      <c r="A197" s="243">
        <v>43831</v>
      </c>
      <c r="B197" s="376">
        <v>43668.804606482197</v>
      </c>
      <c r="C197" s="22" t="s">
        <v>148</v>
      </c>
      <c r="D197" s="22" t="s">
        <v>149</v>
      </c>
      <c r="E197" s="22" t="s">
        <v>149</v>
      </c>
      <c r="F197" s="22" t="s">
        <v>149</v>
      </c>
      <c r="H197" s="218" t="str">
        <f t="shared" si="34"/>
        <v>OK</v>
      </c>
      <c r="I197" s="219" t="str">
        <f t="shared" si="35"/>
        <v>Stop</v>
      </c>
    </row>
    <row r="198" spans="1:9">
      <c r="A198" s="243">
        <v>43832</v>
      </c>
      <c r="B198" s="376">
        <v>43668.846273148898</v>
      </c>
      <c r="C198" s="22" t="s">
        <v>148</v>
      </c>
      <c r="D198" s="22" t="s">
        <v>149</v>
      </c>
      <c r="E198" s="22" t="s">
        <v>149</v>
      </c>
      <c r="F198" s="22" t="s">
        <v>149</v>
      </c>
      <c r="H198" s="218" t="str">
        <f t="shared" si="34"/>
        <v>OK</v>
      </c>
      <c r="I198" s="219" t="str">
        <f t="shared" si="35"/>
        <v>Stop</v>
      </c>
    </row>
    <row r="199" spans="1:9">
      <c r="A199" s="243">
        <v>43833</v>
      </c>
      <c r="B199" s="376">
        <v>43668.887939815599</v>
      </c>
      <c r="C199" s="22" t="s">
        <v>148</v>
      </c>
      <c r="D199" s="22" t="s">
        <v>149</v>
      </c>
      <c r="E199" s="22" t="s">
        <v>149</v>
      </c>
      <c r="F199" s="22" t="s">
        <v>149</v>
      </c>
      <c r="H199" s="218" t="str">
        <f>IF(AND(D199="Yes",E199="Yes",F199="Yes"),"OK","NO")</f>
        <v>OK</v>
      </c>
      <c r="I199" s="219" t="str">
        <f>IF(AND(H199="OK",A199-$A$7=0),"Proceed","Stop")</f>
        <v>Stop</v>
      </c>
    </row>
    <row r="200" spans="1:9">
      <c r="A200" s="243">
        <v>43834</v>
      </c>
      <c r="B200" s="376">
        <v>43668.929606482299</v>
      </c>
      <c r="C200" s="22" t="s">
        <v>148</v>
      </c>
      <c r="D200" s="22" t="s">
        <v>149</v>
      </c>
      <c r="E200" s="22" t="s">
        <v>149</v>
      </c>
      <c r="F200" s="22" t="s">
        <v>149</v>
      </c>
      <c r="H200" s="218" t="str">
        <f t="shared" ref="H200:H214" si="36">IF(AND(D200="Yes",E200="Yes",F200="Yes"),"OK","NO")</f>
        <v>OK</v>
      </c>
      <c r="I200" s="219" t="str">
        <f t="shared" ref="I200:I214" si="37">IF(AND(H200="OK",A200-$A$7=0),"Proceed","Stop")</f>
        <v>Stop</v>
      </c>
    </row>
    <row r="201" spans="1:9">
      <c r="A201" s="243">
        <v>43835</v>
      </c>
      <c r="B201" s="376">
        <v>43668.971273148898</v>
      </c>
      <c r="C201" s="22" t="s">
        <v>148</v>
      </c>
      <c r="D201" s="22" t="s">
        <v>149</v>
      </c>
      <c r="E201" s="22" t="s">
        <v>149</v>
      </c>
      <c r="F201" s="22" t="s">
        <v>149</v>
      </c>
      <c r="H201" s="218" t="str">
        <f t="shared" si="36"/>
        <v>OK</v>
      </c>
      <c r="I201" s="219" t="str">
        <f t="shared" si="37"/>
        <v>Stop</v>
      </c>
    </row>
    <row r="202" spans="1:9">
      <c r="A202" s="243">
        <v>43836</v>
      </c>
      <c r="B202" s="376">
        <v>43669.012939815599</v>
      </c>
      <c r="C202" s="22" t="s">
        <v>148</v>
      </c>
      <c r="D202" s="22" t="s">
        <v>149</v>
      </c>
      <c r="E202" s="22" t="s">
        <v>149</v>
      </c>
      <c r="F202" s="22" t="s">
        <v>149</v>
      </c>
      <c r="H202" s="218" t="str">
        <f t="shared" si="36"/>
        <v>OK</v>
      </c>
      <c r="I202" s="219" t="str">
        <f t="shared" si="37"/>
        <v>Stop</v>
      </c>
    </row>
    <row r="203" spans="1:9">
      <c r="A203" s="243">
        <v>43837</v>
      </c>
      <c r="B203" s="376">
        <v>43669.054606482299</v>
      </c>
      <c r="C203" s="22" t="s">
        <v>148</v>
      </c>
      <c r="D203" s="22" t="s">
        <v>149</v>
      </c>
      <c r="E203" s="22" t="s">
        <v>149</v>
      </c>
      <c r="F203" s="22" t="s">
        <v>149</v>
      </c>
      <c r="H203" s="218" t="str">
        <f t="shared" si="36"/>
        <v>OK</v>
      </c>
      <c r="I203" s="219" t="str">
        <f t="shared" si="37"/>
        <v>Stop</v>
      </c>
    </row>
    <row r="204" spans="1:9">
      <c r="A204" s="243">
        <v>43838</v>
      </c>
      <c r="B204" s="376">
        <v>43669.096273148898</v>
      </c>
      <c r="C204" s="22" t="s">
        <v>148</v>
      </c>
      <c r="D204" s="22" t="s">
        <v>149</v>
      </c>
      <c r="E204" s="22" t="s">
        <v>149</v>
      </c>
      <c r="F204" s="22" t="s">
        <v>149</v>
      </c>
      <c r="H204" s="218" t="str">
        <f t="shared" si="36"/>
        <v>OK</v>
      </c>
      <c r="I204" s="219" t="str">
        <f t="shared" si="37"/>
        <v>Stop</v>
      </c>
    </row>
    <row r="205" spans="1:9">
      <c r="A205" s="243">
        <v>43839</v>
      </c>
      <c r="B205" s="376">
        <v>43669.137939815599</v>
      </c>
      <c r="C205" s="22" t="s">
        <v>148</v>
      </c>
      <c r="D205" s="22" t="s">
        <v>149</v>
      </c>
      <c r="E205" s="22" t="s">
        <v>149</v>
      </c>
      <c r="F205" s="22" t="s">
        <v>149</v>
      </c>
      <c r="H205" s="218" t="str">
        <f t="shared" si="36"/>
        <v>OK</v>
      </c>
      <c r="I205" s="219" t="str">
        <f t="shared" si="37"/>
        <v>Stop</v>
      </c>
    </row>
    <row r="206" spans="1:9">
      <c r="A206" s="243">
        <v>43840</v>
      </c>
      <c r="B206" s="376">
        <v>43669.179606482299</v>
      </c>
      <c r="C206" s="22" t="s">
        <v>148</v>
      </c>
      <c r="D206" s="22" t="s">
        <v>149</v>
      </c>
      <c r="E206" s="22" t="s">
        <v>149</v>
      </c>
      <c r="F206" s="22" t="s">
        <v>149</v>
      </c>
      <c r="H206" s="218" t="str">
        <f t="shared" si="36"/>
        <v>OK</v>
      </c>
      <c r="I206" s="219" t="str">
        <f t="shared" si="37"/>
        <v>Stop</v>
      </c>
    </row>
    <row r="207" spans="1:9">
      <c r="A207" s="243">
        <v>43841</v>
      </c>
      <c r="B207" s="376">
        <v>43669.221273148898</v>
      </c>
      <c r="C207" s="22" t="s">
        <v>148</v>
      </c>
      <c r="D207" s="22" t="s">
        <v>149</v>
      </c>
      <c r="E207" s="22" t="s">
        <v>149</v>
      </c>
      <c r="F207" s="22" t="s">
        <v>149</v>
      </c>
      <c r="H207" s="218" t="str">
        <f t="shared" si="36"/>
        <v>OK</v>
      </c>
      <c r="I207" s="219" t="str">
        <f t="shared" si="37"/>
        <v>Stop</v>
      </c>
    </row>
    <row r="208" spans="1:9">
      <c r="A208" s="243">
        <v>43842</v>
      </c>
      <c r="B208" s="376">
        <v>43669.262939815599</v>
      </c>
      <c r="C208" s="22" t="s">
        <v>148</v>
      </c>
      <c r="D208" s="22" t="s">
        <v>149</v>
      </c>
      <c r="E208" s="22" t="s">
        <v>149</v>
      </c>
      <c r="F208" s="22" t="s">
        <v>149</v>
      </c>
      <c r="H208" s="218" t="str">
        <f t="shared" si="36"/>
        <v>OK</v>
      </c>
      <c r="I208" s="219" t="str">
        <f t="shared" si="37"/>
        <v>Stop</v>
      </c>
    </row>
    <row r="209" spans="1:9">
      <c r="A209" s="243">
        <v>43843</v>
      </c>
      <c r="B209" s="376">
        <v>43669.304606482299</v>
      </c>
      <c r="C209" s="22" t="s">
        <v>148</v>
      </c>
      <c r="D209" s="22" t="s">
        <v>149</v>
      </c>
      <c r="E209" s="22" t="s">
        <v>149</v>
      </c>
      <c r="F209" s="22" t="s">
        <v>149</v>
      </c>
      <c r="H209" s="218" t="str">
        <f t="shared" si="36"/>
        <v>OK</v>
      </c>
      <c r="I209" s="219" t="str">
        <f t="shared" si="37"/>
        <v>Stop</v>
      </c>
    </row>
    <row r="210" spans="1:9">
      <c r="A210" s="243">
        <v>43844</v>
      </c>
      <c r="B210" s="376">
        <v>43669.346273148898</v>
      </c>
      <c r="C210" s="22" t="s">
        <v>148</v>
      </c>
      <c r="D210" s="22" t="s">
        <v>149</v>
      </c>
      <c r="E210" s="22" t="s">
        <v>149</v>
      </c>
      <c r="F210" s="22" t="s">
        <v>149</v>
      </c>
      <c r="H210" s="218" t="str">
        <f t="shared" si="36"/>
        <v>OK</v>
      </c>
      <c r="I210" s="219" t="str">
        <f t="shared" si="37"/>
        <v>Stop</v>
      </c>
    </row>
    <row r="211" spans="1:9">
      <c r="A211" s="243">
        <v>43845</v>
      </c>
      <c r="B211" s="376">
        <v>43669.387939815599</v>
      </c>
      <c r="C211" s="22" t="s">
        <v>148</v>
      </c>
      <c r="D211" s="22" t="s">
        <v>149</v>
      </c>
      <c r="E211" s="22" t="s">
        <v>149</v>
      </c>
      <c r="F211" s="22" t="s">
        <v>149</v>
      </c>
      <c r="H211" s="218" t="str">
        <f t="shared" si="36"/>
        <v>OK</v>
      </c>
      <c r="I211" s="219" t="str">
        <f t="shared" si="37"/>
        <v>Stop</v>
      </c>
    </row>
    <row r="212" spans="1:9">
      <c r="A212" s="243">
        <v>43846</v>
      </c>
      <c r="B212" s="376">
        <v>43669.429606482299</v>
      </c>
      <c r="C212" s="22" t="s">
        <v>148</v>
      </c>
      <c r="D212" s="22" t="s">
        <v>149</v>
      </c>
      <c r="E212" s="22" t="s">
        <v>149</v>
      </c>
      <c r="F212" s="22" t="s">
        <v>149</v>
      </c>
      <c r="H212" s="218" t="str">
        <f t="shared" si="36"/>
        <v>OK</v>
      </c>
      <c r="I212" s="219" t="str">
        <f t="shared" si="37"/>
        <v>Stop</v>
      </c>
    </row>
    <row r="213" spans="1:9">
      <c r="A213" s="243">
        <v>43847</v>
      </c>
      <c r="B213" s="376">
        <v>43669.471273148898</v>
      </c>
      <c r="C213" s="22" t="s">
        <v>148</v>
      </c>
      <c r="D213" s="22" t="s">
        <v>149</v>
      </c>
      <c r="E213" s="22" t="s">
        <v>149</v>
      </c>
      <c r="F213" s="22" t="s">
        <v>149</v>
      </c>
      <c r="H213" s="218" t="str">
        <f t="shared" si="36"/>
        <v>OK</v>
      </c>
      <c r="I213" s="219" t="str">
        <f t="shared" si="37"/>
        <v>Stop</v>
      </c>
    </row>
    <row r="214" spans="1:9">
      <c r="A214" s="243">
        <v>43848</v>
      </c>
      <c r="B214" s="376">
        <v>43669.512939816101</v>
      </c>
      <c r="C214" s="22" t="s">
        <v>148</v>
      </c>
      <c r="D214" s="22" t="s">
        <v>149</v>
      </c>
      <c r="E214" s="22" t="s">
        <v>149</v>
      </c>
      <c r="F214" s="22" t="s">
        <v>149</v>
      </c>
      <c r="H214" s="218" t="str">
        <f t="shared" si="36"/>
        <v>OK</v>
      </c>
      <c r="I214" s="219" t="str">
        <f t="shared" si="37"/>
        <v>Stop</v>
      </c>
    </row>
    <row r="215" spans="1:9">
      <c r="A215" s="243">
        <v>43849</v>
      </c>
      <c r="B215" s="376">
        <v>43669.554606482801</v>
      </c>
      <c r="C215" s="22" t="s">
        <v>148</v>
      </c>
      <c r="D215" s="22" t="s">
        <v>149</v>
      </c>
      <c r="E215" s="22" t="s">
        <v>149</v>
      </c>
      <c r="F215" s="22" t="s">
        <v>149</v>
      </c>
      <c r="H215" s="218" t="str">
        <f t="shared" ref="H215:H221" si="38">IF(AND(D215="Yes",E215="Yes",F215="Yes"),"OK","NO")</f>
        <v>OK</v>
      </c>
      <c r="I215" s="219" t="str">
        <f t="shared" ref="I215:I222" si="39">IF(AND(H215="OK",A215-$A$7=0),"Proceed","Stop")</f>
        <v>Stop</v>
      </c>
    </row>
    <row r="216" spans="1:9">
      <c r="A216" s="243">
        <v>43850</v>
      </c>
      <c r="B216" s="376">
        <v>43669.596273149502</v>
      </c>
      <c r="C216" s="22" t="s">
        <v>148</v>
      </c>
      <c r="D216" s="22" t="s">
        <v>149</v>
      </c>
      <c r="E216" s="22" t="s">
        <v>149</v>
      </c>
      <c r="F216" s="22" t="s">
        <v>149</v>
      </c>
      <c r="H216" s="218" t="str">
        <f t="shared" si="38"/>
        <v>OK</v>
      </c>
      <c r="I216" s="219" t="str">
        <f t="shared" si="39"/>
        <v>Stop</v>
      </c>
    </row>
    <row r="217" spans="1:9">
      <c r="A217" s="243">
        <v>43851</v>
      </c>
      <c r="B217" s="376">
        <v>43669.637939816203</v>
      </c>
      <c r="C217" s="22" t="s">
        <v>148</v>
      </c>
      <c r="D217" s="22" t="s">
        <v>149</v>
      </c>
      <c r="E217" s="22" t="s">
        <v>149</v>
      </c>
      <c r="F217" s="22" t="s">
        <v>149</v>
      </c>
      <c r="H217" s="218" t="str">
        <f t="shared" si="38"/>
        <v>OK</v>
      </c>
      <c r="I217" s="219" t="str">
        <f t="shared" si="39"/>
        <v>Stop</v>
      </c>
    </row>
    <row r="218" spans="1:9">
      <c r="A218" s="243">
        <v>43852</v>
      </c>
      <c r="B218" s="376">
        <v>43669.679606482903</v>
      </c>
      <c r="C218" s="22" t="s">
        <v>148</v>
      </c>
      <c r="D218" s="22" t="s">
        <v>149</v>
      </c>
      <c r="E218" s="22" t="s">
        <v>149</v>
      </c>
      <c r="F218" s="22" t="s">
        <v>149</v>
      </c>
      <c r="H218" s="218" t="str">
        <f t="shared" si="38"/>
        <v>OK</v>
      </c>
      <c r="I218" s="219" t="str">
        <f t="shared" si="39"/>
        <v>Stop</v>
      </c>
    </row>
    <row r="219" spans="1:9">
      <c r="A219" s="243">
        <v>43853</v>
      </c>
      <c r="B219" s="376">
        <v>43669.721273149597</v>
      </c>
      <c r="C219" s="22" t="s">
        <v>148</v>
      </c>
      <c r="D219" s="22" t="s">
        <v>149</v>
      </c>
      <c r="E219" s="22" t="s">
        <v>149</v>
      </c>
      <c r="F219" s="22" t="s">
        <v>149</v>
      </c>
      <c r="H219" s="218" t="str">
        <f t="shared" si="38"/>
        <v>OK</v>
      </c>
      <c r="I219" s="219" t="str">
        <f t="shared" si="39"/>
        <v>Stop</v>
      </c>
    </row>
    <row r="220" spans="1:9">
      <c r="A220" s="243">
        <v>43854</v>
      </c>
      <c r="B220" s="376">
        <v>43669.762939816297</v>
      </c>
      <c r="C220" s="22" t="s">
        <v>148</v>
      </c>
      <c r="D220" s="22" t="s">
        <v>149</v>
      </c>
      <c r="E220" s="22" t="s">
        <v>149</v>
      </c>
      <c r="F220" s="22" t="s">
        <v>149</v>
      </c>
      <c r="H220" s="218" t="str">
        <f t="shared" si="38"/>
        <v>OK</v>
      </c>
      <c r="I220" s="219" t="str">
        <f t="shared" si="39"/>
        <v>Stop</v>
      </c>
    </row>
    <row r="221" spans="1:9">
      <c r="A221" s="243">
        <v>43855</v>
      </c>
      <c r="B221" s="376">
        <v>43669.804606482998</v>
      </c>
      <c r="C221" s="22" t="s">
        <v>148</v>
      </c>
      <c r="D221" s="22" t="s">
        <v>149</v>
      </c>
      <c r="E221" s="22" t="s">
        <v>149</v>
      </c>
      <c r="F221" s="22" t="s">
        <v>149</v>
      </c>
      <c r="H221" s="218" t="str">
        <f t="shared" si="38"/>
        <v>OK</v>
      </c>
      <c r="I221" s="219" t="str">
        <f t="shared" si="39"/>
        <v>Stop</v>
      </c>
    </row>
    <row r="222" spans="1:9">
      <c r="A222" s="243">
        <v>43856</v>
      </c>
      <c r="B222" s="376">
        <v>43669.846273149698</v>
      </c>
      <c r="C222" s="22" t="s">
        <v>148</v>
      </c>
      <c r="D222" s="22" t="s">
        <v>149</v>
      </c>
      <c r="E222" s="22" t="s">
        <v>149</v>
      </c>
      <c r="F222" s="22" t="s">
        <v>149</v>
      </c>
      <c r="H222" s="218" t="str">
        <f>IF(AND(D222="Yes",E222="Yes",F222="Yes"),"OK","NO")</f>
        <v>OK</v>
      </c>
      <c r="I222" s="219" t="str">
        <f t="shared" si="39"/>
        <v>Stop</v>
      </c>
    </row>
    <row r="223" spans="1:9">
      <c r="B223" s="376"/>
      <c r="H223" s="218"/>
      <c r="I223" s="219"/>
    </row>
    <row r="224" spans="1:9">
      <c r="B224" s="376"/>
      <c r="H224" s="218"/>
      <c r="I224" s="219"/>
    </row>
    <row r="225" spans="2:9">
      <c r="B225" s="376"/>
      <c r="H225" s="218"/>
      <c r="I225" s="219"/>
    </row>
    <row r="226" spans="2:9">
      <c r="B226" s="376"/>
      <c r="H226" s="218"/>
      <c r="I226" s="219"/>
    </row>
  </sheetData>
  <mergeCells count="1">
    <mergeCell ref="D10:F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6" r:id="rId4" name="CommandButton1">
          <controlPr defaultSize="0" autoLine="0" autoPict="0" r:id="rId5">
            <anchor moveWithCells="1">
              <from>
                <xdr:col>5</xdr:col>
                <xdr:colOff>647700</xdr:colOff>
                <xdr:row>3</xdr:row>
                <xdr:rowOff>19050</xdr:rowOff>
              </from>
              <to>
                <xdr:col>9</xdr:col>
                <xdr:colOff>38100</xdr:colOff>
                <xdr:row>7</xdr:row>
                <xdr:rowOff>57150</xdr:rowOff>
              </to>
            </anchor>
          </controlPr>
        </control>
      </mc:Choice>
      <mc:Fallback>
        <control shapeId="12296" r:id="rId4" name="CommandButton1"/>
      </mc:Fallback>
    </mc:AlternateContent>
    <mc:AlternateContent xmlns:mc="http://schemas.openxmlformats.org/markup-compatibility/2006">
      <mc:Choice Requires="x14">
        <control shapeId="12289" r:id="rId6" name="Group Box 1">
          <controlPr defaultSize="0" autoFill="0" autoPict="0">
            <anchor moveWithCells="1">
              <from>
                <xdr:col>2</xdr:col>
                <xdr:colOff>95250</xdr:colOff>
                <xdr:row>25</xdr:row>
                <xdr:rowOff>0</xdr:rowOff>
              </from>
              <to>
                <xdr:col>6</xdr:col>
                <xdr:colOff>266700</xdr:colOff>
                <xdr:row>27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2" r:id="rId7" name="Group Box 4">
          <controlPr defaultSize="0" autoFill="0" autoPict="0">
            <anchor moveWithCells="1">
              <from>
                <xdr:col>2</xdr:col>
                <xdr:colOff>57150</xdr:colOff>
                <xdr:row>25</xdr:row>
                <xdr:rowOff>0</xdr:rowOff>
              </from>
              <to>
                <xdr:col>6</xdr:col>
                <xdr:colOff>285750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3" r:id="rId8" name="Group Box 5">
          <controlPr defaultSize="0" autoFill="0" autoPict="0">
            <anchor moveWithCells="1">
              <from>
                <xdr:col>2</xdr:col>
                <xdr:colOff>38100</xdr:colOff>
                <xdr:row>25</xdr:row>
                <xdr:rowOff>0</xdr:rowOff>
              </from>
              <to>
                <xdr:col>6</xdr:col>
                <xdr:colOff>266700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7" r:id="rId9" name="Group Box 9">
          <controlPr defaultSize="0" autoFill="0" autoPict="0">
            <anchor moveWithCells="1">
              <from>
                <xdr:col>2</xdr:col>
                <xdr:colOff>95250</xdr:colOff>
                <xdr:row>22</xdr:row>
                <xdr:rowOff>0</xdr:rowOff>
              </from>
              <to>
                <xdr:col>6</xdr:col>
                <xdr:colOff>266700</xdr:colOff>
                <xdr:row>24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8" r:id="rId10" name="Group Box 10">
          <controlPr defaultSize="0" autoFill="0" autoPict="0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6</xdr:col>
                <xdr:colOff>285750</xdr:colOff>
                <xdr:row>23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299" r:id="rId11" name="Group Box 11">
          <controlPr defaultSize="0" autoFill="0" autoPict="0">
            <anchor moveWithCells="1">
              <from>
                <xdr:col>2</xdr:col>
                <xdr:colOff>38100</xdr:colOff>
                <xdr:row>22</xdr:row>
                <xdr:rowOff>0</xdr:rowOff>
              </from>
              <to>
                <xdr:col>6</xdr:col>
                <xdr:colOff>266700</xdr:colOff>
                <xdr:row>24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0" r:id="rId12" name="Group Box 12">
          <controlPr defaultSize="0" autoFill="0" autoPict="0">
            <anchor moveWithCells="1">
              <from>
                <xdr:col>2</xdr:col>
                <xdr:colOff>57150</xdr:colOff>
                <xdr:row>23</xdr:row>
                <xdr:rowOff>0</xdr:rowOff>
              </from>
              <to>
                <xdr:col>6</xdr:col>
                <xdr:colOff>285750</xdr:colOff>
                <xdr:row>24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1" r:id="rId13" name="Group Box 13">
          <controlPr defaultSize="0" autoFill="0" autoPict="0">
            <anchor moveWithCells="1">
              <from>
                <xdr:col>2</xdr:col>
                <xdr:colOff>38100</xdr:colOff>
                <xdr:row>23</xdr:row>
                <xdr:rowOff>0</xdr:rowOff>
              </from>
              <to>
                <xdr:col>6</xdr:col>
                <xdr:colOff>266700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2" r:id="rId14" name="Group Box 14">
          <controlPr defaultSize="0" autoFill="0" autoPict="0">
            <anchor moveWithCells="1">
              <from>
                <xdr:col>2</xdr:col>
                <xdr:colOff>57150</xdr:colOff>
                <xdr:row>24</xdr:row>
                <xdr:rowOff>0</xdr:rowOff>
              </from>
              <to>
                <xdr:col>6</xdr:col>
                <xdr:colOff>285750</xdr:colOff>
                <xdr:row>25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3" r:id="rId15" name="Group Box 15">
          <controlPr defaultSize="0" autoFill="0" autoPict="0">
            <anchor moveWithCells="1">
              <from>
                <xdr:col>2</xdr:col>
                <xdr:colOff>38100</xdr:colOff>
                <xdr:row>24</xdr:row>
                <xdr:rowOff>0</xdr:rowOff>
              </from>
              <to>
                <xdr:col>6</xdr:col>
                <xdr:colOff>266700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4" r:id="rId16" name="Group Box 16">
          <controlPr defaultSize="0" autoFill="0" autoPict="0">
            <anchor moveWithCells="1">
              <from>
                <xdr:col>2</xdr:col>
                <xdr:colOff>57150</xdr:colOff>
                <xdr:row>26</xdr:row>
                <xdr:rowOff>0</xdr:rowOff>
              </from>
              <to>
                <xdr:col>6</xdr:col>
                <xdr:colOff>285750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5" r:id="rId17" name="Group Box 17">
          <controlPr defaultSize="0" autoFill="0" autoPict="0">
            <anchor moveWithCells="1">
              <from>
                <xdr:col>2</xdr:col>
                <xdr:colOff>38100</xdr:colOff>
                <xdr:row>26</xdr:row>
                <xdr:rowOff>0</xdr:rowOff>
              </from>
              <to>
                <xdr:col>6</xdr:col>
                <xdr:colOff>266700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6" r:id="rId18" name="Group Box 18">
          <controlPr defaultSize="0" autoFill="0" autoPict="0">
            <anchor moveWithCells="1">
              <from>
                <xdr:col>2</xdr:col>
                <xdr:colOff>57150</xdr:colOff>
                <xdr:row>25</xdr:row>
                <xdr:rowOff>0</xdr:rowOff>
              </from>
              <to>
                <xdr:col>6</xdr:col>
                <xdr:colOff>285750</xdr:colOff>
                <xdr:row>26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7" r:id="rId19" name="Group Box 19">
          <controlPr defaultSize="0" autoFill="0" autoPict="0">
            <anchor moveWithCells="1">
              <from>
                <xdr:col>2</xdr:col>
                <xdr:colOff>38100</xdr:colOff>
                <xdr:row>25</xdr:row>
                <xdr:rowOff>0</xdr:rowOff>
              </from>
              <to>
                <xdr:col>6</xdr:col>
                <xdr:colOff>266700</xdr:colOff>
                <xdr:row>27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8" r:id="rId20" name="Group Box 20">
          <controlPr defaultSize="0" autoFill="0" autoPict="0">
            <anchor moveWithCells="1">
              <from>
                <xdr:col>2</xdr:col>
                <xdr:colOff>95250</xdr:colOff>
                <xdr:row>26</xdr:row>
                <xdr:rowOff>0</xdr:rowOff>
              </from>
              <to>
                <xdr:col>6</xdr:col>
                <xdr:colOff>266700</xdr:colOff>
                <xdr:row>28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09" r:id="rId21" name="Group Box 21">
          <controlPr defaultSize="0" autoFill="0" autoPict="0">
            <anchor moveWithCells="1">
              <from>
                <xdr:col>2</xdr:col>
                <xdr:colOff>57150</xdr:colOff>
                <xdr:row>26</xdr:row>
                <xdr:rowOff>0</xdr:rowOff>
              </from>
              <to>
                <xdr:col>6</xdr:col>
                <xdr:colOff>285750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0" r:id="rId22" name="Group Box 22">
          <controlPr defaultSize="0" autoFill="0" autoPict="0">
            <anchor moveWithCells="1">
              <from>
                <xdr:col>2</xdr:col>
                <xdr:colOff>38100</xdr:colOff>
                <xdr:row>26</xdr:row>
                <xdr:rowOff>0</xdr:rowOff>
              </from>
              <to>
                <xdr:col>6</xdr:col>
                <xdr:colOff>266700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1" r:id="rId23" name="Group Box 23">
          <controlPr defaultSize="0" autoFill="0" autoPict="0">
            <anchor moveWithCells="1">
              <from>
                <xdr:col>2</xdr:col>
                <xdr:colOff>57150</xdr:colOff>
                <xdr:row>27</xdr:row>
                <xdr:rowOff>0</xdr:rowOff>
              </from>
              <to>
                <xdr:col>6</xdr:col>
                <xdr:colOff>285750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2" r:id="rId24" name="Group Box 24">
          <controlPr defaultSize="0" autoFill="0" autoPict="0">
            <anchor moveWithCells="1">
              <from>
                <xdr:col>2</xdr:col>
                <xdr:colOff>38100</xdr:colOff>
                <xdr:row>27</xdr:row>
                <xdr:rowOff>0</xdr:rowOff>
              </from>
              <to>
                <xdr:col>6</xdr:col>
                <xdr:colOff>266700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3" r:id="rId25" name="Group Box 25">
          <controlPr defaultSize="0" autoFill="0" autoPict="0">
            <anchor moveWithCells="1">
              <from>
                <xdr:col>2</xdr:col>
                <xdr:colOff>57150</xdr:colOff>
                <xdr:row>26</xdr:row>
                <xdr:rowOff>0</xdr:rowOff>
              </from>
              <to>
                <xdr:col>6</xdr:col>
                <xdr:colOff>285750</xdr:colOff>
                <xdr:row>27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4" r:id="rId26" name="Group Box 26">
          <controlPr defaultSize="0" autoFill="0" autoPict="0">
            <anchor moveWithCells="1">
              <from>
                <xdr:col>2</xdr:col>
                <xdr:colOff>38100</xdr:colOff>
                <xdr:row>26</xdr:row>
                <xdr:rowOff>0</xdr:rowOff>
              </from>
              <to>
                <xdr:col>6</xdr:col>
                <xdr:colOff>266700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5" r:id="rId27" name="Group Box 27">
          <controlPr defaultSize="0" autoFill="0" autoPict="0">
            <anchor moveWithCells="1">
              <from>
                <xdr:col>2</xdr:col>
                <xdr:colOff>95250</xdr:colOff>
                <xdr:row>27</xdr:row>
                <xdr:rowOff>0</xdr:rowOff>
              </from>
              <to>
                <xdr:col>6</xdr:col>
                <xdr:colOff>266700</xdr:colOff>
                <xdr:row>29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6" r:id="rId28" name="Group Box 28">
          <controlPr defaultSize="0" autoFill="0" autoPict="0">
            <anchor moveWithCells="1">
              <from>
                <xdr:col>2</xdr:col>
                <xdr:colOff>57150</xdr:colOff>
                <xdr:row>27</xdr:row>
                <xdr:rowOff>0</xdr:rowOff>
              </from>
              <to>
                <xdr:col>6</xdr:col>
                <xdr:colOff>285750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7" r:id="rId29" name="Group Box 29">
          <controlPr defaultSize="0" autoFill="0" autoPict="0">
            <anchor moveWithCells="1">
              <from>
                <xdr:col>2</xdr:col>
                <xdr:colOff>38100</xdr:colOff>
                <xdr:row>27</xdr:row>
                <xdr:rowOff>0</xdr:rowOff>
              </from>
              <to>
                <xdr:col>6</xdr:col>
                <xdr:colOff>266700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8" r:id="rId30" name="Group Box 30">
          <controlPr defaultSize="0" autoFill="0" autoPict="0">
            <anchor moveWithCells="1">
              <from>
                <xdr:col>2</xdr:col>
                <xdr:colOff>57150</xdr:colOff>
                <xdr:row>28</xdr:row>
                <xdr:rowOff>0</xdr:rowOff>
              </from>
              <to>
                <xdr:col>6</xdr:col>
                <xdr:colOff>285750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9" r:id="rId31" name="Group Box 31">
          <controlPr defaultSize="0" autoFill="0" autoPict="0">
            <anchor moveWithCells="1">
              <from>
                <xdr:col>2</xdr:col>
                <xdr:colOff>38100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0" r:id="rId32" name="Group Box 32">
          <controlPr defaultSize="0" autoFill="0" autoPict="0">
            <anchor moveWithCells="1">
              <from>
                <xdr:col>2</xdr:col>
                <xdr:colOff>57150</xdr:colOff>
                <xdr:row>27</xdr:row>
                <xdr:rowOff>0</xdr:rowOff>
              </from>
              <to>
                <xdr:col>6</xdr:col>
                <xdr:colOff>285750</xdr:colOff>
                <xdr:row>28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1" r:id="rId33" name="Group Box 33">
          <controlPr defaultSize="0" autoFill="0" autoPict="0">
            <anchor moveWithCells="1">
              <from>
                <xdr:col>2</xdr:col>
                <xdr:colOff>38100</xdr:colOff>
                <xdr:row>27</xdr:row>
                <xdr:rowOff>0</xdr:rowOff>
              </from>
              <to>
                <xdr:col>6</xdr:col>
                <xdr:colOff>266700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2" r:id="rId34" name="Group Box 34">
          <controlPr defaultSize="0" autoFill="0" autoPict="0">
            <anchor moveWithCells="1">
              <from>
                <xdr:col>2</xdr:col>
                <xdr:colOff>57150</xdr:colOff>
                <xdr:row>28</xdr:row>
                <xdr:rowOff>0</xdr:rowOff>
              </from>
              <to>
                <xdr:col>6</xdr:col>
                <xdr:colOff>285750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3" r:id="rId35" name="Group Box 35">
          <controlPr defaultSize="0" autoFill="0" autoPict="0">
            <anchor moveWithCells="1">
              <from>
                <xdr:col>2</xdr:col>
                <xdr:colOff>38100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4" r:id="rId36" name="Group Box 36">
          <controlPr defaultSize="0" autoFill="0" autoPict="0">
            <anchor moveWithCells="1">
              <from>
                <xdr:col>2</xdr:col>
                <xdr:colOff>57150</xdr:colOff>
                <xdr:row>28</xdr:row>
                <xdr:rowOff>0</xdr:rowOff>
              </from>
              <to>
                <xdr:col>6</xdr:col>
                <xdr:colOff>285750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5" r:id="rId37" name="Group Box 37">
          <controlPr defaultSize="0" autoFill="0" autoPict="0">
            <anchor moveWithCells="1">
              <from>
                <xdr:col>2</xdr:col>
                <xdr:colOff>38100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6" r:id="rId38" name="Group Box 38">
          <controlPr defaultSize="0" autoFill="0" autoPict="0">
            <anchor moveWithCells="1">
              <from>
                <xdr:col>2</xdr:col>
                <xdr:colOff>95250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7" r:id="rId39" name="Group Box 39">
          <controlPr defaultSize="0" autoFill="0" autoPict="0">
            <anchor moveWithCells="1">
              <from>
                <xdr:col>2</xdr:col>
                <xdr:colOff>57150</xdr:colOff>
                <xdr:row>28</xdr:row>
                <xdr:rowOff>0</xdr:rowOff>
              </from>
              <to>
                <xdr:col>6</xdr:col>
                <xdr:colOff>285750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8" r:id="rId40" name="Group Box 40">
          <controlPr defaultSize="0" autoFill="0" autoPict="0">
            <anchor moveWithCells="1">
              <from>
                <xdr:col>2</xdr:col>
                <xdr:colOff>38100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29" r:id="rId41" name="Group Box 41">
          <controlPr defaultSize="0" autoFill="0" autoPict="0">
            <anchor moveWithCells="1">
              <from>
                <xdr:col>2</xdr:col>
                <xdr:colOff>57150</xdr:colOff>
                <xdr:row>29</xdr:row>
                <xdr:rowOff>0</xdr:rowOff>
              </from>
              <to>
                <xdr:col>6</xdr:col>
                <xdr:colOff>285750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0" r:id="rId42" name="Group Box 42">
          <controlPr defaultSize="0" autoFill="0" autoPict="0">
            <anchor moveWithCells="1">
              <from>
                <xdr:col>2</xdr:col>
                <xdr:colOff>38100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1" r:id="rId43" name="Group Box 43">
          <controlPr defaultSize="0" autoFill="0" autoPict="0">
            <anchor moveWithCells="1">
              <from>
                <xdr:col>2</xdr:col>
                <xdr:colOff>57150</xdr:colOff>
                <xdr:row>28</xdr:row>
                <xdr:rowOff>0</xdr:rowOff>
              </from>
              <to>
                <xdr:col>6</xdr:col>
                <xdr:colOff>285750</xdr:colOff>
                <xdr:row>29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2" r:id="rId44" name="Group Box 44">
          <controlPr defaultSize="0" autoFill="0" autoPict="0">
            <anchor moveWithCells="1">
              <from>
                <xdr:col>2</xdr:col>
                <xdr:colOff>38100</xdr:colOff>
                <xdr:row>28</xdr:row>
                <xdr:rowOff>0</xdr:rowOff>
              </from>
              <to>
                <xdr:col>6</xdr:col>
                <xdr:colOff>266700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3" r:id="rId45" name="Group Box 45">
          <controlPr defaultSize="0" autoFill="0" autoPict="0">
            <anchor moveWithCells="1">
              <from>
                <xdr:col>2</xdr:col>
                <xdr:colOff>57150</xdr:colOff>
                <xdr:row>29</xdr:row>
                <xdr:rowOff>0</xdr:rowOff>
              </from>
              <to>
                <xdr:col>6</xdr:col>
                <xdr:colOff>285750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4" r:id="rId46" name="Group Box 46">
          <controlPr defaultSize="0" autoFill="0" autoPict="0">
            <anchor moveWithCells="1">
              <from>
                <xdr:col>2</xdr:col>
                <xdr:colOff>38100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5" r:id="rId47" name="Group Box 47">
          <controlPr defaultSize="0" autoFill="0" autoPict="0">
            <anchor moveWithCells="1">
              <from>
                <xdr:col>2</xdr:col>
                <xdr:colOff>57150</xdr:colOff>
                <xdr:row>29</xdr:row>
                <xdr:rowOff>0</xdr:rowOff>
              </from>
              <to>
                <xdr:col>6</xdr:col>
                <xdr:colOff>285750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6" r:id="rId48" name="Group Box 48">
          <controlPr defaultSize="0" autoFill="0" autoPict="0">
            <anchor moveWithCells="1">
              <from>
                <xdr:col>2</xdr:col>
                <xdr:colOff>38100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7" r:id="rId49" name="Group Box 49">
          <controlPr defaultSize="0" autoFill="0" autoPict="0">
            <anchor moveWithCells="1">
              <from>
                <xdr:col>2</xdr:col>
                <xdr:colOff>95250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8" r:id="rId50" name="Group Box 50">
          <controlPr defaultSize="0" autoFill="0" autoPict="0">
            <anchor moveWithCells="1">
              <from>
                <xdr:col>2</xdr:col>
                <xdr:colOff>57150</xdr:colOff>
                <xdr:row>29</xdr:row>
                <xdr:rowOff>0</xdr:rowOff>
              </from>
              <to>
                <xdr:col>6</xdr:col>
                <xdr:colOff>285750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39" r:id="rId51" name="Group Box 51">
          <controlPr defaultSize="0" autoFill="0" autoPict="0">
            <anchor moveWithCells="1">
              <from>
                <xdr:col>2</xdr:col>
                <xdr:colOff>38100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0" r:id="rId52" name="Group Box 52">
          <controlPr defaultSize="0" autoFill="0" autoPict="0">
            <anchor moveWithCells="1">
              <from>
                <xdr:col>2</xdr:col>
                <xdr:colOff>57150</xdr:colOff>
                <xdr:row>30</xdr:row>
                <xdr:rowOff>0</xdr:rowOff>
              </from>
              <to>
                <xdr:col>6</xdr:col>
                <xdr:colOff>285750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1" r:id="rId53" name="Group Box 53">
          <controlPr defaultSize="0" autoFill="0" autoPict="0">
            <anchor moveWithCells="1">
              <from>
                <xdr:col>2</xdr:col>
                <xdr:colOff>38100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2" r:id="rId54" name="Group Box 54">
          <controlPr defaultSize="0" autoFill="0" autoPict="0">
            <anchor moveWithCells="1">
              <from>
                <xdr:col>2</xdr:col>
                <xdr:colOff>57150</xdr:colOff>
                <xdr:row>29</xdr:row>
                <xdr:rowOff>0</xdr:rowOff>
              </from>
              <to>
                <xdr:col>6</xdr:col>
                <xdr:colOff>285750</xdr:colOff>
                <xdr:row>30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3" r:id="rId55" name="Group Box 55">
          <controlPr defaultSize="0" autoFill="0" autoPict="0">
            <anchor moveWithCells="1">
              <from>
                <xdr:col>2</xdr:col>
                <xdr:colOff>38100</xdr:colOff>
                <xdr:row>29</xdr:row>
                <xdr:rowOff>0</xdr:rowOff>
              </from>
              <to>
                <xdr:col>6</xdr:col>
                <xdr:colOff>266700</xdr:colOff>
                <xdr:row>31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4" r:id="rId56" name="Group Box 56">
          <controlPr defaultSize="0" autoFill="0" autoPict="0">
            <anchor moveWithCells="1">
              <from>
                <xdr:col>2</xdr:col>
                <xdr:colOff>57150</xdr:colOff>
                <xdr:row>30</xdr:row>
                <xdr:rowOff>0</xdr:rowOff>
              </from>
              <to>
                <xdr:col>6</xdr:col>
                <xdr:colOff>285750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5" r:id="rId57" name="Group Box 57">
          <controlPr defaultSize="0" autoFill="0" autoPict="0">
            <anchor moveWithCells="1">
              <from>
                <xdr:col>2</xdr:col>
                <xdr:colOff>38100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6" r:id="rId58" name="Group Box 58">
          <controlPr defaultSize="0" autoFill="0" autoPict="0">
            <anchor moveWithCells="1">
              <from>
                <xdr:col>2</xdr:col>
                <xdr:colOff>57150</xdr:colOff>
                <xdr:row>30</xdr:row>
                <xdr:rowOff>0</xdr:rowOff>
              </from>
              <to>
                <xdr:col>6</xdr:col>
                <xdr:colOff>285750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7" r:id="rId59" name="Group Box 59">
          <controlPr defaultSize="0" autoFill="0" autoPict="0">
            <anchor moveWithCells="1">
              <from>
                <xdr:col>2</xdr:col>
                <xdr:colOff>38100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8" r:id="rId60" name="Group Box 60">
          <controlPr defaultSize="0" autoFill="0" autoPict="0">
            <anchor moveWithCells="1">
              <from>
                <xdr:col>2</xdr:col>
                <xdr:colOff>95250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9" r:id="rId61" name="Group Box 61">
          <controlPr defaultSize="0" autoFill="0" autoPict="0">
            <anchor moveWithCells="1">
              <from>
                <xdr:col>2</xdr:col>
                <xdr:colOff>57150</xdr:colOff>
                <xdr:row>30</xdr:row>
                <xdr:rowOff>0</xdr:rowOff>
              </from>
              <to>
                <xdr:col>6</xdr:col>
                <xdr:colOff>285750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0" r:id="rId62" name="Group Box 62">
          <controlPr defaultSize="0" autoFill="0" autoPict="0">
            <anchor moveWithCells="1">
              <from>
                <xdr:col>2</xdr:col>
                <xdr:colOff>38100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1" r:id="rId63" name="Group Box 63">
          <controlPr defaultSize="0" autoFill="0" autoPict="0">
            <anchor moveWithCells="1">
              <from>
                <xdr:col>2</xdr:col>
                <xdr:colOff>57150</xdr:colOff>
                <xdr:row>31</xdr:row>
                <xdr:rowOff>0</xdr:rowOff>
              </from>
              <to>
                <xdr:col>6</xdr:col>
                <xdr:colOff>285750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2" r:id="rId64" name="Group Box 64">
          <controlPr defaultSize="0" autoFill="0" autoPict="0">
            <anchor moveWithCells="1">
              <from>
                <xdr:col>2</xdr:col>
                <xdr:colOff>38100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3" r:id="rId65" name="Group Box 65">
          <controlPr defaultSize="0" autoFill="0" autoPict="0">
            <anchor moveWithCells="1">
              <from>
                <xdr:col>2</xdr:col>
                <xdr:colOff>57150</xdr:colOff>
                <xdr:row>30</xdr:row>
                <xdr:rowOff>0</xdr:rowOff>
              </from>
              <to>
                <xdr:col>6</xdr:col>
                <xdr:colOff>285750</xdr:colOff>
                <xdr:row>31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4" r:id="rId66" name="Group Box 66">
          <controlPr defaultSize="0" autoFill="0" autoPict="0">
            <anchor moveWithCells="1">
              <from>
                <xdr:col>2</xdr:col>
                <xdr:colOff>38100</xdr:colOff>
                <xdr:row>30</xdr:row>
                <xdr:rowOff>0</xdr:rowOff>
              </from>
              <to>
                <xdr:col>6</xdr:col>
                <xdr:colOff>266700</xdr:colOff>
                <xdr:row>32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5" r:id="rId67" name="Group Box 67">
          <controlPr defaultSize="0" autoFill="0" autoPict="0">
            <anchor moveWithCells="1">
              <from>
                <xdr:col>2</xdr:col>
                <xdr:colOff>57150</xdr:colOff>
                <xdr:row>31</xdr:row>
                <xdr:rowOff>0</xdr:rowOff>
              </from>
              <to>
                <xdr:col>6</xdr:col>
                <xdr:colOff>285750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6" r:id="rId68" name="Group Box 68">
          <controlPr defaultSize="0" autoFill="0" autoPict="0">
            <anchor moveWithCells="1">
              <from>
                <xdr:col>2</xdr:col>
                <xdr:colOff>38100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7" r:id="rId69" name="Group Box 69">
          <controlPr defaultSize="0" autoFill="0" autoPict="0">
            <anchor moveWithCells="1">
              <from>
                <xdr:col>2</xdr:col>
                <xdr:colOff>57150</xdr:colOff>
                <xdr:row>31</xdr:row>
                <xdr:rowOff>0</xdr:rowOff>
              </from>
              <to>
                <xdr:col>6</xdr:col>
                <xdr:colOff>285750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8" r:id="rId70" name="Group Box 70">
          <controlPr defaultSize="0" autoFill="0" autoPict="0">
            <anchor moveWithCells="1">
              <from>
                <xdr:col>2</xdr:col>
                <xdr:colOff>38100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9" r:id="rId71" name="Group Box 71">
          <controlPr defaultSize="0" autoFill="0" autoPict="0">
            <anchor moveWithCells="1">
              <from>
                <xdr:col>2</xdr:col>
                <xdr:colOff>95250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0" r:id="rId72" name="Group Box 72">
          <controlPr defaultSize="0" autoFill="0" autoPict="0">
            <anchor moveWithCells="1">
              <from>
                <xdr:col>2</xdr:col>
                <xdr:colOff>57150</xdr:colOff>
                <xdr:row>31</xdr:row>
                <xdr:rowOff>0</xdr:rowOff>
              </from>
              <to>
                <xdr:col>6</xdr:col>
                <xdr:colOff>285750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1" r:id="rId73" name="Group Box 73">
          <controlPr defaultSize="0" autoFill="0" autoPict="0">
            <anchor moveWithCells="1">
              <from>
                <xdr:col>2</xdr:col>
                <xdr:colOff>38100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2" r:id="rId74" name="Group Box 74">
          <controlPr defaultSize="0" autoFill="0" autoPict="0">
            <anchor moveWithCells="1">
              <from>
                <xdr:col>2</xdr:col>
                <xdr:colOff>57150</xdr:colOff>
                <xdr:row>32</xdr:row>
                <xdr:rowOff>0</xdr:rowOff>
              </from>
              <to>
                <xdr:col>6</xdr:col>
                <xdr:colOff>285750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3" r:id="rId75" name="Group Box 75">
          <controlPr defaultSize="0" autoFill="0" autoPict="0">
            <anchor moveWithCells="1">
              <from>
                <xdr:col>2</xdr:col>
                <xdr:colOff>38100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4" r:id="rId76" name="Group Box 76">
          <controlPr defaultSize="0" autoFill="0" autoPict="0">
            <anchor moveWithCells="1">
              <from>
                <xdr:col>2</xdr:col>
                <xdr:colOff>57150</xdr:colOff>
                <xdr:row>31</xdr:row>
                <xdr:rowOff>0</xdr:rowOff>
              </from>
              <to>
                <xdr:col>6</xdr:col>
                <xdr:colOff>285750</xdr:colOff>
                <xdr:row>32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5" r:id="rId77" name="Group Box 77">
          <controlPr defaultSize="0" autoFill="0" autoPict="0">
            <anchor moveWithCells="1">
              <from>
                <xdr:col>2</xdr:col>
                <xdr:colOff>38100</xdr:colOff>
                <xdr:row>31</xdr:row>
                <xdr:rowOff>0</xdr:rowOff>
              </from>
              <to>
                <xdr:col>6</xdr:col>
                <xdr:colOff>266700</xdr:colOff>
                <xdr:row>33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6" r:id="rId78" name="Group Box 78">
          <controlPr defaultSize="0" autoFill="0" autoPict="0">
            <anchor moveWithCells="1">
              <from>
                <xdr:col>2</xdr:col>
                <xdr:colOff>57150</xdr:colOff>
                <xdr:row>32</xdr:row>
                <xdr:rowOff>0</xdr:rowOff>
              </from>
              <to>
                <xdr:col>6</xdr:col>
                <xdr:colOff>285750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7" r:id="rId79" name="Group Box 79">
          <controlPr defaultSize="0" autoFill="0" autoPict="0">
            <anchor moveWithCells="1">
              <from>
                <xdr:col>2</xdr:col>
                <xdr:colOff>38100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8" r:id="rId80" name="Group Box 80">
          <controlPr defaultSize="0" autoFill="0" autoPict="0">
            <anchor moveWithCells="1">
              <from>
                <xdr:col>2</xdr:col>
                <xdr:colOff>57150</xdr:colOff>
                <xdr:row>32</xdr:row>
                <xdr:rowOff>0</xdr:rowOff>
              </from>
              <to>
                <xdr:col>6</xdr:col>
                <xdr:colOff>285750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9" r:id="rId81" name="Group Box 81">
          <controlPr defaultSize="0" autoFill="0" autoPict="0">
            <anchor moveWithCells="1">
              <from>
                <xdr:col>2</xdr:col>
                <xdr:colOff>38100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0" r:id="rId82" name="Group Box 82">
          <controlPr defaultSize="0" autoFill="0" autoPict="0">
            <anchor moveWithCells="1">
              <from>
                <xdr:col>2</xdr:col>
                <xdr:colOff>95250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1" r:id="rId83" name="Group Box 83">
          <controlPr defaultSize="0" autoFill="0" autoPict="0">
            <anchor moveWithCells="1">
              <from>
                <xdr:col>2</xdr:col>
                <xdr:colOff>57150</xdr:colOff>
                <xdr:row>32</xdr:row>
                <xdr:rowOff>0</xdr:rowOff>
              </from>
              <to>
                <xdr:col>6</xdr:col>
                <xdr:colOff>285750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2" r:id="rId84" name="Group Box 84">
          <controlPr defaultSize="0" autoFill="0" autoPict="0">
            <anchor moveWithCells="1">
              <from>
                <xdr:col>2</xdr:col>
                <xdr:colOff>38100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3" r:id="rId85" name="Group Box 85">
          <controlPr defaultSize="0" autoFill="0" autoPict="0">
            <anchor moveWithCells="1">
              <from>
                <xdr:col>2</xdr:col>
                <xdr:colOff>57150</xdr:colOff>
                <xdr:row>33</xdr:row>
                <xdr:rowOff>0</xdr:rowOff>
              </from>
              <to>
                <xdr:col>6</xdr:col>
                <xdr:colOff>285750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4" r:id="rId86" name="Group Box 86">
          <controlPr defaultSize="0" autoFill="0" autoPict="0">
            <anchor moveWithCells="1">
              <from>
                <xdr:col>2</xdr:col>
                <xdr:colOff>38100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5" r:id="rId87" name="Group Box 87">
          <controlPr defaultSize="0" autoFill="0" autoPict="0">
            <anchor moveWithCells="1">
              <from>
                <xdr:col>2</xdr:col>
                <xdr:colOff>57150</xdr:colOff>
                <xdr:row>32</xdr:row>
                <xdr:rowOff>0</xdr:rowOff>
              </from>
              <to>
                <xdr:col>6</xdr:col>
                <xdr:colOff>285750</xdr:colOff>
                <xdr:row>33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6" r:id="rId88" name="Group Box 88">
          <controlPr defaultSize="0" autoFill="0" autoPict="0">
            <anchor moveWithCells="1">
              <from>
                <xdr:col>2</xdr:col>
                <xdr:colOff>38100</xdr:colOff>
                <xdr:row>32</xdr:row>
                <xdr:rowOff>0</xdr:rowOff>
              </from>
              <to>
                <xdr:col>6</xdr:col>
                <xdr:colOff>266700</xdr:colOff>
                <xdr:row>34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7" r:id="rId89" name="Group Box 89">
          <controlPr defaultSize="0" autoFill="0" autoPict="0">
            <anchor moveWithCells="1">
              <from>
                <xdr:col>2</xdr:col>
                <xdr:colOff>57150</xdr:colOff>
                <xdr:row>33</xdr:row>
                <xdr:rowOff>0</xdr:rowOff>
              </from>
              <to>
                <xdr:col>6</xdr:col>
                <xdr:colOff>285750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8" r:id="rId90" name="Group Box 90">
          <controlPr defaultSize="0" autoFill="0" autoPict="0">
            <anchor moveWithCells="1">
              <from>
                <xdr:col>2</xdr:col>
                <xdr:colOff>38100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9" r:id="rId91" name="Group Box 91">
          <controlPr defaultSize="0" autoFill="0" autoPict="0">
            <anchor moveWithCells="1">
              <from>
                <xdr:col>2</xdr:col>
                <xdr:colOff>57150</xdr:colOff>
                <xdr:row>33</xdr:row>
                <xdr:rowOff>0</xdr:rowOff>
              </from>
              <to>
                <xdr:col>6</xdr:col>
                <xdr:colOff>285750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0" r:id="rId92" name="Group Box 92">
          <controlPr defaultSize="0" autoFill="0" autoPict="0">
            <anchor moveWithCells="1">
              <from>
                <xdr:col>2</xdr:col>
                <xdr:colOff>38100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1" r:id="rId93" name="Group Box 93">
          <controlPr defaultSize="0" autoFill="0" autoPict="0">
            <anchor moveWithCells="1">
              <from>
                <xdr:col>2</xdr:col>
                <xdr:colOff>95250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2" r:id="rId94" name="Group Box 94">
          <controlPr defaultSize="0" autoFill="0" autoPict="0">
            <anchor moveWithCells="1">
              <from>
                <xdr:col>2</xdr:col>
                <xdr:colOff>57150</xdr:colOff>
                <xdr:row>33</xdr:row>
                <xdr:rowOff>0</xdr:rowOff>
              </from>
              <to>
                <xdr:col>6</xdr:col>
                <xdr:colOff>285750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3" r:id="rId95" name="Group Box 95">
          <controlPr defaultSize="0" autoFill="0" autoPict="0">
            <anchor moveWithCells="1">
              <from>
                <xdr:col>2</xdr:col>
                <xdr:colOff>38100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4" r:id="rId96" name="Group Box 96">
          <controlPr defaultSize="0" autoFill="0" autoPict="0">
            <anchor moveWithCells="1">
              <from>
                <xdr:col>2</xdr:col>
                <xdr:colOff>57150</xdr:colOff>
                <xdr:row>34</xdr:row>
                <xdr:rowOff>0</xdr:rowOff>
              </from>
              <to>
                <xdr:col>6</xdr:col>
                <xdr:colOff>285750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5" r:id="rId97" name="Group Box 97">
          <controlPr defaultSize="0" autoFill="0" autoPict="0">
            <anchor moveWithCells="1">
              <from>
                <xdr:col>2</xdr:col>
                <xdr:colOff>38100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6" r:id="rId98" name="Group Box 98">
          <controlPr defaultSize="0" autoFill="0" autoPict="0">
            <anchor moveWithCells="1">
              <from>
                <xdr:col>2</xdr:col>
                <xdr:colOff>57150</xdr:colOff>
                <xdr:row>33</xdr:row>
                <xdr:rowOff>0</xdr:rowOff>
              </from>
              <to>
                <xdr:col>6</xdr:col>
                <xdr:colOff>285750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7" r:id="rId99" name="Group Box 99">
          <controlPr defaultSize="0" autoFill="0" autoPict="0">
            <anchor moveWithCells="1">
              <from>
                <xdr:col>2</xdr:col>
                <xdr:colOff>38100</xdr:colOff>
                <xdr:row>33</xdr:row>
                <xdr:rowOff>0</xdr:rowOff>
              </from>
              <to>
                <xdr:col>6</xdr:col>
                <xdr:colOff>266700</xdr:colOff>
                <xdr:row>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8" r:id="rId100" name="Group Box 100">
          <controlPr defaultSize="0" autoFill="0" autoPict="0">
            <anchor moveWithCells="1">
              <from>
                <xdr:col>2</xdr:col>
                <xdr:colOff>57150</xdr:colOff>
                <xdr:row>34</xdr:row>
                <xdr:rowOff>0</xdr:rowOff>
              </from>
              <to>
                <xdr:col>6</xdr:col>
                <xdr:colOff>285750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9" r:id="rId101" name="Group Box 101">
          <controlPr defaultSize="0" autoFill="0" autoPict="0">
            <anchor moveWithCells="1">
              <from>
                <xdr:col>2</xdr:col>
                <xdr:colOff>38100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0" r:id="rId102" name="Group Box 102">
          <controlPr defaultSize="0" autoFill="0" autoPict="0">
            <anchor moveWithCells="1">
              <from>
                <xdr:col>2</xdr:col>
                <xdr:colOff>57150</xdr:colOff>
                <xdr:row>34</xdr:row>
                <xdr:rowOff>0</xdr:rowOff>
              </from>
              <to>
                <xdr:col>6</xdr:col>
                <xdr:colOff>285750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1" r:id="rId103" name="Group Box 103">
          <controlPr defaultSize="0" autoFill="0" autoPict="0">
            <anchor moveWithCells="1">
              <from>
                <xdr:col>2</xdr:col>
                <xdr:colOff>38100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2" r:id="rId104" name="Group Box 104">
          <controlPr defaultSize="0" autoFill="0" autoPict="0">
            <anchor moveWithCells="1">
              <from>
                <xdr:col>2</xdr:col>
                <xdr:colOff>95250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3" r:id="rId105" name="Group Box 105">
          <controlPr defaultSize="0" autoFill="0" autoPict="0">
            <anchor moveWithCells="1">
              <from>
                <xdr:col>2</xdr:col>
                <xdr:colOff>57150</xdr:colOff>
                <xdr:row>34</xdr:row>
                <xdr:rowOff>0</xdr:rowOff>
              </from>
              <to>
                <xdr:col>6</xdr:col>
                <xdr:colOff>285750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4" r:id="rId106" name="Group Box 106">
          <controlPr defaultSize="0" autoFill="0" autoPict="0">
            <anchor moveWithCells="1">
              <from>
                <xdr:col>2</xdr:col>
                <xdr:colOff>38100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5" r:id="rId107" name="Group Box 107">
          <controlPr defaultSize="0" autoFill="0" autoPict="0">
            <anchor moveWithCells="1">
              <from>
                <xdr:col>2</xdr:col>
                <xdr:colOff>57150</xdr:colOff>
                <xdr:row>35</xdr:row>
                <xdr:rowOff>0</xdr:rowOff>
              </from>
              <to>
                <xdr:col>6</xdr:col>
                <xdr:colOff>285750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6" r:id="rId108" name="Group Box 108">
          <controlPr defaultSize="0" autoFill="0" autoPict="0">
            <anchor moveWithCells="1">
              <from>
                <xdr:col>2</xdr:col>
                <xdr:colOff>38100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7" r:id="rId109" name="Group Box 109">
          <controlPr defaultSize="0" autoFill="0" autoPict="0">
            <anchor moveWithCells="1">
              <from>
                <xdr:col>2</xdr:col>
                <xdr:colOff>57150</xdr:colOff>
                <xdr:row>34</xdr:row>
                <xdr:rowOff>0</xdr:rowOff>
              </from>
              <to>
                <xdr:col>6</xdr:col>
                <xdr:colOff>285750</xdr:colOff>
                <xdr:row>35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8" r:id="rId110" name="Group Box 110">
          <controlPr defaultSize="0" autoFill="0" autoPict="0">
            <anchor moveWithCells="1">
              <from>
                <xdr:col>2</xdr:col>
                <xdr:colOff>38100</xdr:colOff>
                <xdr:row>34</xdr:row>
                <xdr:rowOff>0</xdr:rowOff>
              </from>
              <to>
                <xdr:col>6</xdr:col>
                <xdr:colOff>266700</xdr:colOff>
                <xdr:row>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9" r:id="rId111" name="Group Box 111">
          <controlPr defaultSize="0" autoFill="0" autoPict="0">
            <anchor moveWithCells="1">
              <from>
                <xdr:col>2</xdr:col>
                <xdr:colOff>57150</xdr:colOff>
                <xdr:row>35</xdr:row>
                <xdr:rowOff>0</xdr:rowOff>
              </from>
              <to>
                <xdr:col>6</xdr:col>
                <xdr:colOff>285750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0" r:id="rId112" name="Group Box 112">
          <controlPr defaultSize="0" autoFill="0" autoPict="0">
            <anchor moveWithCells="1">
              <from>
                <xdr:col>2</xdr:col>
                <xdr:colOff>38100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1" r:id="rId113" name="Group Box 113">
          <controlPr defaultSize="0" autoFill="0" autoPict="0">
            <anchor moveWithCells="1">
              <from>
                <xdr:col>2</xdr:col>
                <xdr:colOff>57150</xdr:colOff>
                <xdr:row>35</xdr:row>
                <xdr:rowOff>0</xdr:rowOff>
              </from>
              <to>
                <xdr:col>6</xdr:col>
                <xdr:colOff>285750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2" r:id="rId114" name="Group Box 114">
          <controlPr defaultSize="0" autoFill="0" autoPict="0">
            <anchor moveWithCells="1">
              <from>
                <xdr:col>2</xdr:col>
                <xdr:colOff>38100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3" r:id="rId115" name="Group Box 115">
          <controlPr defaultSize="0" autoFill="0" autoPict="0">
            <anchor moveWithCells="1">
              <from>
                <xdr:col>2</xdr:col>
                <xdr:colOff>95250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4" r:id="rId116" name="Group Box 116">
          <controlPr defaultSize="0" autoFill="0" autoPict="0">
            <anchor moveWithCells="1">
              <from>
                <xdr:col>2</xdr:col>
                <xdr:colOff>57150</xdr:colOff>
                <xdr:row>35</xdr:row>
                <xdr:rowOff>0</xdr:rowOff>
              </from>
              <to>
                <xdr:col>6</xdr:col>
                <xdr:colOff>285750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5" r:id="rId117" name="Group Box 117">
          <controlPr defaultSize="0" autoFill="0" autoPict="0">
            <anchor moveWithCells="1">
              <from>
                <xdr:col>2</xdr:col>
                <xdr:colOff>38100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6" r:id="rId118" name="Group Box 118">
          <controlPr defaultSize="0" autoFill="0" autoPict="0">
            <anchor moveWithCells="1">
              <from>
                <xdr:col>2</xdr:col>
                <xdr:colOff>57150</xdr:colOff>
                <xdr:row>36</xdr:row>
                <xdr:rowOff>0</xdr:rowOff>
              </from>
              <to>
                <xdr:col>6</xdr:col>
                <xdr:colOff>285750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7" r:id="rId119" name="Group Box 119">
          <controlPr defaultSize="0" autoFill="0" autoPict="0">
            <anchor moveWithCells="1">
              <from>
                <xdr:col>2</xdr:col>
                <xdr:colOff>38100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8" r:id="rId120" name="Group Box 120">
          <controlPr defaultSize="0" autoFill="0" autoPict="0">
            <anchor moveWithCells="1">
              <from>
                <xdr:col>2</xdr:col>
                <xdr:colOff>57150</xdr:colOff>
                <xdr:row>35</xdr:row>
                <xdr:rowOff>0</xdr:rowOff>
              </from>
              <to>
                <xdr:col>6</xdr:col>
                <xdr:colOff>285750</xdr:colOff>
                <xdr:row>36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9" r:id="rId121" name="Group Box 121">
          <controlPr defaultSize="0" autoFill="0" autoPict="0">
            <anchor moveWithCells="1">
              <from>
                <xdr:col>2</xdr:col>
                <xdr:colOff>38100</xdr:colOff>
                <xdr:row>35</xdr:row>
                <xdr:rowOff>0</xdr:rowOff>
              </from>
              <to>
                <xdr:col>6</xdr:col>
                <xdr:colOff>266700</xdr:colOff>
                <xdr:row>37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0" r:id="rId122" name="Group Box 122">
          <controlPr defaultSize="0" autoFill="0" autoPict="0">
            <anchor moveWithCells="1">
              <from>
                <xdr:col>2</xdr:col>
                <xdr:colOff>57150</xdr:colOff>
                <xdr:row>36</xdr:row>
                <xdr:rowOff>0</xdr:rowOff>
              </from>
              <to>
                <xdr:col>6</xdr:col>
                <xdr:colOff>285750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1" r:id="rId123" name="Group Box 123">
          <controlPr defaultSize="0" autoFill="0" autoPict="0">
            <anchor moveWithCells="1">
              <from>
                <xdr:col>2</xdr:col>
                <xdr:colOff>38100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2" r:id="rId124" name="Group Box 124">
          <controlPr defaultSize="0" autoFill="0" autoPict="0">
            <anchor moveWithCells="1">
              <from>
                <xdr:col>2</xdr:col>
                <xdr:colOff>57150</xdr:colOff>
                <xdr:row>36</xdr:row>
                <xdr:rowOff>0</xdr:rowOff>
              </from>
              <to>
                <xdr:col>6</xdr:col>
                <xdr:colOff>285750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3" r:id="rId125" name="Group Box 125">
          <controlPr defaultSize="0" autoFill="0" autoPict="0">
            <anchor moveWithCells="1">
              <from>
                <xdr:col>2</xdr:col>
                <xdr:colOff>38100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4" r:id="rId126" name="Group Box 126">
          <controlPr defaultSize="0" autoFill="0" autoPict="0">
            <anchor moveWithCells="1">
              <from>
                <xdr:col>2</xdr:col>
                <xdr:colOff>95250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5" r:id="rId127" name="Group Box 127">
          <controlPr defaultSize="0" autoFill="0" autoPict="0">
            <anchor moveWithCells="1">
              <from>
                <xdr:col>2</xdr:col>
                <xdr:colOff>57150</xdr:colOff>
                <xdr:row>36</xdr:row>
                <xdr:rowOff>0</xdr:rowOff>
              </from>
              <to>
                <xdr:col>6</xdr:col>
                <xdr:colOff>285750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6" r:id="rId128" name="Group Box 128">
          <controlPr defaultSize="0" autoFill="0" autoPict="0">
            <anchor moveWithCells="1">
              <from>
                <xdr:col>2</xdr:col>
                <xdr:colOff>38100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7" r:id="rId129" name="Group Box 129">
          <controlPr defaultSize="0" autoFill="0" autoPict="0">
            <anchor moveWithCells="1">
              <from>
                <xdr:col>2</xdr:col>
                <xdr:colOff>57150</xdr:colOff>
                <xdr:row>37</xdr:row>
                <xdr:rowOff>0</xdr:rowOff>
              </from>
              <to>
                <xdr:col>6</xdr:col>
                <xdr:colOff>285750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8" r:id="rId130" name="Group Box 130">
          <controlPr defaultSize="0" autoFill="0" autoPict="0">
            <anchor moveWithCells="1">
              <from>
                <xdr:col>2</xdr:col>
                <xdr:colOff>38100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19" r:id="rId131" name="Group Box 131">
          <controlPr defaultSize="0" autoFill="0" autoPict="0">
            <anchor moveWithCells="1">
              <from>
                <xdr:col>2</xdr:col>
                <xdr:colOff>57150</xdr:colOff>
                <xdr:row>36</xdr:row>
                <xdr:rowOff>0</xdr:rowOff>
              </from>
              <to>
                <xdr:col>6</xdr:col>
                <xdr:colOff>285750</xdr:colOff>
                <xdr:row>37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0" r:id="rId132" name="Group Box 132">
          <controlPr defaultSize="0" autoFill="0" autoPict="0">
            <anchor moveWithCells="1">
              <from>
                <xdr:col>2</xdr:col>
                <xdr:colOff>38100</xdr:colOff>
                <xdr:row>36</xdr:row>
                <xdr:rowOff>0</xdr:rowOff>
              </from>
              <to>
                <xdr:col>6</xdr:col>
                <xdr:colOff>266700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1" r:id="rId133" name="Group Box 133">
          <controlPr defaultSize="0" autoFill="0" autoPict="0">
            <anchor moveWithCells="1">
              <from>
                <xdr:col>2</xdr:col>
                <xdr:colOff>57150</xdr:colOff>
                <xdr:row>37</xdr:row>
                <xdr:rowOff>0</xdr:rowOff>
              </from>
              <to>
                <xdr:col>6</xdr:col>
                <xdr:colOff>285750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2" r:id="rId134" name="Group Box 134">
          <controlPr defaultSize="0" autoFill="0" autoPict="0">
            <anchor moveWithCells="1">
              <from>
                <xdr:col>2</xdr:col>
                <xdr:colOff>38100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3" r:id="rId135" name="Group Box 135">
          <controlPr defaultSize="0" autoFill="0" autoPict="0">
            <anchor moveWithCells="1">
              <from>
                <xdr:col>2</xdr:col>
                <xdr:colOff>57150</xdr:colOff>
                <xdr:row>37</xdr:row>
                <xdr:rowOff>0</xdr:rowOff>
              </from>
              <to>
                <xdr:col>6</xdr:col>
                <xdr:colOff>285750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4" r:id="rId136" name="Group Box 136">
          <controlPr defaultSize="0" autoFill="0" autoPict="0">
            <anchor moveWithCells="1">
              <from>
                <xdr:col>2</xdr:col>
                <xdr:colOff>38100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5" r:id="rId137" name="Group Box 137">
          <controlPr defaultSize="0" autoFill="0" autoPict="0">
            <anchor moveWithCells="1">
              <from>
                <xdr:col>2</xdr:col>
                <xdr:colOff>95250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6" r:id="rId138" name="Group Box 138">
          <controlPr defaultSize="0" autoFill="0" autoPict="0">
            <anchor moveWithCells="1">
              <from>
                <xdr:col>2</xdr:col>
                <xdr:colOff>57150</xdr:colOff>
                <xdr:row>37</xdr:row>
                <xdr:rowOff>0</xdr:rowOff>
              </from>
              <to>
                <xdr:col>6</xdr:col>
                <xdr:colOff>285750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7" r:id="rId139" name="Group Box 139">
          <controlPr defaultSize="0" autoFill="0" autoPict="0">
            <anchor moveWithCells="1">
              <from>
                <xdr:col>2</xdr:col>
                <xdr:colOff>38100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8" r:id="rId140" name="Group Box 140">
          <controlPr defaultSize="0" autoFill="0" autoPict="0">
            <anchor moveWithCells="1">
              <from>
                <xdr:col>2</xdr:col>
                <xdr:colOff>57150</xdr:colOff>
                <xdr:row>38</xdr:row>
                <xdr:rowOff>0</xdr:rowOff>
              </from>
              <to>
                <xdr:col>6</xdr:col>
                <xdr:colOff>285750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9" r:id="rId141" name="Group Box 141">
          <controlPr defaultSize="0" autoFill="0" autoPict="0">
            <anchor moveWithCells="1">
              <from>
                <xdr:col>2</xdr:col>
                <xdr:colOff>38100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0" r:id="rId142" name="Group Box 142">
          <controlPr defaultSize="0" autoFill="0" autoPict="0">
            <anchor moveWithCells="1">
              <from>
                <xdr:col>2</xdr:col>
                <xdr:colOff>57150</xdr:colOff>
                <xdr:row>37</xdr:row>
                <xdr:rowOff>0</xdr:rowOff>
              </from>
              <to>
                <xdr:col>6</xdr:col>
                <xdr:colOff>285750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1" r:id="rId143" name="Group Box 143">
          <controlPr defaultSize="0" autoFill="0" autoPict="0">
            <anchor moveWithCells="1">
              <from>
                <xdr:col>2</xdr:col>
                <xdr:colOff>38100</xdr:colOff>
                <xdr:row>37</xdr:row>
                <xdr:rowOff>0</xdr:rowOff>
              </from>
              <to>
                <xdr:col>6</xdr:col>
                <xdr:colOff>266700</xdr:colOff>
                <xdr:row>39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2" r:id="rId144" name="Group Box 144">
          <controlPr defaultSize="0" autoFill="0" autoPict="0">
            <anchor moveWithCells="1">
              <from>
                <xdr:col>2</xdr:col>
                <xdr:colOff>57150</xdr:colOff>
                <xdr:row>38</xdr:row>
                <xdr:rowOff>0</xdr:rowOff>
              </from>
              <to>
                <xdr:col>6</xdr:col>
                <xdr:colOff>285750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3" r:id="rId145" name="Group Box 145">
          <controlPr defaultSize="0" autoFill="0" autoPict="0">
            <anchor moveWithCells="1">
              <from>
                <xdr:col>2</xdr:col>
                <xdr:colOff>38100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4" r:id="rId146" name="Group Box 146">
          <controlPr defaultSize="0" autoFill="0" autoPict="0">
            <anchor moveWithCells="1">
              <from>
                <xdr:col>2</xdr:col>
                <xdr:colOff>57150</xdr:colOff>
                <xdr:row>38</xdr:row>
                <xdr:rowOff>0</xdr:rowOff>
              </from>
              <to>
                <xdr:col>6</xdr:col>
                <xdr:colOff>285750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5" r:id="rId147" name="Group Box 147">
          <controlPr defaultSize="0" autoFill="0" autoPict="0">
            <anchor moveWithCells="1">
              <from>
                <xdr:col>2</xdr:col>
                <xdr:colOff>38100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6" r:id="rId148" name="Group Box 148">
          <controlPr defaultSize="0" autoFill="0" autoPict="0">
            <anchor moveWithCells="1">
              <from>
                <xdr:col>2</xdr:col>
                <xdr:colOff>95250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7" r:id="rId149" name="Group Box 149">
          <controlPr defaultSize="0" autoFill="0" autoPict="0">
            <anchor moveWithCells="1">
              <from>
                <xdr:col>2</xdr:col>
                <xdr:colOff>57150</xdr:colOff>
                <xdr:row>38</xdr:row>
                <xdr:rowOff>0</xdr:rowOff>
              </from>
              <to>
                <xdr:col>6</xdr:col>
                <xdr:colOff>285750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8" r:id="rId150" name="Group Box 150">
          <controlPr defaultSize="0" autoFill="0" autoPict="0">
            <anchor moveWithCells="1">
              <from>
                <xdr:col>2</xdr:col>
                <xdr:colOff>38100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9" r:id="rId151" name="Group Box 151">
          <controlPr defaultSize="0" autoFill="0" autoPict="0">
            <anchor moveWithCells="1">
              <from>
                <xdr:col>2</xdr:col>
                <xdr:colOff>57150</xdr:colOff>
                <xdr:row>39</xdr:row>
                <xdr:rowOff>0</xdr:rowOff>
              </from>
              <to>
                <xdr:col>6</xdr:col>
                <xdr:colOff>285750</xdr:colOff>
                <xdr:row>40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0" r:id="rId152" name="Group Box 152">
          <controlPr defaultSize="0" autoFill="0" autoPict="0">
            <anchor moveWithCells="1">
              <from>
                <xdr:col>2</xdr:col>
                <xdr:colOff>38100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1" r:id="rId153" name="Group Box 153">
          <controlPr defaultSize="0" autoFill="0" autoPict="0">
            <anchor moveWithCells="1">
              <from>
                <xdr:col>2</xdr:col>
                <xdr:colOff>57150</xdr:colOff>
                <xdr:row>38</xdr:row>
                <xdr:rowOff>0</xdr:rowOff>
              </from>
              <to>
                <xdr:col>6</xdr:col>
                <xdr:colOff>285750</xdr:colOff>
                <xdr:row>39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2" r:id="rId154" name="Group Box 154">
          <controlPr defaultSize="0" autoFill="0" autoPict="0">
            <anchor moveWithCells="1">
              <from>
                <xdr:col>2</xdr:col>
                <xdr:colOff>38100</xdr:colOff>
                <xdr:row>38</xdr:row>
                <xdr:rowOff>0</xdr:rowOff>
              </from>
              <to>
                <xdr:col>6</xdr:col>
                <xdr:colOff>266700</xdr:colOff>
                <xdr:row>40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3" r:id="rId155" name="Group Box 155">
          <controlPr defaultSize="0" autoFill="0" autoPict="0">
            <anchor moveWithCells="1">
              <from>
                <xdr:col>2</xdr:col>
                <xdr:colOff>57150</xdr:colOff>
                <xdr:row>39</xdr:row>
                <xdr:rowOff>0</xdr:rowOff>
              </from>
              <to>
                <xdr:col>6</xdr:col>
                <xdr:colOff>285750</xdr:colOff>
                <xdr:row>40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4" r:id="rId156" name="Group Box 156">
          <controlPr defaultSize="0" autoFill="0" autoPict="0">
            <anchor moveWithCells="1">
              <from>
                <xdr:col>2</xdr:col>
                <xdr:colOff>38100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5" r:id="rId157" name="Group Box 157">
          <controlPr defaultSize="0" autoFill="0" autoPict="0">
            <anchor moveWithCells="1">
              <from>
                <xdr:col>2</xdr:col>
                <xdr:colOff>57150</xdr:colOff>
                <xdr:row>39</xdr:row>
                <xdr:rowOff>0</xdr:rowOff>
              </from>
              <to>
                <xdr:col>6</xdr:col>
                <xdr:colOff>285750</xdr:colOff>
                <xdr:row>40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6" r:id="rId158" name="Group Box 158">
          <controlPr defaultSize="0" autoFill="0" autoPict="0">
            <anchor moveWithCells="1">
              <from>
                <xdr:col>2</xdr:col>
                <xdr:colOff>38100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7" r:id="rId159" name="Group Box 159">
          <controlPr defaultSize="0" autoFill="0" autoPict="0">
            <anchor moveWithCells="1">
              <from>
                <xdr:col>2</xdr:col>
                <xdr:colOff>95250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8" r:id="rId160" name="Group Box 160">
          <controlPr defaultSize="0" autoFill="0" autoPict="0">
            <anchor moveWithCells="1">
              <from>
                <xdr:col>2</xdr:col>
                <xdr:colOff>57150</xdr:colOff>
                <xdr:row>39</xdr:row>
                <xdr:rowOff>0</xdr:rowOff>
              </from>
              <to>
                <xdr:col>6</xdr:col>
                <xdr:colOff>285750</xdr:colOff>
                <xdr:row>40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9" r:id="rId161" name="Group Box 161">
          <controlPr defaultSize="0" autoFill="0" autoPict="0">
            <anchor moveWithCells="1">
              <from>
                <xdr:col>2</xdr:col>
                <xdr:colOff>38100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0" r:id="rId162" name="Group Box 162">
          <controlPr defaultSize="0" autoFill="0" autoPict="0">
            <anchor moveWithCells="1">
              <from>
                <xdr:col>2</xdr:col>
                <xdr:colOff>57150</xdr:colOff>
                <xdr:row>40</xdr:row>
                <xdr:rowOff>0</xdr:rowOff>
              </from>
              <to>
                <xdr:col>6</xdr:col>
                <xdr:colOff>285750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1" r:id="rId163" name="Group Box 163">
          <controlPr defaultSize="0" autoFill="0" autoPict="0">
            <anchor moveWithCells="1">
              <from>
                <xdr:col>2</xdr:col>
                <xdr:colOff>38100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2" r:id="rId164" name="Group Box 164">
          <controlPr defaultSize="0" autoFill="0" autoPict="0">
            <anchor moveWithCells="1">
              <from>
                <xdr:col>2</xdr:col>
                <xdr:colOff>57150</xdr:colOff>
                <xdr:row>39</xdr:row>
                <xdr:rowOff>0</xdr:rowOff>
              </from>
              <to>
                <xdr:col>6</xdr:col>
                <xdr:colOff>285750</xdr:colOff>
                <xdr:row>40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3" r:id="rId165" name="Group Box 165">
          <controlPr defaultSize="0" autoFill="0" autoPict="0">
            <anchor moveWithCells="1">
              <from>
                <xdr:col>2</xdr:col>
                <xdr:colOff>38100</xdr:colOff>
                <xdr:row>39</xdr:row>
                <xdr:rowOff>0</xdr:rowOff>
              </from>
              <to>
                <xdr:col>6</xdr:col>
                <xdr:colOff>266700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4" r:id="rId166" name="Group Box 166">
          <controlPr defaultSize="0" autoFill="0" autoPict="0">
            <anchor moveWithCells="1">
              <from>
                <xdr:col>2</xdr:col>
                <xdr:colOff>57150</xdr:colOff>
                <xdr:row>40</xdr:row>
                <xdr:rowOff>0</xdr:rowOff>
              </from>
              <to>
                <xdr:col>6</xdr:col>
                <xdr:colOff>285750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5" r:id="rId167" name="Group Box 167">
          <controlPr defaultSize="0" autoFill="0" autoPict="0">
            <anchor moveWithCells="1">
              <from>
                <xdr:col>2</xdr:col>
                <xdr:colOff>38100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6" r:id="rId168" name="Group Box 168">
          <controlPr defaultSize="0" autoFill="0" autoPict="0">
            <anchor moveWithCells="1">
              <from>
                <xdr:col>2</xdr:col>
                <xdr:colOff>57150</xdr:colOff>
                <xdr:row>40</xdr:row>
                <xdr:rowOff>0</xdr:rowOff>
              </from>
              <to>
                <xdr:col>6</xdr:col>
                <xdr:colOff>285750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7" r:id="rId169" name="Group Box 169">
          <controlPr defaultSize="0" autoFill="0" autoPict="0">
            <anchor moveWithCells="1">
              <from>
                <xdr:col>2</xdr:col>
                <xdr:colOff>38100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8" r:id="rId170" name="Group Box 170">
          <controlPr defaultSize="0" autoFill="0" autoPict="0">
            <anchor moveWithCells="1">
              <from>
                <xdr:col>2</xdr:col>
                <xdr:colOff>95250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9" r:id="rId171" name="Group Box 171">
          <controlPr defaultSize="0" autoFill="0" autoPict="0">
            <anchor moveWithCells="1">
              <from>
                <xdr:col>2</xdr:col>
                <xdr:colOff>57150</xdr:colOff>
                <xdr:row>40</xdr:row>
                <xdr:rowOff>0</xdr:rowOff>
              </from>
              <to>
                <xdr:col>6</xdr:col>
                <xdr:colOff>285750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0" r:id="rId172" name="Group Box 172">
          <controlPr defaultSize="0" autoFill="0" autoPict="0">
            <anchor moveWithCells="1">
              <from>
                <xdr:col>2</xdr:col>
                <xdr:colOff>38100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1" r:id="rId173" name="Group Box 173">
          <controlPr defaultSize="0" autoFill="0" autoPict="0">
            <anchor moveWithCells="1">
              <from>
                <xdr:col>2</xdr:col>
                <xdr:colOff>57150</xdr:colOff>
                <xdr:row>41</xdr:row>
                <xdr:rowOff>0</xdr:rowOff>
              </from>
              <to>
                <xdr:col>6</xdr:col>
                <xdr:colOff>285750</xdr:colOff>
                <xdr:row>42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2" r:id="rId174" name="Group Box 174">
          <controlPr defaultSize="0" autoFill="0" autoPict="0">
            <anchor moveWithCells="1">
              <from>
                <xdr:col>2</xdr:col>
                <xdr:colOff>38100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3" r:id="rId175" name="Group Box 175">
          <controlPr defaultSize="0" autoFill="0" autoPict="0">
            <anchor moveWithCells="1">
              <from>
                <xdr:col>2</xdr:col>
                <xdr:colOff>57150</xdr:colOff>
                <xdr:row>40</xdr:row>
                <xdr:rowOff>0</xdr:rowOff>
              </from>
              <to>
                <xdr:col>6</xdr:col>
                <xdr:colOff>285750</xdr:colOff>
                <xdr:row>41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4" r:id="rId176" name="Group Box 176">
          <controlPr defaultSize="0" autoFill="0" autoPict="0">
            <anchor moveWithCells="1">
              <from>
                <xdr:col>2</xdr:col>
                <xdr:colOff>38100</xdr:colOff>
                <xdr:row>40</xdr:row>
                <xdr:rowOff>0</xdr:rowOff>
              </from>
              <to>
                <xdr:col>6</xdr:col>
                <xdr:colOff>266700</xdr:colOff>
                <xdr:row>42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5" r:id="rId177" name="Group Box 177">
          <controlPr defaultSize="0" autoFill="0" autoPict="0">
            <anchor moveWithCells="1">
              <from>
                <xdr:col>2</xdr:col>
                <xdr:colOff>57150</xdr:colOff>
                <xdr:row>41</xdr:row>
                <xdr:rowOff>0</xdr:rowOff>
              </from>
              <to>
                <xdr:col>6</xdr:col>
                <xdr:colOff>285750</xdr:colOff>
                <xdr:row>42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6" r:id="rId178" name="Group Box 178">
          <controlPr defaultSize="0" autoFill="0" autoPict="0">
            <anchor moveWithCells="1">
              <from>
                <xdr:col>2</xdr:col>
                <xdr:colOff>38100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7" r:id="rId179" name="Group Box 179">
          <controlPr defaultSize="0" autoFill="0" autoPict="0">
            <anchor moveWithCells="1">
              <from>
                <xdr:col>2</xdr:col>
                <xdr:colOff>57150</xdr:colOff>
                <xdr:row>41</xdr:row>
                <xdr:rowOff>0</xdr:rowOff>
              </from>
              <to>
                <xdr:col>6</xdr:col>
                <xdr:colOff>285750</xdr:colOff>
                <xdr:row>42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8" r:id="rId180" name="Group Box 180">
          <controlPr defaultSize="0" autoFill="0" autoPict="0">
            <anchor moveWithCells="1">
              <from>
                <xdr:col>2</xdr:col>
                <xdr:colOff>38100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9" r:id="rId181" name="Group Box 181">
          <controlPr defaultSize="0" autoFill="0" autoPict="0">
            <anchor moveWithCells="1">
              <from>
                <xdr:col>2</xdr:col>
                <xdr:colOff>95250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0" r:id="rId182" name="Group Box 182">
          <controlPr defaultSize="0" autoFill="0" autoPict="0">
            <anchor moveWithCells="1">
              <from>
                <xdr:col>2</xdr:col>
                <xdr:colOff>57150</xdr:colOff>
                <xdr:row>41</xdr:row>
                <xdr:rowOff>0</xdr:rowOff>
              </from>
              <to>
                <xdr:col>6</xdr:col>
                <xdr:colOff>285750</xdr:colOff>
                <xdr:row>42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1" r:id="rId183" name="Group Box 183">
          <controlPr defaultSize="0" autoFill="0" autoPict="0">
            <anchor moveWithCells="1">
              <from>
                <xdr:col>2</xdr:col>
                <xdr:colOff>38100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2" r:id="rId184" name="Group Box 184">
          <controlPr defaultSize="0" autoFill="0" autoPict="0">
            <anchor moveWithCells="1">
              <from>
                <xdr:col>2</xdr:col>
                <xdr:colOff>57150</xdr:colOff>
                <xdr:row>42</xdr:row>
                <xdr:rowOff>0</xdr:rowOff>
              </from>
              <to>
                <xdr:col>6</xdr:col>
                <xdr:colOff>285750</xdr:colOff>
                <xdr:row>43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3" r:id="rId185" name="Group Box 185">
          <controlPr defaultSize="0" autoFill="0" autoPict="0">
            <anchor moveWithCells="1">
              <from>
                <xdr:col>2</xdr:col>
                <xdr:colOff>38100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4" r:id="rId186" name="Group Box 186">
          <controlPr defaultSize="0" autoFill="0" autoPict="0">
            <anchor moveWithCells="1">
              <from>
                <xdr:col>2</xdr:col>
                <xdr:colOff>57150</xdr:colOff>
                <xdr:row>41</xdr:row>
                <xdr:rowOff>0</xdr:rowOff>
              </from>
              <to>
                <xdr:col>6</xdr:col>
                <xdr:colOff>285750</xdr:colOff>
                <xdr:row>42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5" r:id="rId187" name="Group Box 187">
          <controlPr defaultSize="0" autoFill="0" autoPict="0">
            <anchor moveWithCells="1">
              <from>
                <xdr:col>2</xdr:col>
                <xdr:colOff>38100</xdr:colOff>
                <xdr:row>41</xdr:row>
                <xdr:rowOff>0</xdr:rowOff>
              </from>
              <to>
                <xdr:col>6</xdr:col>
                <xdr:colOff>266700</xdr:colOff>
                <xdr:row>43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6" r:id="rId188" name="Group Box 188">
          <controlPr defaultSize="0" autoFill="0" autoPict="0">
            <anchor moveWithCells="1">
              <from>
                <xdr:col>2</xdr:col>
                <xdr:colOff>57150</xdr:colOff>
                <xdr:row>42</xdr:row>
                <xdr:rowOff>0</xdr:rowOff>
              </from>
              <to>
                <xdr:col>6</xdr:col>
                <xdr:colOff>285750</xdr:colOff>
                <xdr:row>43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7" r:id="rId189" name="Group Box 189">
          <controlPr defaultSize="0" autoFill="0" autoPict="0">
            <anchor moveWithCells="1">
              <from>
                <xdr:col>2</xdr:col>
                <xdr:colOff>38100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8" r:id="rId190" name="Group Box 190">
          <controlPr defaultSize="0" autoFill="0" autoPict="0">
            <anchor moveWithCells="1">
              <from>
                <xdr:col>2</xdr:col>
                <xdr:colOff>57150</xdr:colOff>
                <xdr:row>42</xdr:row>
                <xdr:rowOff>0</xdr:rowOff>
              </from>
              <to>
                <xdr:col>6</xdr:col>
                <xdr:colOff>285750</xdr:colOff>
                <xdr:row>43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9" r:id="rId191" name="Group Box 191">
          <controlPr defaultSize="0" autoFill="0" autoPict="0">
            <anchor moveWithCells="1">
              <from>
                <xdr:col>2</xdr:col>
                <xdr:colOff>38100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0" r:id="rId192" name="Group Box 192">
          <controlPr defaultSize="0" autoFill="0" autoPict="0">
            <anchor moveWithCells="1">
              <from>
                <xdr:col>2</xdr:col>
                <xdr:colOff>95250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1" r:id="rId193" name="Group Box 193">
          <controlPr defaultSize="0" autoFill="0" autoPict="0">
            <anchor moveWithCells="1">
              <from>
                <xdr:col>2</xdr:col>
                <xdr:colOff>57150</xdr:colOff>
                <xdr:row>42</xdr:row>
                <xdr:rowOff>0</xdr:rowOff>
              </from>
              <to>
                <xdr:col>6</xdr:col>
                <xdr:colOff>285750</xdr:colOff>
                <xdr:row>43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2" r:id="rId194" name="Group Box 194">
          <controlPr defaultSize="0" autoFill="0" autoPict="0">
            <anchor moveWithCells="1">
              <from>
                <xdr:col>2</xdr:col>
                <xdr:colOff>38100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3" r:id="rId195" name="Group Box 195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4" r:id="rId196" name="Group Box 196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5" r:id="rId197" name="Group Box 197">
          <controlPr defaultSize="0" autoFill="0" autoPict="0">
            <anchor moveWithCells="1">
              <from>
                <xdr:col>2</xdr:col>
                <xdr:colOff>57150</xdr:colOff>
                <xdr:row>42</xdr:row>
                <xdr:rowOff>0</xdr:rowOff>
              </from>
              <to>
                <xdr:col>6</xdr:col>
                <xdr:colOff>285750</xdr:colOff>
                <xdr:row>43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6" r:id="rId198" name="Group Box 198">
          <controlPr defaultSize="0" autoFill="0" autoPict="0">
            <anchor moveWithCells="1">
              <from>
                <xdr:col>2</xdr:col>
                <xdr:colOff>38100</xdr:colOff>
                <xdr:row>42</xdr:row>
                <xdr:rowOff>0</xdr:rowOff>
              </from>
              <to>
                <xdr:col>6</xdr:col>
                <xdr:colOff>266700</xdr:colOff>
                <xdr:row>44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7" r:id="rId199" name="Group Box 199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8" r:id="rId200" name="Group Box 200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9" r:id="rId201" name="Group Box 201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0" r:id="rId202" name="Group Box 202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1" r:id="rId203" name="Group Box 203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2" r:id="rId204" name="Group Box 204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3" r:id="rId205" name="Group Box 205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4" r:id="rId206" name="Group Box 206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5" r:id="rId207" name="Group Box 207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6" r:id="rId208" name="Group Box 208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7" r:id="rId209" name="Group Box 209">
          <controlPr defaultSize="0" autoFill="0" autoPict="0">
            <anchor moveWithCells="1">
              <from>
                <xdr:col>2</xdr:col>
                <xdr:colOff>95250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8" r:id="rId210" name="Group Box 210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9" r:id="rId211" name="Group Box 211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0" r:id="rId212" name="Group Box 212">
          <controlPr defaultSize="0" autoFill="0" autoPict="0">
            <anchor moveWithCells="1">
              <from>
                <xdr:col>2</xdr:col>
                <xdr:colOff>57150</xdr:colOff>
                <xdr:row>44</xdr:row>
                <xdr:rowOff>0</xdr:rowOff>
              </from>
              <to>
                <xdr:col>6</xdr:col>
                <xdr:colOff>285750</xdr:colOff>
                <xdr:row>45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1" r:id="rId213" name="Group Box 213">
          <controlPr defaultSize="0" autoFill="0" autoPict="0">
            <anchor moveWithCells="1">
              <from>
                <xdr:col>2</xdr:col>
                <xdr:colOff>38100</xdr:colOff>
                <xdr:row>44</xdr:row>
                <xdr:rowOff>0</xdr:rowOff>
              </from>
              <to>
                <xdr:col>6</xdr:col>
                <xdr:colOff>266700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2" r:id="rId214" name="Group Box 214">
          <controlPr defaultSize="0" autoFill="0" autoPict="0">
            <anchor moveWithCells="1">
              <from>
                <xdr:col>2</xdr:col>
                <xdr:colOff>57150</xdr:colOff>
                <xdr:row>43</xdr:row>
                <xdr:rowOff>0</xdr:rowOff>
              </from>
              <to>
                <xdr:col>6</xdr:col>
                <xdr:colOff>285750</xdr:colOff>
                <xdr:row>44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3" r:id="rId215" name="Group Box 215">
          <controlPr defaultSize="0" autoFill="0" autoPict="0">
            <anchor moveWithCells="1">
              <from>
                <xdr:col>2</xdr:col>
                <xdr:colOff>38100</xdr:colOff>
                <xdr:row>43</xdr:row>
                <xdr:rowOff>0</xdr:rowOff>
              </from>
              <to>
                <xdr:col>6</xdr:col>
                <xdr:colOff>266700</xdr:colOff>
                <xdr:row>45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4" r:id="rId216" name="Group Box 216">
          <controlPr defaultSize="0" autoFill="0" autoPict="0">
            <anchor moveWithCells="1">
              <from>
                <xdr:col>2</xdr:col>
                <xdr:colOff>57150</xdr:colOff>
                <xdr:row>44</xdr:row>
                <xdr:rowOff>0</xdr:rowOff>
              </from>
              <to>
                <xdr:col>6</xdr:col>
                <xdr:colOff>285750</xdr:colOff>
                <xdr:row>45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5" r:id="rId217" name="Group Box 217">
          <controlPr defaultSize="0" autoFill="0" autoPict="0">
            <anchor moveWithCells="1">
              <from>
                <xdr:col>2</xdr:col>
                <xdr:colOff>38100</xdr:colOff>
                <xdr:row>44</xdr:row>
                <xdr:rowOff>0</xdr:rowOff>
              </from>
              <to>
                <xdr:col>6</xdr:col>
                <xdr:colOff>266700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6" r:id="rId218" name="Group Box 218">
          <controlPr defaultSize="0" autoFill="0" autoPict="0">
            <anchor moveWithCells="1">
              <from>
                <xdr:col>2</xdr:col>
                <xdr:colOff>57150</xdr:colOff>
                <xdr:row>44</xdr:row>
                <xdr:rowOff>0</xdr:rowOff>
              </from>
              <to>
                <xdr:col>6</xdr:col>
                <xdr:colOff>285750</xdr:colOff>
                <xdr:row>45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7" r:id="rId219" name="Group Box 219">
          <controlPr defaultSize="0" autoFill="0" autoPict="0">
            <anchor moveWithCells="1">
              <from>
                <xdr:col>2</xdr:col>
                <xdr:colOff>38100</xdr:colOff>
                <xdr:row>44</xdr:row>
                <xdr:rowOff>0</xdr:rowOff>
              </from>
              <to>
                <xdr:col>6</xdr:col>
                <xdr:colOff>266700</xdr:colOff>
                <xdr:row>46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8" r:id="rId220" name="Group Box 220">
          <controlPr defaultSize="0" autoFill="0" autoPict="0">
            <anchor moveWithCells="1">
              <from>
                <xdr:col>2</xdr:col>
                <xdr:colOff>57150</xdr:colOff>
                <xdr:row>45</xdr:row>
                <xdr:rowOff>0</xdr:rowOff>
              </from>
              <to>
                <xdr:col>6</xdr:col>
                <xdr:colOff>285750</xdr:colOff>
                <xdr:row>46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09" r:id="rId221" name="Group Box 221">
          <controlPr defaultSize="0" autoFill="0" autoPict="0">
            <anchor moveWithCells="1">
              <from>
                <xdr:col>2</xdr:col>
                <xdr:colOff>38100</xdr:colOff>
                <xdr:row>45</xdr:row>
                <xdr:rowOff>0</xdr:rowOff>
              </from>
              <to>
                <xdr:col>6</xdr:col>
                <xdr:colOff>266700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0" r:id="rId222" name="Group Box 222">
          <controlPr defaultSize="0" autoFill="0" autoPict="0">
            <anchor moveWithCells="1">
              <from>
                <xdr:col>2</xdr:col>
                <xdr:colOff>57150</xdr:colOff>
                <xdr:row>45</xdr:row>
                <xdr:rowOff>0</xdr:rowOff>
              </from>
              <to>
                <xdr:col>6</xdr:col>
                <xdr:colOff>285750</xdr:colOff>
                <xdr:row>46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1" r:id="rId223" name="Group Box 223">
          <controlPr defaultSize="0" autoFill="0" autoPict="0">
            <anchor moveWithCells="1">
              <from>
                <xdr:col>2</xdr:col>
                <xdr:colOff>38100</xdr:colOff>
                <xdr:row>45</xdr:row>
                <xdr:rowOff>0</xdr:rowOff>
              </from>
              <to>
                <xdr:col>6</xdr:col>
                <xdr:colOff>266700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2" r:id="rId224" name="Group Box 224">
          <controlPr defaultSize="0" autoFill="0" autoPict="0">
            <anchor moveWithCells="1">
              <from>
                <xdr:col>2</xdr:col>
                <xdr:colOff>57150</xdr:colOff>
                <xdr:row>45</xdr:row>
                <xdr:rowOff>0</xdr:rowOff>
              </from>
              <to>
                <xdr:col>6</xdr:col>
                <xdr:colOff>285750</xdr:colOff>
                <xdr:row>46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3" r:id="rId225" name="Group Box 225">
          <controlPr defaultSize="0" autoFill="0" autoPict="0">
            <anchor moveWithCells="1">
              <from>
                <xdr:col>2</xdr:col>
                <xdr:colOff>38100</xdr:colOff>
                <xdr:row>45</xdr:row>
                <xdr:rowOff>0</xdr:rowOff>
              </from>
              <to>
                <xdr:col>6</xdr:col>
                <xdr:colOff>266700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4" r:id="rId226" name="Group Box 226">
          <controlPr defaultSize="0" autoFill="0" autoPict="0">
            <anchor moveWithCells="1">
              <from>
                <xdr:col>2</xdr:col>
                <xdr:colOff>57150</xdr:colOff>
                <xdr:row>46</xdr:row>
                <xdr:rowOff>0</xdr:rowOff>
              </from>
              <to>
                <xdr:col>6</xdr:col>
                <xdr:colOff>285750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5" r:id="rId227" name="Group Box 227">
          <controlPr defaultSize="0" autoFill="0" autoPict="0">
            <anchor moveWithCells="1">
              <from>
                <xdr:col>2</xdr:col>
                <xdr:colOff>38100</xdr:colOff>
                <xdr:row>46</xdr:row>
                <xdr:rowOff>0</xdr:rowOff>
              </from>
              <to>
                <xdr:col>6</xdr:col>
                <xdr:colOff>266700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6" r:id="rId228" name="Group Box 228">
          <controlPr defaultSize="0" autoFill="0" autoPict="0">
            <anchor moveWithCells="1">
              <from>
                <xdr:col>2</xdr:col>
                <xdr:colOff>57150</xdr:colOff>
                <xdr:row>46</xdr:row>
                <xdr:rowOff>0</xdr:rowOff>
              </from>
              <to>
                <xdr:col>6</xdr:col>
                <xdr:colOff>285750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7" r:id="rId229" name="Group Box 229">
          <controlPr defaultSize="0" autoFill="0" autoPict="0">
            <anchor moveWithCells="1">
              <from>
                <xdr:col>2</xdr:col>
                <xdr:colOff>38100</xdr:colOff>
                <xdr:row>46</xdr:row>
                <xdr:rowOff>0</xdr:rowOff>
              </from>
              <to>
                <xdr:col>6</xdr:col>
                <xdr:colOff>266700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8" r:id="rId230" name="Group Box 230">
          <controlPr defaultSize="0" autoFill="0" autoPict="0">
            <anchor moveWithCells="1">
              <from>
                <xdr:col>2</xdr:col>
                <xdr:colOff>57150</xdr:colOff>
                <xdr:row>46</xdr:row>
                <xdr:rowOff>0</xdr:rowOff>
              </from>
              <to>
                <xdr:col>6</xdr:col>
                <xdr:colOff>285750</xdr:colOff>
                <xdr:row>47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9" r:id="rId231" name="Group Box 231">
          <controlPr defaultSize="0" autoFill="0" autoPict="0">
            <anchor moveWithCells="1">
              <from>
                <xdr:col>2</xdr:col>
                <xdr:colOff>38100</xdr:colOff>
                <xdr:row>46</xdr:row>
                <xdr:rowOff>0</xdr:rowOff>
              </from>
              <to>
                <xdr:col>6</xdr:col>
                <xdr:colOff>266700</xdr:colOff>
                <xdr:row>48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0" r:id="rId232" name="Group Box 232">
          <controlPr defaultSize="0" autoFill="0" autoPict="0">
            <anchor moveWithCells="1">
              <from>
                <xdr:col>2</xdr:col>
                <xdr:colOff>57150</xdr:colOff>
                <xdr:row>47</xdr:row>
                <xdr:rowOff>0</xdr:rowOff>
              </from>
              <to>
                <xdr:col>6</xdr:col>
                <xdr:colOff>285750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1" r:id="rId233" name="Group Box 233">
          <controlPr defaultSize="0" autoFill="0" autoPict="0">
            <anchor moveWithCells="1">
              <from>
                <xdr:col>2</xdr:col>
                <xdr:colOff>38100</xdr:colOff>
                <xdr:row>47</xdr:row>
                <xdr:rowOff>0</xdr:rowOff>
              </from>
              <to>
                <xdr:col>6</xdr:col>
                <xdr:colOff>266700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2" r:id="rId234" name="Group Box 234">
          <controlPr defaultSize="0" autoFill="0" autoPict="0">
            <anchor moveWithCells="1">
              <from>
                <xdr:col>2</xdr:col>
                <xdr:colOff>57150</xdr:colOff>
                <xdr:row>47</xdr:row>
                <xdr:rowOff>0</xdr:rowOff>
              </from>
              <to>
                <xdr:col>6</xdr:col>
                <xdr:colOff>285750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3" r:id="rId235" name="Group Box 235">
          <controlPr defaultSize="0" autoFill="0" autoPict="0">
            <anchor moveWithCells="1">
              <from>
                <xdr:col>2</xdr:col>
                <xdr:colOff>38100</xdr:colOff>
                <xdr:row>47</xdr:row>
                <xdr:rowOff>0</xdr:rowOff>
              </from>
              <to>
                <xdr:col>6</xdr:col>
                <xdr:colOff>266700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4" r:id="rId236" name="Group Box 236">
          <controlPr defaultSize="0" autoFill="0" autoPict="0">
            <anchor moveWithCells="1">
              <from>
                <xdr:col>2</xdr:col>
                <xdr:colOff>57150</xdr:colOff>
                <xdr:row>47</xdr:row>
                <xdr:rowOff>0</xdr:rowOff>
              </from>
              <to>
                <xdr:col>6</xdr:col>
                <xdr:colOff>285750</xdr:colOff>
                <xdr:row>48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5" r:id="rId237" name="Group Box 237">
          <controlPr defaultSize="0" autoFill="0" autoPict="0">
            <anchor moveWithCells="1">
              <from>
                <xdr:col>2</xdr:col>
                <xdr:colOff>38100</xdr:colOff>
                <xdr:row>47</xdr:row>
                <xdr:rowOff>0</xdr:rowOff>
              </from>
              <to>
                <xdr:col>6</xdr:col>
                <xdr:colOff>266700</xdr:colOff>
                <xdr:row>49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6" r:id="rId238" name="Group Box 238">
          <controlPr defaultSize="0" autoFill="0" autoPict="0">
            <anchor moveWithCells="1">
              <from>
                <xdr:col>2</xdr:col>
                <xdr:colOff>57150</xdr:colOff>
                <xdr:row>48</xdr:row>
                <xdr:rowOff>0</xdr:rowOff>
              </from>
              <to>
                <xdr:col>6</xdr:col>
                <xdr:colOff>285750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7" r:id="rId239" name="Group Box 239">
          <controlPr defaultSize="0" autoFill="0" autoPict="0">
            <anchor moveWithCells="1">
              <from>
                <xdr:col>2</xdr:col>
                <xdr:colOff>38100</xdr:colOff>
                <xdr:row>48</xdr:row>
                <xdr:rowOff>0</xdr:rowOff>
              </from>
              <to>
                <xdr:col>6</xdr:col>
                <xdr:colOff>266700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8" r:id="rId240" name="Group Box 240">
          <controlPr defaultSize="0" autoFill="0" autoPict="0">
            <anchor moveWithCells="1">
              <from>
                <xdr:col>2</xdr:col>
                <xdr:colOff>57150</xdr:colOff>
                <xdr:row>48</xdr:row>
                <xdr:rowOff>0</xdr:rowOff>
              </from>
              <to>
                <xdr:col>6</xdr:col>
                <xdr:colOff>285750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9" r:id="rId241" name="Group Box 241">
          <controlPr defaultSize="0" autoFill="0" autoPict="0">
            <anchor moveWithCells="1">
              <from>
                <xdr:col>2</xdr:col>
                <xdr:colOff>38100</xdr:colOff>
                <xdr:row>48</xdr:row>
                <xdr:rowOff>0</xdr:rowOff>
              </from>
              <to>
                <xdr:col>6</xdr:col>
                <xdr:colOff>266700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0" r:id="rId242" name="Group Box 242">
          <controlPr defaultSize="0" autoFill="0" autoPict="0">
            <anchor moveWithCells="1">
              <from>
                <xdr:col>2</xdr:col>
                <xdr:colOff>57150</xdr:colOff>
                <xdr:row>48</xdr:row>
                <xdr:rowOff>0</xdr:rowOff>
              </from>
              <to>
                <xdr:col>6</xdr:col>
                <xdr:colOff>285750</xdr:colOff>
                <xdr:row>49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1" r:id="rId243" name="Group Box 243">
          <controlPr defaultSize="0" autoFill="0" autoPict="0">
            <anchor moveWithCells="1">
              <from>
                <xdr:col>2</xdr:col>
                <xdr:colOff>38100</xdr:colOff>
                <xdr:row>48</xdr:row>
                <xdr:rowOff>0</xdr:rowOff>
              </from>
              <to>
                <xdr:col>6</xdr:col>
                <xdr:colOff>266700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2" r:id="rId244" name="Group Box 244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3" r:id="rId245" name="Group Box 245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4" r:id="rId246" name="Group Box 246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5" r:id="rId247" name="Group Box 247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6" r:id="rId248" name="Group Box 248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7" r:id="rId249" name="Group Box 249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8" r:id="rId250" name="Group Box 250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9" r:id="rId251" name="Group Box 251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0" r:id="rId252" name="Group Box 252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1" r:id="rId253" name="Group Box 253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2" r:id="rId254" name="Group Box 254">
          <controlPr defaultSize="0" autoFill="0" autoPict="0">
            <anchor moveWithCells="1">
              <from>
                <xdr:col>2</xdr:col>
                <xdr:colOff>57150</xdr:colOff>
                <xdr:row>49</xdr:row>
                <xdr:rowOff>0</xdr:rowOff>
              </from>
              <to>
                <xdr:col>6</xdr:col>
                <xdr:colOff>285750</xdr:colOff>
                <xdr:row>50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3" r:id="rId255" name="Group Box 255">
          <controlPr defaultSize="0" autoFill="0" autoPict="0">
            <anchor moveWithCells="1">
              <from>
                <xdr:col>2</xdr:col>
                <xdr:colOff>38100</xdr:colOff>
                <xdr:row>49</xdr:row>
                <xdr:rowOff>0</xdr:rowOff>
              </from>
              <to>
                <xdr:col>6</xdr:col>
                <xdr:colOff>266700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4" r:id="rId256" name="Group Box 256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5" r:id="rId257" name="Group Box 257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6" r:id="rId258" name="Group Box 258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7" r:id="rId259" name="Group Box 259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8" r:id="rId260" name="Group Box 260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9" r:id="rId261" name="Group Box 261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0" r:id="rId262" name="Group Box 262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1" r:id="rId263" name="Group Box 263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2" r:id="rId264" name="Group Box 264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3" r:id="rId265" name="Group Box 265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4" r:id="rId266" name="Group Box 266">
          <controlPr defaultSize="0" autoFill="0" autoPict="0">
            <anchor moveWithCells="1">
              <from>
                <xdr:col>2</xdr:col>
                <xdr:colOff>57150</xdr:colOff>
                <xdr:row>50</xdr:row>
                <xdr:rowOff>0</xdr:rowOff>
              </from>
              <to>
                <xdr:col>6</xdr:col>
                <xdr:colOff>285750</xdr:colOff>
                <xdr:row>51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5" r:id="rId267" name="Group Box 267">
          <controlPr defaultSize="0" autoFill="0" autoPict="0">
            <anchor moveWithCells="1">
              <from>
                <xdr:col>2</xdr:col>
                <xdr:colOff>38100</xdr:colOff>
                <xdr:row>50</xdr:row>
                <xdr:rowOff>0</xdr:rowOff>
              </from>
              <to>
                <xdr:col>6</xdr:col>
                <xdr:colOff>266700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6" r:id="rId268" name="Group Box 268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7" r:id="rId269" name="Group Box 269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8" r:id="rId270" name="Group Box 270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9" r:id="rId271" name="Group Box 271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0" r:id="rId272" name="Group Box 272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1" r:id="rId273" name="Group Box 273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2" r:id="rId274" name="Group Box 274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3" r:id="rId275" name="Group Box 275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4" r:id="rId276" name="Group Box 276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5" r:id="rId277" name="Group Box 277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6" r:id="rId278" name="Group Box 278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7" r:id="rId279" name="Group Box 279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8" r:id="rId280" name="Group Box 280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69" r:id="rId281" name="Group Box 281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0" r:id="rId282" name="Group Box 282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1" r:id="rId283" name="Group Box 283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2" r:id="rId284" name="Group Box 284">
          <controlPr defaultSize="0" autoFill="0" autoPict="0">
            <anchor moveWithCells="1">
              <from>
                <xdr:col>2</xdr:col>
                <xdr:colOff>57150</xdr:colOff>
                <xdr:row>51</xdr:row>
                <xdr:rowOff>0</xdr:rowOff>
              </from>
              <to>
                <xdr:col>6</xdr:col>
                <xdr:colOff>285750</xdr:colOff>
                <xdr:row>52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3" r:id="rId285" name="Group Box 285">
          <controlPr defaultSize="0" autoFill="0" autoPict="0">
            <anchor moveWithCells="1">
              <from>
                <xdr:col>2</xdr:col>
                <xdr:colOff>38100</xdr:colOff>
                <xdr:row>51</xdr:row>
                <xdr:rowOff>0</xdr:rowOff>
              </from>
              <to>
                <xdr:col>6</xdr:col>
                <xdr:colOff>266700</xdr:colOff>
                <xdr:row>53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4" r:id="rId286" name="Group Box 286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5" r:id="rId287" name="Group Box 287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6" r:id="rId288" name="Group Box 288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7" r:id="rId289" name="Group Box 289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8" r:id="rId290" name="Group Box 290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79" r:id="rId291" name="Group Box 291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0" r:id="rId292" name="Group Box 292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1" r:id="rId293" name="Group Box 293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2" r:id="rId294" name="Group Box 294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3" r:id="rId295" name="Group Box 295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4" r:id="rId296" name="Group Box 296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5" r:id="rId297" name="Group Box 297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6" r:id="rId298" name="Group Box 298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7" r:id="rId299" name="Group Box 299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8" r:id="rId300" name="Group Box 300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89" r:id="rId301" name="Group Box 301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0" r:id="rId302" name="Group Box 302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1" r:id="rId303" name="Group Box 303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2" r:id="rId304" name="Group Box 304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3" r:id="rId305" name="Group Box 305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4" r:id="rId306" name="Group Box 306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5" r:id="rId307" name="Group Box 307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6" r:id="rId308" name="Group Box 308">
          <controlPr defaultSize="0" autoFill="0" autoPict="0">
            <anchor moveWithCells="1">
              <from>
                <xdr:col>2</xdr:col>
                <xdr:colOff>57150</xdr:colOff>
                <xdr:row>52</xdr:row>
                <xdr:rowOff>0</xdr:rowOff>
              </from>
              <to>
                <xdr:col>6</xdr:col>
                <xdr:colOff>285750</xdr:colOff>
                <xdr:row>53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7" r:id="rId309" name="Group Box 309">
          <controlPr defaultSize="0" autoFill="0" autoPict="0">
            <anchor moveWithCells="1">
              <from>
                <xdr:col>2</xdr:col>
                <xdr:colOff>38100</xdr:colOff>
                <xdr:row>52</xdr:row>
                <xdr:rowOff>0</xdr:rowOff>
              </from>
              <to>
                <xdr:col>6</xdr:col>
                <xdr:colOff>266700</xdr:colOff>
                <xdr:row>54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8" r:id="rId310" name="Group Box 310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99" r:id="rId311" name="Group Box 311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0" r:id="rId312" name="Group Box 312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1" r:id="rId313" name="Group Box 313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2" r:id="rId314" name="Group Box 314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3" r:id="rId315" name="Group Box 315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4" r:id="rId316" name="Group Box 316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5" r:id="rId317" name="Group Box 317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6" r:id="rId318" name="Group Box 318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7" r:id="rId319" name="Group Box 319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8" r:id="rId320" name="Group Box 320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09" r:id="rId321" name="Group Box 321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0" r:id="rId322" name="Group Box 322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1" r:id="rId323" name="Group Box 323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2" r:id="rId324" name="Group Box 324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3" r:id="rId325" name="Group Box 325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4" r:id="rId326" name="Group Box 326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5" r:id="rId327" name="Group Box 327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6" r:id="rId328" name="Group Box 328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7" r:id="rId329" name="Group Box 329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8" r:id="rId330" name="Group Box 330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19" r:id="rId331" name="Group Box 331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0" r:id="rId332" name="Group Box 332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1" r:id="rId333" name="Group Box 333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2" r:id="rId334" name="Group Box 334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3" r:id="rId335" name="Group Box 335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4" r:id="rId336" name="Group Box 336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5" r:id="rId337" name="Group Box 337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6" r:id="rId338" name="Group Box 338">
          <controlPr defaultSize="0" autoFill="0" autoPict="0">
            <anchor moveWithCells="1">
              <from>
                <xdr:col>2</xdr:col>
                <xdr:colOff>57150</xdr:colOff>
                <xdr:row>53</xdr:row>
                <xdr:rowOff>0</xdr:rowOff>
              </from>
              <to>
                <xdr:col>6</xdr:col>
                <xdr:colOff>285750</xdr:colOff>
                <xdr:row>54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7" r:id="rId339" name="Group Box 339">
          <controlPr defaultSize="0" autoFill="0" autoPict="0">
            <anchor moveWithCells="1">
              <from>
                <xdr:col>2</xdr:col>
                <xdr:colOff>38100</xdr:colOff>
                <xdr:row>53</xdr:row>
                <xdr:rowOff>0</xdr:rowOff>
              </from>
              <to>
                <xdr:col>6</xdr:col>
                <xdr:colOff>266700</xdr:colOff>
                <xdr:row>55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8" r:id="rId340" name="Group Box 340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29" r:id="rId341" name="Group Box 341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0" r:id="rId342" name="Group Box 342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1" r:id="rId343" name="Group Box 343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2" r:id="rId344" name="Group Box 344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3" r:id="rId345" name="Group Box 345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4" r:id="rId346" name="Group Box 346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5" r:id="rId347" name="Group Box 347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6" r:id="rId348" name="Group Box 348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7" r:id="rId349" name="Group Box 349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8" r:id="rId350" name="Group Box 350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39" r:id="rId351" name="Group Box 351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0" r:id="rId352" name="Group Box 352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1" r:id="rId353" name="Group Box 353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2" r:id="rId354" name="Group Box 354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3" r:id="rId355" name="Group Box 355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4" r:id="rId356" name="Group Box 356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5" r:id="rId357" name="Group Box 357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6" r:id="rId358" name="Group Box 358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7" r:id="rId359" name="Group Box 359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8" r:id="rId360" name="Group Box 360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49" r:id="rId361" name="Group Box 361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0" r:id="rId362" name="Group Box 362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1" r:id="rId363" name="Group Box 363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2" r:id="rId364" name="Group Box 364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3" r:id="rId365" name="Group Box 365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4" r:id="rId366" name="Group Box 366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5" r:id="rId367" name="Group Box 367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6" r:id="rId368" name="Group Box 368">
          <controlPr defaultSize="0" autoFill="0" autoPict="0">
            <anchor moveWithCells="1">
              <from>
                <xdr:col>2</xdr:col>
                <xdr:colOff>57150</xdr:colOff>
                <xdr:row>54</xdr:row>
                <xdr:rowOff>0</xdr:rowOff>
              </from>
              <to>
                <xdr:col>6</xdr:col>
                <xdr:colOff>285750</xdr:colOff>
                <xdr:row>55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7" r:id="rId369" name="Group Box 369">
          <controlPr defaultSize="0" autoFill="0" autoPict="0">
            <anchor moveWithCells="1">
              <from>
                <xdr:col>2</xdr:col>
                <xdr:colOff>38100</xdr:colOff>
                <xdr:row>54</xdr:row>
                <xdr:rowOff>0</xdr:rowOff>
              </from>
              <to>
                <xdr:col>6</xdr:col>
                <xdr:colOff>266700</xdr:colOff>
                <xdr:row>56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8" r:id="rId370" name="Group Box 370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59" r:id="rId371" name="Group Box 371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0" r:id="rId372" name="Group Box 372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1" r:id="rId373" name="Group Box 373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2" r:id="rId374" name="Group Box 374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3" r:id="rId375" name="Group Box 375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4" r:id="rId376" name="Group Box 376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5" r:id="rId377" name="Group Box 377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6" r:id="rId378" name="Group Box 378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7" r:id="rId379" name="Group Box 379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8" r:id="rId380" name="Group Box 380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69" r:id="rId381" name="Group Box 381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0" r:id="rId382" name="Group Box 382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1" r:id="rId383" name="Group Box 383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2" r:id="rId384" name="Group Box 384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3" r:id="rId385" name="Group Box 385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4" r:id="rId386" name="Group Box 386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5" r:id="rId387" name="Group Box 387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6" r:id="rId388" name="Group Box 388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7" r:id="rId389" name="Group Box 389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8" r:id="rId390" name="Group Box 390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79" r:id="rId391" name="Group Box 391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0" r:id="rId392" name="Group Box 392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1" r:id="rId393" name="Group Box 393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2" r:id="rId394" name="Group Box 394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3" r:id="rId395" name="Group Box 395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4" r:id="rId396" name="Group Box 396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5" r:id="rId397" name="Group Box 397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6" r:id="rId398" name="Group Box 398">
          <controlPr defaultSize="0" autoFill="0" autoPict="0">
            <anchor moveWithCells="1">
              <from>
                <xdr:col>2</xdr:col>
                <xdr:colOff>57150</xdr:colOff>
                <xdr:row>55</xdr:row>
                <xdr:rowOff>0</xdr:rowOff>
              </from>
              <to>
                <xdr:col>6</xdr:col>
                <xdr:colOff>285750</xdr:colOff>
                <xdr:row>56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687" r:id="rId399" name="Group Box 399">
          <controlPr defaultSize="0" autoFill="0" autoPict="0">
            <anchor moveWithCells="1">
              <from>
                <xdr:col>2</xdr:col>
                <xdr:colOff>38100</xdr:colOff>
                <xdr:row>55</xdr:row>
                <xdr:rowOff>0</xdr:rowOff>
              </from>
              <to>
                <xdr:col>6</xdr:col>
                <xdr:colOff>266700</xdr:colOff>
                <xdr:row>57</xdr:row>
                <xdr:rowOff>0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33"/>
  <sheetViews>
    <sheetView topLeftCell="I73" workbookViewId="0">
      <selection activeCell="M83" sqref="M83"/>
    </sheetView>
  </sheetViews>
  <sheetFormatPr defaultRowHeight="14.5"/>
  <cols>
    <col min="1" max="1" width="15.54296875" bestFit="1" customWidth="1"/>
    <col min="2" max="2" width="16.26953125" bestFit="1" customWidth="1"/>
    <col min="3" max="3" width="24.36328125" customWidth="1"/>
    <col min="4" max="4" width="36.54296875" bestFit="1" customWidth="1"/>
    <col min="5" max="5" width="7.26953125" bestFit="1" customWidth="1"/>
    <col min="6" max="7" width="25.54296875" bestFit="1" customWidth="1"/>
    <col min="8" max="8" width="28" bestFit="1" customWidth="1"/>
    <col min="9" max="9" width="22.54296875" bestFit="1" customWidth="1"/>
    <col min="10" max="10" width="19.26953125" bestFit="1" customWidth="1"/>
    <col min="11" max="11" width="17.26953125" style="106" bestFit="1" customWidth="1"/>
    <col min="12" max="12" width="17.7265625" style="106" bestFit="1" customWidth="1"/>
    <col min="13" max="13" width="12.81640625" bestFit="1" customWidth="1"/>
    <col min="14" max="14" width="8.26953125" bestFit="1" customWidth="1"/>
    <col min="15" max="15" width="11.54296875" bestFit="1" customWidth="1"/>
  </cols>
  <sheetData>
    <row r="1" spans="1:17">
      <c r="B1" s="421" t="s">
        <v>1849</v>
      </c>
      <c r="C1" s="421" t="s">
        <v>1767</v>
      </c>
      <c r="D1" s="421" t="s">
        <v>1850</v>
      </c>
      <c r="E1" s="421" t="s">
        <v>1851</v>
      </c>
      <c r="F1" s="421" t="s">
        <v>1852</v>
      </c>
      <c r="G1" s="421" t="s">
        <v>1853</v>
      </c>
      <c r="H1" s="421" t="s">
        <v>1854</v>
      </c>
      <c r="I1" s="421" t="s">
        <v>1855</v>
      </c>
      <c r="J1" s="421" t="s">
        <v>1856</v>
      </c>
      <c r="K1" s="459" t="s">
        <v>1857</v>
      </c>
      <c r="L1" s="459" t="s">
        <v>1858</v>
      </c>
      <c r="M1" s="421" t="s">
        <v>1859</v>
      </c>
      <c r="N1" s="421"/>
      <c r="O1" s="421" t="s">
        <v>1861</v>
      </c>
    </row>
    <row r="2" spans="1:17">
      <c r="A2" s="422" t="s">
        <v>1862</v>
      </c>
      <c r="B2" s="445" t="s">
        <v>1761</v>
      </c>
      <c r="C2" s="445" t="s">
        <v>1781</v>
      </c>
      <c r="D2" s="445" t="s">
        <v>1863</v>
      </c>
      <c r="E2" s="445" t="s">
        <v>1864</v>
      </c>
      <c r="F2" t="s">
        <v>12717</v>
      </c>
      <c r="G2" t="s">
        <v>12717</v>
      </c>
      <c r="H2" t="s">
        <v>12717</v>
      </c>
      <c r="I2" t="s">
        <v>12717</v>
      </c>
      <c r="J2" t="s">
        <v>12717</v>
      </c>
      <c r="K2" t="s">
        <v>12717</v>
      </c>
      <c r="L2" t="s">
        <v>12717</v>
      </c>
      <c r="M2" s="445" t="s">
        <v>1865</v>
      </c>
      <c r="O2" t="s">
        <v>12717</v>
      </c>
    </row>
    <row r="3" spans="1:17">
      <c r="A3" s="422" t="s">
        <v>1866</v>
      </c>
      <c r="B3" s="445" t="s">
        <v>1761</v>
      </c>
      <c r="C3" s="446" t="s">
        <v>1790</v>
      </c>
      <c r="D3" s="446" t="s">
        <v>1867</v>
      </c>
      <c r="E3" s="445" t="s">
        <v>1864</v>
      </c>
      <c r="F3" t="s">
        <v>12717</v>
      </c>
      <c r="G3" t="s">
        <v>12717</v>
      </c>
      <c r="H3" t="s">
        <v>12717</v>
      </c>
      <c r="I3" t="s">
        <v>12717</v>
      </c>
      <c r="J3" t="s">
        <v>12717</v>
      </c>
      <c r="K3" t="s">
        <v>12717</v>
      </c>
      <c r="L3" t="s">
        <v>12717</v>
      </c>
      <c r="M3" s="446" t="s">
        <v>1868</v>
      </c>
      <c r="O3" t="s">
        <v>12717</v>
      </c>
    </row>
    <row r="4" spans="1:17">
      <c r="A4" s="423" t="s">
        <v>1869</v>
      </c>
      <c r="B4" s="445" t="s">
        <v>1870</v>
      </c>
      <c r="C4" s="446" t="s">
        <v>1801</v>
      </c>
      <c r="D4" s="445" t="s">
        <v>1871</v>
      </c>
      <c r="E4" s="445" t="s">
        <v>1864</v>
      </c>
      <c r="F4" t="s">
        <v>12717</v>
      </c>
      <c r="G4" t="s">
        <v>12717</v>
      </c>
      <c r="H4" t="s">
        <v>12717</v>
      </c>
      <c r="I4" t="s">
        <v>12717</v>
      </c>
      <c r="J4" t="s">
        <v>12717</v>
      </c>
      <c r="K4" t="s">
        <v>12717</v>
      </c>
      <c r="L4" t="s">
        <v>12717</v>
      </c>
      <c r="M4" s="445" t="s">
        <v>1872</v>
      </c>
      <c r="O4" t="s">
        <v>12717</v>
      </c>
    </row>
    <row r="5" spans="1:17">
      <c r="A5" s="422" t="s">
        <v>1873</v>
      </c>
      <c r="B5" s="445" t="s">
        <v>1870</v>
      </c>
      <c r="C5" s="446" t="s">
        <v>1770</v>
      </c>
      <c r="D5" s="445" t="s">
        <v>1874</v>
      </c>
      <c r="E5" s="445" t="s">
        <v>1864</v>
      </c>
      <c r="F5" t="s">
        <v>12717</v>
      </c>
      <c r="G5" t="s">
        <v>12717</v>
      </c>
      <c r="H5" t="s">
        <v>12717</v>
      </c>
      <c r="I5" t="s">
        <v>12717</v>
      </c>
      <c r="J5" t="s">
        <v>12717</v>
      </c>
      <c r="K5" t="s">
        <v>12717</v>
      </c>
      <c r="L5" t="s">
        <v>12717</v>
      </c>
      <c r="M5" s="445" t="s">
        <v>1875</v>
      </c>
      <c r="O5" t="s">
        <v>12717</v>
      </c>
    </row>
    <row r="6" spans="1:17">
      <c r="A6" s="422" t="s">
        <v>1876</v>
      </c>
      <c r="B6" s="445" t="s">
        <v>1761</v>
      </c>
      <c r="C6" s="446" t="s">
        <v>1826</v>
      </c>
      <c r="D6" s="445" t="s">
        <v>1877</v>
      </c>
      <c r="E6" s="445" t="s">
        <v>1864</v>
      </c>
      <c r="F6" t="s">
        <v>12717</v>
      </c>
      <c r="G6" t="s">
        <v>12717</v>
      </c>
      <c r="H6" t="s">
        <v>12717</v>
      </c>
      <c r="I6" t="s">
        <v>12717</v>
      </c>
      <c r="J6" t="s">
        <v>12717</v>
      </c>
      <c r="K6" t="s">
        <v>12717</v>
      </c>
      <c r="L6" t="s">
        <v>12717</v>
      </c>
      <c r="M6" s="445" t="s">
        <v>1865</v>
      </c>
      <c r="O6" t="s">
        <v>12717</v>
      </c>
    </row>
    <row r="7" spans="1:17">
      <c r="A7" s="422" t="s">
        <v>1878</v>
      </c>
      <c r="B7" s="445" t="s">
        <v>1761</v>
      </c>
      <c r="C7" s="446" t="s">
        <v>1814</v>
      </c>
      <c r="D7" s="446" t="s">
        <v>1879</v>
      </c>
      <c r="E7" s="445" t="s">
        <v>1864</v>
      </c>
      <c r="F7" t="s">
        <v>12717</v>
      </c>
      <c r="G7" t="s">
        <v>12717</v>
      </c>
      <c r="H7" t="s">
        <v>12717</v>
      </c>
      <c r="I7" t="s">
        <v>12717</v>
      </c>
      <c r="J7" t="s">
        <v>12717</v>
      </c>
      <c r="K7" t="s">
        <v>12717</v>
      </c>
      <c r="L7" t="s">
        <v>12717</v>
      </c>
      <c r="M7" s="445" t="s">
        <v>1880</v>
      </c>
      <c r="O7" t="s">
        <v>12717</v>
      </c>
    </row>
    <row r="8" spans="1:17">
      <c r="A8" s="422" t="s">
        <v>1881</v>
      </c>
      <c r="B8" s="445" t="s">
        <v>1761</v>
      </c>
      <c r="C8" s="445" t="s">
        <v>1817</v>
      </c>
      <c r="D8" s="446" t="s">
        <v>1882</v>
      </c>
      <c r="E8" s="445" t="s">
        <v>1864</v>
      </c>
      <c r="F8" t="s">
        <v>12717</v>
      </c>
      <c r="G8" t="s">
        <v>12717</v>
      </c>
      <c r="H8" t="s">
        <v>12717</v>
      </c>
      <c r="I8" t="s">
        <v>12717</v>
      </c>
      <c r="J8" t="s">
        <v>12717</v>
      </c>
      <c r="K8" t="s">
        <v>12717</v>
      </c>
      <c r="L8" t="s">
        <v>12717</v>
      </c>
      <c r="M8" s="445" t="s">
        <v>1865</v>
      </c>
      <c r="O8" t="s">
        <v>12717</v>
      </c>
      <c r="Q8" t="s">
        <v>12717</v>
      </c>
    </row>
    <row r="9" spans="1:17">
      <c r="A9" s="424" t="s">
        <v>1883</v>
      </c>
      <c r="B9" s="445" t="s">
        <v>1870</v>
      </c>
      <c r="C9" s="446" t="s">
        <v>1806</v>
      </c>
      <c r="D9" s="446">
        <v>100502629</v>
      </c>
      <c r="E9" s="445" t="s">
        <v>1864</v>
      </c>
      <c r="F9" t="s">
        <v>12717</v>
      </c>
      <c r="G9" t="s">
        <v>12717</v>
      </c>
      <c r="H9" t="s">
        <v>12717</v>
      </c>
      <c r="I9" t="s">
        <v>12717</v>
      </c>
      <c r="J9" t="s">
        <v>12717</v>
      </c>
      <c r="K9" t="s">
        <v>12717</v>
      </c>
      <c r="L9" t="s">
        <v>12717</v>
      </c>
      <c r="M9" s="446" t="s">
        <v>1884</v>
      </c>
      <c r="O9" t="s">
        <v>12717</v>
      </c>
    </row>
    <row r="10" spans="1:17">
      <c r="A10" s="422" t="s">
        <v>1885</v>
      </c>
      <c r="B10" s="445" t="s">
        <v>1870</v>
      </c>
      <c r="C10" s="445" t="s">
        <v>1798</v>
      </c>
      <c r="D10" s="446">
        <v>27221501</v>
      </c>
      <c r="E10" s="445" t="s">
        <v>1864</v>
      </c>
      <c r="F10" t="s">
        <v>12717</v>
      </c>
      <c r="G10" t="s">
        <v>12717</v>
      </c>
      <c r="H10" t="s">
        <v>12717</v>
      </c>
      <c r="I10" t="s">
        <v>12717</v>
      </c>
      <c r="J10" t="s">
        <v>12717</v>
      </c>
      <c r="K10" t="s">
        <v>12717</v>
      </c>
      <c r="L10" t="s">
        <v>12717</v>
      </c>
      <c r="M10" s="445" t="s">
        <v>1886</v>
      </c>
      <c r="O10" t="s">
        <v>12717</v>
      </c>
    </row>
    <row r="11" spans="1:17">
      <c r="A11" s="422" t="s">
        <v>1887</v>
      </c>
      <c r="B11" s="445" t="s">
        <v>1870</v>
      </c>
      <c r="C11" s="445" t="s">
        <v>1833</v>
      </c>
      <c r="D11" s="446" t="s">
        <v>1888</v>
      </c>
      <c r="E11" s="445" t="s">
        <v>1864</v>
      </c>
      <c r="F11" t="s">
        <v>12717</v>
      </c>
      <c r="G11" t="s">
        <v>12717</v>
      </c>
      <c r="H11" t="s">
        <v>12717</v>
      </c>
      <c r="I11" t="s">
        <v>12717</v>
      </c>
      <c r="J11" t="s">
        <v>12717</v>
      </c>
      <c r="K11" t="s">
        <v>12717</v>
      </c>
      <c r="L11" t="s">
        <v>12717</v>
      </c>
      <c r="M11" s="445" t="s">
        <v>1889</v>
      </c>
      <c r="O11" t="s">
        <v>12717</v>
      </c>
    </row>
    <row r="12" spans="1:17">
      <c r="A12" s="422" t="s">
        <v>1890</v>
      </c>
      <c r="B12" s="445" t="s">
        <v>1870</v>
      </c>
      <c r="C12" s="445" t="s">
        <v>1891</v>
      </c>
      <c r="D12" s="445">
        <v>60040160313</v>
      </c>
      <c r="E12" s="445" t="s">
        <v>1864</v>
      </c>
      <c r="F12" t="s">
        <v>12717</v>
      </c>
      <c r="G12" t="s">
        <v>12717</v>
      </c>
      <c r="H12" t="s">
        <v>12717</v>
      </c>
      <c r="I12" t="s">
        <v>12717</v>
      </c>
      <c r="J12" t="s">
        <v>12717</v>
      </c>
      <c r="K12" t="s">
        <v>12717</v>
      </c>
      <c r="L12" t="s">
        <v>12717</v>
      </c>
      <c r="M12" s="445" t="s">
        <v>1892</v>
      </c>
      <c r="O12" t="s">
        <v>12717</v>
      </c>
    </row>
    <row r="13" spans="1:17">
      <c r="A13" s="422" t="s">
        <v>1893</v>
      </c>
      <c r="B13" s="445" t="s">
        <v>1870</v>
      </c>
      <c r="C13" s="445" t="s">
        <v>1778</v>
      </c>
      <c r="D13" s="445">
        <v>6212721697</v>
      </c>
      <c r="E13" s="445" t="s">
        <v>1864</v>
      </c>
      <c r="F13" t="s">
        <v>12717</v>
      </c>
      <c r="G13" t="s">
        <v>12717</v>
      </c>
      <c r="H13" t="s">
        <v>12717</v>
      </c>
      <c r="I13" t="s">
        <v>12717</v>
      </c>
      <c r="J13" t="s">
        <v>12717</v>
      </c>
      <c r="K13" s="456" t="s">
        <v>1894</v>
      </c>
      <c r="L13" s="456" t="s">
        <v>1895</v>
      </c>
      <c r="M13" t="s">
        <v>12717</v>
      </c>
      <c r="O13" t="s">
        <v>12717</v>
      </c>
    </row>
    <row r="14" spans="1:17">
      <c r="A14" s="422" t="s">
        <v>1896</v>
      </c>
      <c r="B14" s="445" t="s">
        <v>1870</v>
      </c>
      <c r="C14" s="445" t="s">
        <v>1803</v>
      </c>
      <c r="D14" s="445" t="s">
        <v>1897</v>
      </c>
      <c r="E14" s="445" t="s">
        <v>1864</v>
      </c>
      <c r="F14" t="s">
        <v>12717</v>
      </c>
      <c r="G14" t="s">
        <v>12717</v>
      </c>
      <c r="H14" t="s">
        <v>12717</v>
      </c>
      <c r="I14" t="s">
        <v>12717</v>
      </c>
      <c r="J14" t="s">
        <v>12717</v>
      </c>
      <c r="K14" t="s">
        <v>12717</v>
      </c>
      <c r="L14" t="s">
        <v>12717</v>
      </c>
      <c r="M14" s="445" t="s">
        <v>1898</v>
      </c>
      <c r="O14" t="s">
        <v>12717</v>
      </c>
    </row>
    <row r="15" spans="1:17">
      <c r="A15" s="422" t="s">
        <v>1899</v>
      </c>
      <c r="B15" s="445" t="s">
        <v>1870</v>
      </c>
      <c r="C15" s="445" t="s">
        <v>1773</v>
      </c>
      <c r="D15" s="445">
        <v>2099100983</v>
      </c>
      <c r="E15" s="445" t="s">
        <v>1864</v>
      </c>
      <c r="F15" t="s">
        <v>12717</v>
      </c>
      <c r="G15" t="s">
        <v>12717</v>
      </c>
      <c r="H15" t="s">
        <v>12717</v>
      </c>
      <c r="I15" t="s">
        <v>12717</v>
      </c>
      <c r="J15" t="s">
        <v>12717</v>
      </c>
      <c r="K15" t="s">
        <v>12717</v>
      </c>
      <c r="L15" t="s">
        <v>12717</v>
      </c>
      <c r="M15" s="445" t="s">
        <v>1900</v>
      </c>
      <c r="O15" t="s">
        <v>12717</v>
      </c>
    </row>
    <row r="16" spans="1:17">
      <c r="A16" s="422" t="s">
        <v>1901</v>
      </c>
      <c r="B16" s="445" t="s">
        <v>1870</v>
      </c>
      <c r="C16" s="446" t="s">
        <v>1792</v>
      </c>
      <c r="D16" s="445">
        <v>236707</v>
      </c>
      <c r="E16" s="445" t="s">
        <v>1864</v>
      </c>
      <c r="F16" t="s">
        <v>12717</v>
      </c>
      <c r="G16" t="s">
        <v>12717</v>
      </c>
      <c r="H16" t="s">
        <v>12717</v>
      </c>
      <c r="I16" t="s">
        <v>12717</v>
      </c>
      <c r="J16" t="s">
        <v>12717</v>
      </c>
      <c r="K16" s="462" t="s">
        <v>1902</v>
      </c>
      <c r="L16" s="456">
        <v>908</v>
      </c>
      <c r="M16" t="s">
        <v>12717</v>
      </c>
      <c r="O16" t="s">
        <v>12717</v>
      </c>
    </row>
    <row r="17" spans="1:15">
      <c r="A17" s="422" t="s">
        <v>1903</v>
      </c>
      <c r="B17" s="445" t="s">
        <v>1870</v>
      </c>
      <c r="C17" s="445" t="s">
        <v>1784</v>
      </c>
      <c r="D17" s="445">
        <v>862872</v>
      </c>
      <c r="E17" s="445" t="s">
        <v>1864</v>
      </c>
      <c r="F17" t="s">
        <v>12717</v>
      </c>
      <c r="G17" t="s">
        <v>12717</v>
      </c>
      <c r="H17" t="s">
        <v>12717</v>
      </c>
      <c r="I17" t="s">
        <v>12717</v>
      </c>
      <c r="J17" t="s">
        <v>12717</v>
      </c>
      <c r="K17" s="456" t="s">
        <v>1904</v>
      </c>
      <c r="L17" s="456" t="s">
        <v>1905</v>
      </c>
      <c r="M17" t="s">
        <v>12717</v>
      </c>
      <c r="O17" t="s">
        <v>12717</v>
      </c>
    </row>
    <row r="18" spans="1:15">
      <c r="A18" s="422" t="s">
        <v>1903</v>
      </c>
      <c r="B18" s="445" t="s">
        <v>1870</v>
      </c>
      <c r="C18" s="445" t="s">
        <v>1784</v>
      </c>
      <c r="D18" s="445">
        <v>862872</v>
      </c>
      <c r="E18" s="445" t="s">
        <v>1864</v>
      </c>
      <c r="F18" t="s">
        <v>12717</v>
      </c>
      <c r="G18" t="s">
        <v>12717</v>
      </c>
      <c r="H18" t="s">
        <v>12717</v>
      </c>
      <c r="I18" t="s">
        <v>12717</v>
      </c>
      <c r="J18" t="s">
        <v>12717</v>
      </c>
      <c r="K18" s="456" t="s">
        <v>1904</v>
      </c>
      <c r="L18" s="456" t="s">
        <v>1905</v>
      </c>
      <c r="M18" t="s">
        <v>12717</v>
      </c>
      <c r="O18" t="s">
        <v>12717</v>
      </c>
    </row>
    <row r="19" spans="1:15" ht="15" thickBot="1">
      <c r="A19" s="425" t="s">
        <v>1229</v>
      </c>
      <c r="B19" s="448" t="s">
        <v>1870</v>
      </c>
      <c r="C19" s="448" t="s">
        <v>1784</v>
      </c>
      <c r="D19" s="448">
        <v>862872</v>
      </c>
      <c r="E19" s="448" t="s">
        <v>1864</v>
      </c>
      <c r="F19" t="s">
        <v>12717</v>
      </c>
      <c r="G19" t="s">
        <v>12717</v>
      </c>
      <c r="H19" t="s">
        <v>12717</v>
      </c>
      <c r="I19" t="s">
        <v>12717</v>
      </c>
      <c r="J19" t="s">
        <v>12717</v>
      </c>
      <c r="K19" s="461" t="s">
        <v>1904</v>
      </c>
      <c r="L19" s="461" t="s">
        <v>1905</v>
      </c>
      <c r="M19" t="s">
        <v>12717</v>
      </c>
      <c r="O19" t="s">
        <v>12717</v>
      </c>
    </row>
    <row r="20" spans="1:15">
      <c r="A20" s="422" t="s">
        <v>2030</v>
      </c>
      <c r="B20" s="445" t="s">
        <v>1906</v>
      </c>
      <c r="C20" s="445" t="s">
        <v>1781</v>
      </c>
      <c r="D20" s="445" t="s">
        <v>1907</v>
      </c>
      <c r="E20" s="445" t="s">
        <v>1864</v>
      </c>
      <c r="F20" t="s">
        <v>12717</v>
      </c>
      <c r="G20" t="s">
        <v>12717</v>
      </c>
      <c r="H20" t="s">
        <v>12717</v>
      </c>
      <c r="I20" t="s">
        <v>12717</v>
      </c>
      <c r="J20" t="s">
        <v>12717</v>
      </c>
      <c r="K20" t="s">
        <v>12717</v>
      </c>
      <c r="L20" t="s">
        <v>12717</v>
      </c>
      <c r="M20" s="445" t="s">
        <v>1908</v>
      </c>
      <c r="O20" t="s">
        <v>12717</v>
      </c>
    </row>
    <row r="21" spans="1:15">
      <c r="A21" s="422" t="s">
        <v>2031</v>
      </c>
      <c r="B21" s="445" t="s">
        <v>1906</v>
      </c>
      <c r="C21" s="445" t="s">
        <v>1790</v>
      </c>
      <c r="D21" s="445" t="s">
        <v>1909</v>
      </c>
      <c r="E21" s="445" t="s">
        <v>1864</v>
      </c>
      <c r="F21" t="s">
        <v>12717</v>
      </c>
      <c r="G21" t="s">
        <v>12717</v>
      </c>
      <c r="H21" t="s">
        <v>12717</v>
      </c>
      <c r="I21" t="s">
        <v>12717</v>
      </c>
      <c r="J21" t="s">
        <v>12717</v>
      </c>
      <c r="K21" t="s">
        <v>12717</v>
      </c>
      <c r="L21" t="s">
        <v>12717</v>
      </c>
      <c r="M21" s="445" t="s">
        <v>1910</v>
      </c>
      <c r="O21" t="s">
        <v>12717</v>
      </c>
    </row>
    <row r="22" spans="1:15">
      <c r="A22" s="422" t="s">
        <v>2032</v>
      </c>
      <c r="B22" s="445" t="s">
        <v>1906</v>
      </c>
      <c r="C22" s="445" t="s">
        <v>1801</v>
      </c>
      <c r="D22" s="445" t="s">
        <v>1911</v>
      </c>
      <c r="E22" s="445" t="s">
        <v>1864</v>
      </c>
      <c r="F22" t="s">
        <v>12717</v>
      </c>
      <c r="G22" t="s">
        <v>12717</v>
      </c>
      <c r="H22" t="s">
        <v>12717</v>
      </c>
      <c r="I22" t="s">
        <v>12717</v>
      </c>
      <c r="J22" t="s">
        <v>12717</v>
      </c>
      <c r="K22" t="s">
        <v>12717</v>
      </c>
      <c r="L22" t="s">
        <v>12717</v>
      </c>
      <c r="M22" s="445" t="s">
        <v>1912</v>
      </c>
      <c r="O22" t="s">
        <v>12717</v>
      </c>
    </row>
    <row r="23" spans="1:15">
      <c r="A23" s="422" t="s">
        <v>2033</v>
      </c>
      <c r="B23" s="445" t="s">
        <v>1906</v>
      </c>
      <c r="C23" s="445" t="s">
        <v>1770</v>
      </c>
      <c r="D23" s="445">
        <v>10100030360</v>
      </c>
      <c r="E23" s="445" t="s">
        <v>1864</v>
      </c>
      <c r="F23" t="s">
        <v>12717</v>
      </c>
      <c r="G23" t="s">
        <v>12717</v>
      </c>
      <c r="H23" t="s">
        <v>12717</v>
      </c>
      <c r="I23" t="s">
        <v>12717</v>
      </c>
      <c r="J23" t="s">
        <v>12717</v>
      </c>
      <c r="K23" t="s">
        <v>12717</v>
      </c>
      <c r="L23" t="s">
        <v>12717</v>
      </c>
      <c r="M23" s="445" t="s">
        <v>1913</v>
      </c>
      <c r="O23" t="s">
        <v>12717</v>
      </c>
    </row>
    <row r="24" spans="1:15">
      <c r="A24" s="422" t="s">
        <v>2034</v>
      </c>
      <c r="B24" s="445" t="s">
        <v>1906</v>
      </c>
      <c r="C24" s="445" t="s">
        <v>1826</v>
      </c>
      <c r="D24" s="445" t="s">
        <v>1914</v>
      </c>
      <c r="E24" s="445" t="s">
        <v>1864</v>
      </c>
      <c r="F24" t="s">
        <v>12717</v>
      </c>
      <c r="G24" t="s">
        <v>12717</v>
      </c>
      <c r="H24" t="s">
        <v>12717</v>
      </c>
      <c r="I24" t="s">
        <v>12717</v>
      </c>
      <c r="J24" t="s">
        <v>12717</v>
      </c>
      <c r="K24" t="s">
        <v>12717</v>
      </c>
      <c r="L24" t="s">
        <v>12717</v>
      </c>
      <c r="M24" s="445" t="s">
        <v>1908</v>
      </c>
      <c r="O24" t="s">
        <v>12717</v>
      </c>
    </row>
    <row r="25" spans="1:15">
      <c r="A25" s="422" t="s">
        <v>2035</v>
      </c>
      <c r="B25" s="445" t="s">
        <v>1906</v>
      </c>
      <c r="C25" s="445" t="s">
        <v>1814</v>
      </c>
      <c r="D25" s="445" t="s">
        <v>1915</v>
      </c>
      <c r="E25" s="445" t="s">
        <v>1864</v>
      </c>
      <c r="F25" t="s">
        <v>12717</v>
      </c>
      <c r="G25" t="s">
        <v>12717</v>
      </c>
      <c r="H25" t="s">
        <v>12717</v>
      </c>
      <c r="I25" t="s">
        <v>12717</v>
      </c>
      <c r="J25" t="s">
        <v>12717</v>
      </c>
      <c r="K25" t="s">
        <v>12717</v>
      </c>
      <c r="L25" t="s">
        <v>12717</v>
      </c>
      <c r="M25" s="445" t="s">
        <v>1916</v>
      </c>
      <c r="O25" t="s">
        <v>12717</v>
      </c>
    </row>
    <row r="26" spans="1:15">
      <c r="A26" s="422" t="s">
        <v>2036</v>
      </c>
      <c r="B26" s="445" t="s">
        <v>1906</v>
      </c>
      <c r="C26" s="445" t="s">
        <v>1817</v>
      </c>
      <c r="D26" s="445" t="s">
        <v>1917</v>
      </c>
      <c r="E26" s="445" t="s">
        <v>1864</v>
      </c>
      <c r="F26" t="s">
        <v>12717</v>
      </c>
      <c r="G26" t="s">
        <v>12717</v>
      </c>
      <c r="H26" t="s">
        <v>12717</v>
      </c>
      <c r="I26" t="s">
        <v>12717</v>
      </c>
      <c r="J26" t="s">
        <v>12717</v>
      </c>
      <c r="K26" t="s">
        <v>12717</v>
      </c>
      <c r="L26" t="s">
        <v>12717</v>
      </c>
      <c r="M26" s="445" t="s">
        <v>1918</v>
      </c>
      <c r="O26" t="s">
        <v>12717</v>
      </c>
    </row>
    <row r="27" spans="1:15">
      <c r="A27" s="422" t="s">
        <v>2037</v>
      </c>
      <c r="B27" s="445" t="s">
        <v>1906</v>
      </c>
      <c r="C27" s="445" t="s">
        <v>1806</v>
      </c>
      <c r="D27" s="445">
        <v>6530490016</v>
      </c>
      <c r="E27" s="445" t="s">
        <v>1864</v>
      </c>
      <c r="F27" t="s">
        <v>12717</v>
      </c>
      <c r="G27" t="s">
        <v>12717</v>
      </c>
      <c r="H27" t="s">
        <v>12717</v>
      </c>
      <c r="I27" t="s">
        <v>12717</v>
      </c>
      <c r="J27" t="s">
        <v>12717</v>
      </c>
      <c r="K27" t="s">
        <v>12972</v>
      </c>
      <c r="L27" t="s">
        <v>12973</v>
      </c>
      <c r="M27" s="445" t="s">
        <v>1919</v>
      </c>
      <c r="O27" t="s">
        <v>12717</v>
      </c>
    </row>
    <row r="28" spans="1:15">
      <c r="A28" s="422" t="s">
        <v>2038</v>
      </c>
      <c r="B28" s="445" t="s">
        <v>1906</v>
      </c>
      <c r="C28" s="445" t="s">
        <v>1775</v>
      </c>
      <c r="D28" s="445" t="s">
        <v>1920</v>
      </c>
      <c r="E28" s="445" t="s">
        <v>1864</v>
      </c>
      <c r="F28" t="s">
        <v>12717</v>
      </c>
      <c r="G28" t="s">
        <v>12717</v>
      </c>
      <c r="H28" t="s">
        <v>12717</v>
      </c>
      <c r="I28" t="s">
        <v>12717</v>
      </c>
      <c r="J28" t="s">
        <v>12717</v>
      </c>
      <c r="K28" t="s">
        <v>12717</v>
      </c>
      <c r="L28" t="s">
        <v>12717</v>
      </c>
      <c r="M28" s="445" t="s">
        <v>1921</v>
      </c>
      <c r="O28" t="s">
        <v>12717</v>
      </c>
    </row>
    <row r="29" spans="1:15">
      <c r="A29" s="422" t="s">
        <v>2039</v>
      </c>
      <c r="B29" s="445" t="s">
        <v>1906</v>
      </c>
      <c r="C29" s="445" t="s">
        <v>1922</v>
      </c>
      <c r="D29" s="445" t="s">
        <v>1923</v>
      </c>
      <c r="E29" s="445" t="s">
        <v>1864</v>
      </c>
      <c r="F29" t="s">
        <v>12717</v>
      </c>
      <c r="G29" t="s">
        <v>12717</v>
      </c>
      <c r="H29" t="s">
        <v>12717</v>
      </c>
      <c r="I29" t="s">
        <v>12717</v>
      </c>
      <c r="J29" t="s">
        <v>12717</v>
      </c>
      <c r="K29" t="s">
        <v>12717</v>
      </c>
      <c r="L29" t="s">
        <v>12717</v>
      </c>
      <c r="M29" s="445" t="s">
        <v>1924</v>
      </c>
      <c r="O29" t="s">
        <v>12717</v>
      </c>
    </row>
    <row r="30" spans="1:15">
      <c r="A30" s="422" t="s">
        <v>2040</v>
      </c>
      <c r="B30" s="445" t="s">
        <v>1906</v>
      </c>
      <c r="C30" s="445" t="s">
        <v>1795</v>
      </c>
      <c r="D30" s="445" t="s">
        <v>1925</v>
      </c>
      <c r="E30" s="445" t="s">
        <v>1864</v>
      </c>
      <c r="F30" t="s">
        <v>12717</v>
      </c>
      <c r="G30" t="s">
        <v>12717</v>
      </c>
      <c r="H30" t="s">
        <v>12717</v>
      </c>
      <c r="I30" t="s">
        <v>12717</v>
      </c>
      <c r="J30" t="s">
        <v>12717</v>
      </c>
      <c r="K30" t="s">
        <v>12717</v>
      </c>
      <c r="L30" t="s">
        <v>12717</v>
      </c>
      <c r="M30" s="445" t="s">
        <v>1926</v>
      </c>
      <c r="O30" t="s">
        <v>12717</v>
      </c>
    </row>
    <row r="31" spans="1:15">
      <c r="A31" s="422" t="s">
        <v>2041</v>
      </c>
      <c r="B31" s="445" t="s">
        <v>1906</v>
      </c>
      <c r="C31" s="445" t="s">
        <v>1840</v>
      </c>
      <c r="D31" t="s">
        <v>12717</v>
      </c>
      <c r="E31" s="445" t="s">
        <v>1864</v>
      </c>
      <c r="F31" t="s">
        <v>12717</v>
      </c>
      <c r="G31" t="s">
        <v>12717</v>
      </c>
      <c r="H31" t="s">
        <v>12717</v>
      </c>
      <c r="I31" t="s">
        <v>12717</v>
      </c>
      <c r="J31" t="s">
        <v>12717</v>
      </c>
      <c r="K31" s="456" t="s">
        <v>1927</v>
      </c>
      <c r="L31" s="456" t="s">
        <v>1928</v>
      </c>
      <c r="M31" s="445" t="s">
        <v>1929</v>
      </c>
      <c r="O31" t="s">
        <v>12717</v>
      </c>
    </row>
    <row r="32" spans="1:15">
      <c r="A32" s="422" t="s">
        <v>2042</v>
      </c>
      <c r="B32" s="445" t="s">
        <v>1906</v>
      </c>
      <c r="C32" s="445" t="s">
        <v>1798</v>
      </c>
      <c r="D32" s="445" t="s">
        <v>1930</v>
      </c>
      <c r="E32" s="445" t="s">
        <v>1864</v>
      </c>
      <c r="F32" t="s">
        <v>12717</v>
      </c>
      <c r="G32" t="s">
        <v>12717</v>
      </c>
      <c r="H32" t="s">
        <v>12717</v>
      </c>
      <c r="I32" t="s">
        <v>12717</v>
      </c>
      <c r="J32" t="s">
        <v>12717</v>
      </c>
      <c r="K32" t="s">
        <v>12717</v>
      </c>
      <c r="L32" t="s">
        <v>12717</v>
      </c>
      <c r="M32" s="445" t="s">
        <v>1931</v>
      </c>
      <c r="O32" t="s">
        <v>12717</v>
      </c>
    </row>
    <row r="33" spans="1:15">
      <c r="A33" s="422" t="s">
        <v>2043</v>
      </c>
      <c r="B33" s="445" t="s">
        <v>1906</v>
      </c>
      <c r="C33" s="445" t="s">
        <v>1932</v>
      </c>
      <c r="D33" s="445">
        <v>1002864992</v>
      </c>
      <c r="E33" s="445" t="s">
        <v>1864</v>
      </c>
      <c r="F33" t="s">
        <v>12717</v>
      </c>
      <c r="G33" t="s">
        <v>12717</v>
      </c>
      <c r="H33" t="s">
        <v>12717</v>
      </c>
      <c r="I33" t="s">
        <v>12717</v>
      </c>
      <c r="J33" t="s">
        <v>12717</v>
      </c>
      <c r="K33" t="s">
        <v>12717</v>
      </c>
      <c r="L33" t="s">
        <v>12717</v>
      </c>
      <c r="M33" s="445" t="s">
        <v>1889</v>
      </c>
      <c r="O33" t="s">
        <v>12717</v>
      </c>
    </row>
    <row r="34" spans="1:15">
      <c r="A34" s="422" t="s">
        <v>2044</v>
      </c>
      <c r="B34" s="445" t="s">
        <v>1906</v>
      </c>
      <c r="C34" s="445" t="s">
        <v>1933</v>
      </c>
      <c r="D34" s="445">
        <v>123101490089</v>
      </c>
      <c r="E34" s="445" t="s">
        <v>1864</v>
      </c>
      <c r="F34" t="s">
        <v>12717</v>
      </c>
      <c r="G34" t="s">
        <v>12717</v>
      </c>
      <c r="H34" t="s">
        <v>12717</v>
      </c>
      <c r="I34" t="s">
        <v>12717</v>
      </c>
      <c r="J34" t="s">
        <v>12717</v>
      </c>
      <c r="K34" t="s">
        <v>12717</v>
      </c>
      <c r="L34" t="s">
        <v>12717</v>
      </c>
      <c r="M34" s="445" t="s">
        <v>1906</v>
      </c>
      <c r="O34" t="s">
        <v>12717</v>
      </c>
    </row>
    <row r="35" spans="1:15">
      <c r="A35" s="422" t="s">
        <v>2045</v>
      </c>
      <c r="B35" s="445" t="s">
        <v>1906</v>
      </c>
      <c r="C35" s="445" t="s">
        <v>1934</v>
      </c>
      <c r="D35" t="s">
        <v>12717</v>
      </c>
      <c r="E35" s="445" t="s">
        <v>1864</v>
      </c>
      <c r="F35" t="s">
        <v>12717</v>
      </c>
      <c r="G35" t="s">
        <v>12717</v>
      </c>
      <c r="H35" t="s">
        <v>12717</v>
      </c>
      <c r="I35" t="s">
        <v>12717</v>
      </c>
      <c r="J35" t="s">
        <v>12717</v>
      </c>
      <c r="K35" s="456" t="s">
        <v>1894</v>
      </c>
      <c r="L35" s="456" t="s">
        <v>1935</v>
      </c>
      <c r="M35" t="s">
        <v>12717</v>
      </c>
      <c r="O35" t="s">
        <v>12717</v>
      </c>
    </row>
    <row r="36" spans="1:15">
      <c r="A36" s="422" t="s">
        <v>2046</v>
      </c>
      <c r="B36" s="445" t="s">
        <v>1906</v>
      </c>
      <c r="C36" s="445" t="s">
        <v>1936</v>
      </c>
      <c r="D36" s="445">
        <v>20319455</v>
      </c>
      <c r="E36" s="445" t="s">
        <v>1864</v>
      </c>
      <c r="F36" t="s">
        <v>12717</v>
      </c>
      <c r="G36" t="s">
        <v>12717</v>
      </c>
      <c r="H36" t="s">
        <v>12717</v>
      </c>
      <c r="I36" t="s">
        <v>12717</v>
      </c>
      <c r="J36" t="s">
        <v>12717</v>
      </c>
      <c r="K36" s="456" t="s">
        <v>1937</v>
      </c>
      <c r="L36" s="456" t="s">
        <v>1938</v>
      </c>
      <c r="M36" s="445" t="s">
        <v>1906</v>
      </c>
      <c r="O36" t="s">
        <v>12717</v>
      </c>
    </row>
    <row r="37" spans="1:15">
      <c r="A37" s="422" t="s">
        <v>2047</v>
      </c>
      <c r="B37" s="445" t="s">
        <v>1906</v>
      </c>
      <c r="C37" s="445" t="s">
        <v>1939</v>
      </c>
      <c r="D37" s="445" t="s">
        <v>1940</v>
      </c>
      <c r="E37" s="445" t="s">
        <v>1864</v>
      </c>
      <c r="F37" t="s">
        <v>12717</v>
      </c>
      <c r="G37" t="s">
        <v>12717</v>
      </c>
      <c r="H37" t="s">
        <v>12717</v>
      </c>
      <c r="I37" t="s">
        <v>12717</v>
      </c>
      <c r="J37" t="s">
        <v>12717</v>
      </c>
      <c r="K37" t="s">
        <v>12717</v>
      </c>
      <c r="L37" t="s">
        <v>12717</v>
      </c>
      <c r="M37" s="445" t="s">
        <v>1941</v>
      </c>
      <c r="O37" t="s">
        <v>12717</v>
      </c>
    </row>
    <row r="38" spans="1:15">
      <c r="A38" s="422" t="s">
        <v>2048</v>
      </c>
      <c r="B38" s="445" t="s">
        <v>1906</v>
      </c>
      <c r="C38" s="445" t="s">
        <v>1942</v>
      </c>
      <c r="D38" t="s">
        <v>12717</v>
      </c>
      <c r="E38" s="445" t="s">
        <v>1864</v>
      </c>
      <c r="F38" t="s">
        <v>12717</v>
      </c>
      <c r="G38" t="s">
        <v>12717</v>
      </c>
      <c r="H38" t="s">
        <v>12717</v>
      </c>
      <c r="I38" t="s">
        <v>12717</v>
      </c>
      <c r="J38" t="s">
        <v>12717</v>
      </c>
      <c r="K38" s="462" t="s">
        <v>1902</v>
      </c>
      <c r="L38" s="456">
        <v>5208</v>
      </c>
      <c r="M38" t="s">
        <v>12717</v>
      </c>
      <c r="O38" t="s">
        <v>12717</v>
      </c>
    </row>
    <row r="39" spans="1:15">
      <c r="A39" s="422" t="s">
        <v>2049</v>
      </c>
      <c r="B39" s="445" t="s">
        <v>1906</v>
      </c>
      <c r="C39" s="445" t="s">
        <v>1943</v>
      </c>
      <c r="D39" t="s">
        <v>12717</v>
      </c>
      <c r="E39" s="445" t="s">
        <v>1864</v>
      </c>
      <c r="F39" t="s">
        <v>12717</v>
      </c>
      <c r="G39" t="s">
        <v>12717</v>
      </c>
      <c r="H39" t="s">
        <v>12717</v>
      </c>
      <c r="I39" t="s">
        <v>12717</v>
      </c>
      <c r="J39" t="s">
        <v>12717</v>
      </c>
      <c r="K39" s="456" t="s">
        <v>1904</v>
      </c>
      <c r="L39" s="456">
        <v>303</v>
      </c>
      <c r="M39" s="445" t="s">
        <v>1906</v>
      </c>
      <c r="O39" t="s">
        <v>12717</v>
      </c>
    </row>
    <row r="40" spans="1:15" ht="15" thickBot="1">
      <c r="A40" s="425" t="s">
        <v>2100</v>
      </c>
      <c r="B40" s="448" t="s">
        <v>1906</v>
      </c>
      <c r="C40" s="448" t="s">
        <v>1943</v>
      </c>
      <c r="D40" t="s">
        <v>12717</v>
      </c>
      <c r="E40" s="448" t="s">
        <v>1864</v>
      </c>
      <c r="F40" t="s">
        <v>12717</v>
      </c>
      <c r="G40" t="s">
        <v>12717</v>
      </c>
      <c r="H40" t="s">
        <v>12717</v>
      </c>
      <c r="I40" t="s">
        <v>12717</v>
      </c>
      <c r="J40" t="s">
        <v>12717</v>
      </c>
      <c r="K40" s="461" t="s">
        <v>1904</v>
      </c>
      <c r="L40" s="461">
        <v>303</v>
      </c>
      <c r="M40" s="448" t="s">
        <v>1906</v>
      </c>
      <c r="O40" t="s">
        <v>12717</v>
      </c>
    </row>
    <row r="41" spans="1:15">
      <c r="A41" s="424" t="s">
        <v>1944</v>
      </c>
      <c r="B41" s="445" t="s">
        <v>1945</v>
      </c>
      <c r="C41" s="446" t="s">
        <v>1806</v>
      </c>
      <c r="D41" s="446">
        <v>222446</v>
      </c>
      <c r="E41" s="445" t="s">
        <v>1864</v>
      </c>
      <c r="F41" t="s">
        <v>12717</v>
      </c>
      <c r="G41" t="s">
        <v>12717</v>
      </c>
      <c r="H41" t="s">
        <v>12717</v>
      </c>
      <c r="I41" t="s">
        <v>12717</v>
      </c>
      <c r="J41" t="s">
        <v>12717</v>
      </c>
      <c r="K41" t="s">
        <v>12717</v>
      </c>
      <c r="L41" t="s">
        <v>12717</v>
      </c>
      <c r="M41" s="446" t="s">
        <v>1946</v>
      </c>
      <c r="O41" t="s">
        <v>12717</v>
      </c>
    </row>
    <row r="42" spans="1:15">
      <c r="A42" s="424" t="s">
        <v>1947</v>
      </c>
      <c r="B42" s="446" t="s">
        <v>1945</v>
      </c>
      <c r="C42" s="446" t="s">
        <v>1792</v>
      </c>
      <c r="D42" s="446">
        <v>7027337</v>
      </c>
      <c r="E42" s="445" t="s">
        <v>1864</v>
      </c>
      <c r="F42" t="s">
        <v>12717</v>
      </c>
      <c r="G42" t="s">
        <v>12717</v>
      </c>
      <c r="H42" t="s">
        <v>12717</v>
      </c>
      <c r="I42" t="s">
        <v>12717</v>
      </c>
      <c r="J42" t="s">
        <v>12717</v>
      </c>
      <c r="K42" s="462" t="s">
        <v>1902</v>
      </c>
      <c r="L42" s="533" t="s">
        <v>2221</v>
      </c>
      <c r="M42" t="s">
        <v>12717</v>
      </c>
      <c r="O42" t="s">
        <v>12717</v>
      </c>
    </row>
    <row r="43" spans="1:15">
      <c r="A43" s="424" t="s">
        <v>1948</v>
      </c>
      <c r="B43" s="446" t="s">
        <v>1763</v>
      </c>
      <c r="C43" s="446" t="s">
        <v>1826</v>
      </c>
      <c r="D43" s="447" t="s">
        <v>1949</v>
      </c>
      <c r="E43" s="445" t="s">
        <v>1864</v>
      </c>
      <c r="F43" t="s">
        <v>12717</v>
      </c>
      <c r="G43" t="s">
        <v>12717</v>
      </c>
      <c r="H43" t="s">
        <v>12717</v>
      </c>
      <c r="I43" t="s">
        <v>12717</v>
      </c>
      <c r="J43" t="s">
        <v>12717</v>
      </c>
      <c r="K43" t="s">
        <v>12717</v>
      </c>
      <c r="L43" t="s">
        <v>12717</v>
      </c>
      <c r="M43" s="447" t="s">
        <v>1950</v>
      </c>
      <c r="O43" t="s">
        <v>12717</v>
      </c>
    </row>
    <row r="44" spans="1:15">
      <c r="A44" s="424" t="s">
        <v>1951</v>
      </c>
      <c r="B44" s="446" t="s">
        <v>1952</v>
      </c>
      <c r="C44" s="446" t="s">
        <v>1790</v>
      </c>
      <c r="D44" s="447" t="s">
        <v>1953</v>
      </c>
      <c r="E44" s="445" t="s">
        <v>1864</v>
      </c>
      <c r="F44" t="s">
        <v>12717</v>
      </c>
      <c r="G44" t="s">
        <v>12717</v>
      </c>
      <c r="H44" t="s">
        <v>12717</v>
      </c>
      <c r="I44" t="s">
        <v>12717</v>
      </c>
      <c r="J44" t="s">
        <v>12717</v>
      </c>
      <c r="K44" t="s">
        <v>12717</v>
      </c>
      <c r="L44" t="s">
        <v>12717</v>
      </c>
      <c r="M44" s="447" t="s">
        <v>1954</v>
      </c>
      <c r="O44" t="s">
        <v>12717</v>
      </c>
    </row>
    <row r="45" spans="1:15">
      <c r="A45" s="424" t="s">
        <v>1955</v>
      </c>
      <c r="B45" s="449" t="s">
        <v>1952</v>
      </c>
      <c r="C45" s="449" t="s">
        <v>1770</v>
      </c>
      <c r="D45" s="450" t="s">
        <v>1956</v>
      </c>
      <c r="E45" s="451" t="s">
        <v>1864</v>
      </c>
      <c r="F45" t="s">
        <v>12717</v>
      </c>
      <c r="G45" t="s">
        <v>12717</v>
      </c>
      <c r="H45" t="s">
        <v>12717</v>
      </c>
      <c r="I45" t="s">
        <v>12717</v>
      </c>
      <c r="J45" t="s">
        <v>12717</v>
      </c>
      <c r="K45" t="s">
        <v>12717</v>
      </c>
      <c r="L45" t="s">
        <v>12717</v>
      </c>
      <c r="M45" s="447" t="s">
        <v>1875</v>
      </c>
      <c r="O45" t="s">
        <v>12717</v>
      </c>
    </row>
    <row r="46" spans="1:15">
      <c r="A46" s="424" t="s">
        <v>1957</v>
      </c>
      <c r="B46" s="449" t="s">
        <v>1763</v>
      </c>
      <c r="C46" s="449" t="s">
        <v>1781</v>
      </c>
      <c r="D46" s="450" t="s">
        <v>1958</v>
      </c>
      <c r="E46" s="451" t="s">
        <v>1864</v>
      </c>
      <c r="F46" t="s">
        <v>12717</v>
      </c>
      <c r="G46" t="s">
        <v>12717</v>
      </c>
      <c r="H46" t="s">
        <v>12717</v>
      </c>
      <c r="I46" t="s">
        <v>12717</v>
      </c>
      <c r="J46" t="s">
        <v>12717</v>
      </c>
      <c r="K46" t="s">
        <v>12717</v>
      </c>
      <c r="L46" t="s">
        <v>12717</v>
      </c>
      <c r="M46" s="447" t="s">
        <v>1950</v>
      </c>
      <c r="O46" t="s">
        <v>12717</v>
      </c>
    </row>
    <row r="47" spans="1:15">
      <c r="A47" s="424" t="s">
        <v>1959</v>
      </c>
      <c r="B47" s="445" t="s">
        <v>1763</v>
      </c>
      <c r="C47" s="446" t="s">
        <v>1784</v>
      </c>
      <c r="D47" t="s">
        <v>12717</v>
      </c>
      <c r="E47" s="451" t="s">
        <v>1864</v>
      </c>
      <c r="F47" t="s">
        <v>12717</v>
      </c>
      <c r="G47" t="s">
        <v>12717</v>
      </c>
      <c r="H47" t="s">
        <v>12717</v>
      </c>
      <c r="I47" t="s">
        <v>12717</v>
      </c>
      <c r="J47" t="s">
        <v>12717</v>
      </c>
      <c r="K47" s="460" t="s">
        <v>1904</v>
      </c>
      <c r="L47" s="460" t="s">
        <v>1960</v>
      </c>
      <c r="M47" t="s">
        <v>12717</v>
      </c>
      <c r="O47" t="s">
        <v>12717</v>
      </c>
    </row>
    <row r="48" spans="1:15">
      <c r="A48" s="424" t="s">
        <v>1961</v>
      </c>
      <c r="B48" s="445" t="s">
        <v>1952</v>
      </c>
      <c r="C48" s="446" t="s">
        <v>1814</v>
      </c>
      <c r="D48" s="446" t="s">
        <v>1962</v>
      </c>
      <c r="E48" s="445" t="s">
        <v>1864</v>
      </c>
      <c r="F48" t="s">
        <v>12717</v>
      </c>
      <c r="G48" t="s">
        <v>12717</v>
      </c>
      <c r="H48" t="s">
        <v>12717</v>
      </c>
      <c r="I48" t="s">
        <v>12717</v>
      </c>
      <c r="J48" t="s">
        <v>12717</v>
      </c>
      <c r="K48" t="s">
        <v>12717</v>
      </c>
      <c r="L48" t="s">
        <v>12717</v>
      </c>
      <c r="M48" s="446" t="s">
        <v>1963</v>
      </c>
      <c r="O48" t="s">
        <v>12717</v>
      </c>
    </row>
    <row r="49" spans="1:15">
      <c r="A49" s="424" t="s">
        <v>1964</v>
      </c>
      <c r="B49" s="445" t="s">
        <v>1945</v>
      </c>
      <c r="C49" s="445" t="s">
        <v>1939</v>
      </c>
      <c r="D49" s="445">
        <v>2063630000</v>
      </c>
      <c r="E49" s="445" t="s">
        <v>1864</v>
      </c>
      <c r="F49" t="s">
        <v>12717</v>
      </c>
      <c r="G49" t="s">
        <v>12717</v>
      </c>
      <c r="H49" t="s">
        <v>12717</v>
      </c>
      <c r="I49" t="s">
        <v>12717</v>
      </c>
      <c r="J49" t="s">
        <v>12717</v>
      </c>
      <c r="K49" t="s">
        <v>12717</v>
      </c>
      <c r="L49" t="s">
        <v>12717</v>
      </c>
      <c r="M49" s="445" t="s">
        <v>1900</v>
      </c>
      <c r="O49" t="s">
        <v>12717</v>
      </c>
    </row>
    <row r="50" spans="1:15" ht="15" thickBot="1">
      <c r="A50" s="426" t="s">
        <v>1965</v>
      </c>
      <c r="B50" s="448" t="s">
        <v>1945</v>
      </c>
      <c r="C50" s="448" t="s">
        <v>1934</v>
      </c>
      <c r="D50" s="452">
        <v>120029880019</v>
      </c>
      <c r="E50" s="448" t="s">
        <v>1864</v>
      </c>
      <c r="F50" t="s">
        <v>12717</v>
      </c>
      <c r="G50" t="s">
        <v>12717</v>
      </c>
      <c r="H50" t="s">
        <v>12717</v>
      </c>
      <c r="I50" t="s">
        <v>12717</v>
      </c>
      <c r="J50" t="s">
        <v>12717</v>
      </c>
      <c r="K50" s="461" t="s">
        <v>1894</v>
      </c>
      <c r="L50" s="461" t="s">
        <v>1966</v>
      </c>
      <c r="M50" t="s">
        <v>12717</v>
      </c>
      <c r="O50" t="s">
        <v>12717</v>
      </c>
    </row>
    <row r="51" spans="1:15">
      <c r="A51" s="544" t="s">
        <v>2231</v>
      </c>
      <c r="B51" s="549" t="s">
        <v>1971</v>
      </c>
      <c r="C51" s="545" t="s">
        <v>1967</v>
      </c>
      <c r="D51" t="s">
        <v>12717</v>
      </c>
      <c r="E51" s="545" t="s">
        <v>1864</v>
      </c>
      <c r="F51" t="s">
        <v>12717</v>
      </c>
      <c r="G51" t="s">
        <v>12717</v>
      </c>
      <c r="H51" t="s">
        <v>12717</v>
      </c>
      <c r="I51" t="s">
        <v>12717</v>
      </c>
      <c r="J51" t="s">
        <v>12717</v>
      </c>
      <c r="K51" t="s">
        <v>12717</v>
      </c>
      <c r="L51" t="s">
        <v>12717</v>
      </c>
      <c r="M51" s="545" t="s">
        <v>2232</v>
      </c>
      <c r="O51" t="s">
        <v>12717</v>
      </c>
    </row>
    <row r="52" spans="1:15">
      <c r="A52" s="544" t="s">
        <v>2233</v>
      </c>
      <c r="B52" s="549" t="s">
        <v>1971</v>
      </c>
      <c r="C52" s="545" t="s">
        <v>1811</v>
      </c>
      <c r="D52" t="s">
        <v>12717</v>
      </c>
      <c r="E52" s="545" t="s">
        <v>1864</v>
      </c>
      <c r="F52" t="s">
        <v>12717</v>
      </c>
      <c r="G52" t="s">
        <v>12717</v>
      </c>
      <c r="H52" t="s">
        <v>12717</v>
      </c>
      <c r="I52" t="s">
        <v>12717</v>
      </c>
      <c r="J52" t="s">
        <v>12717</v>
      </c>
      <c r="K52" t="s">
        <v>12717</v>
      </c>
      <c r="L52" t="s">
        <v>12717</v>
      </c>
      <c r="M52" s="545" t="s">
        <v>1969</v>
      </c>
      <c r="O52" t="s">
        <v>12717</v>
      </c>
    </row>
    <row r="53" spans="1:15">
      <c r="A53" s="544" t="s">
        <v>2234</v>
      </c>
      <c r="B53" s="545" t="s">
        <v>1764</v>
      </c>
      <c r="C53" s="545" t="s">
        <v>1840</v>
      </c>
      <c r="D53" t="s">
        <v>12717</v>
      </c>
      <c r="E53" s="545" t="s">
        <v>1864</v>
      </c>
      <c r="F53" t="s">
        <v>12717</v>
      </c>
      <c r="G53" t="s">
        <v>12717</v>
      </c>
      <c r="H53" t="s">
        <v>12717</v>
      </c>
      <c r="I53" t="s">
        <v>12717</v>
      </c>
      <c r="J53" t="s">
        <v>12717</v>
      </c>
      <c r="K53" s="545" t="s">
        <v>1927</v>
      </c>
      <c r="L53" s="545" t="s">
        <v>1970</v>
      </c>
      <c r="M53" t="s">
        <v>12717</v>
      </c>
      <c r="O53" t="s">
        <v>12717</v>
      </c>
    </row>
    <row r="54" spans="1:15">
      <c r="A54" s="544" t="s">
        <v>2235</v>
      </c>
      <c r="B54" s="549" t="s">
        <v>1971</v>
      </c>
      <c r="C54" s="546" t="s">
        <v>1967</v>
      </c>
      <c r="D54" t="s">
        <v>12717</v>
      </c>
      <c r="E54" s="546" t="s">
        <v>1864</v>
      </c>
      <c r="F54" t="s">
        <v>12717</v>
      </c>
      <c r="G54" t="s">
        <v>12717</v>
      </c>
      <c r="H54" t="s">
        <v>12717</v>
      </c>
      <c r="I54" t="s">
        <v>12717</v>
      </c>
      <c r="J54" t="s">
        <v>12717</v>
      </c>
      <c r="K54" t="s">
        <v>12717</v>
      </c>
      <c r="L54" t="s">
        <v>12717</v>
      </c>
      <c r="M54" s="546" t="s">
        <v>1968</v>
      </c>
      <c r="O54" t="s">
        <v>12717</v>
      </c>
    </row>
    <row r="55" spans="1:15">
      <c r="A55" s="548" t="s">
        <v>2236</v>
      </c>
      <c r="B55" s="549" t="s">
        <v>1971</v>
      </c>
      <c r="C55" s="549" t="s">
        <v>1775</v>
      </c>
      <c r="D55" t="s">
        <v>12717</v>
      </c>
      <c r="E55" s="549" t="s">
        <v>1864</v>
      </c>
      <c r="F55" t="s">
        <v>12717</v>
      </c>
      <c r="G55" t="s">
        <v>12717</v>
      </c>
      <c r="H55" t="s">
        <v>12717</v>
      </c>
      <c r="I55" t="s">
        <v>12717</v>
      </c>
      <c r="J55" t="s">
        <v>12717</v>
      </c>
      <c r="K55" t="s">
        <v>12717</v>
      </c>
      <c r="L55" t="s">
        <v>12717</v>
      </c>
      <c r="M55" s="549" t="s">
        <v>1971</v>
      </c>
      <c r="O55" t="s">
        <v>12717</v>
      </c>
    </row>
    <row r="56" spans="1:15">
      <c r="A56" s="548" t="s">
        <v>2237</v>
      </c>
      <c r="B56" s="549" t="s">
        <v>1971</v>
      </c>
      <c r="C56" s="549" t="s">
        <v>1829</v>
      </c>
      <c r="D56" t="s">
        <v>12717</v>
      </c>
      <c r="E56" s="549" t="s">
        <v>1864</v>
      </c>
      <c r="F56" t="s">
        <v>12717</v>
      </c>
      <c r="G56" t="s">
        <v>12717</v>
      </c>
      <c r="H56" t="s">
        <v>12717</v>
      </c>
      <c r="I56" t="s">
        <v>12717</v>
      </c>
      <c r="J56" t="s">
        <v>12717</v>
      </c>
      <c r="K56" t="s">
        <v>12717</v>
      </c>
      <c r="L56" t="s">
        <v>12717</v>
      </c>
      <c r="M56" s="549" t="s">
        <v>2238</v>
      </c>
      <c r="O56" t="s">
        <v>12717</v>
      </c>
    </row>
    <row r="57" spans="1:15" ht="15" thickBot="1">
      <c r="A57" s="548" t="s">
        <v>2239</v>
      </c>
      <c r="B57" s="549" t="s">
        <v>1971</v>
      </c>
      <c r="C57" s="547" t="s">
        <v>2200</v>
      </c>
      <c r="D57" t="s">
        <v>12717</v>
      </c>
      <c r="E57" s="549" t="s">
        <v>1864</v>
      </c>
      <c r="F57" t="s">
        <v>12717</v>
      </c>
      <c r="G57" t="s">
        <v>12717</v>
      </c>
      <c r="H57" t="s">
        <v>12717</v>
      </c>
      <c r="I57" t="s">
        <v>12717</v>
      </c>
      <c r="J57" t="s">
        <v>12717</v>
      </c>
      <c r="K57" t="s">
        <v>12717</v>
      </c>
      <c r="L57" t="s">
        <v>12717</v>
      </c>
      <c r="M57" s="549" t="s">
        <v>2240</v>
      </c>
      <c r="O57" t="s">
        <v>12717</v>
      </c>
    </row>
    <row r="58" spans="1:15" ht="15" thickBot="1">
      <c r="A58" s="427" t="s">
        <v>12818</v>
      </c>
      <c r="B58" s="453" t="s">
        <v>1765</v>
      </c>
      <c r="C58" s="453" t="s">
        <v>1808</v>
      </c>
      <c r="D58" s="454" t="s">
        <v>1973</v>
      </c>
      <c r="E58" s="453" t="s">
        <v>1864</v>
      </c>
      <c r="F58" t="s">
        <v>12717</v>
      </c>
      <c r="G58" t="s">
        <v>12717</v>
      </c>
      <c r="H58" t="s">
        <v>12717</v>
      </c>
      <c r="I58" t="s">
        <v>12717</v>
      </c>
      <c r="J58" t="s">
        <v>12717</v>
      </c>
      <c r="K58" t="s">
        <v>12717</v>
      </c>
      <c r="L58" t="s">
        <v>12717</v>
      </c>
      <c r="M58" s="453" t="s">
        <v>1765</v>
      </c>
      <c r="O58" t="s">
        <v>12717</v>
      </c>
    </row>
    <row r="59" spans="1:15">
      <c r="A59" s="422" t="s">
        <v>2074</v>
      </c>
      <c r="B59" s="455" t="s">
        <v>2050</v>
      </c>
      <c r="C59" s="455" t="s">
        <v>1781</v>
      </c>
      <c r="D59" t="s">
        <v>12717</v>
      </c>
      <c r="E59" s="455" t="s">
        <v>1864</v>
      </c>
      <c r="F59" t="s">
        <v>12717</v>
      </c>
      <c r="G59" t="s">
        <v>12717</v>
      </c>
      <c r="H59" t="s">
        <v>12717</v>
      </c>
      <c r="I59" t="s">
        <v>12717</v>
      </c>
      <c r="J59" t="s">
        <v>12717</v>
      </c>
      <c r="K59" t="s">
        <v>12717</v>
      </c>
      <c r="L59" t="s">
        <v>12717</v>
      </c>
      <c r="M59" s="455" t="s">
        <v>1865</v>
      </c>
      <c r="O59" t="s">
        <v>12717</v>
      </c>
    </row>
    <row r="60" spans="1:15">
      <c r="A60" s="444" t="s">
        <v>2075</v>
      </c>
      <c r="B60" s="455" t="s">
        <v>1870</v>
      </c>
      <c r="C60" s="446" t="s">
        <v>1835</v>
      </c>
      <c r="D60" s="456">
        <v>5295009863</v>
      </c>
      <c r="E60" s="455" t="s">
        <v>1864</v>
      </c>
      <c r="F60" t="s">
        <v>12717</v>
      </c>
      <c r="G60" t="s">
        <v>12717</v>
      </c>
      <c r="H60" t="s">
        <v>12717</v>
      </c>
      <c r="I60" t="s">
        <v>12717</v>
      </c>
      <c r="J60" t="s">
        <v>12717</v>
      </c>
      <c r="K60" t="s">
        <v>12717</v>
      </c>
      <c r="L60" t="s">
        <v>12717</v>
      </c>
      <c r="M60" s="455" t="s">
        <v>2051</v>
      </c>
      <c r="O60" t="s">
        <v>12717</v>
      </c>
    </row>
    <row r="61" spans="1:15">
      <c r="A61" s="444" t="s">
        <v>2076</v>
      </c>
      <c r="B61" s="455" t="s">
        <v>1870</v>
      </c>
      <c r="C61" s="446" t="s">
        <v>1770</v>
      </c>
      <c r="D61" s="456" t="s">
        <v>2052</v>
      </c>
      <c r="E61" s="455" t="s">
        <v>1864</v>
      </c>
      <c r="F61" t="s">
        <v>12717</v>
      </c>
      <c r="G61" t="s">
        <v>12717</v>
      </c>
      <c r="H61" t="s">
        <v>12717</v>
      </c>
      <c r="I61" t="s">
        <v>12717</v>
      </c>
      <c r="J61" t="s">
        <v>12717</v>
      </c>
      <c r="K61" t="s">
        <v>12717</v>
      </c>
      <c r="L61" t="s">
        <v>12717</v>
      </c>
      <c r="M61" s="455" t="s">
        <v>1875</v>
      </c>
      <c r="O61" t="s">
        <v>12717</v>
      </c>
    </row>
    <row r="62" spans="1:15">
      <c r="A62" s="444" t="s">
        <v>2077</v>
      </c>
      <c r="B62" s="455" t="s">
        <v>1870</v>
      </c>
      <c r="C62" s="455" t="s">
        <v>1826</v>
      </c>
      <c r="D62" t="s">
        <v>12717</v>
      </c>
      <c r="E62" s="455" t="s">
        <v>1864</v>
      </c>
      <c r="F62" t="s">
        <v>12717</v>
      </c>
      <c r="G62" t="s">
        <v>12717</v>
      </c>
      <c r="H62" t="s">
        <v>12717</v>
      </c>
      <c r="I62" t="s">
        <v>12717</v>
      </c>
      <c r="J62" t="s">
        <v>12717</v>
      </c>
      <c r="K62" t="s">
        <v>12717</v>
      </c>
      <c r="L62" t="s">
        <v>12717</v>
      </c>
      <c r="M62" s="455" t="s">
        <v>1865</v>
      </c>
      <c r="O62" t="s">
        <v>12717</v>
      </c>
    </row>
    <row r="63" spans="1:15">
      <c r="A63" s="444" t="s">
        <v>2078</v>
      </c>
      <c r="B63" s="455" t="s">
        <v>2050</v>
      </c>
      <c r="C63" s="455" t="s">
        <v>1790</v>
      </c>
      <c r="D63" s="457" t="s">
        <v>2053</v>
      </c>
      <c r="E63" s="455" t="s">
        <v>1864</v>
      </c>
      <c r="F63" t="s">
        <v>12717</v>
      </c>
      <c r="G63" t="s">
        <v>12717</v>
      </c>
      <c r="H63" t="s">
        <v>12717</v>
      </c>
      <c r="I63" t="s">
        <v>12717</v>
      </c>
      <c r="J63" t="s">
        <v>12717</v>
      </c>
      <c r="K63" t="s">
        <v>12717</v>
      </c>
      <c r="L63" t="s">
        <v>12717</v>
      </c>
      <c r="M63" s="455" t="s">
        <v>1865</v>
      </c>
      <c r="O63" t="s">
        <v>12717</v>
      </c>
    </row>
    <row r="64" spans="1:15">
      <c r="A64" s="444" t="s">
        <v>2079</v>
      </c>
      <c r="B64" s="455" t="s">
        <v>2050</v>
      </c>
      <c r="C64" s="455" t="s">
        <v>1817</v>
      </c>
      <c r="D64" t="s">
        <v>12717</v>
      </c>
      <c r="E64" s="455" t="s">
        <v>1864</v>
      </c>
      <c r="F64" t="s">
        <v>12717</v>
      </c>
      <c r="G64" t="s">
        <v>12717</v>
      </c>
      <c r="H64" t="s">
        <v>12717</v>
      </c>
      <c r="I64" t="s">
        <v>12717</v>
      </c>
      <c r="J64" t="s">
        <v>12717</v>
      </c>
      <c r="K64" t="s">
        <v>12717</v>
      </c>
      <c r="L64" t="s">
        <v>12717</v>
      </c>
      <c r="M64" s="455" t="s">
        <v>1865</v>
      </c>
      <c r="O64" t="s">
        <v>12717</v>
      </c>
    </row>
    <row r="65" spans="1:15">
      <c r="A65" s="444" t="s">
        <v>2080</v>
      </c>
      <c r="B65" s="455" t="s">
        <v>1870</v>
      </c>
      <c r="C65" s="455" t="s">
        <v>1837</v>
      </c>
      <c r="D65" s="456">
        <v>60040076865</v>
      </c>
      <c r="E65" s="455" t="s">
        <v>1864</v>
      </c>
      <c r="F65" t="s">
        <v>12717</v>
      </c>
      <c r="G65" t="s">
        <v>12717</v>
      </c>
      <c r="H65" t="s">
        <v>12717</v>
      </c>
      <c r="I65" t="s">
        <v>12717</v>
      </c>
      <c r="J65" t="s">
        <v>12717</v>
      </c>
      <c r="K65" t="s">
        <v>12717</v>
      </c>
      <c r="L65" t="s">
        <v>12717</v>
      </c>
      <c r="M65" s="455" t="s">
        <v>1892</v>
      </c>
      <c r="O65" t="s">
        <v>12717</v>
      </c>
    </row>
    <row r="66" spans="1:15">
      <c r="A66" s="444" t="s">
        <v>2081</v>
      </c>
      <c r="B66" s="455" t="s">
        <v>1870</v>
      </c>
      <c r="C66" s="446" t="s">
        <v>2054</v>
      </c>
      <c r="D66" s="457" t="s">
        <v>2055</v>
      </c>
      <c r="E66" s="455" t="s">
        <v>1864</v>
      </c>
      <c r="F66" t="s">
        <v>12717</v>
      </c>
      <c r="G66" t="s">
        <v>12717</v>
      </c>
      <c r="H66" t="s">
        <v>12717</v>
      </c>
      <c r="I66" t="s">
        <v>12717</v>
      </c>
      <c r="J66" t="s">
        <v>12717</v>
      </c>
      <c r="K66" t="s">
        <v>12717</v>
      </c>
      <c r="L66" t="s">
        <v>12717</v>
      </c>
      <c r="M66" s="455" t="s">
        <v>2056</v>
      </c>
      <c r="O66" t="s">
        <v>12717</v>
      </c>
    </row>
    <row r="67" spans="1:15">
      <c r="A67" s="444" t="s">
        <v>2082</v>
      </c>
      <c r="B67" s="455" t="s">
        <v>1870</v>
      </c>
      <c r="C67" s="455" t="s">
        <v>1798</v>
      </c>
      <c r="D67" s="456">
        <v>28278901</v>
      </c>
      <c r="E67" s="455" t="s">
        <v>1864</v>
      </c>
      <c r="F67" t="s">
        <v>12717</v>
      </c>
      <c r="G67" t="s">
        <v>12717</v>
      </c>
      <c r="H67" t="s">
        <v>12717</v>
      </c>
      <c r="I67" t="s">
        <v>12717</v>
      </c>
      <c r="J67" t="s">
        <v>12717</v>
      </c>
      <c r="K67" t="s">
        <v>12717</v>
      </c>
      <c r="L67" t="s">
        <v>12717</v>
      </c>
      <c r="M67" s="455" t="s">
        <v>1886</v>
      </c>
      <c r="O67" t="s">
        <v>12717</v>
      </c>
    </row>
    <row r="68" spans="1:15">
      <c r="A68" s="444" t="s">
        <v>2083</v>
      </c>
      <c r="B68" s="455" t="s">
        <v>1870</v>
      </c>
      <c r="C68" s="455" t="s">
        <v>1801</v>
      </c>
      <c r="D68" s="457" t="s">
        <v>2057</v>
      </c>
      <c r="E68" s="455" t="s">
        <v>1864</v>
      </c>
      <c r="F68" t="s">
        <v>12717</v>
      </c>
      <c r="G68" t="s">
        <v>12717</v>
      </c>
      <c r="H68" t="s">
        <v>12717</v>
      </c>
      <c r="I68" t="s">
        <v>12717</v>
      </c>
      <c r="J68" t="s">
        <v>12717</v>
      </c>
      <c r="K68" t="s">
        <v>12717</v>
      </c>
      <c r="L68" t="s">
        <v>12717</v>
      </c>
      <c r="M68" s="455" t="s">
        <v>1872</v>
      </c>
      <c r="O68" t="s">
        <v>12717</v>
      </c>
    </row>
    <row r="69" spans="1:15">
      <c r="A69" s="444" t="s">
        <v>2084</v>
      </c>
      <c r="B69" s="455" t="s">
        <v>1870</v>
      </c>
      <c r="C69" s="455" t="s">
        <v>1833</v>
      </c>
      <c r="D69" s="457" t="s">
        <v>2058</v>
      </c>
      <c r="E69" s="455" t="s">
        <v>1864</v>
      </c>
      <c r="F69" t="s">
        <v>12717</v>
      </c>
      <c r="G69" t="s">
        <v>12717</v>
      </c>
      <c r="H69" t="s">
        <v>12717</v>
      </c>
      <c r="I69" t="s">
        <v>12717</v>
      </c>
      <c r="J69" t="s">
        <v>12717</v>
      </c>
      <c r="K69" t="s">
        <v>12717</v>
      </c>
      <c r="L69" t="s">
        <v>12717</v>
      </c>
      <c r="M69" s="455" t="s">
        <v>1889</v>
      </c>
      <c r="O69" t="s">
        <v>12717</v>
      </c>
    </row>
    <row r="70" spans="1:15">
      <c r="A70" s="444" t="s">
        <v>2085</v>
      </c>
      <c r="B70" s="455" t="s">
        <v>1870</v>
      </c>
      <c r="C70" s="455" t="s">
        <v>1803</v>
      </c>
      <c r="D70" s="457" t="s">
        <v>2059</v>
      </c>
      <c r="E70" s="455" t="s">
        <v>1864</v>
      </c>
      <c r="F70" t="s">
        <v>12717</v>
      </c>
      <c r="G70" t="s">
        <v>12717</v>
      </c>
      <c r="H70" t="s">
        <v>12717</v>
      </c>
      <c r="I70" t="s">
        <v>12717</v>
      </c>
      <c r="J70" t="s">
        <v>12717</v>
      </c>
      <c r="K70" s="457" t="s">
        <v>1937</v>
      </c>
      <c r="L70" s="457" t="s">
        <v>2060</v>
      </c>
      <c r="M70" s="455" t="s">
        <v>1898</v>
      </c>
      <c r="O70" t="s">
        <v>12717</v>
      </c>
    </row>
    <row r="71" spans="1:15">
      <c r="A71" s="444" t="s">
        <v>2086</v>
      </c>
      <c r="B71" s="455" t="s">
        <v>1870</v>
      </c>
      <c r="C71" s="446" t="s">
        <v>1784</v>
      </c>
      <c r="D71" s="456">
        <v>748086</v>
      </c>
      <c r="E71" s="455" t="s">
        <v>1864</v>
      </c>
      <c r="F71" t="s">
        <v>12717</v>
      </c>
      <c r="G71" t="s">
        <v>12717</v>
      </c>
      <c r="H71" t="s">
        <v>12717</v>
      </c>
      <c r="I71" t="s">
        <v>12717</v>
      </c>
      <c r="J71" t="s">
        <v>12717</v>
      </c>
      <c r="K71" s="463" t="s">
        <v>1904</v>
      </c>
      <c r="L71" s="457" t="s">
        <v>1905</v>
      </c>
      <c r="M71" s="455" t="s">
        <v>2061</v>
      </c>
      <c r="O71" t="s">
        <v>12717</v>
      </c>
    </row>
    <row r="72" spans="1:15">
      <c r="A72" s="444" t="s">
        <v>2087</v>
      </c>
      <c r="B72" s="455" t="s">
        <v>2050</v>
      </c>
      <c r="C72" s="446" t="s">
        <v>1814</v>
      </c>
      <c r="D72" t="s">
        <v>12717</v>
      </c>
      <c r="E72" s="455" t="s">
        <v>1864</v>
      </c>
      <c r="F72" t="s">
        <v>12717</v>
      </c>
      <c r="G72" t="s">
        <v>12717</v>
      </c>
      <c r="H72" t="s">
        <v>12717</v>
      </c>
      <c r="I72" t="s">
        <v>12717</v>
      </c>
      <c r="J72" t="s">
        <v>12717</v>
      </c>
      <c r="K72" t="s">
        <v>12717</v>
      </c>
      <c r="L72" t="s">
        <v>12717</v>
      </c>
      <c r="M72" s="455" t="s">
        <v>2062</v>
      </c>
      <c r="O72" t="s">
        <v>12717</v>
      </c>
    </row>
    <row r="73" spans="1:15">
      <c r="A73" s="444" t="s">
        <v>2088</v>
      </c>
      <c r="B73" s="455" t="s">
        <v>1870</v>
      </c>
      <c r="C73" s="455" t="s">
        <v>1820</v>
      </c>
      <c r="D73" s="457" t="s">
        <v>2063</v>
      </c>
      <c r="E73" s="455" t="s">
        <v>1864</v>
      </c>
      <c r="F73" t="s">
        <v>12717</v>
      </c>
      <c r="G73" t="s">
        <v>12717</v>
      </c>
      <c r="H73" t="s">
        <v>12717</v>
      </c>
      <c r="I73" t="s">
        <v>12717</v>
      </c>
      <c r="J73" t="s">
        <v>12717</v>
      </c>
      <c r="K73" t="s">
        <v>12717</v>
      </c>
      <c r="L73" t="s">
        <v>12717</v>
      </c>
      <c r="M73" s="455" t="s">
        <v>2064</v>
      </c>
      <c r="O73" t="s">
        <v>12717</v>
      </c>
    </row>
    <row r="74" spans="1:15">
      <c r="A74" s="444" t="s">
        <v>2089</v>
      </c>
      <c r="B74" s="455" t="s">
        <v>1870</v>
      </c>
      <c r="C74" s="455" t="s">
        <v>1840</v>
      </c>
      <c r="D74" s="457" t="s">
        <v>2065</v>
      </c>
      <c r="E74" s="455" t="s">
        <v>1864</v>
      </c>
      <c r="F74" t="s">
        <v>12717</v>
      </c>
      <c r="G74" t="s">
        <v>12717</v>
      </c>
      <c r="H74" t="s">
        <v>12717</v>
      </c>
      <c r="I74" t="s">
        <v>12717</v>
      </c>
      <c r="J74" t="s">
        <v>12717</v>
      </c>
      <c r="K74" s="457" t="s">
        <v>1927</v>
      </c>
      <c r="L74" s="457" t="s">
        <v>2066</v>
      </c>
      <c r="M74" s="455" t="s">
        <v>2067</v>
      </c>
      <c r="O74" t="s">
        <v>12717</v>
      </c>
    </row>
    <row r="75" spans="1:15">
      <c r="A75" s="444" t="s">
        <v>2090</v>
      </c>
      <c r="B75" s="455" t="s">
        <v>1870</v>
      </c>
      <c r="C75" s="446" t="s">
        <v>1806</v>
      </c>
      <c r="D75" s="457">
        <v>100502601</v>
      </c>
      <c r="E75" s="455" t="s">
        <v>1864</v>
      </c>
      <c r="F75" t="s">
        <v>12717</v>
      </c>
      <c r="G75" t="s">
        <v>12717</v>
      </c>
      <c r="H75" t="s">
        <v>12717</v>
      </c>
      <c r="I75" t="s">
        <v>12717</v>
      </c>
      <c r="J75" t="s">
        <v>12717</v>
      </c>
      <c r="K75" t="s">
        <v>12717</v>
      </c>
      <c r="L75" t="s">
        <v>12717</v>
      </c>
      <c r="M75" s="455" t="s">
        <v>1884</v>
      </c>
      <c r="O75" t="s">
        <v>12717</v>
      </c>
    </row>
    <row r="76" spans="1:15">
      <c r="A76" s="444" t="s">
        <v>2091</v>
      </c>
      <c r="B76" s="455" t="s">
        <v>1870</v>
      </c>
      <c r="C76" s="455" t="s">
        <v>1811</v>
      </c>
      <c r="D76" s="457" t="s">
        <v>2068</v>
      </c>
      <c r="E76" s="455" t="s">
        <v>1864</v>
      </c>
      <c r="F76" t="s">
        <v>12717</v>
      </c>
      <c r="G76" t="s">
        <v>12717</v>
      </c>
      <c r="H76" t="s">
        <v>12717</v>
      </c>
      <c r="I76" t="s">
        <v>12717</v>
      </c>
      <c r="J76" t="s">
        <v>12717</v>
      </c>
      <c r="K76" t="s">
        <v>12717</v>
      </c>
      <c r="L76" t="s">
        <v>12717</v>
      </c>
      <c r="M76" s="455" t="s">
        <v>2069</v>
      </c>
      <c r="O76" t="s">
        <v>12717</v>
      </c>
    </row>
    <row r="77" spans="1:15">
      <c r="A77" s="444" t="s">
        <v>2092</v>
      </c>
      <c r="B77" s="455" t="s">
        <v>1870</v>
      </c>
      <c r="C77" s="455" t="s">
        <v>1775</v>
      </c>
      <c r="D77" s="457" t="s">
        <v>2070</v>
      </c>
      <c r="E77" s="455" t="s">
        <v>1864</v>
      </c>
      <c r="F77" t="s">
        <v>12717</v>
      </c>
      <c r="G77" t="s">
        <v>12717</v>
      </c>
      <c r="H77" t="s">
        <v>12717</v>
      </c>
      <c r="I77" t="s">
        <v>12717</v>
      </c>
      <c r="J77" t="s">
        <v>12717</v>
      </c>
      <c r="K77" t="s">
        <v>12717</v>
      </c>
      <c r="L77" t="s">
        <v>12717</v>
      </c>
      <c r="M77" s="455" t="s">
        <v>2071</v>
      </c>
      <c r="O77" t="s">
        <v>12717</v>
      </c>
    </row>
    <row r="78" spans="1:15">
      <c r="A78" s="444" t="s">
        <v>2093</v>
      </c>
      <c r="B78" s="458" t="s">
        <v>2072</v>
      </c>
      <c r="C78" s="455" t="s">
        <v>1773</v>
      </c>
      <c r="D78" s="457">
        <v>2099100982</v>
      </c>
      <c r="E78" s="455" t="s">
        <v>1864</v>
      </c>
      <c r="F78" t="s">
        <v>12717</v>
      </c>
      <c r="G78" t="s">
        <v>12717</v>
      </c>
      <c r="H78" t="s">
        <v>12717</v>
      </c>
      <c r="I78" t="s">
        <v>12717</v>
      </c>
      <c r="J78" t="s">
        <v>12717</v>
      </c>
      <c r="K78" t="s">
        <v>12717</v>
      </c>
      <c r="L78" t="s">
        <v>12717</v>
      </c>
      <c r="M78" s="455" t="s">
        <v>1900</v>
      </c>
      <c r="O78" t="s">
        <v>12717</v>
      </c>
    </row>
    <row r="79" spans="1:15">
      <c r="A79" s="444" t="s">
        <v>2094</v>
      </c>
      <c r="B79" s="458" t="s">
        <v>2072</v>
      </c>
      <c r="C79" s="455" t="s">
        <v>1778</v>
      </c>
      <c r="D79" s="457">
        <v>6212721696</v>
      </c>
      <c r="E79" s="455" t="s">
        <v>1864</v>
      </c>
      <c r="F79" t="s">
        <v>12717</v>
      </c>
      <c r="G79" t="s">
        <v>12717</v>
      </c>
      <c r="H79" t="s">
        <v>12717</v>
      </c>
      <c r="I79" t="s">
        <v>12717</v>
      </c>
      <c r="J79" t="s">
        <v>12717</v>
      </c>
      <c r="K79" s="457" t="s">
        <v>1894</v>
      </c>
      <c r="L79" s="457" t="s">
        <v>1895</v>
      </c>
      <c r="M79" s="455" t="s">
        <v>2073</v>
      </c>
      <c r="O79" t="s">
        <v>12717</v>
      </c>
    </row>
    <row r="80" spans="1:15" s="515" customFormat="1">
      <c r="A80" s="510" t="s">
        <v>2095</v>
      </c>
      <c r="B80" s="511" t="s">
        <v>1870</v>
      </c>
      <c r="C80" s="512" t="s">
        <v>1792</v>
      </c>
      <c r="D80" s="513">
        <v>236706</v>
      </c>
      <c r="E80" s="511" t="s">
        <v>1864</v>
      </c>
      <c r="F80" t="s">
        <v>12717</v>
      </c>
      <c r="G80" t="s">
        <v>12717</v>
      </c>
      <c r="H80" t="s">
        <v>12717</v>
      </c>
      <c r="I80" t="s">
        <v>12717</v>
      </c>
      <c r="J80" t="s">
        <v>12717</v>
      </c>
      <c r="K80" s="514" t="s">
        <v>1902</v>
      </c>
      <c r="L80" s="513">
        <v>908</v>
      </c>
      <c r="M80" t="s">
        <v>12717</v>
      </c>
      <c r="N80"/>
      <c r="O80" t="s">
        <v>12717</v>
      </c>
    </row>
    <row r="81" spans="1:15">
      <c r="A81" s="503" t="s">
        <v>2173</v>
      </c>
      <c r="B81" s="442" t="s">
        <v>2174</v>
      </c>
      <c r="C81" s="442" t="s">
        <v>1781</v>
      </c>
      <c r="D81" s="442">
        <v>92835</v>
      </c>
      <c r="E81" s="442" t="s">
        <v>1864</v>
      </c>
      <c r="F81" t="s">
        <v>12717</v>
      </c>
      <c r="G81" t="s">
        <v>12717</v>
      </c>
      <c r="H81" t="s">
        <v>12717</v>
      </c>
      <c r="I81" t="s">
        <v>12717</v>
      </c>
      <c r="J81" t="s">
        <v>12717</v>
      </c>
      <c r="K81" t="s">
        <v>12717</v>
      </c>
      <c r="L81" t="s">
        <v>12717</v>
      </c>
      <c r="M81" s="442" t="s">
        <v>2175</v>
      </c>
      <c r="O81" t="s">
        <v>12717</v>
      </c>
    </row>
    <row r="82" spans="1:15">
      <c r="A82" s="503" t="s">
        <v>2173</v>
      </c>
      <c r="B82" s="442" t="s">
        <v>2174</v>
      </c>
      <c r="C82" s="504" t="s">
        <v>1835</v>
      </c>
      <c r="D82" s="505" t="s">
        <v>2176</v>
      </c>
      <c r="E82" s="442" t="s">
        <v>1864</v>
      </c>
      <c r="F82" t="s">
        <v>12717</v>
      </c>
      <c r="G82" t="s">
        <v>12717</v>
      </c>
      <c r="H82" t="s">
        <v>12717</v>
      </c>
      <c r="I82" t="s">
        <v>12717</v>
      </c>
      <c r="J82" t="s">
        <v>12717</v>
      </c>
      <c r="K82" t="s">
        <v>12717</v>
      </c>
      <c r="L82" t="s">
        <v>12717</v>
      </c>
      <c r="M82" s="442" t="s">
        <v>2174</v>
      </c>
      <c r="O82" t="s">
        <v>12717</v>
      </c>
    </row>
    <row r="83" spans="1:15">
      <c r="A83" s="503" t="s">
        <v>2173</v>
      </c>
      <c r="B83" s="442" t="s">
        <v>2174</v>
      </c>
      <c r="C83" s="504" t="s">
        <v>1770</v>
      </c>
      <c r="D83" t="s">
        <v>12717</v>
      </c>
      <c r="E83" s="442" t="s">
        <v>1864</v>
      </c>
      <c r="F83" t="s">
        <v>12717</v>
      </c>
      <c r="G83" t="s">
        <v>12717</v>
      </c>
      <c r="H83" t="s">
        <v>12717</v>
      </c>
      <c r="I83" t="s">
        <v>12717</v>
      </c>
      <c r="J83" t="s">
        <v>12717</v>
      </c>
      <c r="K83" t="s">
        <v>12717</v>
      </c>
      <c r="L83" t="s">
        <v>12717</v>
      </c>
      <c r="M83" s="442" t="s">
        <v>1913</v>
      </c>
      <c r="O83" t="s">
        <v>12717</v>
      </c>
    </row>
    <row r="84" spans="1:15">
      <c r="A84" s="503" t="s">
        <v>2173</v>
      </c>
      <c r="B84" s="442" t="s">
        <v>2174</v>
      </c>
      <c r="C84" s="442" t="s">
        <v>1826</v>
      </c>
      <c r="D84" s="442">
        <v>92835</v>
      </c>
      <c r="E84" s="442" t="s">
        <v>1864</v>
      </c>
      <c r="F84" t="s">
        <v>12717</v>
      </c>
      <c r="G84" t="s">
        <v>12717</v>
      </c>
      <c r="H84" t="s">
        <v>12717</v>
      </c>
      <c r="I84" t="s">
        <v>12717</v>
      </c>
      <c r="J84" t="s">
        <v>12717</v>
      </c>
      <c r="K84" t="s">
        <v>12717</v>
      </c>
      <c r="L84" t="s">
        <v>12717</v>
      </c>
      <c r="M84" s="442" t="s">
        <v>2175</v>
      </c>
      <c r="O84" t="s">
        <v>12717</v>
      </c>
    </row>
    <row r="85" spans="1:15">
      <c r="A85" s="503" t="s">
        <v>2173</v>
      </c>
      <c r="B85" s="442" t="s">
        <v>2174</v>
      </c>
      <c r="C85" s="442" t="s">
        <v>1790</v>
      </c>
      <c r="D85" s="442">
        <v>6500440000</v>
      </c>
      <c r="E85" s="442" t="s">
        <v>1864</v>
      </c>
      <c r="F85" t="s">
        <v>12717</v>
      </c>
      <c r="G85" t="s">
        <v>12717</v>
      </c>
      <c r="H85" t="s">
        <v>12717</v>
      </c>
      <c r="I85" t="s">
        <v>12717</v>
      </c>
      <c r="J85" t="s">
        <v>12717</v>
      </c>
      <c r="K85" t="s">
        <v>12717</v>
      </c>
      <c r="L85" t="s">
        <v>12717</v>
      </c>
      <c r="M85" s="442" t="s">
        <v>2177</v>
      </c>
      <c r="O85" t="s">
        <v>12717</v>
      </c>
    </row>
    <row r="86" spans="1:15">
      <c r="A86" s="503" t="s">
        <v>2173</v>
      </c>
      <c r="B86" s="442" t="s">
        <v>2174</v>
      </c>
      <c r="C86" s="442" t="s">
        <v>1817</v>
      </c>
      <c r="D86" s="442">
        <v>92835</v>
      </c>
      <c r="E86" s="442" t="s">
        <v>1864</v>
      </c>
      <c r="F86" t="s">
        <v>12717</v>
      </c>
      <c r="G86" t="s">
        <v>12717</v>
      </c>
      <c r="H86" t="s">
        <v>12717</v>
      </c>
      <c r="I86" t="s">
        <v>12717</v>
      </c>
      <c r="J86" t="s">
        <v>12717</v>
      </c>
      <c r="K86" t="s">
        <v>12717</v>
      </c>
      <c r="L86" t="s">
        <v>12717</v>
      </c>
      <c r="M86" s="442" t="s">
        <v>2175</v>
      </c>
      <c r="O86" t="s">
        <v>12717</v>
      </c>
    </row>
    <row r="87" spans="1:15">
      <c r="A87" s="503" t="s">
        <v>2173</v>
      </c>
      <c r="B87" s="442" t="s">
        <v>2174</v>
      </c>
      <c r="C87" s="442" t="s">
        <v>1837</v>
      </c>
      <c r="D87" s="442">
        <v>60040131231</v>
      </c>
      <c r="E87" s="442" t="s">
        <v>1864</v>
      </c>
      <c r="F87" t="s">
        <v>12717</v>
      </c>
      <c r="G87" t="s">
        <v>12717</v>
      </c>
      <c r="H87" t="s">
        <v>12717</v>
      </c>
      <c r="I87" t="s">
        <v>12717</v>
      </c>
      <c r="J87" t="s">
        <v>12717</v>
      </c>
      <c r="K87" t="s">
        <v>12717</v>
      </c>
      <c r="L87" t="s">
        <v>12717</v>
      </c>
      <c r="M87" s="442" t="s">
        <v>2178</v>
      </c>
      <c r="O87" t="s">
        <v>12717</v>
      </c>
    </row>
    <row r="88" spans="1:15">
      <c r="A88" s="503" t="s">
        <v>2173</v>
      </c>
      <c r="B88" s="442" t="s">
        <v>2174</v>
      </c>
      <c r="C88" s="504" t="s">
        <v>2054</v>
      </c>
      <c r="D88" s="442">
        <v>6400000</v>
      </c>
      <c r="E88" s="442" t="s">
        <v>1864</v>
      </c>
      <c r="F88" t="s">
        <v>12717</v>
      </c>
      <c r="G88" t="s">
        <v>12717</v>
      </c>
      <c r="H88" t="s">
        <v>12717</v>
      </c>
      <c r="I88" t="s">
        <v>12717</v>
      </c>
      <c r="J88" t="s">
        <v>12717</v>
      </c>
      <c r="K88" t="s">
        <v>12717</v>
      </c>
      <c r="L88" t="s">
        <v>12717</v>
      </c>
      <c r="M88" s="442" t="s">
        <v>2179</v>
      </c>
      <c r="O88" t="s">
        <v>12717</v>
      </c>
    </row>
    <row r="89" spans="1:15">
      <c r="A89" s="503" t="s">
        <v>2173</v>
      </c>
      <c r="B89" s="442" t="s">
        <v>2174</v>
      </c>
      <c r="C89" s="442" t="s">
        <v>1798</v>
      </c>
      <c r="D89" s="442" t="s">
        <v>2180</v>
      </c>
      <c r="E89" s="442" t="s">
        <v>1864</v>
      </c>
      <c r="F89" t="s">
        <v>12717</v>
      </c>
      <c r="G89" t="s">
        <v>12717</v>
      </c>
      <c r="H89" t="s">
        <v>12717</v>
      </c>
      <c r="I89" t="s">
        <v>12717</v>
      </c>
      <c r="J89" t="s">
        <v>12717</v>
      </c>
      <c r="K89" t="s">
        <v>12717</v>
      </c>
      <c r="L89" t="s">
        <v>12717</v>
      </c>
      <c r="M89" s="442" t="s">
        <v>1908</v>
      </c>
      <c r="O89" t="s">
        <v>12717</v>
      </c>
    </row>
    <row r="90" spans="1:15">
      <c r="A90" s="503" t="s">
        <v>2173</v>
      </c>
      <c r="B90" s="442" t="s">
        <v>2174</v>
      </c>
      <c r="C90" s="442" t="s">
        <v>1801</v>
      </c>
      <c r="D90" s="442" t="s">
        <v>2181</v>
      </c>
      <c r="E90" s="442" t="s">
        <v>1864</v>
      </c>
      <c r="F90" t="s">
        <v>12717</v>
      </c>
      <c r="G90" t="s">
        <v>12717</v>
      </c>
      <c r="H90" t="s">
        <v>12717</v>
      </c>
      <c r="I90" t="s">
        <v>12717</v>
      </c>
      <c r="J90" t="s">
        <v>12717</v>
      </c>
      <c r="K90" t="s">
        <v>12717</v>
      </c>
      <c r="L90" t="s">
        <v>12717</v>
      </c>
      <c r="M90" s="442" t="s">
        <v>2182</v>
      </c>
      <c r="O90" t="s">
        <v>12717</v>
      </c>
    </row>
    <row r="91" spans="1:15">
      <c r="A91" s="503" t="s">
        <v>2173</v>
      </c>
      <c r="B91" s="442" t="s">
        <v>2174</v>
      </c>
      <c r="C91" s="442" t="s">
        <v>1833</v>
      </c>
      <c r="D91" s="442">
        <v>9298827</v>
      </c>
      <c r="E91" s="442" t="s">
        <v>1864</v>
      </c>
      <c r="F91" t="s">
        <v>12717</v>
      </c>
      <c r="G91" t="s">
        <v>12717</v>
      </c>
      <c r="H91" t="s">
        <v>12717</v>
      </c>
      <c r="I91" t="s">
        <v>12717</v>
      </c>
      <c r="J91" t="s">
        <v>12717</v>
      </c>
      <c r="K91" t="s">
        <v>12717</v>
      </c>
      <c r="L91" t="s">
        <v>12717</v>
      </c>
      <c r="M91" s="442" t="s">
        <v>2183</v>
      </c>
      <c r="O91" t="s">
        <v>12717</v>
      </c>
    </row>
    <row r="92" spans="1:15">
      <c r="A92" s="503" t="s">
        <v>2173</v>
      </c>
      <c r="B92" s="442" t="s">
        <v>2174</v>
      </c>
      <c r="C92" s="442" t="s">
        <v>1803</v>
      </c>
      <c r="D92" t="s">
        <v>12717</v>
      </c>
      <c r="E92" s="442" t="s">
        <v>1864</v>
      </c>
      <c r="F92" t="s">
        <v>12717</v>
      </c>
      <c r="G92" t="s">
        <v>12717</v>
      </c>
      <c r="H92" t="s">
        <v>12717</v>
      </c>
      <c r="I92" t="s">
        <v>12717</v>
      </c>
      <c r="J92" t="s">
        <v>12717</v>
      </c>
      <c r="K92" s="442" t="s">
        <v>1937</v>
      </c>
      <c r="L92" s="442" t="s">
        <v>2184</v>
      </c>
      <c r="M92" s="442" t="s">
        <v>2174</v>
      </c>
      <c r="O92" t="s">
        <v>12717</v>
      </c>
    </row>
    <row r="93" spans="1:15">
      <c r="A93" s="503" t="s">
        <v>2173</v>
      </c>
      <c r="B93" s="442" t="s">
        <v>2174</v>
      </c>
      <c r="C93" s="504" t="s">
        <v>1784</v>
      </c>
      <c r="D93" t="s">
        <v>12717</v>
      </c>
      <c r="E93" s="442" t="s">
        <v>1864</v>
      </c>
      <c r="F93" t="s">
        <v>12717</v>
      </c>
      <c r="G93" t="s">
        <v>12717</v>
      </c>
      <c r="H93" t="s">
        <v>12717</v>
      </c>
      <c r="I93" t="s">
        <v>12717</v>
      </c>
      <c r="J93" t="s">
        <v>12717</v>
      </c>
      <c r="K93" s="506" t="s">
        <v>1904</v>
      </c>
      <c r="L93" s="442">
        <v>686</v>
      </c>
      <c r="M93" s="442" t="s">
        <v>2174</v>
      </c>
      <c r="O93" t="s">
        <v>12717</v>
      </c>
    </row>
    <row r="94" spans="1:15">
      <c r="A94" s="503" t="s">
        <v>2173</v>
      </c>
      <c r="B94" s="442" t="s">
        <v>2174</v>
      </c>
      <c r="C94" s="504" t="s">
        <v>1814</v>
      </c>
      <c r="D94" s="442">
        <v>661800</v>
      </c>
      <c r="E94" s="442" t="s">
        <v>1864</v>
      </c>
      <c r="F94" t="s">
        <v>12717</v>
      </c>
      <c r="G94" t="s">
        <v>12717</v>
      </c>
      <c r="H94" t="s">
        <v>12717</v>
      </c>
      <c r="I94" t="s">
        <v>12717</v>
      </c>
      <c r="J94" t="s">
        <v>12717</v>
      </c>
      <c r="K94" t="s">
        <v>12717</v>
      </c>
      <c r="L94" t="s">
        <v>12717</v>
      </c>
      <c r="M94" s="442" t="s">
        <v>2185</v>
      </c>
      <c r="O94" t="s">
        <v>12717</v>
      </c>
    </row>
    <row r="95" spans="1:15">
      <c r="A95" s="503" t="s">
        <v>2173</v>
      </c>
      <c r="B95" s="442" t="s">
        <v>2174</v>
      </c>
      <c r="C95" s="442" t="s">
        <v>1820</v>
      </c>
      <c r="D95" s="442">
        <v>6500440095</v>
      </c>
      <c r="E95" s="442" t="s">
        <v>1864</v>
      </c>
      <c r="F95" t="s">
        <v>12717</v>
      </c>
      <c r="G95" t="s">
        <v>12717</v>
      </c>
      <c r="H95" t="s">
        <v>12717</v>
      </c>
      <c r="I95" t="s">
        <v>12717</v>
      </c>
      <c r="J95" t="s">
        <v>12717</v>
      </c>
      <c r="K95" t="s">
        <v>12717</v>
      </c>
      <c r="L95" t="s">
        <v>12717</v>
      </c>
      <c r="M95" s="442" t="s">
        <v>2177</v>
      </c>
      <c r="O95" t="s">
        <v>12717</v>
      </c>
    </row>
    <row r="96" spans="1:15">
      <c r="A96" s="503" t="s">
        <v>2173</v>
      </c>
      <c r="B96" s="442" t="s">
        <v>2174</v>
      </c>
      <c r="C96" s="504" t="s">
        <v>1806</v>
      </c>
      <c r="D96" s="442" t="s">
        <v>2186</v>
      </c>
      <c r="E96" s="442" t="s">
        <v>1864</v>
      </c>
      <c r="F96" t="s">
        <v>12717</v>
      </c>
      <c r="G96" t="s">
        <v>12717</v>
      </c>
      <c r="H96" t="s">
        <v>12717</v>
      </c>
      <c r="I96" t="s">
        <v>12717</v>
      </c>
      <c r="J96" t="s">
        <v>12717</v>
      </c>
      <c r="K96" t="s">
        <v>12717</v>
      </c>
      <c r="L96" t="s">
        <v>12717</v>
      </c>
      <c r="M96" s="442" t="s">
        <v>2187</v>
      </c>
      <c r="O96" t="s">
        <v>12717</v>
      </c>
    </row>
    <row r="97" spans="1:15">
      <c r="A97" s="503" t="s">
        <v>2173</v>
      </c>
      <c r="B97" s="442" t="s">
        <v>2174</v>
      </c>
      <c r="C97" s="442" t="s">
        <v>1773</v>
      </c>
      <c r="D97" s="442" t="s">
        <v>2188</v>
      </c>
      <c r="E97" s="442" t="s">
        <v>1864</v>
      </c>
      <c r="F97" t="s">
        <v>12717</v>
      </c>
      <c r="G97" t="s">
        <v>12717</v>
      </c>
      <c r="H97" t="s">
        <v>12717</v>
      </c>
      <c r="I97" t="s">
        <v>12717</v>
      </c>
      <c r="J97" t="s">
        <v>12717</v>
      </c>
      <c r="K97" t="s">
        <v>12717</v>
      </c>
      <c r="L97" t="s">
        <v>12717</v>
      </c>
      <c r="M97" s="442" t="s">
        <v>2189</v>
      </c>
      <c r="O97" t="s">
        <v>12717</v>
      </c>
    </row>
    <row r="98" spans="1:15">
      <c r="A98" s="503" t="s">
        <v>2173</v>
      </c>
      <c r="B98" s="442" t="s">
        <v>2174</v>
      </c>
      <c r="C98" s="442" t="s">
        <v>1778</v>
      </c>
      <c r="D98" t="s">
        <v>12717</v>
      </c>
      <c r="E98" s="442" t="s">
        <v>1864</v>
      </c>
      <c r="F98" t="s">
        <v>12717</v>
      </c>
      <c r="G98" t="s">
        <v>12717</v>
      </c>
      <c r="H98" t="s">
        <v>12717</v>
      </c>
      <c r="I98" t="s">
        <v>12717</v>
      </c>
      <c r="J98" t="s">
        <v>12717</v>
      </c>
      <c r="K98" s="442" t="s">
        <v>1894</v>
      </c>
      <c r="L98" t="s">
        <v>12717</v>
      </c>
      <c r="M98" t="s">
        <v>12717</v>
      </c>
      <c r="O98" t="s">
        <v>12717</v>
      </c>
    </row>
    <row r="99" spans="1:15">
      <c r="A99" s="503" t="s">
        <v>2173</v>
      </c>
      <c r="B99" s="442" t="s">
        <v>2174</v>
      </c>
      <c r="C99" s="504" t="s">
        <v>1792</v>
      </c>
      <c r="D99" t="s">
        <v>12717</v>
      </c>
      <c r="E99" s="442" t="s">
        <v>1864</v>
      </c>
      <c r="F99" t="s">
        <v>12717</v>
      </c>
      <c r="G99" t="s">
        <v>12717</v>
      </c>
      <c r="H99" t="s">
        <v>12717</v>
      </c>
      <c r="I99" t="s">
        <v>12717</v>
      </c>
      <c r="J99" t="s">
        <v>12717</v>
      </c>
      <c r="K99" s="504" t="s">
        <v>1902</v>
      </c>
      <c r="L99" t="s">
        <v>12717</v>
      </c>
      <c r="M99" s="442" t="s">
        <v>2190</v>
      </c>
      <c r="O99" t="s">
        <v>12717</v>
      </c>
    </row>
    <row r="100" spans="1:15">
      <c r="A100" s="503" t="s">
        <v>2173</v>
      </c>
      <c r="B100" s="442" t="s">
        <v>2174</v>
      </c>
      <c r="C100" s="442" t="s">
        <v>1967</v>
      </c>
      <c r="D100" s="442" t="s">
        <v>2191</v>
      </c>
      <c r="E100" s="442" t="s">
        <v>1864</v>
      </c>
      <c r="F100" t="s">
        <v>12717</v>
      </c>
      <c r="G100" t="s">
        <v>12717</v>
      </c>
      <c r="H100" t="s">
        <v>12717</v>
      </c>
      <c r="I100" t="s">
        <v>12717</v>
      </c>
      <c r="J100" t="s">
        <v>12717</v>
      </c>
      <c r="K100" t="s">
        <v>12717</v>
      </c>
      <c r="L100" t="s">
        <v>12717</v>
      </c>
      <c r="M100" s="442" t="s">
        <v>2192</v>
      </c>
      <c r="O100" t="s">
        <v>12717</v>
      </c>
    </row>
    <row r="101" spans="1:15">
      <c r="A101" s="503" t="s">
        <v>2173</v>
      </c>
      <c r="B101" s="442" t="s">
        <v>2174</v>
      </c>
      <c r="C101" s="442" t="s">
        <v>1811</v>
      </c>
      <c r="D101" s="507" t="s">
        <v>2193</v>
      </c>
      <c r="E101" s="442" t="s">
        <v>1864</v>
      </c>
      <c r="F101" t="s">
        <v>12717</v>
      </c>
      <c r="G101" t="s">
        <v>12717</v>
      </c>
      <c r="H101" t="s">
        <v>12717</v>
      </c>
      <c r="I101" t="s">
        <v>12717</v>
      </c>
      <c r="J101" t="s">
        <v>12717</v>
      </c>
      <c r="K101" t="s">
        <v>12717</v>
      </c>
      <c r="L101" t="s">
        <v>12717</v>
      </c>
      <c r="M101" s="442" t="s">
        <v>2194</v>
      </c>
      <c r="O101" t="s">
        <v>12717</v>
      </c>
    </row>
    <row r="102" spans="1:15">
      <c r="A102" s="503" t="s">
        <v>2173</v>
      </c>
      <c r="B102" s="442" t="s">
        <v>2174</v>
      </c>
      <c r="C102" s="442" t="s">
        <v>1840</v>
      </c>
      <c r="D102" s="505" t="s">
        <v>2195</v>
      </c>
      <c r="E102" s="442" t="s">
        <v>1864</v>
      </c>
      <c r="F102" t="s">
        <v>12717</v>
      </c>
      <c r="G102" t="s">
        <v>12717</v>
      </c>
      <c r="H102" t="s">
        <v>12717</v>
      </c>
      <c r="I102" t="s">
        <v>12717</v>
      </c>
      <c r="J102" t="s">
        <v>12717</v>
      </c>
      <c r="K102" s="442" t="s">
        <v>1927</v>
      </c>
      <c r="L102" s="442" t="s">
        <v>2196</v>
      </c>
      <c r="M102" s="442" t="s">
        <v>2197</v>
      </c>
      <c r="O102" t="s">
        <v>12717</v>
      </c>
    </row>
    <row r="103" spans="1:15">
      <c r="A103" s="503" t="s">
        <v>2173</v>
      </c>
      <c r="B103" s="442" t="s">
        <v>2174</v>
      </c>
      <c r="C103" s="442" t="s">
        <v>1775</v>
      </c>
      <c r="D103" s="442">
        <v>1001065</v>
      </c>
      <c r="E103" s="442" t="s">
        <v>1864</v>
      </c>
      <c r="F103" t="s">
        <v>12717</v>
      </c>
      <c r="G103" t="s">
        <v>12717</v>
      </c>
      <c r="H103" t="s">
        <v>12717</v>
      </c>
      <c r="I103" t="s">
        <v>12717</v>
      </c>
      <c r="J103" t="s">
        <v>12717</v>
      </c>
      <c r="K103" t="s">
        <v>12717</v>
      </c>
      <c r="L103" t="s">
        <v>12717</v>
      </c>
      <c r="M103" s="442" t="s">
        <v>2198</v>
      </c>
      <c r="O103" t="s">
        <v>12717</v>
      </c>
    </row>
    <row r="104" spans="1:15">
      <c r="A104" s="503" t="s">
        <v>2173</v>
      </c>
      <c r="B104" s="442" t="s">
        <v>2174</v>
      </c>
      <c r="C104" s="504" t="s">
        <v>1808</v>
      </c>
      <c r="D104" t="s">
        <v>12717</v>
      </c>
      <c r="E104" s="442" t="s">
        <v>1864</v>
      </c>
      <c r="F104" t="s">
        <v>12717</v>
      </c>
      <c r="G104" t="s">
        <v>12717</v>
      </c>
      <c r="H104" t="s">
        <v>12717</v>
      </c>
      <c r="I104" t="s">
        <v>12717</v>
      </c>
      <c r="J104" t="s">
        <v>12717</v>
      </c>
      <c r="K104" t="s">
        <v>12717</v>
      </c>
      <c r="L104" t="s">
        <v>12717</v>
      </c>
      <c r="M104" s="442" t="s">
        <v>2199</v>
      </c>
      <c r="O104" t="s">
        <v>12717</v>
      </c>
    </row>
    <row r="105" spans="1:15" ht="15" thickBot="1">
      <c r="A105" s="508" t="s">
        <v>2173</v>
      </c>
      <c r="B105" s="509" t="s">
        <v>2174</v>
      </c>
      <c r="C105" s="509" t="s">
        <v>2200</v>
      </c>
      <c r="D105" s="509">
        <v>1100200009</v>
      </c>
      <c r="E105" s="509" t="s">
        <v>1864</v>
      </c>
      <c r="F105" t="s">
        <v>12717</v>
      </c>
      <c r="G105" t="s">
        <v>12717</v>
      </c>
      <c r="H105" t="s">
        <v>12717</v>
      </c>
      <c r="I105" t="s">
        <v>12717</v>
      </c>
      <c r="J105" t="s">
        <v>12717</v>
      </c>
      <c r="K105" t="s">
        <v>12717</v>
      </c>
      <c r="L105" t="s">
        <v>12717</v>
      </c>
      <c r="M105" s="509" t="s">
        <v>2201</v>
      </c>
      <c r="O105" t="s">
        <v>12717</v>
      </c>
    </row>
    <row r="106" spans="1:15">
      <c r="A106" s="577" t="s">
        <v>12819</v>
      </c>
      <c r="B106" s="417" t="s">
        <v>12820</v>
      </c>
      <c r="C106" s="419" t="s">
        <v>1773</v>
      </c>
      <c r="D106" s="442">
        <v>2099100984</v>
      </c>
      <c r="E106" s="417" t="s">
        <v>1864</v>
      </c>
      <c r="K106"/>
      <c r="L106" s="417"/>
      <c r="M106" s="417" t="s">
        <v>1900</v>
      </c>
      <c r="N106" s="565"/>
    </row>
    <row r="107" spans="1:15">
      <c r="A107" s="577" t="s">
        <v>12821</v>
      </c>
      <c r="B107" s="417" t="s">
        <v>1870</v>
      </c>
      <c r="C107" s="419" t="s">
        <v>1820</v>
      </c>
      <c r="D107" s="442" t="s">
        <v>2063</v>
      </c>
      <c r="E107" s="417" t="s">
        <v>1864</v>
      </c>
      <c r="K107"/>
      <c r="L107" s="417"/>
      <c r="M107" s="417" t="s">
        <v>2064</v>
      </c>
      <c r="N107" s="565"/>
    </row>
    <row r="108" spans="1:15">
      <c r="A108" s="577" t="s">
        <v>12822</v>
      </c>
      <c r="B108" s="417" t="s">
        <v>1870</v>
      </c>
      <c r="C108" s="419" t="s">
        <v>1781</v>
      </c>
      <c r="D108" s="442" t="s">
        <v>12955</v>
      </c>
      <c r="E108" s="417" t="s">
        <v>1864</v>
      </c>
      <c r="K108"/>
      <c r="L108" s="417"/>
      <c r="M108" s="417" t="s">
        <v>12956</v>
      </c>
      <c r="N108" s="565"/>
    </row>
    <row r="109" spans="1:15">
      <c r="A109" s="577" t="s">
        <v>12823</v>
      </c>
      <c r="B109" s="417" t="s">
        <v>12820</v>
      </c>
      <c r="C109" s="419" t="s">
        <v>1778</v>
      </c>
      <c r="D109" s="442">
        <v>6212721698</v>
      </c>
      <c r="E109" s="417" t="s">
        <v>1864</v>
      </c>
      <c r="K109" s="417" t="s">
        <v>1894</v>
      </c>
      <c r="L109" s="417" t="s">
        <v>1895</v>
      </c>
      <c r="M109" s="417" t="s">
        <v>2073</v>
      </c>
      <c r="N109" s="565"/>
    </row>
    <row r="110" spans="1:15">
      <c r="A110" s="577" t="s">
        <v>12824</v>
      </c>
      <c r="B110" s="417" t="s">
        <v>1870</v>
      </c>
      <c r="C110" s="419" t="s">
        <v>12825</v>
      </c>
      <c r="D110" s="442" t="s">
        <v>12826</v>
      </c>
      <c r="E110" s="417" t="s">
        <v>1864</v>
      </c>
      <c r="K110"/>
      <c r="L110" s="417"/>
      <c r="M110" s="417" t="s">
        <v>2064</v>
      </c>
      <c r="N110" s="565"/>
    </row>
    <row r="111" spans="1:15">
      <c r="A111" s="577" t="s">
        <v>12827</v>
      </c>
      <c r="B111" s="417" t="s">
        <v>1870</v>
      </c>
      <c r="C111" s="419" t="s">
        <v>1835</v>
      </c>
      <c r="D111" s="442">
        <v>5295182662</v>
      </c>
      <c r="E111" s="417" t="s">
        <v>1864</v>
      </c>
      <c r="K111"/>
      <c r="L111" s="417"/>
      <c r="M111" s="417" t="s">
        <v>2051</v>
      </c>
      <c r="N111" s="565"/>
    </row>
    <row r="112" spans="1:15">
      <c r="A112" s="577" t="s">
        <v>12828</v>
      </c>
      <c r="B112" s="417" t="s">
        <v>1870</v>
      </c>
      <c r="C112" s="419" t="s">
        <v>1770</v>
      </c>
      <c r="D112" s="442" t="s">
        <v>12957</v>
      </c>
      <c r="E112" s="417" t="s">
        <v>1864</v>
      </c>
      <c r="K112"/>
      <c r="L112" s="417"/>
      <c r="M112" s="417" t="s">
        <v>1875</v>
      </c>
      <c r="N112" s="565"/>
    </row>
    <row r="113" spans="1:14">
      <c r="A113" s="577" t="s">
        <v>12829</v>
      </c>
      <c r="B113" s="417" t="s">
        <v>1870</v>
      </c>
      <c r="C113" s="419" t="s">
        <v>1826</v>
      </c>
      <c r="D113" s="442" t="s">
        <v>12958</v>
      </c>
      <c r="E113" s="417" t="s">
        <v>1864</v>
      </c>
      <c r="K113"/>
      <c r="L113" s="417"/>
      <c r="M113" s="417" t="s">
        <v>12956</v>
      </c>
      <c r="N113" s="565"/>
    </row>
    <row r="114" spans="1:14">
      <c r="A114" s="577" t="s">
        <v>12830</v>
      </c>
      <c r="B114" s="417" t="s">
        <v>1870</v>
      </c>
      <c r="C114" s="419" t="s">
        <v>1790</v>
      </c>
      <c r="D114" s="442" t="s">
        <v>12959</v>
      </c>
      <c r="E114" s="417" t="s">
        <v>1864</v>
      </c>
      <c r="K114"/>
      <c r="L114" s="417"/>
      <c r="M114" s="417" t="s">
        <v>12956</v>
      </c>
      <c r="N114" s="565"/>
    </row>
    <row r="115" spans="1:14">
      <c r="A115" s="577" t="s">
        <v>12831</v>
      </c>
      <c r="B115" s="417" t="s">
        <v>1870</v>
      </c>
      <c r="C115" s="419" t="s">
        <v>12832</v>
      </c>
      <c r="D115" s="442">
        <v>41142</v>
      </c>
      <c r="E115" s="417" t="s">
        <v>1864</v>
      </c>
      <c r="K115"/>
      <c r="L115" s="417"/>
      <c r="M115" s="417" t="s">
        <v>12833</v>
      </c>
      <c r="N115" s="565"/>
    </row>
    <row r="116" spans="1:14">
      <c r="A116" s="577" t="s">
        <v>12834</v>
      </c>
      <c r="B116" s="417" t="s">
        <v>1870</v>
      </c>
      <c r="C116" s="419" t="s">
        <v>1840</v>
      </c>
      <c r="D116" s="442" t="s">
        <v>12960</v>
      </c>
      <c r="E116" s="417" t="s">
        <v>1864</v>
      </c>
      <c r="K116" s="417" t="s">
        <v>1927</v>
      </c>
      <c r="L116" s="417" t="s">
        <v>2066</v>
      </c>
      <c r="M116" s="417" t="s">
        <v>12835</v>
      </c>
      <c r="N116" s="565"/>
    </row>
    <row r="117" spans="1:14">
      <c r="A117" s="577" t="s">
        <v>12836</v>
      </c>
      <c r="B117" s="417" t="s">
        <v>1870</v>
      </c>
      <c r="C117" s="419" t="s">
        <v>1784</v>
      </c>
      <c r="D117" s="442">
        <v>721213</v>
      </c>
      <c r="E117" s="417" t="s">
        <v>1864</v>
      </c>
      <c r="K117" s="420" t="s">
        <v>1904</v>
      </c>
      <c r="L117" s="417" t="s">
        <v>12961</v>
      </c>
      <c r="M117" s="417" t="s">
        <v>2061</v>
      </c>
      <c r="N117" s="565"/>
    </row>
    <row r="118" spans="1:14">
      <c r="A118" s="577" t="s">
        <v>12837</v>
      </c>
      <c r="B118" s="417" t="s">
        <v>1870</v>
      </c>
      <c r="C118" s="419" t="s">
        <v>1814</v>
      </c>
      <c r="D118" s="442" t="s">
        <v>12962</v>
      </c>
      <c r="E118" s="417" t="s">
        <v>1864</v>
      </c>
      <c r="K118"/>
      <c r="L118" s="417"/>
      <c r="M118" s="417" t="s">
        <v>12963</v>
      </c>
      <c r="N118" s="565"/>
    </row>
    <row r="119" spans="1:14">
      <c r="A119" s="577" t="s">
        <v>12838</v>
      </c>
      <c r="B119" s="417" t="s">
        <v>1870</v>
      </c>
      <c r="C119" s="419" t="s">
        <v>1806</v>
      </c>
      <c r="D119" s="442" t="s">
        <v>12964</v>
      </c>
      <c r="E119" s="417" t="s">
        <v>1864</v>
      </c>
      <c r="K119"/>
      <c r="L119" s="417"/>
      <c r="M119" s="417" t="s">
        <v>1884</v>
      </c>
      <c r="N119" s="565"/>
    </row>
    <row r="120" spans="1:14">
      <c r="A120" s="577" t="s">
        <v>12839</v>
      </c>
      <c r="B120" s="417" t="s">
        <v>1870</v>
      </c>
      <c r="C120" s="419" t="s">
        <v>1817</v>
      </c>
      <c r="D120" s="442" t="s">
        <v>12965</v>
      </c>
      <c r="E120" s="417" t="s">
        <v>1864</v>
      </c>
      <c r="K120"/>
      <c r="L120" s="417"/>
      <c r="M120" s="417" t="s">
        <v>12956</v>
      </c>
      <c r="N120" s="565"/>
    </row>
    <row r="121" spans="1:14">
      <c r="A121" s="577" t="s">
        <v>12840</v>
      </c>
      <c r="B121" s="417" t="s">
        <v>12820</v>
      </c>
      <c r="C121" s="419" t="s">
        <v>12841</v>
      </c>
      <c r="D121" s="442">
        <v>60508753</v>
      </c>
      <c r="E121" s="417" t="s">
        <v>1864</v>
      </c>
      <c r="K121"/>
      <c r="L121" s="417"/>
      <c r="M121" s="417" t="s">
        <v>12842</v>
      </c>
      <c r="N121" s="565"/>
    </row>
    <row r="122" spans="1:14">
      <c r="A122" s="577" t="s">
        <v>12843</v>
      </c>
      <c r="B122" s="417" t="s">
        <v>1870</v>
      </c>
      <c r="C122" s="419" t="s">
        <v>1837</v>
      </c>
      <c r="D122" s="442">
        <v>60040149068</v>
      </c>
      <c r="E122" s="417" t="s">
        <v>1864</v>
      </c>
      <c r="K122"/>
      <c r="L122" s="417"/>
      <c r="M122" s="417" t="s">
        <v>1892</v>
      </c>
      <c r="N122" s="565"/>
    </row>
    <row r="123" spans="1:14">
      <c r="A123" s="577" t="s">
        <v>12844</v>
      </c>
      <c r="B123" s="417" t="s">
        <v>1870</v>
      </c>
      <c r="C123" s="419" t="s">
        <v>2054</v>
      </c>
      <c r="D123" s="442" t="s">
        <v>12966</v>
      </c>
      <c r="E123" s="417" t="s">
        <v>1864</v>
      </c>
      <c r="K123"/>
      <c r="L123" s="417"/>
      <c r="M123" s="417" t="s">
        <v>2064</v>
      </c>
      <c r="N123" s="565"/>
    </row>
    <row r="124" spans="1:14">
      <c r="A124" s="577" t="s">
        <v>12845</v>
      </c>
      <c r="B124" s="417" t="s">
        <v>1870</v>
      </c>
      <c r="C124" s="419" t="s">
        <v>1798</v>
      </c>
      <c r="D124" s="442" t="s">
        <v>12967</v>
      </c>
      <c r="E124" s="417" t="s">
        <v>1864</v>
      </c>
      <c r="K124"/>
      <c r="L124" s="417"/>
      <c r="M124" s="417" t="s">
        <v>1886</v>
      </c>
      <c r="N124" s="565"/>
    </row>
    <row r="125" spans="1:14">
      <c r="A125" s="577" t="s">
        <v>12846</v>
      </c>
      <c r="B125" s="417" t="s">
        <v>1870</v>
      </c>
      <c r="C125" s="419" t="s">
        <v>12847</v>
      </c>
      <c r="D125" s="442"/>
      <c r="E125" s="417" t="s">
        <v>1864</v>
      </c>
      <c r="K125"/>
      <c r="L125" s="417"/>
      <c r="M125" s="417" t="s">
        <v>1872</v>
      </c>
      <c r="N125" s="565"/>
    </row>
    <row r="126" spans="1:14">
      <c r="A126" s="577" t="s">
        <v>12848</v>
      </c>
      <c r="B126" s="417" t="s">
        <v>1870</v>
      </c>
      <c r="C126" s="419" t="s">
        <v>1833</v>
      </c>
      <c r="D126" s="442" t="s">
        <v>12968</v>
      </c>
      <c r="E126" s="417" t="s">
        <v>1864</v>
      </c>
      <c r="K126"/>
      <c r="L126" s="417"/>
      <c r="M126" s="417" t="s">
        <v>1889</v>
      </c>
      <c r="N126" s="565"/>
    </row>
    <row r="127" spans="1:14">
      <c r="A127" s="577" t="s">
        <v>12849</v>
      </c>
      <c r="B127" s="417" t="s">
        <v>1870</v>
      </c>
      <c r="C127" s="419" t="s">
        <v>1803</v>
      </c>
      <c r="D127" s="442" t="s">
        <v>12969</v>
      </c>
      <c r="E127" s="417" t="s">
        <v>1864</v>
      </c>
      <c r="K127" s="417" t="s">
        <v>1937</v>
      </c>
      <c r="L127" s="417" t="s">
        <v>2060</v>
      </c>
      <c r="M127" s="417" t="s">
        <v>1898</v>
      </c>
      <c r="N127" s="565"/>
    </row>
    <row r="128" spans="1:14">
      <c r="A128" s="577" t="s">
        <v>12850</v>
      </c>
      <c r="B128" s="417" t="s">
        <v>1870</v>
      </c>
      <c r="C128" s="419" t="s">
        <v>1784</v>
      </c>
      <c r="D128" s="442">
        <v>721213</v>
      </c>
      <c r="E128" s="417" t="s">
        <v>1864</v>
      </c>
      <c r="K128" s="420" t="s">
        <v>1904</v>
      </c>
      <c r="L128" s="417" t="s">
        <v>12961</v>
      </c>
      <c r="M128" s="417" t="s">
        <v>2061</v>
      </c>
      <c r="N128" s="565"/>
    </row>
    <row r="129" spans="1:14">
      <c r="A129" s="577" t="s">
        <v>12851</v>
      </c>
      <c r="B129" s="417" t="s">
        <v>1870</v>
      </c>
      <c r="C129" s="419" t="s">
        <v>1792</v>
      </c>
      <c r="D129" s="442">
        <v>236708</v>
      </c>
      <c r="E129" s="417" t="s">
        <v>1864</v>
      </c>
      <c r="K129" s="417" t="s">
        <v>1902</v>
      </c>
      <c r="L129" s="442">
        <v>908</v>
      </c>
      <c r="M129" s="417" t="s">
        <v>12820</v>
      </c>
      <c r="N129" s="565"/>
    </row>
    <row r="130" spans="1:14">
      <c r="A130" s="577" t="s">
        <v>12852</v>
      </c>
      <c r="B130" s="417" t="s">
        <v>1870</v>
      </c>
      <c r="C130" s="417" t="s">
        <v>12970</v>
      </c>
      <c r="D130" s="442"/>
      <c r="E130" s="417" t="s">
        <v>1864</v>
      </c>
      <c r="K130" s="578" t="s">
        <v>12971</v>
      </c>
      <c r="L130" s="578">
        <v>22453</v>
      </c>
      <c r="M130" s="417"/>
      <c r="N130" s="565"/>
    </row>
    <row r="131" spans="1:14">
      <c r="A131" s="569"/>
      <c r="B131" s="566"/>
      <c r="C131" s="567"/>
      <c r="D131" s="442"/>
      <c r="E131" s="566"/>
      <c r="F131" s="564"/>
      <c r="G131" s="564"/>
      <c r="H131" s="564"/>
      <c r="I131" s="564"/>
      <c r="J131" s="564"/>
      <c r="K131" s="564"/>
      <c r="L131" s="566"/>
      <c r="M131" s="566"/>
      <c r="N131" s="565"/>
    </row>
    <row r="132" spans="1:14">
      <c r="A132" s="569"/>
      <c r="B132" s="566"/>
      <c r="C132" s="567"/>
      <c r="D132" s="442"/>
      <c r="E132" s="566"/>
      <c r="F132" s="564"/>
      <c r="G132" s="564"/>
      <c r="H132" s="564"/>
      <c r="I132" s="564"/>
      <c r="J132" s="564"/>
      <c r="K132" s="568"/>
      <c r="L132" s="566"/>
      <c r="M132" s="566"/>
      <c r="N132" s="565"/>
    </row>
    <row r="133" spans="1:14">
      <c r="A133" s="569"/>
      <c r="B133" s="566"/>
      <c r="C133" s="567"/>
      <c r="D133" s="442"/>
      <c r="E133" s="566"/>
      <c r="F133" s="564"/>
      <c r="G133" s="564"/>
      <c r="H133" s="564"/>
      <c r="I133" s="564"/>
      <c r="J133" s="564"/>
      <c r="K133" s="566"/>
      <c r="L133" s="566"/>
      <c r="M133" s="566"/>
      <c r="N133" s="565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DDC2E-F28D-4B1E-9166-352298694826}">
  <sheetPr codeName="Foglio4"/>
  <dimension ref="A1"/>
  <sheetViews>
    <sheetView workbookViewId="0"/>
  </sheetViews>
  <sheetFormatPr defaultRowHeight="14.5"/>
  <sheetData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30</vt:i4>
      </vt:variant>
      <vt:variant>
        <vt:lpstr>Intervalli denominati</vt:lpstr>
      </vt:variant>
      <vt:variant>
        <vt:i4>21</vt:i4>
      </vt:variant>
    </vt:vector>
  </HeadingPairs>
  <TitlesOfParts>
    <vt:vector size="51" baseType="lpstr">
      <vt:lpstr>Sanctioned_List</vt:lpstr>
      <vt:lpstr>Broker_List</vt:lpstr>
      <vt:lpstr>Pre-Check BUY</vt:lpstr>
      <vt:lpstr>Pre-check SELL</vt:lpstr>
      <vt:lpstr>test</vt:lpstr>
      <vt:lpstr>TradesBond</vt:lpstr>
      <vt:lpstr>TradesEquity</vt:lpstr>
      <vt:lpstr>PosAggregate</vt:lpstr>
      <vt:lpstr>MIFID</vt:lpstr>
      <vt:lpstr>Order_template</vt:lpstr>
      <vt:lpstr>CashFlow</vt:lpstr>
      <vt:lpstr>Sub-Red</vt:lpstr>
      <vt:lpstr>Cash Mgmt</vt:lpstr>
      <vt:lpstr>Dvd</vt:lpstr>
      <vt:lpstr>Forward</vt:lpstr>
      <vt:lpstr>Curr</vt:lpstr>
      <vt:lpstr>ShrsOrdReg</vt:lpstr>
      <vt:lpstr>BondOrdReg</vt:lpstr>
      <vt:lpstr>FundOrdReg</vt:lpstr>
      <vt:lpstr>TradesFundETF</vt:lpstr>
      <vt:lpstr>POSIMS</vt:lpstr>
      <vt:lpstr>POSNAV</vt:lpstr>
      <vt:lpstr>bic broker</vt:lpstr>
      <vt:lpstr>place of settlement</vt:lpstr>
      <vt:lpstr>DEPOSITARY</vt:lpstr>
      <vt:lpstr>DEPO</vt:lpstr>
      <vt:lpstr>Geographical risk matrix</vt:lpstr>
      <vt:lpstr>Conf</vt:lpstr>
      <vt:lpstr>sample</vt:lpstr>
      <vt:lpstr>Sheet1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  <vt:lpstr>Order_template!user_id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MANIGRASSO FEDERICO</cp:lastModifiedBy>
  <cp:lastPrinted>2018-03-24T22:04:59Z</cp:lastPrinted>
  <dcterms:created xsi:type="dcterms:W3CDTF">2013-04-03T15:49:21Z</dcterms:created>
  <dcterms:modified xsi:type="dcterms:W3CDTF">2022-06-16T09:41:22Z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  <property fmtid="{D5CDD505-2E9C-101B-9397-08002B2CF9AE}" pid="6" name="MSIP_Label_5f5fe31f-9de1-4167-a753-111c0df8115f_Enabled">
    <vt:lpwstr>true</vt:lpwstr>
  </property>
  <property fmtid="{D5CDD505-2E9C-101B-9397-08002B2CF9AE}" pid="7" name="MSIP_Label_5f5fe31f-9de1-4167-a753-111c0df8115f_SetDate">
    <vt:lpwstr>2022-06-15T10:04:54Z</vt:lpwstr>
  </property>
  <property fmtid="{D5CDD505-2E9C-101B-9397-08002B2CF9AE}" pid="8" name="MSIP_Label_5f5fe31f-9de1-4167-a753-111c0df8115f_Method">
    <vt:lpwstr>Standard</vt:lpwstr>
  </property>
  <property fmtid="{D5CDD505-2E9C-101B-9397-08002B2CF9AE}" pid="9" name="MSIP_Label_5f5fe31f-9de1-4167-a753-111c0df8115f_Name">
    <vt:lpwstr>5f5fe31f-9de1-4167-a753-111c0df8115f</vt:lpwstr>
  </property>
  <property fmtid="{D5CDD505-2E9C-101B-9397-08002B2CF9AE}" pid="10" name="MSIP_Label_5f5fe31f-9de1-4167-a753-111c0df8115f_SiteId">
    <vt:lpwstr>cc4baf00-15c9-48dd-9f59-88c98bde2be7</vt:lpwstr>
  </property>
  <property fmtid="{D5CDD505-2E9C-101B-9397-08002B2CF9AE}" pid="11" name="MSIP_Label_5f5fe31f-9de1-4167-a753-111c0df8115f_ActionId">
    <vt:lpwstr>8845f3b3-6855-435c-8c05-802db32031b3</vt:lpwstr>
  </property>
  <property fmtid="{D5CDD505-2E9C-101B-9397-08002B2CF9AE}" pid="12" name="MSIP_Label_5f5fe31f-9de1-4167-a753-111c0df8115f_ContentBits">
    <vt:lpwstr>0</vt:lpwstr>
  </property>
</Properties>
</file>